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223661AD-F737-4163-970D-2C705B4D50D0}" xr6:coauthVersionLast="47" xr6:coauthVersionMax="47" xr10:uidLastSave="{00000000-0000-0000-0000-000000000000}"/>
  <bookViews>
    <workbookView xWindow="-120" yWindow="-120" windowWidth="51840" windowHeight="21840" firstSheet="2" activeTab="2" xr2:uid="{00000000-000D-0000-FFFF-FFFF00000000}"/>
  </bookViews>
  <sheets>
    <sheet name="Cover" sheetId="1" r:id="rId1"/>
    <sheet name="Offer Overview" sheetId="60" r:id="rId2"/>
    <sheet name="Offer Comparison" sheetId="64" r:id="rId3"/>
    <sheet name="Partnership Sensitivity Tables" sheetId="65" r:id="rId4"/>
    <sheet name="100% Buyout Analysis" sheetId="61" r:id="rId5"/>
    <sheet name="Partnership Analysis" sheetId="63" r:id="rId6"/>
    <sheet name="P&amp;L Overview" sheetId="8" r:id="rId7"/>
    <sheet name="Software Overview" sheetId="55" r:id="rId8"/>
    <sheet name="Earnings Sensitivity Table" sheetId="56" r:id="rId9"/>
    <sheet name="P&amp;L Overview (Target Version)" sheetId="18" r:id="rId10"/>
    <sheet name="P&amp;L Forecast" sheetId="11" r:id="rId11"/>
    <sheet name="Expense Charts" sheetId="16" r:id="rId12"/>
    <sheet name="Tech Stack" sheetId="19" r:id="rId13"/>
    <sheet name="Revenue Analysis" sheetId="9" r:id="rId14"/>
    <sheet name="Revenue Charts" sheetId="10" r:id="rId15"/>
    <sheet name="Expense Analysis" sheetId="17" r:id="rId16"/>
    <sheet name="Client Overview" sheetId="31" r:id="rId17"/>
    <sheet name="Client Retention" sheetId="33" r:id="rId18"/>
    <sheet name="Customer Retention Charts" sheetId="37" r:id="rId19"/>
    <sheet name="Client Retention $" sheetId="38" r:id="rId20"/>
    <sheet name="Client Retention Charts $" sheetId="39" r:id="rId21"/>
    <sheet name="Client Concentration" sheetId="51" r:id="rId22"/>
    <sheet name="Employee Overview" sheetId="35" r:id="rId23"/>
    <sheet name="Employee Retention" sheetId="46" r:id="rId24"/>
    <sheet name="Adj. Employee Retention" sheetId="59" r:id="rId25"/>
    <sheet name="Steady-State Staffing" sheetId="52" r:id="rId26"/>
    <sheet name="Tenure Charts" sheetId="47" r:id="rId27"/>
    <sheet name="Employee Retention Charts" sheetId="48" r:id="rId28"/>
    <sheet name="Yearly Employee Wins &amp; Losses" sheetId="49" r:id="rId29"/>
    <sheet name="Raw Data" sheetId="57" r:id="rId30"/>
    <sheet name="Employee Data --&gt;" sheetId="41" r:id="rId31"/>
    <sheet name="Combined Employee Worksheet" sheetId="45" r:id="rId32"/>
    <sheet name="Headcount &amp; Compensation" sheetId="34" r:id="rId33"/>
    <sheet name="Inactive Employees" sheetId="42" r:id="rId34"/>
    <sheet name="Employee Mapping" sheetId="44" r:id="rId35"/>
    <sheet name="Employee Summary" sheetId="43" r:id="rId36"/>
    <sheet name="Owner Mapped P&amp;L" sheetId="40" r:id="rId37"/>
    <sheet name="Customer Data --&gt;" sheetId="20" r:id="rId38"/>
    <sheet name="Full Customer List" sheetId="30" r:id="rId39"/>
    <sheet name="Missing End Dates" sheetId="36" r:id="rId40"/>
    <sheet name="Client Departures" sheetId="29" r:id="rId41"/>
    <sheet name="Revenue by Customer" sheetId="23" r:id="rId42"/>
    <sheet name="Customer List w Software" sheetId="27" r:id="rId43"/>
    <sheet name="Customer List Mapping" sheetId="32" r:id="rId44"/>
    <sheet name="README" sheetId="21" r:id="rId45"/>
    <sheet name="Summary" sheetId="22" r:id="rId46"/>
    <sheet name="Monthly Trend" sheetId="24" r:id="rId47"/>
    <sheet name="New &amp; Lost Revenue" sheetId="25" r:id="rId48"/>
    <sheet name="Recurring vs Total" sheetId="26" r:id="rId49"/>
    <sheet name="Definitions" sheetId="28" r:id="rId50"/>
    <sheet name="Financial Data --&gt;" sheetId="6" r:id="rId51"/>
    <sheet name="Combined P&amp;L" sheetId="2" r:id="rId52"/>
    <sheet name="Software" sheetId="12" r:id="rId53"/>
    <sheet name="Raw - 2024 PL" sheetId="3" r:id="rId54"/>
    <sheet name="Raw - 2025 PL" sheetId="4" r:id="rId55"/>
    <sheet name="Raw - 2026 PL" sheetId="5" r:id="rId56"/>
  </sheets>
  <definedNames>
    <definedName name="_xlnm._FilterDatabase" localSheetId="32">'Headcount &amp; Compensation'!A1:L91</definedName>
    <definedName name="_xlnm._FilterDatabase" localSheetId="33" hidden="1">'Inactive Employees'!$A$1:$T$57</definedName>
    <definedName name="_xlnm._FilterDatabase" localSheetId="39" hidden="1">'Missing End Dates'!$B$6:$AA$320</definedName>
    <definedName name="_xlnm._FilterDatabase" localSheetId="52">Software!A5:H67</definedName>
    <definedName name="_xlnm.Print_Area" localSheetId="4">'100% Buyout Analysis'!$B$2:$D$89,'100% Buyout Analysis'!$B$91:$D$162</definedName>
    <definedName name="_xlnm.Print_Area" localSheetId="24">'Adj. Employee Retention'!$B$2:$AB$60,'Adj. Employee Retention'!$B$62:$AB$105</definedName>
    <definedName name="_xlnm.Print_Area" localSheetId="21">'Client Concentration'!$B$2:$J$29</definedName>
    <definedName name="_xlnm.Print_Area" localSheetId="16">'Client Overview'!$B$2:$J$46</definedName>
    <definedName name="_xlnm.Print_Area" localSheetId="17">'Client Retention'!$B$2:$AD$48,'Client Retention'!$B$50:$AD$93</definedName>
    <definedName name="_xlnm.Print_Area" localSheetId="19">'Client Retention $'!$B$2:$AD$51,'Client Retention $'!$B$53:$AD$99</definedName>
    <definedName name="_xlnm.Print_Area" localSheetId="20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8">'Customer Retention Charts'!$B$32:$L$56,'Customer Retention Charts'!$B$2:$L$30,'Customer Retention Charts'!$B$58:$L$83,'Customer Retention Charts'!$B$85:$L$109</definedName>
    <definedName name="_xlnm.Print_Area" localSheetId="22">'Employee Overview'!$B$2:$T$40</definedName>
    <definedName name="_xlnm.Print_Area" localSheetId="23">'Employee Retention'!$B$2:$AB$60,'Employee Retention'!$B$62:$AB$105</definedName>
    <definedName name="_xlnm.Print_Area" localSheetId="27">'Employee Retention Charts'!$B$32:$L$56,'Employee Retention Charts'!$B$2:$L$30,'Employee Retention Charts'!$B$58:$L$83,'Employee Retention Charts'!$B$85:$L$109</definedName>
    <definedName name="_xlnm.Print_Area" localSheetId="15">'Expense Analysis'!$B$2:$S$40,'Expense Analysis'!$B$42:$S$83</definedName>
    <definedName name="_xlnm.Print_Area" localSheetId="11">'Expense Charts'!$B$2:$L$84</definedName>
    <definedName name="_xlnm.Print_Area" localSheetId="39">'Missing End Dates'!$B$2:$AA$280</definedName>
    <definedName name="_xlnm.Print_Area" localSheetId="2">'Offer Comparison'!$B$2:$E$53,'Offer Comparison'!$B$55:$E$99,'Offer Comparison'!$B$102:$E$138</definedName>
    <definedName name="_xlnm.Print_Area" localSheetId="1">'Offer Overview'!$B$2:$E$54</definedName>
    <definedName name="_xlnm.Print_Area" localSheetId="6">'P&amp;L Overview'!$B$2:$N$73</definedName>
    <definedName name="_xlnm.Print_Area" localSheetId="9">'P&amp;L Overview (Target Version)'!$B$2:$N$48</definedName>
    <definedName name="_xlnm.Print_Area" localSheetId="5">'Partnership Analysis'!$B$2:$D$43,'Partnership Analysis'!$B$45:$D$111,'Partnership Analysis'!$B$113:$D$171</definedName>
    <definedName name="_xlnm.Print_Area" localSheetId="3">'Partnership Sensitivity Tables'!$B$2:$L$82,'Partnership Sensitivity Tables'!$B$85:$L$162,'Partnership Sensitivity Tables'!$B$165:$L$242</definedName>
    <definedName name="_xlnm.Print_Area" localSheetId="13">'Revenue Analysis'!$B$2:$R$46</definedName>
    <definedName name="_xlnm.Print_Area" localSheetId="14">'Revenue Charts'!$B$2:$L$44</definedName>
    <definedName name="_xlnm.Print_Area" localSheetId="7">'Software Overview'!$B$2:$M$36</definedName>
    <definedName name="_xlnm.Print_Area" localSheetId="25">'Steady-State Staffing'!$B$2:$AB$35</definedName>
    <definedName name="_xlnm.Print_Area" localSheetId="12">'Tech Stack'!$B$2:$H$48</definedName>
    <definedName name="_xlnm.Print_Area" localSheetId="26">'Tenure Charts'!$B$2:$G$42</definedName>
    <definedName name="_xlnm.Print_Area" localSheetId="28">'Yearly Employee Wins &amp; Losses'!$B$2:$G$78</definedName>
    <definedName name="_xlnm.Print_Titles" localSheetId="4">'100% Buyout Analysis'!$1:$4</definedName>
    <definedName name="_xlnm.Print_Titles" localSheetId="24">'Adj. Employee Retention'!$2:$4</definedName>
    <definedName name="_xlnm.Print_Titles" localSheetId="17">'Client Retention'!$2:$4</definedName>
    <definedName name="_xlnm.Print_Titles" localSheetId="19">'Client Retention $'!$2:$4</definedName>
    <definedName name="_xlnm.Print_Titles" localSheetId="20">'Client Retention Charts $'!$2:$4</definedName>
    <definedName name="_xlnm.Print_Titles" localSheetId="51">'Combined P&amp;L'!$5:$5</definedName>
    <definedName name="_xlnm.Print_Titles" localSheetId="18">'Customer Retention Charts'!$2:$4</definedName>
    <definedName name="_xlnm.Print_Titles" localSheetId="23">'Employee Retention'!$2:$4</definedName>
    <definedName name="_xlnm.Print_Titles" localSheetId="27">'Employee Retention Charts'!$2:$4</definedName>
    <definedName name="_xlnm.Print_Titles" localSheetId="15">'Expense Analysis'!$2:$6</definedName>
    <definedName name="_xlnm.Print_Titles" localSheetId="11">'Expense Charts'!$2:$4</definedName>
    <definedName name="_xlnm.Print_Titles" localSheetId="2">'Offer Comparison'!$2:$5</definedName>
    <definedName name="_xlnm.Print_Titles" localSheetId="5">'Partnership Analysis'!$1:$4</definedName>
    <definedName name="_xlnm.Print_Titles" localSheetId="3">'Partnership Sensitivity Tables'!$2:$4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9" i="65" l="1"/>
  <c r="C238" i="65" s="1"/>
  <c r="C237" i="65" s="1"/>
  <c r="C236" i="65" s="1"/>
  <c r="C240" i="65"/>
  <c r="C241" i="65" s="1"/>
  <c r="C242" i="65" s="1"/>
  <c r="C224" i="65"/>
  <c r="C223" i="65" s="1"/>
  <c r="C225" i="65"/>
  <c r="C226" i="65"/>
  <c r="C227" i="65"/>
  <c r="C228" i="65" s="1"/>
  <c r="C229" i="65" s="1"/>
  <c r="C213" i="65"/>
  <c r="C212" i="65" s="1"/>
  <c r="C211" i="65" s="1"/>
  <c r="C210" i="65" s="1"/>
  <c r="C214" i="65"/>
  <c r="C215" i="65"/>
  <c r="C216" i="65" s="1"/>
  <c r="C199" i="65"/>
  <c r="C198" i="65" s="1"/>
  <c r="C197" i="65" s="1"/>
  <c r="C196" i="65" s="1"/>
  <c r="C200" i="65"/>
  <c r="C201" i="65"/>
  <c r="C202" i="65" s="1"/>
  <c r="C185" i="65"/>
  <c r="C184" i="65" s="1"/>
  <c r="C183" i="65" s="1"/>
  <c r="C186" i="65"/>
  <c r="C187" i="65"/>
  <c r="C188" i="65"/>
  <c r="C189" i="65"/>
  <c r="C173" i="65"/>
  <c r="C172" i="65" s="1"/>
  <c r="C174" i="65"/>
  <c r="C175" i="65" s="1"/>
  <c r="C176" i="65" s="1"/>
  <c r="H155" i="65"/>
  <c r="G155" i="65" s="1"/>
  <c r="F155" i="65" s="1"/>
  <c r="E155" i="65" s="1"/>
  <c r="D155" i="65" s="1"/>
  <c r="H142" i="65"/>
  <c r="G142" i="65" s="1"/>
  <c r="F142" i="65" s="1"/>
  <c r="E142" i="65" s="1"/>
  <c r="D142" i="65" s="1"/>
  <c r="H129" i="65"/>
  <c r="G129" i="65" s="1"/>
  <c r="F129" i="65" s="1"/>
  <c r="E129" i="65" s="1"/>
  <c r="D129" i="65" s="1"/>
  <c r="Z129" i="65" s="1"/>
  <c r="I129" i="65"/>
  <c r="J129" i="65"/>
  <c r="K129" i="65" s="1"/>
  <c r="L129" i="65" s="1"/>
  <c r="H115" i="65"/>
  <c r="G115" i="65" s="1"/>
  <c r="F115" i="65" s="1"/>
  <c r="E115" i="65" s="1"/>
  <c r="D115" i="65" s="1"/>
  <c r="I115" i="65"/>
  <c r="J115" i="65"/>
  <c r="K115" i="65"/>
  <c r="L115" i="65"/>
  <c r="G102" i="65"/>
  <c r="F102" i="65" s="1"/>
  <c r="E102" i="65" s="1"/>
  <c r="D102" i="65" s="1"/>
  <c r="H102" i="65"/>
  <c r="I102" i="65" s="1"/>
  <c r="J102" i="65" s="1"/>
  <c r="K102" i="65" s="1"/>
  <c r="L102" i="65" s="1"/>
  <c r="H89" i="65"/>
  <c r="G89" i="65" s="1"/>
  <c r="F89" i="65" s="1"/>
  <c r="E89" i="65" s="1"/>
  <c r="D89" i="65" s="1"/>
  <c r="BB82" i="65"/>
  <c r="BA82" i="65"/>
  <c r="AZ82" i="65"/>
  <c r="AY82" i="65"/>
  <c r="AX82" i="65"/>
  <c r="AW82" i="65"/>
  <c r="AV82" i="65"/>
  <c r="AU82" i="65"/>
  <c r="AT82" i="65"/>
  <c r="BB81" i="65"/>
  <c r="BA81" i="65"/>
  <c r="AZ81" i="65"/>
  <c r="AY81" i="65"/>
  <c r="AX81" i="65"/>
  <c r="AW81" i="65"/>
  <c r="AV81" i="65"/>
  <c r="AU81" i="65"/>
  <c r="AT81" i="65"/>
  <c r="BB80" i="65"/>
  <c r="BA80" i="65"/>
  <c r="AZ80" i="65"/>
  <c r="AY80" i="65"/>
  <c r="AX80" i="65"/>
  <c r="AW80" i="65"/>
  <c r="AV80" i="65"/>
  <c r="AU80" i="65"/>
  <c r="AT80" i="65"/>
  <c r="BB79" i="65"/>
  <c r="BA79" i="65"/>
  <c r="AZ79" i="65"/>
  <c r="AY79" i="65"/>
  <c r="AX79" i="65"/>
  <c r="AW79" i="65"/>
  <c r="AV79" i="65"/>
  <c r="AU79" i="65"/>
  <c r="AT79" i="65"/>
  <c r="BB78" i="65"/>
  <c r="BA78" i="65"/>
  <c r="AZ78" i="65"/>
  <c r="AY78" i="65"/>
  <c r="AX78" i="65"/>
  <c r="AW78" i="65"/>
  <c r="AV78" i="65"/>
  <c r="AU78" i="65"/>
  <c r="AT78" i="65"/>
  <c r="BB77" i="65"/>
  <c r="BA77" i="65"/>
  <c r="AZ77" i="65"/>
  <c r="AY77" i="65"/>
  <c r="AX77" i="65"/>
  <c r="AW77" i="65"/>
  <c r="AV77" i="65"/>
  <c r="AU77" i="65"/>
  <c r="AT77" i="65"/>
  <c r="BB76" i="65"/>
  <c r="BA76" i="65"/>
  <c r="AZ76" i="65"/>
  <c r="AY76" i="65"/>
  <c r="AX76" i="65"/>
  <c r="AW76" i="65"/>
  <c r="AV76" i="65"/>
  <c r="AU76" i="65"/>
  <c r="BB69" i="65"/>
  <c r="BA69" i="65"/>
  <c r="AZ69" i="65"/>
  <c r="AY69" i="65"/>
  <c r="AX69" i="65"/>
  <c r="AW69" i="65"/>
  <c r="AV69" i="65"/>
  <c r="AU69" i="65"/>
  <c r="AT69" i="65"/>
  <c r="BB68" i="65"/>
  <c r="BA68" i="65"/>
  <c r="AZ68" i="65"/>
  <c r="AY68" i="65"/>
  <c r="AX68" i="65"/>
  <c r="AW68" i="65"/>
  <c r="AV68" i="65"/>
  <c r="AU68" i="65"/>
  <c r="AT68" i="65"/>
  <c r="BB67" i="65"/>
  <c r="BA67" i="65"/>
  <c r="AZ67" i="65"/>
  <c r="AY67" i="65"/>
  <c r="AX67" i="65"/>
  <c r="AW67" i="65"/>
  <c r="AV67" i="65"/>
  <c r="AU67" i="65"/>
  <c r="AT67" i="65"/>
  <c r="BB66" i="65"/>
  <c r="BA66" i="65"/>
  <c r="AZ66" i="65"/>
  <c r="AY66" i="65"/>
  <c r="AX66" i="65"/>
  <c r="AW66" i="65"/>
  <c r="AV66" i="65"/>
  <c r="AU66" i="65"/>
  <c r="AT66" i="65"/>
  <c r="BB65" i="65"/>
  <c r="BA65" i="65"/>
  <c r="AZ65" i="65"/>
  <c r="AY65" i="65"/>
  <c r="AX65" i="65"/>
  <c r="AW65" i="65"/>
  <c r="AV65" i="65"/>
  <c r="AU65" i="65"/>
  <c r="AT65" i="65"/>
  <c r="BB64" i="65"/>
  <c r="BA64" i="65"/>
  <c r="AZ64" i="65"/>
  <c r="AY64" i="65"/>
  <c r="AX64" i="65"/>
  <c r="AW64" i="65"/>
  <c r="AV64" i="65"/>
  <c r="AU64" i="65"/>
  <c r="AT64" i="65"/>
  <c r="BB63" i="65"/>
  <c r="BA63" i="65"/>
  <c r="AZ63" i="65"/>
  <c r="AY63" i="65"/>
  <c r="AX63" i="65"/>
  <c r="AW63" i="65"/>
  <c r="AV63" i="65"/>
  <c r="AU63" i="65"/>
  <c r="BB56" i="65"/>
  <c r="BA56" i="65"/>
  <c r="AZ56" i="65"/>
  <c r="AY56" i="65"/>
  <c r="AX56" i="65"/>
  <c r="AW56" i="65"/>
  <c r="AV56" i="65"/>
  <c r="AU56" i="65"/>
  <c r="AT56" i="65"/>
  <c r="BB55" i="65"/>
  <c r="BA55" i="65"/>
  <c r="AZ55" i="65"/>
  <c r="AY55" i="65"/>
  <c r="AX55" i="65"/>
  <c r="AW55" i="65"/>
  <c r="AV55" i="65"/>
  <c r="AU55" i="65"/>
  <c r="AT55" i="65"/>
  <c r="BB54" i="65"/>
  <c r="BA54" i="65"/>
  <c r="AZ54" i="65"/>
  <c r="AY54" i="65"/>
  <c r="AX54" i="65"/>
  <c r="AW54" i="65"/>
  <c r="AV54" i="65"/>
  <c r="AU54" i="65"/>
  <c r="AT54" i="65"/>
  <c r="BB53" i="65"/>
  <c r="BA53" i="65"/>
  <c r="AZ53" i="65"/>
  <c r="AY53" i="65"/>
  <c r="AX53" i="65"/>
  <c r="AW53" i="65"/>
  <c r="AV53" i="65"/>
  <c r="AU53" i="65"/>
  <c r="AT53" i="65"/>
  <c r="BB52" i="65"/>
  <c r="BA52" i="65"/>
  <c r="AZ52" i="65"/>
  <c r="AY52" i="65"/>
  <c r="AX52" i="65"/>
  <c r="AW52" i="65"/>
  <c r="AV52" i="65"/>
  <c r="AU52" i="65"/>
  <c r="AT52" i="65"/>
  <c r="BB51" i="65"/>
  <c r="BA51" i="65"/>
  <c r="AZ51" i="65"/>
  <c r="AY51" i="65"/>
  <c r="AX51" i="65"/>
  <c r="AW51" i="65"/>
  <c r="AV51" i="65"/>
  <c r="AU51" i="65"/>
  <c r="AT51" i="65"/>
  <c r="BB50" i="65"/>
  <c r="BA50" i="65"/>
  <c r="AZ50" i="65"/>
  <c r="AY50" i="65"/>
  <c r="AX50" i="65"/>
  <c r="AW50" i="65"/>
  <c r="AV50" i="65"/>
  <c r="AU50" i="65"/>
  <c r="BB42" i="65"/>
  <c r="BA42" i="65"/>
  <c r="AZ42" i="65"/>
  <c r="AY42" i="65"/>
  <c r="AX42" i="65"/>
  <c r="AW42" i="65"/>
  <c r="AV42" i="65"/>
  <c r="AU42" i="65"/>
  <c r="AT42" i="65"/>
  <c r="BB41" i="65"/>
  <c r="BA41" i="65"/>
  <c r="AZ41" i="65"/>
  <c r="AY41" i="65"/>
  <c r="AX41" i="65"/>
  <c r="AW41" i="65"/>
  <c r="AV41" i="65"/>
  <c r="AU41" i="65"/>
  <c r="AT41" i="65"/>
  <c r="BB40" i="65"/>
  <c r="BA40" i="65"/>
  <c r="AZ40" i="65"/>
  <c r="AY40" i="65"/>
  <c r="AX40" i="65"/>
  <c r="AW40" i="65"/>
  <c r="AV40" i="65"/>
  <c r="AU40" i="65"/>
  <c r="AT40" i="65"/>
  <c r="BB39" i="65"/>
  <c r="BA39" i="65"/>
  <c r="AZ39" i="65"/>
  <c r="AY39" i="65"/>
  <c r="AX39" i="65"/>
  <c r="AW39" i="65"/>
  <c r="AV39" i="65"/>
  <c r="AU39" i="65"/>
  <c r="AT39" i="65"/>
  <c r="BB38" i="65"/>
  <c r="BA38" i="65"/>
  <c r="AZ38" i="65"/>
  <c r="AY38" i="65"/>
  <c r="AX38" i="65"/>
  <c r="AW38" i="65"/>
  <c r="AV38" i="65"/>
  <c r="AU38" i="65"/>
  <c r="AT38" i="65"/>
  <c r="BB37" i="65"/>
  <c r="BA37" i="65"/>
  <c r="AZ37" i="65"/>
  <c r="AY37" i="65"/>
  <c r="AX37" i="65"/>
  <c r="AW37" i="65"/>
  <c r="AV37" i="65"/>
  <c r="AU37" i="65"/>
  <c r="AT37" i="65"/>
  <c r="BB36" i="65"/>
  <c r="BA36" i="65"/>
  <c r="AZ36" i="65"/>
  <c r="AY36" i="65"/>
  <c r="AX36" i="65"/>
  <c r="AW36" i="65"/>
  <c r="AV36" i="65"/>
  <c r="AU36" i="65"/>
  <c r="BB29" i="65"/>
  <c r="BA29" i="65"/>
  <c r="AZ29" i="65"/>
  <c r="AY29" i="65"/>
  <c r="AX29" i="65"/>
  <c r="AW29" i="65"/>
  <c r="AV29" i="65"/>
  <c r="AU29" i="65"/>
  <c r="AT29" i="65"/>
  <c r="BB28" i="65"/>
  <c r="BA28" i="65"/>
  <c r="AZ28" i="65"/>
  <c r="AY28" i="65"/>
  <c r="AX28" i="65"/>
  <c r="AW28" i="65"/>
  <c r="AV28" i="65"/>
  <c r="AU28" i="65"/>
  <c r="AT28" i="65"/>
  <c r="BB27" i="65"/>
  <c r="BA27" i="65"/>
  <c r="AZ27" i="65"/>
  <c r="AY27" i="65"/>
  <c r="AX27" i="65"/>
  <c r="AW27" i="65"/>
  <c r="AV27" i="65"/>
  <c r="AU27" i="65"/>
  <c r="AT27" i="65"/>
  <c r="BB26" i="65"/>
  <c r="BA26" i="65"/>
  <c r="AZ26" i="65"/>
  <c r="AY26" i="65"/>
  <c r="AX26" i="65"/>
  <c r="AW26" i="65"/>
  <c r="AV26" i="65"/>
  <c r="AU26" i="65"/>
  <c r="AT26" i="65"/>
  <c r="BB25" i="65"/>
  <c r="BA25" i="65"/>
  <c r="AZ25" i="65"/>
  <c r="AY25" i="65"/>
  <c r="AX25" i="65"/>
  <c r="AW25" i="65"/>
  <c r="AV25" i="65"/>
  <c r="AU25" i="65"/>
  <c r="AT25" i="65"/>
  <c r="BB24" i="65"/>
  <c r="BA24" i="65"/>
  <c r="AZ24" i="65"/>
  <c r="AY24" i="65"/>
  <c r="AX24" i="65"/>
  <c r="AW24" i="65"/>
  <c r="AV24" i="65"/>
  <c r="AU24" i="65"/>
  <c r="AT24" i="65"/>
  <c r="BB23" i="65"/>
  <c r="BA23" i="65"/>
  <c r="AZ23" i="65"/>
  <c r="AY23" i="65"/>
  <c r="AX23" i="65"/>
  <c r="AW23" i="65"/>
  <c r="AV23" i="65"/>
  <c r="AU23" i="65"/>
  <c r="BB16" i="65"/>
  <c r="BA16" i="65"/>
  <c r="AZ16" i="65"/>
  <c r="AY16" i="65"/>
  <c r="AX16" i="65"/>
  <c r="AW16" i="65"/>
  <c r="AV16" i="65"/>
  <c r="AU16" i="65"/>
  <c r="AT16" i="65"/>
  <c r="BB15" i="65"/>
  <c r="BA15" i="65"/>
  <c r="AZ15" i="65"/>
  <c r="AY15" i="65"/>
  <c r="AX15" i="65"/>
  <c r="AW15" i="65"/>
  <c r="AV15" i="65"/>
  <c r="AU15" i="65"/>
  <c r="AT15" i="65"/>
  <c r="BB14" i="65"/>
  <c r="BA14" i="65"/>
  <c r="AZ14" i="65"/>
  <c r="AY14" i="65"/>
  <c r="AX14" i="65"/>
  <c r="AW14" i="65"/>
  <c r="AV14" i="65"/>
  <c r="AU14" i="65"/>
  <c r="AT14" i="65"/>
  <c r="BB13" i="65"/>
  <c r="BA13" i="65"/>
  <c r="AZ13" i="65"/>
  <c r="AY13" i="65"/>
  <c r="AX13" i="65"/>
  <c r="AW13" i="65"/>
  <c r="AV13" i="65"/>
  <c r="AU13" i="65"/>
  <c r="AT13" i="65"/>
  <c r="BB12" i="65"/>
  <c r="BA12" i="65"/>
  <c r="AZ12" i="65"/>
  <c r="AY12" i="65"/>
  <c r="AX12" i="65"/>
  <c r="AW12" i="65"/>
  <c r="AV12" i="65"/>
  <c r="AU12" i="65"/>
  <c r="AT12" i="65"/>
  <c r="BB11" i="65"/>
  <c r="BA11" i="65"/>
  <c r="AZ11" i="65"/>
  <c r="AY11" i="65"/>
  <c r="AX11" i="65"/>
  <c r="AW11" i="65"/>
  <c r="AV11" i="65"/>
  <c r="AU11" i="65"/>
  <c r="AT11" i="65"/>
  <c r="BB10" i="65"/>
  <c r="BA10" i="65"/>
  <c r="AZ10" i="65"/>
  <c r="AY10" i="65"/>
  <c r="AX10" i="65"/>
  <c r="AW10" i="65"/>
  <c r="AV10" i="65"/>
  <c r="AU10" i="65"/>
  <c r="AT76" i="65"/>
  <c r="AT63" i="65"/>
  <c r="AT50" i="65"/>
  <c r="AT36" i="65"/>
  <c r="AT23" i="65"/>
  <c r="AT10" i="65"/>
  <c r="G284" i="65"/>
  <c r="H235" i="65"/>
  <c r="G235" i="65" s="1"/>
  <c r="F235" i="65" s="1"/>
  <c r="E235" i="65" s="1"/>
  <c r="D235" i="65" s="1"/>
  <c r="H222" i="65"/>
  <c r="G222" i="65" s="1"/>
  <c r="F222" i="65" s="1"/>
  <c r="E222" i="65" s="1"/>
  <c r="D222" i="65" s="1"/>
  <c r="H209" i="65"/>
  <c r="AD209" i="65" s="1"/>
  <c r="H195" i="65"/>
  <c r="I195" i="65" s="1"/>
  <c r="J195" i="65" s="1"/>
  <c r="K195" i="65" s="1"/>
  <c r="L195" i="65" s="1"/>
  <c r="H182" i="65"/>
  <c r="G182" i="65" s="1"/>
  <c r="F182" i="65" s="1"/>
  <c r="E182" i="65" s="1"/>
  <c r="D182" i="65" s="1"/>
  <c r="H169" i="65"/>
  <c r="G169" i="65" s="1"/>
  <c r="AC169" i="65" s="1"/>
  <c r="G292" i="65"/>
  <c r="G293" i="65"/>
  <c r="G294" i="65"/>
  <c r="G295" i="65"/>
  <c r="AN89" i="65"/>
  <c r="AN90" i="65" s="1"/>
  <c r="G286" i="65"/>
  <c r="G255" i="65" s="1"/>
  <c r="G287" i="65"/>
  <c r="G288" i="65"/>
  <c r="G289" i="65"/>
  <c r="C159" i="65"/>
  <c r="C160" i="65" s="1"/>
  <c r="C161" i="65" s="1"/>
  <c r="C162" i="65" s="1"/>
  <c r="C146" i="65"/>
  <c r="C145" i="65" s="1"/>
  <c r="C144" i="65" s="1"/>
  <c r="C143" i="65" s="1"/>
  <c r="C133" i="65"/>
  <c r="C132" i="65" s="1"/>
  <c r="C131" i="65" s="1"/>
  <c r="C130" i="65" s="1"/>
  <c r="C119" i="65"/>
  <c r="C120" i="65" s="1"/>
  <c r="C121" i="65" s="1"/>
  <c r="C122" i="65" s="1"/>
  <c r="C106" i="65"/>
  <c r="C105" i="65" s="1"/>
  <c r="C104" i="65" s="1"/>
  <c r="C103" i="65" s="1"/>
  <c r="C93" i="65"/>
  <c r="N93" i="65" s="1"/>
  <c r="G280" i="65"/>
  <c r="G256" i="65" s="1"/>
  <c r="G250" i="65"/>
  <c r="C79" i="65"/>
  <c r="C80" i="65" s="1"/>
  <c r="C81" i="65" s="1"/>
  <c r="C82" i="65" s="1"/>
  <c r="H75" i="65"/>
  <c r="I75" i="65" s="1"/>
  <c r="J75" i="65" s="1"/>
  <c r="K75" i="65" s="1"/>
  <c r="L75" i="65" s="1"/>
  <c r="C66" i="65"/>
  <c r="C67" i="65" s="1"/>
  <c r="C68" i="65" s="1"/>
  <c r="C69" i="65" s="1"/>
  <c r="H62" i="65"/>
  <c r="G62" i="65" s="1"/>
  <c r="F62" i="65" s="1"/>
  <c r="E62" i="65" s="1"/>
  <c r="D62" i="65" s="1"/>
  <c r="C53" i="65"/>
  <c r="C54" i="65" s="1"/>
  <c r="C55" i="65" s="1"/>
  <c r="C56" i="65" s="1"/>
  <c r="H49" i="65"/>
  <c r="I49" i="65" s="1"/>
  <c r="J49" i="65" s="1"/>
  <c r="K49" i="65" s="1"/>
  <c r="L49" i="65" s="1"/>
  <c r="T9" i="65"/>
  <c r="U9" i="65" s="1"/>
  <c r="V9" i="65" s="1"/>
  <c r="W9" i="65" s="1"/>
  <c r="X9" i="65" s="1"/>
  <c r="G277" i="65"/>
  <c r="G278" i="65"/>
  <c r="C39" i="65"/>
  <c r="C38" i="65" s="1"/>
  <c r="C37" i="65" s="1"/>
  <c r="C36" i="65" s="1"/>
  <c r="H35" i="65"/>
  <c r="I35" i="65" s="1"/>
  <c r="J35" i="65" s="1"/>
  <c r="K35" i="65" s="1"/>
  <c r="L35" i="65" s="1"/>
  <c r="C26" i="65"/>
  <c r="C25" i="65" s="1"/>
  <c r="C24" i="65" s="1"/>
  <c r="C23" i="65" s="1"/>
  <c r="H22" i="65"/>
  <c r="I22" i="65" s="1"/>
  <c r="J22" i="65" s="1"/>
  <c r="K22" i="65" s="1"/>
  <c r="L22" i="65" s="1"/>
  <c r="C63" i="63"/>
  <c r="C64" i="63"/>
  <c r="C65" i="63"/>
  <c r="C66" i="63"/>
  <c r="C67" i="63"/>
  <c r="D66" i="63" s="1"/>
  <c r="D67" i="63"/>
  <c r="C68" i="63"/>
  <c r="D68" i="63" s="1"/>
  <c r="C69" i="63"/>
  <c r="D69" i="63" s="1"/>
  <c r="C63" i="61"/>
  <c r="C64" i="61"/>
  <c r="C62" i="61"/>
  <c r="C65" i="61"/>
  <c r="D64" i="61" s="1"/>
  <c r="D65" i="61"/>
  <c r="C66" i="61"/>
  <c r="D66" i="61"/>
  <c r="C67" i="61"/>
  <c r="D67" i="61"/>
  <c r="C13" i="65"/>
  <c r="C14" i="65" s="1"/>
  <c r="H9" i="65"/>
  <c r="I9" i="65" s="1"/>
  <c r="J9" i="65" s="1"/>
  <c r="K9" i="65" s="1"/>
  <c r="L9" i="65" s="1"/>
  <c r="AH9" i="65" s="1"/>
  <c r="G263" i="65"/>
  <c r="G265" i="65"/>
  <c r="G267" i="65"/>
  <c r="G268" i="65"/>
  <c r="G269" i="65"/>
  <c r="N18" i="65" s="1"/>
  <c r="B2" i="65"/>
  <c r="L40" i="64"/>
  <c r="D57" i="64"/>
  <c r="D72" i="64"/>
  <c r="E111" i="64"/>
  <c r="D15" i="64"/>
  <c r="E15" i="64" s="1"/>
  <c r="D14" i="64"/>
  <c r="E14" i="64" s="1"/>
  <c r="D13" i="64"/>
  <c r="E13" i="64" s="1"/>
  <c r="D8" i="64"/>
  <c r="E8" i="64" s="1"/>
  <c r="D7" i="64"/>
  <c r="E7" i="64" s="1"/>
  <c r="C24" i="64"/>
  <c r="C40" i="64" s="1"/>
  <c r="C12" i="60"/>
  <c r="C62" i="60" s="1"/>
  <c r="C31" i="63"/>
  <c r="D136" i="63" s="1"/>
  <c r="C23" i="63"/>
  <c r="C22" i="63"/>
  <c r="C191" i="63"/>
  <c r="C8" i="63"/>
  <c r="D141" i="63" s="1"/>
  <c r="C9" i="63"/>
  <c r="D71" i="63" s="1"/>
  <c r="D76" i="63" s="1"/>
  <c r="D9" i="64"/>
  <c r="C176" i="61" s="1"/>
  <c r="C179" i="61" s="1"/>
  <c r="E103" i="64"/>
  <c r="D22" i="64"/>
  <c r="D25" i="64" s="1"/>
  <c r="C22" i="64"/>
  <c r="C38" i="64" s="1"/>
  <c r="D20" i="64"/>
  <c r="D19" i="64"/>
  <c r="C18" i="64"/>
  <c r="C69" i="64" s="1"/>
  <c r="B2" i="64"/>
  <c r="D139" i="63"/>
  <c r="C6" i="60"/>
  <c r="B199" i="61"/>
  <c r="C200" i="61"/>
  <c r="B200" i="61" s="1"/>
  <c r="C54" i="61"/>
  <c r="C57" i="61" s="1"/>
  <c r="D24" i="64" s="1"/>
  <c r="C55" i="61"/>
  <c r="C55" i="63"/>
  <c r="C58" i="63" s="1"/>
  <c r="C56" i="63"/>
  <c r="B227" i="63"/>
  <c r="C228" i="63"/>
  <c r="B228" i="63" s="1"/>
  <c r="B191" i="61"/>
  <c r="C192" i="61"/>
  <c r="B192" i="61" s="1"/>
  <c r="B219" i="63"/>
  <c r="C220" i="63"/>
  <c r="B220" i="63" s="1"/>
  <c r="C207" i="63"/>
  <c r="C210" i="63" s="1"/>
  <c r="C186" i="63"/>
  <c r="C187" i="63" s="1"/>
  <c r="C107" i="63" s="1"/>
  <c r="C166" i="63"/>
  <c r="C76" i="63"/>
  <c r="C94" i="63"/>
  <c r="C71" i="63"/>
  <c r="C202" i="63"/>
  <c r="C201" i="63"/>
  <c r="C200" i="63"/>
  <c r="C189" i="63"/>
  <c r="C90" i="63" s="1"/>
  <c r="C185" i="63"/>
  <c r="C77" i="63" s="1"/>
  <c r="C184" i="63"/>
  <c r="C73" i="63"/>
  <c r="D73" i="63" s="1"/>
  <c r="B38" i="63"/>
  <c r="B34" i="63"/>
  <c r="C26" i="63"/>
  <c r="C24" i="63"/>
  <c r="C34" i="63" s="1"/>
  <c r="C11" i="63"/>
  <c r="C15" i="63" s="1"/>
  <c r="B2" i="63"/>
  <c r="C157" i="61"/>
  <c r="D135" i="61"/>
  <c r="C124" i="61"/>
  <c r="C25" i="61"/>
  <c r="C184" i="61"/>
  <c r="C185" i="61"/>
  <c r="C186" i="61"/>
  <c r="C172" i="61"/>
  <c r="C10" i="61"/>
  <c r="AD8" i="52"/>
  <c r="C23" i="61"/>
  <c r="B37" i="61"/>
  <c r="B33" i="61"/>
  <c r="D49" i="60"/>
  <c r="C83" i="61"/>
  <c r="C74" i="61"/>
  <c r="C69" i="61"/>
  <c r="C71" i="61"/>
  <c r="B2" i="61"/>
  <c r="E49" i="60"/>
  <c r="C17" i="60"/>
  <c r="E52" i="60" s="1"/>
  <c r="C14" i="60"/>
  <c r="C21" i="60" s="1"/>
  <c r="C13" i="60"/>
  <c r="C67" i="60"/>
  <c r="C66" i="60"/>
  <c r="C65" i="60"/>
  <c r="C64" i="60"/>
  <c r="C63" i="60"/>
  <c r="C61" i="60"/>
  <c r="C58" i="60"/>
  <c r="E32" i="60"/>
  <c r="E42" i="60" s="1"/>
  <c r="D32" i="60"/>
  <c r="D42" i="60" s="1"/>
  <c r="B45" i="60"/>
  <c r="B44" i="60"/>
  <c r="B43" i="60"/>
  <c r="B40" i="60"/>
  <c r="B39" i="60"/>
  <c r="B38" i="60"/>
  <c r="E27" i="60"/>
  <c r="D27" i="60"/>
  <c r="B2" i="60"/>
  <c r="P122" i="59"/>
  <c r="Q122" i="59" s="1"/>
  <c r="R122" i="59" s="1"/>
  <c r="S122" i="59" s="1"/>
  <c r="T122" i="59" s="1"/>
  <c r="U122" i="59" s="1"/>
  <c r="V122" i="59" s="1"/>
  <c r="W122" i="59" s="1"/>
  <c r="X122" i="59" s="1"/>
  <c r="Y122" i="59" s="1"/>
  <c r="Z122" i="59" s="1"/>
  <c r="AA122" i="59" s="1"/>
  <c r="AB122" i="59" s="1"/>
  <c r="I122" i="59"/>
  <c r="J122" i="59" s="1"/>
  <c r="K122" i="59" s="1"/>
  <c r="L122" i="59" s="1"/>
  <c r="M122" i="59" s="1"/>
  <c r="N122" i="59" s="1"/>
  <c r="P107" i="59"/>
  <c r="Q107" i="59" s="1"/>
  <c r="R107" i="59" s="1"/>
  <c r="S107" i="59" s="1"/>
  <c r="T107" i="59" s="1"/>
  <c r="U107" i="59" s="1"/>
  <c r="V107" i="59" s="1"/>
  <c r="W107" i="59" s="1"/>
  <c r="X107" i="59" s="1"/>
  <c r="Y107" i="59" s="1"/>
  <c r="Z107" i="59" s="1"/>
  <c r="AA107" i="59" s="1"/>
  <c r="AB107" i="59" s="1"/>
  <c r="J107" i="59"/>
  <c r="K107" i="59" s="1"/>
  <c r="L107" i="59" s="1"/>
  <c r="M107" i="59" s="1"/>
  <c r="N107" i="59" s="1"/>
  <c r="I107" i="59"/>
  <c r="P92" i="59"/>
  <c r="Q92" i="59" s="1"/>
  <c r="R92" i="59" s="1"/>
  <c r="S92" i="59" s="1"/>
  <c r="T92" i="59" s="1"/>
  <c r="U92" i="59" s="1"/>
  <c r="V92" i="59" s="1"/>
  <c r="W92" i="59" s="1"/>
  <c r="X92" i="59" s="1"/>
  <c r="Y92" i="59" s="1"/>
  <c r="Z92" i="59" s="1"/>
  <c r="AA92" i="59" s="1"/>
  <c r="AB92" i="59" s="1"/>
  <c r="I92" i="59"/>
  <c r="J92" i="59" s="1"/>
  <c r="K92" i="59" s="1"/>
  <c r="L92" i="59" s="1"/>
  <c r="M92" i="59" s="1"/>
  <c r="N92" i="59" s="1"/>
  <c r="P77" i="59"/>
  <c r="Q77" i="59" s="1"/>
  <c r="R77" i="59" s="1"/>
  <c r="S77" i="59" s="1"/>
  <c r="T77" i="59" s="1"/>
  <c r="U77" i="59" s="1"/>
  <c r="V77" i="59" s="1"/>
  <c r="W77" i="59" s="1"/>
  <c r="X77" i="59" s="1"/>
  <c r="Y77" i="59" s="1"/>
  <c r="Z77" i="59" s="1"/>
  <c r="AA77" i="59" s="1"/>
  <c r="AB77" i="59" s="1"/>
  <c r="I77" i="59"/>
  <c r="J77" i="59" s="1"/>
  <c r="K77" i="59" s="1"/>
  <c r="L77" i="59" s="1"/>
  <c r="M77" i="59" s="1"/>
  <c r="N77" i="59" s="1"/>
  <c r="P62" i="59"/>
  <c r="Q62" i="59" s="1"/>
  <c r="R62" i="59" s="1"/>
  <c r="S62" i="59" s="1"/>
  <c r="T62" i="59" s="1"/>
  <c r="U62" i="59" s="1"/>
  <c r="V62" i="59" s="1"/>
  <c r="W62" i="59" s="1"/>
  <c r="X62" i="59" s="1"/>
  <c r="Y62" i="59" s="1"/>
  <c r="Z62" i="59" s="1"/>
  <c r="AA62" i="59" s="1"/>
  <c r="AB62" i="59" s="1"/>
  <c r="I62" i="59"/>
  <c r="J62" i="59" s="1"/>
  <c r="K62" i="59" s="1"/>
  <c r="L62" i="59" s="1"/>
  <c r="M62" i="59" s="1"/>
  <c r="N62" i="59" s="1"/>
  <c r="P47" i="59"/>
  <c r="Q47" i="59" s="1"/>
  <c r="R47" i="59" s="1"/>
  <c r="S47" i="59" s="1"/>
  <c r="T47" i="59" s="1"/>
  <c r="U47" i="59" s="1"/>
  <c r="V47" i="59" s="1"/>
  <c r="W47" i="59" s="1"/>
  <c r="X47" i="59" s="1"/>
  <c r="Y47" i="59" s="1"/>
  <c r="Z47" i="59" s="1"/>
  <c r="AA47" i="59" s="1"/>
  <c r="AB47" i="59" s="1"/>
  <c r="J47" i="59"/>
  <c r="K47" i="59" s="1"/>
  <c r="L47" i="59" s="1"/>
  <c r="M47" i="59" s="1"/>
  <c r="N47" i="59" s="1"/>
  <c r="I47" i="59"/>
  <c r="P32" i="59"/>
  <c r="Q32" i="59" s="1"/>
  <c r="R32" i="59" s="1"/>
  <c r="S32" i="59" s="1"/>
  <c r="T32" i="59" s="1"/>
  <c r="U32" i="59" s="1"/>
  <c r="V32" i="59" s="1"/>
  <c r="W32" i="59" s="1"/>
  <c r="X32" i="59" s="1"/>
  <c r="Y32" i="59" s="1"/>
  <c r="Z32" i="59" s="1"/>
  <c r="AA32" i="59" s="1"/>
  <c r="AB32" i="59" s="1"/>
  <c r="J32" i="59"/>
  <c r="K32" i="59" s="1"/>
  <c r="L32" i="59" s="1"/>
  <c r="M32" i="59" s="1"/>
  <c r="N32" i="59" s="1"/>
  <c r="I32" i="59"/>
  <c r="P17" i="59"/>
  <c r="Q17" i="59" s="1"/>
  <c r="R17" i="59" s="1"/>
  <c r="S17" i="59" s="1"/>
  <c r="T17" i="59" s="1"/>
  <c r="U17" i="59" s="1"/>
  <c r="V17" i="59" s="1"/>
  <c r="W17" i="59" s="1"/>
  <c r="X17" i="59" s="1"/>
  <c r="Y17" i="59" s="1"/>
  <c r="Z17" i="59" s="1"/>
  <c r="AA17" i="59" s="1"/>
  <c r="AB17" i="59" s="1"/>
  <c r="I17" i="59"/>
  <c r="J17" i="59" s="1"/>
  <c r="K17" i="59" s="1"/>
  <c r="L17" i="59" s="1"/>
  <c r="M17" i="59" s="1"/>
  <c r="N17" i="59" s="1"/>
  <c r="AB10" i="59"/>
  <c r="P5" i="59"/>
  <c r="J5" i="59"/>
  <c r="J1" i="59" s="1"/>
  <c r="I5" i="59"/>
  <c r="B2" i="59"/>
  <c r="O1" i="59"/>
  <c r="I1" i="59"/>
  <c r="H1" i="59"/>
  <c r="O30" i="31"/>
  <c r="B20" i="56"/>
  <c r="B19" i="56"/>
  <c r="B18" i="56"/>
  <c r="B17" i="56"/>
  <c r="B16" i="56"/>
  <c r="C9" i="56"/>
  <c r="I15" i="56" s="1"/>
  <c r="I24" i="56" s="1"/>
  <c r="B2" i="56"/>
  <c r="C53" i="55"/>
  <c r="C41" i="55"/>
  <c r="C40" i="55"/>
  <c r="I36" i="55"/>
  <c r="H36" i="55"/>
  <c r="G36" i="55"/>
  <c r="E36" i="55"/>
  <c r="D36" i="55"/>
  <c r="C36" i="55"/>
  <c r="I35" i="55"/>
  <c r="H35" i="55"/>
  <c r="G35" i="55"/>
  <c r="E35" i="55"/>
  <c r="D35" i="55"/>
  <c r="C35" i="55"/>
  <c r="I34" i="55"/>
  <c r="H34" i="55"/>
  <c r="G34" i="55"/>
  <c r="E34" i="55"/>
  <c r="D34" i="55"/>
  <c r="L34" i="55" s="1"/>
  <c r="C34" i="55"/>
  <c r="K34" i="55" s="1"/>
  <c r="I33" i="55"/>
  <c r="H33" i="55"/>
  <c r="G33" i="55"/>
  <c r="E33" i="55"/>
  <c r="D33" i="55"/>
  <c r="L33" i="55" s="1"/>
  <c r="C33" i="55"/>
  <c r="K33" i="55" s="1"/>
  <c r="I32" i="55"/>
  <c r="H32" i="55"/>
  <c r="G32" i="55"/>
  <c r="E32" i="55"/>
  <c r="D32" i="55"/>
  <c r="C32" i="55"/>
  <c r="I29" i="55"/>
  <c r="H29" i="55"/>
  <c r="G29" i="55"/>
  <c r="E29" i="55"/>
  <c r="D29" i="55"/>
  <c r="L29" i="55" s="1"/>
  <c r="C29" i="55"/>
  <c r="I28" i="55"/>
  <c r="H28" i="55"/>
  <c r="G28" i="55"/>
  <c r="E28" i="55"/>
  <c r="D28" i="55"/>
  <c r="C28" i="55"/>
  <c r="K28" i="55" s="1"/>
  <c r="I27" i="55"/>
  <c r="H27" i="55"/>
  <c r="G27" i="55"/>
  <c r="E27" i="55"/>
  <c r="D27" i="55"/>
  <c r="L27" i="55" s="1"/>
  <c r="C27" i="55"/>
  <c r="K27" i="55" s="1"/>
  <c r="I26" i="55"/>
  <c r="H26" i="55"/>
  <c r="G26" i="55"/>
  <c r="E26" i="55"/>
  <c r="D26" i="55"/>
  <c r="C26" i="55"/>
  <c r="I25" i="55"/>
  <c r="H25" i="55"/>
  <c r="G25" i="55"/>
  <c r="E25" i="55"/>
  <c r="D25" i="55"/>
  <c r="C25" i="55"/>
  <c r="K25" i="55" s="1"/>
  <c r="I24" i="55"/>
  <c r="H24" i="55"/>
  <c r="G24" i="55"/>
  <c r="E24" i="55"/>
  <c r="D24" i="55"/>
  <c r="L24" i="55" s="1"/>
  <c r="C24" i="55"/>
  <c r="K24" i="55" s="1"/>
  <c r="I23" i="55"/>
  <c r="H23" i="55"/>
  <c r="G23" i="55"/>
  <c r="E23" i="55"/>
  <c r="D23" i="55"/>
  <c r="L23" i="55" s="1"/>
  <c r="C23" i="55"/>
  <c r="K23" i="55" s="1"/>
  <c r="I22" i="55"/>
  <c r="H22" i="55"/>
  <c r="G22" i="55"/>
  <c r="E22" i="55"/>
  <c r="D22" i="55"/>
  <c r="C22" i="55"/>
  <c r="I21" i="55"/>
  <c r="H21" i="55"/>
  <c r="G21" i="55"/>
  <c r="E21" i="55"/>
  <c r="D21" i="55"/>
  <c r="L21" i="55" s="1"/>
  <c r="C21" i="55"/>
  <c r="I17" i="55"/>
  <c r="H17" i="55"/>
  <c r="G17" i="55"/>
  <c r="E17" i="55"/>
  <c r="D17" i="55"/>
  <c r="C17" i="55"/>
  <c r="K17" i="55" s="1"/>
  <c r="I9" i="55"/>
  <c r="H9" i="55"/>
  <c r="G9" i="55"/>
  <c r="E9" i="55"/>
  <c r="D9" i="55"/>
  <c r="L9" i="55" s="1"/>
  <c r="C9" i="55"/>
  <c r="K9" i="55" s="1"/>
  <c r="I18" i="55"/>
  <c r="H18" i="55"/>
  <c r="G18" i="55"/>
  <c r="E18" i="55"/>
  <c r="D18" i="55"/>
  <c r="C18" i="55"/>
  <c r="I16" i="55"/>
  <c r="H16" i="55"/>
  <c r="G16" i="55"/>
  <c r="E16" i="55"/>
  <c r="D16" i="55"/>
  <c r="C16" i="55"/>
  <c r="K16" i="55" s="1"/>
  <c r="I15" i="55"/>
  <c r="H15" i="55"/>
  <c r="G15" i="55"/>
  <c r="E15" i="55"/>
  <c r="D15" i="55"/>
  <c r="L15" i="55" s="1"/>
  <c r="C15" i="55"/>
  <c r="K15" i="55" s="1"/>
  <c r="I14" i="55"/>
  <c r="H14" i="55"/>
  <c r="G14" i="55"/>
  <c r="E14" i="55"/>
  <c r="D14" i="55"/>
  <c r="L14" i="55" s="1"/>
  <c r="C14" i="55"/>
  <c r="K14" i="55" s="1"/>
  <c r="I13" i="55"/>
  <c r="H13" i="55"/>
  <c r="G13" i="55"/>
  <c r="E13" i="55"/>
  <c r="D13" i="55"/>
  <c r="C13" i="55"/>
  <c r="I10" i="55"/>
  <c r="H10" i="55"/>
  <c r="G10" i="55"/>
  <c r="E10" i="55"/>
  <c r="C45" i="55" s="1"/>
  <c r="D10" i="55"/>
  <c r="L10" i="55" s="1"/>
  <c r="C10" i="55"/>
  <c r="C51" i="55" s="1"/>
  <c r="I8" i="55"/>
  <c r="H8" i="55"/>
  <c r="G8" i="55"/>
  <c r="E8" i="55"/>
  <c r="D8" i="55"/>
  <c r="C8" i="55"/>
  <c r="K8" i="55" s="1"/>
  <c r="I7" i="55"/>
  <c r="H7" i="55"/>
  <c r="G7" i="55"/>
  <c r="E7" i="55"/>
  <c r="D7" i="55"/>
  <c r="L7" i="55" s="1"/>
  <c r="C7" i="55"/>
  <c r="K7" i="55" s="1"/>
  <c r="B2" i="55"/>
  <c r="J17" i="8"/>
  <c r="I17" i="8"/>
  <c r="G17" i="8"/>
  <c r="F17" i="8"/>
  <c r="D17" i="8"/>
  <c r="C17" i="8"/>
  <c r="I68" i="8"/>
  <c r="G68" i="8"/>
  <c r="F68" i="8"/>
  <c r="D68" i="8"/>
  <c r="C68" i="8"/>
  <c r="I66" i="8"/>
  <c r="G66" i="8"/>
  <c r="F66" i="8"/>
  <c r="D66" i="8"/>
  <c r="C66" i="8"/>
  <c r="J65" i="8"/>
  <c r="I65" i="8"/>
  <c r="G65" i="8"/>
  <c r="F65" i="8"/>
  <c r="D65" i="8"/>
  <c r="C65" i="8"/>
  <c r="I58" i="8"/>
  <c r="G58" i="8"/>
  <c r="F58" i="8"/>
  <c r="D58" i="8"/>
  <c r="C58" i="8"/>
  <c r="I53" i="8"/>
  <c r="G53" i="8"/>
  <c r="F53" i="8"/>
  <c r="D53" i="8"/>
  <c r="C53" i="8"/>
  <c r="O5" i="52"/>
  <c r="H5" i="52"/>
  <c r="F5" i="52"/>
  <c r="D5" i="52"/>
  <c r="C5" i="52"/>
  <c r="B2" i="52"/>
  <c r="B2" i="51"/>
  <c r="C171" i="65" l="1"/>
  <c r="C170" i="65" s="1"/>
  <c r="AJ172" i="65"/>
  <c r="I155" i="65"/>
  <c r="J155" i="65" s="1"/>
  <c r="K155" i="65" s="1"/>
  <c r="L155" i="65" s="1"/>
  <c r="I142" i="65"/>
  <c r="J142" i="65" s="1"/>
  <c r="K142" i="65" s="1"/>
  <c r="L142" i="65" s="1"/>
  <c r="I89" i="65"/>
  <c r="J89" i="65" s="1"/>
  <c r="K89" i="65" s="1"/>
  <c r="L89" i="65" s="1"/>
  <c r="G276" i="65"/>
  <c r="I235" i="65"/>
  <c r="J235" i="65" s="1"/>
  <c r="K235" i="65" s="1"/>
  <c r="L235" i="65" s="1"/>
  <c r="I169" i="65"/>
  <c r="J169" i="65" s="1"/>
  <c r="G209" i="65"/>
  <c r="AC209" i="65" s="1"/>
  <c r="I222" i="65"/>
  <c r="J222" i="65" s="1"/>
  <c r="K222" i="65" s="1"/>
  <c r="L222" i="65" s="1"/>
  <c r="G257" i="65"/>
  <c r="C92" i="65"/>
  <c r="N92" i="65" s="1"/>
  <c r="AD169" i="65"/>
  <c r="AN93" i="65"/>
  <c r="AN95" i="65" s="1"/>
  <c r="G195" i="65"/>
  <c r="F195" i="65" s="1"/>
  <c r="E195" i="65" s="1"/>
  <c r="D195" i="65" s="1"/>
  <c r="AD49" i="65"/>
  <c r="AE49" i="65"/>
  <c r="I209" i="65"/>
  <c r="AE209" i="65" s="1"/>
  <c r="AF49" i="65"/>
  <c r="AH89" i="65"/>
  <c r="AJ174" i="65"/>
  <c r="AL174" i="65" s="1"/>
  <c r="AM174" i="65" s="1"/>
  <c r="AG49" i="65"/>
  <c r="AJ173" i="65"/>
  <c r="AL173" i="65" s="1"/>
  <c r="AM173" i="65" s="1"/>
  <c r="AC129" i="65"/>
  <c r="I182" i="65"/>
  <c r="J182" i="65" s="1"/>
  <c r="K182" i="65" s="1"/>
  <c r="L182" i="65" s="1"/>
  <c r="Z89" i="65"/>
  <c r="C94" i="65"/>
  <c r="C95" i="65" s="1"/>
  <c r="C96" i="65" s="1"/>
  <c r="N96" i="65" s="1"/>
  <c r="AA129" i="65"/>
  <c r="AB129" i="65"/>
  <c r="AH49" i="65"/>
  <c r="AE129" i="65"/>
  <c r="K169" i="65"/>
  <c r="AF169" i="65"/>
  <c r="AK172" i="65"/>
  <c r="AL172" i="65"/>
  <c r="AM172" i="65" s="1"/>
  <c r="F169" i="65"/>
  <c r="F209" i="65"/>
  <c r="AE169" i="65"/>
  <c r="C65" i="65"/>
  <c r="C64" i="65" s="1"/>
  <c r="C63" i="65" s="1"/>
  <c r="C147" i="65"/>
  <c r="C148" i="65" s="1"/>
  <c r="C149" i="65" s="1"/>
  <c r="C134" i="65"/>
  <c r="C135" i="65" s="1"/>
  <c r="C136" i="65" s="1"/>
  <c r="AD129" i="65"/>
  <c r="AD89" i="65"/>
  <c r="G252" i="65"/>
  <c r="C107" i="65"/>
  <c r="C108" i="65" s="1"/>
  <c r="C109" i="65" s="1"/>
  <c r="I62" i="65"/>
  <c r="J62" i="65" s="1"/>
  <c r="K62" i="65" s="1"/>
  <c r="L62" i="65" s="1"/>
  <c r="G75" i="65"/>
  <c r="F75" i="65" s="1"/>
  <c r="E75" i="65" s="1"/>
  <c r="D75" i="65" s="1"/>
  <c r="G281" i="65"/>
  <c r="G275" i="65"/>
  <c r="C118" i="65"/>
  <c r="C117" i="65" s="1"/>
  <c r="C116" i="65" s="1"/>
  <c r="G283" i="65"/>
  <c r="C158" i="65"/>
  <c r="C157" i="65" s="1"/>
  <c r="C156" i="65" s="1"/>
  <c r="AD9" i="65"/>
  <c r="AE9" i="65"/>
  <c r="C78" i="65"/>
  <c r="C77" i="65" s="1"/>
  <c r="C76" i="65" s="1"/>
  <c r="AF9" i="65"/>
  <c r="AG9" i="65"/>
  <c r="C52" i="65"/>
  <c r="C51" i="65" s="1"/>
  <c r="C50" i="65" s="1"/>
  <c r="G49" i="65"/>
  <c r="F49" i="65" s="1"/>
  <c r="E49" i="65" s="1"/>
  <c r="D49" i="65" s="1"/>
  <c r="G22" i="65"/>
  <c r="F22" i="65" s="1"/>
  <c r="E22" i="65" s="1"/>
  <c r="D22" i="65" s="1"/>
  <c r="G35" i="65"/>
  <c r="F35" i="65" s="1"/>
  <c r="E35" i="65" s="1"/>
  <c r="D35" i="65" s="1"/>
  <c r="C40" i="65"/>
  <c r="C41" i="65" s="1"/>
  <c r="C42" i="65" s="1"/>
  <c r="C27" i="65"/>
  <c r="C28" i="65" s="1"/>
  <c r="C29" i="65" s="1"/>
  <c r="N14" i="65"/>
  <c r="C15" i="65"/>
  <c r="C16" i="65" s="1"/>
  <c r="N16" i="65" s="1"/>
  <c r="C12" i="65"/>
  <c r="C11" i="65" s="1"/>
  <c r="N11" i="65" s="1"/>
  <c r="G9" i="65"/>
  <c r="N13" i="65"/>
  <c r="D65" i="63"/>
  <c r="D64" i="63"/>
  <c r="D63" i="61"/>
  <c r="D38" i="64"/>
  <c r="C20" i="64"/>
  <c r="C57" i="64" s="1"/>
  <c r="E57" i="64" s="1"/>
  <c r="C19" i="64"/>
  <c r="E19" i="64" s="1"/>
  <c r="C30" i="61"/>
  <c r="C127" i="63"/>
  <c r="C17" i="63"/>
  <c r="C18" i="63" s="1"/>
  <c r="E38" i="64"/>
  <c r="D40" i="64"/>
  <c r="B19" i="63"/>
  <c r="D156" i="63"/>
  <c r="D183" i="63"/>
  <c r="C7" i="61"/>
  <c r="D69" i="61" s="1"/>
  <c r="D74" i="61" s="1"/>
  <c r="B145" i="63"/>
  <c r="C21" i="61"/>
  <c r="C70" i="61" s="1"/>
  <c r="C22" i="61"/>
  <c r="C72" i="63"/>
  <c r="C27" i="63"/>
  <c r="C28" i="63" s="1"/>
  <c r="E22" i="64"/>
  <c r="C25" i="64"/>
  <c r="E25" i="64" s="1"/>
  <c r="E24" i="64"/>
  <c r="C20" i="60"/>
  <c r="C22" i="60" s="1"/>
  <c r="C8" i="61"/>
  <c r="D136" i="61" s="1"/>
  <c r="E9" i="64"/>
  <c r="D228" i="63"/>
  <c r="C103" i="63"/>
  <c r="D227" i="63"/>
  <c r="C201" i="61"/>
  <c r="C193" i="61"/>
  <c r="C229" i="63"/>
  <c r="C46" i="61"/>
  <c r="C92" i="61"/>
  <c r="C47" i="63"/>
  <c r="C221" i="63"/>
  <c r="D220" i="63"/>
  <c r="C211" i="63"/>
  <c r="D94" i="63"/>
  <c r="C169" i="63"/>
  <c r="D90" i="63"/>
  <c r="C97" i="64" s="1"/>
  <c r="C70" i="64" s="1"/>
  <c r="C78" i="63"/>
  <c r="C79" i="63" s="1"/>
  <c r="C87" i="63" s="1"/>
  <c r="B76" i="63"/>
  <c r="D78" i="63"/>
  <c r="C82" i="63"/>
  <c r="C12" i="63"/>
  <c r="C203" i="63"/>
  <c r="C113" i="63"/>
  <c r="D166" i="63"/>
  <c r="C36" i="63"/>
  <c r="C188" i="63"/>
  <c r="C21" i="64" s="1"/>
  <c r="C167" i="63"/>
  <c r="C194" i="63"/>
  <c r="C81" i="63" s="1"/>
  <c r="C38" i="63"/>
  <c r="C40" i="63" s="1"/>
  <c r="C41" i="63" s="1"/>
  <c r="C120" i="63"/>
  <c r="C129" i="61"/>
  <c r="C158" i="61"/>
  <c r="C187" i="61"/>
  <c r="C188" i="61" s="1"/>
  <c r="C11" i="61"/>
  <c r="C37" i="61"/>
  <c r="C39" i="61" s="1"/>
  <c r="C14" i="61"/>
  <c r="C33" i="61"/>
  <c r="C35" i="61" s="1"/>
  <c r="C79" i="61"/>
  <c r="D79" i="61"/>
  <c r="C173" i="61"/>
  <c r="D52" i="60"/>
  <c r="D71" i="61"/>
  <c r="D47" i="60"/>
  <c r="E47" i="60"/>
  <c r="D37" i="60"/>
  <c r="E37" i="60"/>
  <c r="C15" i="60"/>
  <c r="D45" i="55"/>
  <c r="C15" i="56"/>
  <c r="C24" i="56" s="1"/>
  <c r="K13" i="55"/>
  <c r="K22" i="55"/>
  <c r="K32" i="55"/>
  <c r="D15" i="56"/>
  <c r="D24" i="56" s="1"/>
  <c r="L13" i="55"/>
  <c r="L22" i="55"/>
  <c r="L32" i="55"/>
  <c r="E15" i="56"/>
  <c r="E24" i="56" s="1"/>
  <c r="K35" i="55"/>
  <c r="F15" i="56"/>
  <c r="F24" i="56" s="1"/>
  <c r="L16" i="55"/>
  <c r="L25" i="55"/>
  <c r="L35" i="55"/>
  <c r="G15" i="56"/>
  <c r="G24" i="56" s="1"/>
  <c r="H15" i="56"/>
  <c r="H24" i="56" s="1"/>
  <c r="L8" i="55"/>
  <c r="L17" i="55"/>
  <c r="L28" i="55"/>
  <c r="K18" i="55"/>
  <c r="M18" i="55" s="1"/>
  <c r="K26" i="55"/>
  <c r="K36" i="55"/>
  <c r="M36" i="55" s="1"/>
  <c r="L18" i="55"/>
  <c r="L26" i="55"/>
  <c r="L36" i="55"/>
  <c r="K10" i="55"/>
  <c r="M10" i="55" s="1"/>
  <c r="K21" i="55"/>
  <c r="M21" i="55" s="1"/>
  <c r="K29" i="55"/>
  <c r="M29" i="55" s="1"/>
  <c r="D10" i="59"/>
  <c r="K5" i="59"/>
  <c r="F10" i="59"/>
  <c r="Q5" i="59"/>
  <c r="P1" i="59"/>
  <c r="M24" i="55"/>
  <c r="M27" i="55"/>
  <c r="H61" i="12"/>
  <c r="G61" i="12"/>
  <c r="F61" i="12"/>
  <c r="E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G309" i="30"/>
  <c r="F309" i="30"/>
  <c r="D309" i="30"/>
  <c r="C309" i="30"/>
  <c r="H309" i="30" s="1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G307" i="30"/>
  <c r="F307" i="30"/>
  <c r="D307" i="30"/>
  <c r="C307" i="30"/>
  <c r="H307" i="30" s="1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G305" i="30"/>
  <c r="F305" i="30"/>
  <c r="D305" i="30"/>
  <c r="C305" i="30"/>
  <c r="H305" i="30" s="1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H304" i="30"/>
  <c r="G304" i="30"/>
  <c r="F304" i="30"/>
  <c r="D304" i="30"/>
  <c r="C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G303" i="30"/>
  <c r="F303" i="30"/>
  <c r="D303" i="30"/>
  <c r="C303" i="30"/>
  <c r="H303" i="30" s="1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G298" i="30"/>
  <c r="F298" i="30"/>
  <c r="D298" i="30"/>
  <c r="C298" i="30"/>
  <c r="H298" i="30" s="1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G289" i="30"/>
  <c r="F289" i="30"/>
  <c r="D289" i="30"/>
  <c r="C289" i="30"/>
  <c r="H289" i="30" s="1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H288" i="30"/>
  <c r="G288" i="30"/>
  <c r="F288" i="30"/>
  <c r="D288" i="30"/>
  <c r="C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G287" i="30"/>
  <c r="F287" i="30"/>
  <c r="D287" i="30"/>
  <c r="C287" i="30"/>
  <c r="H287" i="30" s="1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H280" i="30"/>
  <c r="G280" i="30"/>
  <c r="F280" i="30"/>
  <c r="D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H279" i="30"/>
  <c r="G279" i="30"/>
  <c r="F279" i="30"/>
  <c r="D279" i="30"/>
  <c r="C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H278" i="30"/>
  <c r="G278" i="30"/>
  <c r="F278" i="30"/>
  <c r="D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G276" i="30"/>
  <c r="F276" i="30"/>
  <c r="D276" i="30"/>
  <c r="C276" i="30"/>
  <c r="H276" i="30" s="1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G273" i="30"/>
  <c r="F273" i="30"/>
  <c r="D273" i="30"/>
  <c r="C273" i="30"/>
  <c r="H273" i="30" s="1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G271" i="30"/>
  <c r="F271" i="30"/>
  <c r="D271" i="30"/>
  <c r="C271" i="30"/>
  <c r="H271" i="30" s="1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H269" i="30"/>
  <c r="G269" i="30"/>
  <c r="F269" i="30"/>
  <c r="D269" i="30"/>
  <c r="C269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G266" i="30"/>
  <c r="F266" i="30"/>
  <c r="D266" i="30"/>
  <c r="C266" i="30"/>
  <c r="H266" i="30" s="1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H265" i="30"/>
  <c r="G265" i="30"/>
  <c r="F265" i="30"/>
  <c r="D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H264" i="30"/>
  <c r="G264" i="30"/>
  <c r="F264" i="30"/>
  <c r="D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G261" i="30"/>
  <c r="F261" i="30"/>
  <c r="D261" i="30"/>
  <c r="C261" i="30"/>
  <c r="H261" i="30" s="1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H260" i="30"/>
  <c r="G260" i="30"/>
  <c r="F260" i="30"/>
  <c r="D260" i="30"/>
  <c r="C260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G257" i="30"/>
  <c r="F257" i="30"/>
  <c r="D257" i="30"/>
  <c r="C257" i="30"/>
  <c r="H257" i="30" s="1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G255" i="30"/>
  <c r="F255" i="30"/>
  <c r="D255" i="30"/>
  <c r="C255" i="30"/>
  <c r="H255" i="30" s="1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G250" i="30"/>
  <c r="F250" i="30"/>
  <c r="D250" i="30"/>
  <c r="C250" i="30"/>
  <c r="H250" i="30" s="1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H249" i="30"/>
  <c r="G249" i="30"/>
  <c r="F249" i="30"/>
  <c r="D249" i="30"/>
  <c r="C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G247" i="30"/>
  <c r="F247" i="30"/>
  <c r="D247" i="30"/>
  <c r="C247" i="30"/>
  <c r="H247" i="30" s="1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H246" i="30"/>
  <c r="G246" i="30"/>
  <c r="F246" i="30"/>
  <c r="D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H244" i="30"/>
  <c r="G244" i="30"/>
  <c r="F244" i="30"/>
  <c r="D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H242" i="30"/>
  <c r="G242" i="30"/>
  <c r="F242" i="30"/>
  <c r="D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H240" i="30"/>
  <c r="G240" i="30"/>
  <c r="F240" i="30"/>
  <c r="D240" i="30"/>
  <c r="C240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H238" i="30"/>
  <c r="G238" i="30"/>
  <c r="F238" i="30"/>
  <c r="D238" i="30"/>
  <c r="C238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H236" i="30"/>
  <c r="G236" i="30"/>
  <c r="F236" i="30"/>
  <c r="D236" i="30"/>
  <c r="C236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H235" i="30"/>
  <c r="G235" i="30"/>
  <c r="F235" i="30"/>
  <c r="D235" i="30"/>
  <c r="C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G234" i="30"/>
  <c r="F234" i="30"/>
  <c r="D234" i="30"/>
  <c r="C234" i="30"/>
  <c r="H234" i="30" s="1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H233" i="30"/>
  <c r="G233" i="30"/>
  <c r="F233" i="30"/>
  <c r="D233" i="30"/>
  <c r="C233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G232" i="30"/>
  <c r="F232" i="30"/>
  <c r="D232" i="30"/>
  <c r="C232" i="30"/>
  <c r="H232" i="30" s="1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G230" i="30"/>
  <c r="F230" i="30"/>
  <c r="D230" i="30"/>
  <c r="C230" i="30"/>
  <c r="H230" i="30" s="1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G229" i="30"/>
  <c r="F229" i="30"/>
  <c r="D229" i="30"/>
  <c r="C229" i="30"/>
  <c r="H229" i="30" s="1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G227" i="30"/>
  <c r="F227" i="30"/>
  <c r="D227" i="30"/>
  <c r="C227" i="30"/>
  <c r="H227" i="30" s="1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G223" i="30"/>
  <c r="F223" i="30"/>
  <c r="D223" i="30"/>
  <c r="C223" i="30"/>
  <c r="H223" i="30" s="1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H222" i="30"/>
  <c r="G222" i="30"/>
  <c r="F222" i="30"/>
  <c r="D222" i="30"/>
  <c r="C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H220" i="30"/>
  <c r="G220" i="30"/>
  <c r="F220" i="30"/>
  <c r="D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G216" i="30"/>
  <c r="F216" i="30"/>
  <c r="D216" i="30"/>
  <c r="C216" i="30"/>
  <c r="H216" i="30" s="1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G215" i="30"/>
  <c r="F215" i="30"/>
  <c r="D215" i="30"/>
  <c r="C215" i="30"/>
  <c r="H215" i="30" s="1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G214" i="30"/>
  <c r="F214" i="30"/>
  <c r="D214" i="30"/>
  <c r="C214" i="30"/>
  <c r="H214" i="30" s="1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G213" i="30"/>
  <c r="F213" i="30"/>
  <c r="D213" i="30"/>
  <c r="C213" i="30"/>
  <c r="H213" i="30" s="1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G209" i="30"/>
  <c r="F209" i="30"/>
  <c r="D209" i="30"/>
  <c r="C209" i="30"/>
  <c r="H209" i="30" s="1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G207" i="30"/>
  <c r="F207" i="30"/>
  <c r="D207" i="30"/>
  <c r="C207" i="30"/>
  <c r="H207" i="30" s="1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H206" i="30"/>
  <c r="G206" i="30"/>
  <c r="F206" i="30"/>
  <c r="D206" i="30"/>
  <c r="C206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H205" i="30"/>
  <c r="G205" i="30"/>
  <c r="F205" i="30"/>
  <c r="D205" i="30"/>
  <c r="C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H204" i="30"/>
  <c r="G204" i="30"/>
  <c r="F204" i="30"/>
  <c r="D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G202" i="30"/>
  <c r="F202" i="30"/>
  <c r="D202" i="30"/>
  <c r="C202" i="30"/>
  <c r="H202" i="30" s="1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G200" i="30"/>
  <c r="F200" i="30"/>
  <c r="D200" i="30"/>
  <c r="C200" i="30"/>
  <c r="H200" i="30" s="1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G199" i="30"/>
  <c r="F199" i="30"/>
  <c r="D199" i="30"/>
  <c r="C199" i="30"/>
  <c r="H199" i="30" s="1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G198" i="30"/>
  <c r="F198" i="30"/>
  <c r="D198" i="30"/>
  <c r="C198" i="30"/>
  <c r="H198" i="30" s="1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G197" i="30"/>
  <c r="F197" i="30"/>
  <c r="D197" i="30"/>
  <c r="C197" i="30"/>
  <c r="H197" i="30" s="1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H196" i="30"/>
  <c r="G196" i="30"/>
  <c r="F196" i="30"/>
  <c r="D196" i="30"/>
  <c r="C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G195" i="30"/>
  <c r="F195" i="30"/>
  <c r="D195" i="30"/>
  <c r="C195" i="30"/>
  <c r="H195" i="30" s="1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G193" i="30"/>
  <c r="F193" i="30"/>
  <c r="D193" i="30"/>
  <c r="C193" i="30"/>
  <c r="H193" i="30" s="1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G191" i="30"/>
  <c r="F191" i="30"/>
  <c r="D191" i="30"/>
  <c r="C191" i="30"/>
  <c r="H191" i="30" s="1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H190" i="30"/>
  <c r="G190" i="30"/>
  <c r="F190" i="30"/>
  <c r="D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H188" i="30"/>
  <c r="G188" i="30"/>
  <c r="F188" i="30"/>
  <c r="D188" i="30"/>
  <c r="C188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G186" i="30"/>
  <c r="F186" i="30"/>
  <c r="D186" i="30"/>
  <c r="C186" i="30"/>
  <c r="H186" i="30" s="1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G183" i="30"/>
  <c r="F183" i="30"/>
  <c r="D183" i="30"/>
  <c r="C183" i="30"/>
  <c r="H183" i="30" s="1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G182" i="30"/>
  <c r="F182" i="30"/>
  <c r="D182" i="30"/>
  <c r="C182" i="30"/>
  <c r="H182" i="30" s="1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G181" i="30"/>
  <c r="F181" i="30"/>
  <c r="D181" i="30"/>
  <c r="C181" i="30"/>
  <c r="H181" i="30" s="1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G179" i="30"/>
  <c r="F179" i="30"/>
  <c r="D179" i="30"/>
  <c r="C179" i="30"/>
  <c r="H179" i="30" s="1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G175" i="30"/>
  <c r="F175" i="30"/>
  <c r="D175" i="30"/>
  <c r="C175" i="30"/>
  <c r="H175" i="30" s="1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H172" i="30"/>
  <c r="G172" i="30"/>
  <c r="F172" i="30"/>
  <c r="D172" i="30"/>
  <c r="C172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H171" i="30"/>
  <c r="G171" i="30"/>
  <c r="F171" i="30"/>
  <c r="D171" i="30"/>
  <c r="C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G168" i="30"/>
  <c r="F168" i="30"/>
  <c r="D168" i="30"/>
  <c r="C168" i="30"/>
  <c r="H168" i="30" s="1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G167" i="30"/>
  <c r="F167" i="30"/>
  <c r="D167" i="30"/>
  <c r="C167" i="30"/>
  <c r="H167" i="30" s="1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G166" i="30"/>
  <c r="F166" i="30"/>
  <c r="D166" i="30"/>
  <c r="C166" i="30"/>
  <c r="H166" i="30" s="1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G163" i="30"/>
  <c r="F163" i="30"/>
  <c r="D163" i="30"/>
  <c r="C163" i="30"/>
  <c r="H163" i="30" s="1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G161" i="30"/>
  <c r="F161" i="30"/>
  <c r="D161" i="30"/>
  <c r="C161" i="30"/>
  <c r="H161" i="30" s="1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G159" i="30"/>
  <c r="F159" i="30"/>
  <c r="D159" i="30"/>
  <c r="C159" i="30"/>
  <c r="H159" i="30" s="1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H156" i="30"/>
  <c r="G156" i="30"/>
  <c r="F156" i="30"/>
  <c r="D156" i="30"/>
  <c r="C156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H155" i="30"/>
  <c r="G155" i="30"/>
  <c r="F155" i="30"/>
  <c r="D155" i="30"/>
  <c r="C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G151" i="30"/>
  <c r="F151" i="30"/>
  <c r="D151" i="30"/>
  <c r="C151" i="30"/>
  <c r="H151" i="30" s="1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G150" i="30"/>
  <c r="F150" i="30"/>
  <c r="D150" i="30"/>
  <c r="C150" i="30"/>
  <c r="H150" i="30" s="1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G149" i="30"/>
  <c r="F149" i="30"/>
  <c r="D149" i="30"/>
  <c r="C149" i="30"/>
  <c r="H149" i="30" s="1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G147" i="30"/>
  <c r="F147" i="30"/>
  <c r="D147" i="30"/>
  <c r="C147" i="30"/>
  <c r="H147" i="30" s="1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G145" i="30"/>
  <c r="F145" i="30"/>
  <c r="D145" i="30"/>
  <c r="C145" i="30"/>
  <c r="H145" i="30" s="1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G143" i="30"/>
  <c r="F143" i="30"/>
  <c r="D143" i="30"/>
  <c r="C143" i="30"/>
  <c r="H143" i="30" s="1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H139" i="30"/>
  <c r="G139" i="30"/>
  <c r="F139" i="30"/>
  <c r="D139" i="30"/>
  <c r="C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G138" i="30"/>
  <c r="F138" i="30"/>
  <c r="D138" i="30"/>
  <c r="C138" i="30"/>
  <c r="H138" i="30" s="1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G134" i="30"/>
  <c r="F134" i="30"/>
  <c r="D134" i="30"/>
  <c r="C134" i="30"/>
  <c r="H134" i="30" s="1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G131" i="30"/>
  <c r="F131" i="30"/>
  <c r="D131" i="30"/>
  <c r="C131" i="30"/>
  <c r="H131" i="30" s="1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H128" i="30"/>
  <c r="G128" i="30"/>
  <c r="F128" i="30"/>
  <c r="D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G127" i="30"/>
  <c r="F127" i="30"/>
  <c r="D127" i="30"/>
  <c r="C127" i="30"/>
  <c r="H127" i="30" s="1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H121" i="30"/>
  <c r="G121" i="30"/>
  <c r="F121" i="30"/>
  <c r="D121" i="30"/>
  <c r="C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G119" i="30"/>
  <c r="F119" i="30"/>
  <c r="D119" i="30"/>
  <c r="C119" i="30"/>
  <c r="H119" i="30" s="1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G117" i="30"/>
  <c r="F117" i="30"/>
  <c r="D117" i="30"/>
  <c r="C117" i="30"/>
  <c r="H117" i="30" s="1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G113" i="30"/>
  <c r="F113" i="30"/>
  <c r="D113" i="30"/>
  <c r="C113" i="30"/>
  <c r="H113" i="30" s="1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G111" i="30"/>
  <c r="F111" i="30"/>
  <c r="D111" i="30"/>
  <c r="C111" i="30"/>
  <c r="H111" i="30" s="1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G110" i="30"/>
  <c r="F110" i="30"/>
  <c r="D110" i="30"/>
  <c r="C110" i="30"/>
  <c r="H110" i="30" s="1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G108" i="30"/>
  <c r="F108" i="30"/>
  <c r="D108" i="30"/>
  <c r="C108" i="30"/>
  <c r="H108" i="30" s="1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H107" i="30"/>
  <c r="G107" i="30"/>
  <c r="F107" i="30"/>
  <c r="D107" i="30"/>
  <c r="C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G104" i="30"/>
  <c r="F104" i="30"/>
  <c r="D104" i="30"/>
  <c r="C104" i="30"/>
  <c r="H104" i="30" s="1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G102" i="30"/>
  <c r="F102" i="30"/>
  <c r="D102" i="30"/>
  <c r="C102" i="30"/>
  <c r="H102" i="30" s="1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G97" i="30"/>
  <c r="F97" i="30"/>
  <c r="D97" i="30"/>
  <c r="C97" i="30"/>
  <c r="H97" i="30" s="1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G95" i="30"/>
  <c r="F95" i="30"/>
  <c r="D95" i="30"/>
  <c r="C95" i="30"/>
  <c r="H95" i="30" s="1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G93" i="30"/>
  <c r="F93" i="30"/>
  <c r="D93" i="30"/>
  <c r="C93" i="30"/>
  <c r="H93" i="30" s="1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G92" i="30"/>
  <c r="F92" i="30"/>
  <c r="D92" i="30"/>
  <c r="C92" i="30"/>
  <c r="H92" i="30" s="1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H82" i="30"/>
  <c r="G82" i="30"/>
  <c r="F82" i="30"/>
  <c r="D82" i="30"/>
  <c r="C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G79" i="30"/>
  <c r="F79" i="30"/>
  <c r="D79" i="30"/>
  <c r="C79" i="30"/>
  <c r="H79" i="30" s="1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G78" i="30"/>
  <c r="F78" i="30"/>
  <c r="D78" i="30"/>
  <c r="C78" i="30"/>
  <c r="H78" i="30" s="1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G77" i="30"/>
  <c r="F77" i="30"/>
  <c r="D77" i="30"/>
  <c r="C77" i="30"/>
  <c r="H77" i="30" s="1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G76" i="30"/>
  <c r="F76" i="30"/>
  <c r="D76" i="30"/>
  <c r="C76" i="30"/>
  <c r="H76" i="30" s="1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H75" i="30"/>
  <c r="G75" i="30"/>
  <c r="F75" i="30"/>
  <c r="D75" i="30"/>
  <c r="C75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H73" i="30"/>
  <c r="G73" i="30"/>
  <c r="F73" i="30"/>
  <c r="D73" i="30"/>
  <c r="C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G70" i="30"/>
  <c r="F70" i="30"/>
  <c r="D70" i="30"/>
  <c r="C70" i="30"/>
  <c r="H70" i="30" s="1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G68" i="30"/>
  <c r="F68" i="30"/>
  <c r="D68" i="30"/>
  <c r="C68" i="30"/>
  <c r="H68" i="30" s="1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G67" i="30"/>
  <c r="F67" i="30"/>
  <c r="D67" i="30"/>
  <c r="C67" i="30"/>
  <c r="H67" i="30" s="1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G65" i="30"/>
  <c r="F65" i="30"/>
  <c r="D65" i="30"/>
  <c r="C65" i="30"/>
  <c r="H65" i="30" s="1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H64" i="30"/>
  <c r="G64" i="30"/>
  <c r="F64" i="30"/>
  <c r="D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G63" i="30"/>
  <c r="F63" i="30"/>
  <c r="D63" i="30"/>
  <c r="C63" i="30"/>
  <c r="H63" i="30" s="1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G61" i="30"/>
  <c r="F61" i="30"/>
  <c r="D61" i="30"/>
  <c r="C61" i="30"/>
  <c r="H61" i="30" s="1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G53" i="30"/>
  <c r="F53" i="30"/>
  <c r="D53" i="30"/>
  <c r="C53" i="30"/>
  <c r="H53" i="30" s="1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G51" i="30"/>
  <c r="F51" i="30"/>
  <c r="D51" i="30"/>
  <c r="C51" i="30"/>
  <c r="H51" i="30" s="1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H50" i="30"/>
  <c r="G50" i="30"/>
  <c r="F50" i="30"/>
  <c r="D50" i="30"/>
  <c r="C50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G49" i="30"/>
  <c r="F49" i="30"/>
  <c r="D49" i="30"/>
  <c r="C49" i="30"/>
  <c r="H49" i="30" s="1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H48" i="30"/>
  <c r="G48" i="30"/>
  <c r="F48" i="30"/>
  <c r="D48" i="30"/>
  <c r="C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G47" i="30"/>
  <c r="F47" i="30"/>
  <c r="D47" i="30"/>
  <c r="C47" i="30"/>
  <c r="H47" i="30" s="1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G45" i="30"/>
  <c r="F45" i="30"/>
  <c r="D45" i="30"/>
  <c r="C45" i="30"/>
  <c r="H45" i="30" s="1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H44" i="30"/>
  <c r="G44" i="30"/>
  <c r="F44" i="30"/>
  <c r="D44" i="30"/>
  <c r="C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G43" i="30"/>
  <c r="F43" i="30"/>
  <c r="D43" i="30"/>
  <c r="C43" i="30"/>
  <c r="H43" i="30" s="1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G42" i="30"/>
  <c r="F42" i="30"/>
  <c r="D42" i="30"/>
  <c r="C42" i="30"/>
  <c r="H42" i="30" s="1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G40" i="30"/>
  <c r="F40" i="30"/>
  <c r="D40" i="30"/>
  <c r="C40" i="30"/>
  <c r="H40" i="30" s="1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G38" i="30"/>
  <c r="F38" i="30"/>
  <c r="D38" i="30"/>
  <c r="C38" i="30"/>
  <c r="H38" i="30" s="1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G34" i="30"/>
  <c r="F34" i="30"/>
  <c r="D34" i="30"/>
  <c r="C34" i="30"/>
  <c r="H34" i="30" s="1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G33" i="30"/>
  <c r="F33" i="30"/>
  <c r="D33" i="30"/>
  <c r="C33" i="30"/>
  <c r="H33" i="30" s="1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H32" i="30"/>
  <c r="G32" i="30"/>
  <c r="F32" i="30"/>
  <c r="D32" i="30"/>
  <c r="C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G31" i="30"/>
  <c r="F31" i="30"/>
  <c r="D31" i="30"/>
  <c r="C31" i="30"/>
  <c r="H31" i="30" s="1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G29" i="30"/>
  <c r="F29" i="30"/>
  <c r="D29" i="30"/>
  <c r="C29" i="30"/>
  <c r="H29" i="30" s="1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G27" i="30"/>
  <c r="F27" i="30"/>
  <c r="D27" i="30"/>
  <c r="C27" i="30"/>
  <c r="H27" i="30" s="1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H25" i="30"/>
  <c r="G25" i="30"/>
  <c r="F25" i="30"/>
  <c r="D25" i="30"/>
  <c r="C25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G22" i="30"/>
  <c r="F22" i="30"/>
  <c r="D22" i="30"/>
  <c r="C22" i="30"/>
  <c r="H22" i="30" s="1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H18" i="30"/>
  <c r="G18" i="30"/>
  <c r="F18" i="30"/>
  <c r="D18" i="30"/>
  <c r="C18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G17" i="30"/>
  <c r="F17" i="30"/>
  <c r="D17" i="30"/>
  <c r="C17" i="30"/>
  <c r="H17" i="30" s="1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G15" i="30"/>
  <c r="F15" i="30"/>
  <c r="D15" i="30"/>
  <c r="C15" i="30"/>
  <c r="H15" i="30" s="1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G13" i="30"/>
  <c r="F13" i="30"/>
  <c r="D13" i="30"/>
  <c r="C13" i="30"/>
  <c r="H13" i="30" s="1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H12" i="30"/>
  <c r="G12" i="30"/>
  <c r="F12" i="30"/>
  <c r="D12" i="30"/>
  <c r="C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G11" i="30"/>
  <c r="F11" i="30"/>
  <c r="D11" i="30"/>
  <c r="C11" i="30"/>
  <c r="H11" i="30" s="1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H10" i="30"/>
  <c r="G10" i="30"/>
  <c r="F10" i="30"/>
  <c r="D10" i="30"/>
  <c r="C10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G7" i="30"/>
  <c r="F7" i="30"/>
  <c r="D7" i="30"/>
  <c r="C7" i="30"/>
  <c r="E30" i="31" s="1"/>
  <c r="L6" i="30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O52" i="42"/>
  <c r="O51" i="42"/>
  <c r="L142" i="45" s="1"/>
  <c r="O50" i="42"/>
  <c r="L141" i="45" s="1"/>
  <c r="O49" i="42"/>
  <c r="O48" i="42"/>
  <c r="O47" i="42"/>
  <c r="O45" i="42"/>
  <c r="O44" i="42"/>
  <c r="L135" i="45" s="1"/>
  <c r="O43" i="42"/>
  <c r="O42" i="42"/>
  <c r="L133" i="45" s="1"/>
  <c r="O41" i="42"/>
  <c r="O40" i="42"/>
  <c r="O39" i="42"/>
  <c r="O38" i="42"/>
  <c r="L129" i="45" s="1"/>
  <c r="O37" i="42"/>
  <c r="O36" i="42"/>
  <c r="L127" i="45" s="1"/>
  <c r="O35" i="42"/>
  <c r="O34" i="42"/>
  <c r="L125" i="45" s="1"/>
  <c r="O32" i="42"/>
  <c r="L123" i="45" s="1"/>
  <c r="O30" i="42"/>
  <c r="L121" i="45" s="1"/>
  <c r="O29" i="42"/>
  <c r="O28" i="42"/>
  <c r="O27" i="42"/>
  <c r="L118" i="45" s="1"/>
  <c r="O26" i="42"/>
  <c r="L117" i="45" s="1"/>
  <c r="O25" i="42"/>
  <c r="O24" i="42"/>
  <c r="L115" i="45" s="1"/>
  <c r="O23" i="42"/>
  <c r="O22" i="42"/>
  <c r="O21" i="42"/>
  <c r="O20" i="42"/>
  <c r="O19" i="42"/>
  <c r="O18" i="42"/>
  <c r="L109" i="45" s="1"/>
  <c r="O17" i="42"/>
  <c r="O16" i="42"/>
  <c r="L107" i="45" s="1"/>
  <c r="O15" i="42"/>
  <c r="L106" i="45" s="1"/>
  <c r="O14" i="42"/>
  <c r="L105" i="45" s="1"/>
  <c r="O13" i="42"/>
  <c r="L104" i="45" s="1"/>
  <c r="O12" i="42"/>
  <c r="L103" i="45" s="1"/>
  <c r="O11" i="42"/>
  <c r="L102" i="45" s="1"/>
  <c r="O10" i="42"/>
  <c r="L101" i="45" s="1"/>
  <c r="O9" i="42"/>
  <c r="O8" i="42"/>
  <c r="L99" i="45" s="1"/>
  <c r="O7" i="42"/>
  <c r="O6" i="42"/>
  <c r="O5" i="42"/>
  <c r="O4" i="42"/>
  <c r="O3" i="42"/>
  <c r="L94" i="45" s="1"/>
  <c r="O2" i="42"/>
  <c r="L93" i="45" s="1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" i="34"/>
  <c r="L143" i="45"/>
  <c r="K143" i="45"/>
  <c r="K142" i="45"/>
  <c r="K141" i="45"/>
  <c r="L140" i="45"/>
  <c r="K140" i="45"/>
  <c r="L139" i="45"/>
  <c r="K139" i="45"/>
  <c r="L138" i="45"/>
  <c r="K138" i="45"/>
  <c r="L137" i="45"/>
  <c r="K137" i="45"/>
  <c r="L136" i="45"/>
  <c r="K136" i="45"/>
  <c r="K135" i="45"/>
  <c r="L134" i="45"/>
  <c r="K134" i="45"/>
  <c r="K133" i="45"/>
  <c r="L132" i="45"/>
  <c r="K132" i="45"/>
  <c r="L131" i="45"/>
  <c r="K131" i="45"/>
  <c r="L130" i="45"/>
  <c r="K130" i="45"/>
  <c r="K129" i="45"/>
  <c r="L128" i="45"/>
  <c r="K128" i="45"/>
  <c r="K127" i="45"/>
  <c r="L126" i="45"/>
  <c r="K126" i="45"/>
  <c r="K125" i="45"/>
  <c r="L124" i="45"/>
  <c r="K124" i="45"/>
  <c r="K123" i="45"/>
  <c r="L122" i="45"/>
  <c r="K122" i="45"/>
  <c r="K121" i="45"/>
  <c r="L120" i="45"/>
  <c r="K120" i="45"/>
  <c r="L119" i="45"/>
  <c r="K119" i="45"/>
  <c r="K118" i="45"/>
  <c r="K117" i="45"/>
  <c r="L116" i="45"/>
  <c r="K116" i="45"/>
  <c r="K115" i="45"/>
  <c r="L114" i="45"/>
  <c r="K114" i="45"/>
  <c r="L113" i="45"/>
  <c r="K113" i="45"/>
  <c r="L112" i="45"/>
  <c r="K112" i="45"/>
  <c r="L111" i="45"/>
  <c r="K111" i="45"/>
  <c r="L110" i="45"/>
  <c r="K110" i="45"/>
  <c r="K109" i="45"/>
  <c r="L108" i="45"/>
  <c r="K108" i="45"/>
  <c r="K107" i="45"/>
  <c r="K106" i="45"/>
  <c r="K105" i="45"/>
  <c r="K104" i="45"/>
  <c r="K103" i="45"/>
  <c r="K102" i="45"/>
  <c r="K101" i="45"/>
  <c r="L100" i="45"/>
  <c r="K100" i="45"/>
  <c r="K99" i="45"/>
  <c r="L98" i="45"/>
  <c r="K98" i="45"/>
  <c r="L97" i="45"/>
  <c r="K97" i="45"/>
  <c r="L96" i="45"/>
  <c r="K96" i="45"/>
  <c r="L95" i="45"/>
  <c r="K95" i="45"/>
  <c r="K94" i="45"/>
  <c r="K93" i="45"/>
  <c r="K92" i="45"/>
  <c r="K91" i="45"/>
  <c r="K90" i="45"/>
  <c r="K89" i="45"/>
  <c r="K88" i="45"/>
  <c r="K87" i="45"/>
  <c r="K86" i="45"/>
  <c r="K85" i="45"/>
  <c r="K84" i="45"/>
  <c r="K83" i="45"/>
  <c r="K82" i="45"/>
  <c r="K81" i="45"/>
  <c r="K80" i="45"/>
  <c r="K79" i="45"/>
  <c r="K78" i="45"/>
  <c r="K77" i="45"/>
  <c r="K76" i="45"/>
  <c r="K75" i="45"/>
  <c r="K74" i="45"/>
  <c r="K73" i="45"/>
  <c r="K72" i="45"/>
  <c r="K71" i="45"/>
  <c r="K70" i="45"/>
  <c r="K69" i="45"/>
  <c r="K68" i="45"/>
  <c r="K67" i="45"/>
  <c r="K66" i="45"/>
  <c r="K65" i="45"/>
  <c r="K64" i="45"/>
  <c r="K63" i="45"/>
  <c r="K62" i="45"/>
  <c r="K61" i="45"/>
  <c r="K60" i="45"/>
  <c r="K59" i="45"/>
  <c r="K58" i="45"/>
  <c r="K57" i="45"/>
  <c r="K56" i="45"/>
  <c r="K55" i="45"/>
  <c r="K54" i="45"/>
  <c r="K53" i="45"/>
  <c r="K52" i="45"/>
  <c r="K51" i="45"/>
  <c r="K50" i="45"/>
  <c r="K49" i="45"/>
  <c r="K48" i="45"/>
  <c r="K47" i="45"/>
  <c r="K46" i="45"/>
  <c r="K45" i="45"/>
  <c r="K44" i="45"/>
  <c r="K43" i="45"/>
  <c r="K42" i="45"/>
  <c r="K41" i="45"/>
  <c r="K40" i="45"/>
  <c r="K39" i="45"/>
  <c r="K38" i="45"/>
  <c r="K37" i="45"/>
  <c r="K36" i="45"/>
  <c r="K35" i="45"/>
  <c r="K34" i="45"/>
  <c r="K33" i="45"/>
  <c r="K32" i="45"/>
  <c r="K31" i="45"/>
  <c r="K30" i="45"/>
  <c r="K29" i="45"/>
  <c r="K28" i="45"/>
  <c r="K27" i="45"/>
  <c r="K26" i="45"/>
  <c r="K25" i="45"/>
  <c r="K24" i="45"/>
  <c r="K23" i="45"/>
  <c r="K22" i="45"/>
  <c r="K21" i="45"/>
  <c r="K20" i="45"/>
  <c r="K19" i="45"/>
  <c r="K18" i="45"/>
  <c r="K17" i="45"/>
  <c r="K16" i="45"/>
  <c r="K15" i="45"/>
  <c r="K14" i="45"/>
  <c r="K13" i="45"/>
  <c r="K12" i="45"/>
  <c r="K11" i="45"/>
  <c r="K10" i="45"/>
  <c r="K9" i="45"/>
  <c r="K8" i="45"/>
  <c r="K7" i="45"/>
  <c r="K6" i="45"/>
  <c r="B128" i="48"/>
  <c r="B127" i="48"/>
  <c r="K126" i="48"/>
  <c r="L126" i="48" s="1"/>
  <c r="M126" i="48" s="1"/>
  <c r="N126" i="48" s="1"/>
  <c r="O126" i="48" s="1"/>
  <c r="P126" i="48" s="1"/>
  <c r="Q126" i="48" s="1"/>
  <c r="R126" i="48" s="1"/>
  <c r="S126" i="48" s="1"/>
  <c r="T126" i="48" s="1"/>
  <c r="U126" i="48" s="1"/>
  <c r="V126" i="48" s="1"/>
  <c r="W126" i="48" s="1"/>
  <c r="D126" i="48"/>
  <c r="E126" i="48" s="1"/>
  <c r="F126" i="48" s="1"/>
  <c r="G126" i="48" s="1"/>
  <c r="H126" i="48" s="1"/>
  <c r="I126" i="48" s="1"/>
  <c r="B124" i="48"/>
  <c r="B123" i="48"/>
  <c r="K122" i="48"/>
  <c r="L122" i="48" s="1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D122" i="48"/>
  <c r="E122" i="48" s="1"/>
  <c r="F122" i="48" s="1"/>
  <c r="G122" i="48" s="1"/>
  <c r="H122" i="48" s="1"/>
  <c r="I122" i="48" s="1"/>
  <c r="K118" i="48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D118" i="48"/>
  <c r="E118" i="48" s="1"/>
  <c r="F118" i="48" s="1"/>
  <c r="G118" i="48" s="1"/>
  <c r="H118" i="48" s="1"/>
  <c r="I118" i="48" s="1"/>
  <c r="B118" i="48"/>
  <c r="L112" i="48"/>
  <c r="M112" i="48" s="1"/>
  <c r="N112" i="48" s="1"/>
  <c r="O112" i="48" s="1"/>
  <c r="P112" i="48" s="1"/>
  <c r="Q112" i="48" s="1"/>
  <c r="R112" i="48" s="1"/>
  <c r="S112" i="48" s="1"/>
  <c r="T112" i="48" s="1"/>
  <c r="U112" i="48" s="1"/>
  <c r="V112" i="48" s="1"/>
  <c r="W112" i="48" s="1"/>
  <c r="K112" i="48"/>
  <c r="D112" i="48"/>
  <c r="E112" i="48" s="1"/>
  <c r="F112" i="48" s="1"/>
  <c r="G112" i="48" s="1"/>
  <c r="H112" i="48" s="1"/>
  <c r="I112" i="48" s="1"/>
  <c r="C56" i="47"/>
  <c r="C64" i="47" s="1"/>
  <c r="F54" i="47"/>
  <c r="E55" i="47" s="1"/>
  <c r="E54" i="47"/>
  <c r="F52" i="47"/>
  <c r="E53" i="47" s="1"/>
  <c r="E52" i="47"/>
  <c r="T122" i="46"/>
  <c r="U122" i="46" s="1"/>
  <c r="V122" i="46" s="1"/>
  <c r="W122" i="46" s="1"/>
  <c r="X122" i="46" s="1"/>
  <c r="Y122" i="46" s="1"/>
  <c r="Z122" i="46" s="1"/>
  <c r="AA122" i="46" s="1"/>
  <c r="AB122" i="46" s="1"/>
  <c r="P122" i="46"/>
  <c r="Q122" i="46" s="1"/>
  <c r="R122" i="46" s="1"/>
  <c r="S122" i="46" s="1"/>
  <c r="I122" i="46"/>
  <c r="J122" i="46" s="1"/>
  <c r="K122" i="46" s="1"/>
  <c r="L122" i="46" s="1"/>
  <c r="M122" i="46" s="1"/>
  <c r="N122" i="46" s="1"/>
  <c r="P107" i="46"/>
  <c r="Q107" i="46" s="1"/>
  <c r="R107" i="46" s="1"/>
  <c r="S107" i="46" s="1"/>
  <c r="T107" i="46" s="1"/>
  <c r="U107" i="46" s="1"/>
  <c r="V107" i="46" s="1"/>
  <c r="W107" i="46" s="1"/>
  <c r="X107" i="46" s="1"/>
  <c r="Y107" i="46" s="1"/>
  <c r="Z107" i="46" s="1"/>
  <c r="AA107" i="46" s="1"/>
  <c r="AB107" i="46" s="1"/>
  <c r="J107" i="46"/>
  <c r="K107" i="46" s="1"/>
  <c r="L107" i="46" s="1"/>
  <c r="M107" i="46" s="1"/>
  <c r="N107" i="46" s="1"/>
  <c r="I107" i="46"/>
  <c r="P92" i="46"/>
  <c r="Q92" i="46" s="1"/>
  <c r="R92" i="46" s="1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J92" i="46"/>
  <c r="K92" i="46" s="1"/>
  <c r="L92" i="46" s="1"/>
  <c r="M92" i="46" s="1"/>
  <c r="N92" i="46" s="1"/>
  <c r="I92" i="46"/>
  <c r="P77" i="46"/>
  <c r="Q77" i="46" s="1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L77" i="46"/>
  <c r="M77" i="46" s="1"/>
  <c r="N77" i="46" s="1"/>
  <c r="J77" i="46"/>
  <c r="K77" i="46" s="1"/>
  <c r="I77" i="46"/>
  <c r="R62" i="46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Q62" i="46"/>
  <c r="P62" i="46"/>
  <c r="I62" i="46"/>
  <c r="J62" i="46" s="1"/>
  <c r="K62" i="46" s="1"/>
  <c r="L62" i="46" s="1"/>
  <c r="M62" i="46" s="1"/>
  <c r="N62" i="46" s="1"/>
  <c r="P47" i="46"/>
  <c r="Q47" i="46" s="1"/>
  <c r="R47" i="46" s="1"/>
  <c r="S47" i="46" s="1"/>
  <c r="T47" i="46" s="1"/>
  <c r="U47" i="46" s="1"/>
  <c r="V47" i="46" s="1"/>
  <c r="W47" i="46" s="1"/>
  <c r="X47" i="46" s="1"/>
  <c r="Y47" i="46" s="1"/>
  <c r="Z47" i="46" s="1"/>
  <c r="AA47" i="46" s="1"/>
  <c r="AB47" i="46" s="1"/>
  <c r="I47" i="46"/>
  <c r="J47" i="46" s="1"/>
  <c r="K47" i="46" s="1"/>
  <c r="L47" i="46" s="1"/>
  <c r="M47" i="46" s="1"/>
  <c r="N47" i="46" s="1"/>
  <c r="T32" i="46"/>
  <c r="U32" i="46" s="1"/>
  <c r="V32" i="46" s="1"/>
  <c r="W32" i="46" s="1"/>
  <c r="X32" i="46" s="1"/>
  <c r="Y32" i="46" s="1"/>
  <c r="Z32" i="46" s="1"/>
  <c r="AA32" i="46" s="1"/>
  <c r="AB32" i="46" s="1"/>
  <c r="Q32" i="46"/>
  <c r="R32" i="46" s="1"/>
  <c r="S32" i="46" s="1"/>
  <c r="P32" i="46"/>
  <c r="I32" i="46"/>
  <c r="J32" i="46" s="1"/>
  <c r="K32" i="46" s="1"/>
  <c r="L32" i="46" s="1"/>
  <c r="M32" i="46" s="1"/>
  <c r="N32" i="46" s="1"/>
  <c r="P17" i="46"/>
  <c r="Q17" i="46" s="1"/>
  <c r="R17" i="46" s="1"/>
  <c r="S17" i="46" s="1"/>
  <c r="T17" i="46" s="1"/>
  <c r="U17" i="46" s="1"/>
  <c r="V17" i="46" s="1"/>
  <c r="W17" i="46" s="1"/>
  <c r="X17" i="46" s="1"/>
  <c r="Y17" i="46" s="1"/>
  <c r="Z17" i="46" s="1"/>
  <c r="AA17" i="46" s="1"/>
  <c r="AB17" i="46" s="1"/>
  <c r="J17" i="46"/>
  <c r="K17" i="46" s="1"/>
  <c r="L17" i="46" s="1"/>
  <c r="M17" i="46" s="1"/>
  <c r="N17" i="46" s="1"/>
  <c r="I17" i="46"/>
  <c r="AB10" i="46"/>
  <c r="C140" i="59" s="1"/>
  <c r="F10" i="46"/>
  <c r="Q5" i="46"/>
  <c r="Q5" i="52" s="1"/>
  <c r="P5" i="46"/>
  <c r="P5" i="52" s="1"/>
  <c r="J5" i="46"/>
  <c r="J5" i="52" s="1"/>
  <c r="I5" i="46"/>
  <c r="I5" i="52" s="1"/>
  <c r="B2" i="46"/>
  <c r="B2" i="47" s="1"/>
  <c r="P1" i="46"/>
  <c r="P126" i="46" s="1"/>
  <c r="O1" i="46"/>
  <c r="I1" i="46"/>
  <c r="I8" i="46" s="1"/>
  <c r="D119" i="48" s="1"/>
  <c r="H1" i="46"/>
  <c r="H8" i="46" s="1"/>
  <c r="C70" i="35"/>
  <c r="T68" i="35"/>
  <c r="S68" i="35"/>
  <c r="Q68" i="35"/>
  <c r="Q71" i="35" s="1"/>
  <c r="P68" i="35"/>
  <c r="N68" i="35"/>
  <c r="M68" i="35"/>
  <c r="K68" i="35"/>
  <c r="K71" i="35" s="1"/>
  <c r="J68" i="35"/>
  <c r="I68" i="35"/>
  <c r="G68" i="35"/>
  <c r="F68" i="35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68" i="35" s="1"/>
  <c r="C71" i="35" s="1"/>
  <c r="T37" i="35"/>
  <c r="N37" i="35"/>
  <c r="D37" i="35"/>
  <c r="C37" i="35"/>
  <c r="Q27" i="35"/>
  <c r="K27" i="35"/>
  <c r="C27" i="35"/>
  <c r="D27" i="35" s="1"/>
  <c r="T27" i="35" s="1"/>
  <c r="Q26" i="35"/>
  <c r="K26" i="35"/>
  <c r="C26" i="35"/>
  <c r="C28" i="35" s="1"/>
  <c r="Q25" i="35"/>
  <c r="Q28" i="35" s="1"/>
  <c r="AH96" i="16" s="1"/>
  <c r="K25" i="35"/>
  <c r="C25" i="35"/>
  <c r="C21" i="35"/>
  <c r="Q20" i="35"/>
  <c r="K20" i="35"/>
  <c r="C20" i="35"/>
  <c r="Q19" i="35"/>
  <c r="K19" i="35"/>
  <c r="C134" i="11" s="1"/>
  <c r="C19" i="35"/>
  <c r="Q14" i="35"/>
  <c r="K14" i="35"/>
  <c r="C14" i="35"/>
  <c r="Q13" i="35"/>
  <c r="K13" i="35"/>
  <c r="C13" i="35"/>
  <c r="C15" i="35" s="1"/>
  <c r="Q8" i="35"/>
  <c r="K8" i="35"/>
  <c r="C8" i="35"/>
  <c r="Q7" i="35"/>
  <c r="K7" i="35"/>
  <c r="K9" i="35" s="1"/>
  <c r="C7" i="35"/>
  <c r="C9" i="35" s="1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K91" i="39"/>
  <c r="L91" i="39" s="1"/>
  <c r="M91" i="39" s="1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D91" i="39"/>
  <c r="E91" i="39" s="1"/>
  <c r="F91" i="39" s="1"/>
  <c r="G91" i="39" s="1"/>
  <c r="H91" i="39" s="1"/>
  <c r="I91" i="39" s="1"/>
  <c r="K85" i="39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D85" i="39"/>
  <c r="E85" i="39" s="1"/>
  <c r="F85" i="39" s="1"/>
  <c r="G85" i="39" s="1"/>
  <c r="H85" i="39" s="1"/>
  <c r="I85" i="39" s="1"/>
  <c r="B85" i="39"/>
  <c r="B91" i="39" s="1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I125" i="37"/>
  <c r="D125" i="37"/>
  <c r="E125" i="37" s="1"/>
  <c r="F125" i="37" s="1"/>
  <c r="G125" i="37" s="1"/>
  <c r="H125" i="37" s="1"/>
  <c r="P121" i="37"/>
  <c r="Q121" i="37" s="1"/>
  <c r="R121" i="37" s="1"/>
  <c r="S121" i="37" s="1"/>
  <c r="T121" i="37" s="1"/>
  <c r="U121" i="37" s="1"/>
  <c r="V121" i="37" s="1"/>
  <c r="W121" i="37" s="1"/>
  <c r="K121" i="37"/>
  <c r="L121" i="37" s="1"/>
  <c r="M121" i="37" s="1"/>
  <c r="N121" i="37" s="1"/>
  <c r="O121" i="37" s="1"/>
  <c r="D121" i="37"/>
  <c r="E121" i="37" s="1"/>
  <c r="F121" i="37" s="1"/>
  <c r="G121" i="37" s="1"/>
  <c r="H121" i="37" s="1"/>
  <c r="I121" i="37" s="1"/>
  <c r="K117" i="37"/>
  <c r="L117" i="37" s="1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W117" i="37" s="1"/>
  <c r="E117" i="37"/>
  <c r="F117" i="37" s="1"/>
  <c r="G117" i="37" s="1"/>
  <c r="H117" i="37" s="1"/>
  <c r="I117" i="37" s="1"/>
  <c r="D117" i="37"/>
  <c r="K111" i="37"/>
  <c r="L111" i="37" s="1"/>
  <c r="M111" i="37" s="1"/>
  <c r="N111" i="37" s="1"/>
  <c r="O111" i="37" s="1"/>
  <c r="P111" i="37" s="1"/>
  <c r="Q111" i="37" s="1"/>
  <c r="R111" i="37" s="1"/>
  <c r="S111" i="37" s="1"/>
  <c r="T111" i="37" s="1"/>
  <c r="U111" i="37" s="1"/>
  <c r="V111" i="37" s="1"/>
  <c r="W111" i="37" s="1"/>
  <c r="D111" i="37"/>
  <c r="E111" i="37" s="1"/>
  <c r="F111" i="37" s="1"/>
  <c r="G111" i="37" s="1"/>
  <c r="H111" i="37" s="1"/>
  <c r="I111" i="37" s="1"/>
  <c r="B111" i="37"/>
  <c r="B117" i="37" s="1"/>
  <c r="C149" i="33"/>
  <c r="D148" i="33" s="1"/>
  <c r="B96" i="33"/>
  <c r="S95" i="33"/>
  <c r="T95" i="33" s="1"/>
  <c r="U95" i="33" s="1"/>
  <c r="V95" i="33" s="1"/>
  <c r="W95" i="33" s="1"/>
  <c r="X95" i="33" s="1"/>
  <c r="Y95" i="33" s="1"/>
  <c r="Z95" i="33" s="1"/>
  <c r="AA95" i="33" s="1"/>
  <c r="AB95" i="33" s="1"/>
  <c r="AC95" i="33" s="1"/>
  <c r="AD95" i="33" s="1"/>
  <c r="R95" i="33"/>
  <c r="K95" i="33"/>
  <c r="L95" i="33" s="1"/>
  <c r="M95" i="33" s="1"/>
  <c r="N95" i="33" s="1"/>
  <c r="O95" i="33" s="1"/>
  <c r="P95" i="33" s="1"/>
  <c r="B81" i="33"/>
  <c r="R80" i="33"/>
  <c r="S80" i="33" s="1"/>
  <c r="T80" i="33" s="1"/>
  <c r="U80" i="33" s="1"/>
  <c r="V80" i="33" s="1"/>
  <c r="W80" i="33" s="1"/>
  <c r="X80" i="33" s="1"/>
  <c r="Y80" i="33" s="1"/>
  <c r="Z80" i="33" s="1"/>
  <c r="AA80" i="33" s="1"/>
  <c r="AB80" i="33" s="1"/>
  <c r="AC80" i="33" s="1"/>
  <c r="AD80" i="33" s="1"/>
  <c r="K80" i="33"/>
  <c r="L80" i="33" s="1"/>
  <c r="M80" i="33" s="1"/>
  <c r="N80" i="33" s="1"/>
  <c r="O80" i="33" s="1"/>
  <c r="P80" i="33" s="1"/>
  <c r="B66" i="33"/>
  <c r="R65" i="33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AC65" i="33" s="1"/>
  <c r="AD65" i="33" s="1"/>
  <c r="L65" i="33"/>
  <c r="M65" i="33" s="1"/>
  <c r="N65" i="33" s="1"/>
  <c r="O65" i="33" s="1"/>
  <c r="P65" i="33" s="1"/>
  <c r="K65" i="33"/>
  <c r="B51" i="33"/>
  <c r="B125" i="37" s="1"/>
  <c r="R50" i="33"/>
  <c r="S50" i="33" s="1"/>
  <c r="T50" i="33" s="1"/>
  <c r="U50" i="33" s="1"/>
  <c r="V50" i="33" s="1"/>
  <c r="W50" i="33" s="1"/>
  <c r="X50" i="33" s="1"/>
  <c r="Y50" i="33" s="1"/>
  <c r="Z50" i="33" s="1"/>
  <c r="AA50" i="33" s="1"/>
  <c r="AB50" i="33" s="1"/>
  <c r="AC50" i="33" s="1"/>
  <c r="AD50" i="33" s="1"/>
  <c r="K50" i="33"/>
  <c r="L50" i="33" s="1"/>
  <c r="M50" i="33" s="1"/>
  <c r="N50" i="33" s="1"/>
  <c r="O50" i="33" s="1"/>
  <c r="P50" i="33" s="1"/>
  <c r="B36" i="33"/>
  <c r="B121" i="37" s="1"/>
  <c r="S35" i="33"/>
  <c r="T35" i="33" s="1"/>
  <c r="U35" i="33" s="1"/>
  <c r="V35" i="33" s="1"/>
  <c r="W35" i="33" s="1"/>
  <c r="X35" i="33" s="1"/>
  <c r="Y35" i="33" s="1"/>
  <c r="Z35" i="33" s="1"/>
  <c r="AA35" i="33" s="1"/>
  <c r="AB35" i="33" s="1"/>
  <c r="AC35" i="33" s="1"/>
  <c r="AD35" i="33" s="1"/>
  <c r="R35" i="33"/>
  <c r="K35" i="33"/>
  <c r="L35" i="33" s="1"/>
  <c r="M35" i="33" s="1"/>
  <c r="N35" i="33" s="1"/>
  <c r="O35" i="33" s="1"/>
  <c r="P35" i="33" s="1"/>
  <c r="S20" i="33"/>
  <c r="T20" i="33" s="1"/>
  <c r="U20" i="33" s="1"/>
  <c r="V20" i="33" s="1"/>
  <c r="W20" i="33" s="1"/>
  <c r="X20" i="33" s="1"/>
  <c r="Y20" i="33" s="1"/>
  <c r="Z20" i="33" s="1"/>
  <c r="AA20" i="33" s="1"/>
  <c r="AB20" i="33" s="1"/>
  <c r="AC20" i="33" s="1"/>
  <c r="AD20" i="33" s="1"/>
  <c r="R20" i="33"/>
  <c r="L20" i="33"/>
  <c r="M20" i="33" s="1"/>
  <c r="N20" i="33" s="1"/>
  <c r="O20" i="33" s="1"/>
  <c r="P20" i="33" s="1"/>
  <c r="K20" i="33"/>
  <c r="AD13" i="33"/>
  <c r="H13" i="33" s="1"/>
  <c r="Q12" i="33"/>
  <c r="D12" i="33"/>
  <c r="C12" i="33"/>
  <c r="Q8" i="33"/>
  <c r="J8" i="33"/>
  <c r="C8" i="33"/>
  <c r="R5" i="33"/>
  <c r="R8" i="33" s="1"/>
  <c r="K5" i="33"/>
  <c r="K8" i="33" s="1"/>
  <c r="B2" i="33"/>
  <c r="Q1" i="33"/>
  <c r="Q9" i="33" s="1"/>
  <c r="J1" i="33"/>
  <c r="J12" i="33" s="1"/>
  <c r="B2" i="31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28" i="17" s="1"/>
  <c r="B15" i="17"/>
  <c r="B27" i="17" s="1"/>
  <c r="B14" i="17"/>
  <c r="B26" i="17" s="1"/>
  <c r="B13" i="17"/>
  <c r="B36" i="17" s="1"/>
  <c r="B12" i="17"/>
  <c r="B35" i="17" s="1"/>
  <c r="B11" i="17"/>
  <c r="B34" i="17" s="1"/>
  <c r="B10" i="17"/>
  <c r="B33" i="17" s="1"/>
  <c r="B9" i="17"/>
  <c r="B32" i="17" s="1"/>
  <c r="B8" i="17"/>
  <c r="B31" i="17" s="1"/>
  <c r="B2" i="17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34" i="9"/>
  <c r="B22" i="9"/>
  <c r="B21" i="9"/>
  <c r="B20" i="9"/>
  <c r="B19" i="9"/>
  <c r="B18" i="9"/>
  <c r="B15" i="9"/>
  <c r="B14" i="9"/>
  <c r="B44" i="9" s="1"/>
  <c r="B13" i="9"/>
  <c r="B43" i="9" s="1"/>
  <c r="B12" i="9"/>
  <c r="B32" i="9" s="1"/>
  <c r="B11" i="9"/>
  <c r="B41" i="9" s="1"/>
  <c r="B10" i="9"/>
  <c r="B30" i="9" s="1"/>
  <c r="B9" i="9"/>
  <c r="B39" i="9" s="1"/>
  <c r="B8" i="9"/>
  <c r="B28" i="9" s="1"/>
  <c r="B2" i="9"/>
  <c r="B2" i="35" s="1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E117" i="2"/>
  <c r="U112" i="2"/>
  <c r="T112" i="2"/>
  <c r="AR111" i="2"/>
  <c r="AQ111" i="2"/>
  <c r="AS58" i="11" s="1"/>
  <c r="AS76" i="11" s="1"/>
  <c r="AP111" i="2"/>
  <c r="AO111" i="2"/>
  <c r="AO112" i="2" s="1"/>
  <c r="AN111" i="2"/>
  <c r="AP58" i="11" s="1"/>
  <c r="AP76" i="11" s="1"/>
  <c r="AM111" i="2"/>
  <c r="AO58" i="11" s="1"/>
  <c r="AO76" i="11" s="1"/>
  <c r="AL111" i="2"/>
  <c r="AK111" i="2"/>
  <c r="AJ111" i="2"/>
  <c r="AI111" i="2"/>
  <c r="AH111" i="2"/>
  <c r="AG111" i="2"/>
  <c r="AF111" i="2"/>
  <c r="AE111" i="2"/>
  <c r="AG58" i="11" s="1"/>
  <c r="AG76" i="11" s="1"/>
  <c r="AD111" i="2"/>
  <c r="AC111" i="2"/>
  <c r="AE58" i="11" s="1"/>
  <c r="AE76" i="11" s="1"/>
  <c r="AB111" i="2"/>
  <c r="AD58" i="11" s="1"/>
  <c r="AD76" i="11" s="1"/>
  <c r="AA111" i="2"/>
  <c r="AC58" i="11" s="1"/>
  <c r="AC76" i="11" s="1"/>
  <c r="Z111" i="2"/>
  <c r="AB58" i="11" s="1"/>
  <c r="AB76" i="11" s="1"/>
  <c r="Y111" i="2"/>
  <c r="X111" i="2"/>
  <c r="Z58" i="11" s="1"/>
  <c r="Z76" i="11" s="1"/>
  <c r="W111" i="2"/>
  <c r="Y58" i="11" s="1"/>
  <c r="Y76" i="11" s="1"/>
  <c r="V111" i="2"/>
  <c r="U111" i="2"/>
  <c r="T111" i="2"/>
  <c r="S111" i="2"/>
  <c r="R111" i="2"/>
  <c r="Q111" i="2"/>
  <c r="P111" i="2"/>
  <c r="O111" i="2"/>
  <c r="Q58" i="11" s="1"/>
  <c r="Q76" i="11" s="1"/>
  <c r="N111" i="2"/>
  <c r="AR110" i="2"/>
  <c r="AQ110" i="2"/>
  <c r="AP110" i="2"/>
  <c r="AO110" i="2"/>
  <c r="AQ62" i="11" s="1"/>
  <c r="AQ77" i="11" s="1"/>
  <c r="AN110" i="2"/>
  <c r="AM110" i="2"/>
  <c r="AL110" i="2"/>
  <c r="AL112" i="2" s="1"/>
  <c r="AK110" i="2"/>
  <c r="AJ110" i="2"/>
  <c r="AI110" i="2"/>
  <c r="AK62" i="11" s="1"/>
  <c r="AK77" i="11" s="1"/>
  <c r="AH110" i="2"/>
  <c r="AG110" i="2"/>
  <c r="AF110" i="2"/>
  <c r="AH62" i="11" s="1"/>
  <c r="AH77" i="11" s="1"/>
  <c r="AE110" i="2"/>
  <c r="AD110" i="2"/>
  <c r="AF62" i="11" s="1"/>
  <c r="AF77" i="11" s="1"/>
  <c r="AC110" i="2"/>
  <c r="AE62" i="11" s="1"/>
  <c r="AE77" i="11" s="1"/>
  <c r="AB110" i="2"/>
  <c r="AA110" i="2"/>
  <c r="AC62" i="11" s="1"/>
  <c r="AC77" i="11" s="1"/>
  <c r="Z110" i="2"/>
  <c r="Y110" i="2"/>
  <c r="AA62" i="11" s="1"/>
  <c r="AA77" i="11" s="1"/>
  <c r="X110" i="2"/>
  <c r="Z62" i="11" s="1"/>
  <c r="Z77" i="11" s="1"/>
  <c r="W110" i="2"/>
  <c r="V110" i="2"/>
  <c r="U110" i="2"/>
  <c r="T110" i="2"/>
  <c r="S110" i="2"/>
  <c r="R110" i="2"/>
  <c r="Q110" i="2"/>
  <c r="P110" i="2"/>
  <c r="R62" i="11" s="1"/>
  <c r="R77" i="11" s="1"/>
  <c r="O110" i="2"/>
  <c r="N110" i="2"/>
  <c r="P62" i="11" s="1"/>
  <c r="AK109" i="2"/>
  <c r="AJ109" i="2"/>
  <c r="AI109" i="2"/>
  <c r="AH109" i="2"/>
  <c r="AH112" i="2" s="1"/>
  <c r="AG109" i="2"/>
  <c r="AG112" i="2" s="1"/>
  <c r="AF109" i="2"/>
  <c r="AE109" i="2"/>
  <c r="AD109" i="2"/>
  <c r="AC109" i="2"/>
  <c r="AB109" i="2"/>
  <c r="AA109" i="2"/>
  <c r="Z109" i="2"/>
  <c r="AK108" i="2"/>
  <c r="AJ108" i="2"/>
  <c r="AI108" i="2"/>
  <c r="AH108" i="2"/>
  <c r="AJ56" i="11" s="1"/>
  <c r="AJ75" i="11" s="1"/>
  <c r="AG108" i="2"/>
  <c r="AI56" i="11" s="1"/>
  <c r="AI75" i="11" s="1"/>
  <c r="AF108" i="2"/>
  <c r="AE108" i="2"/>
  <c r="AD108" i="2"/>
  <c r="AC108" i="2"/>
  <c r="AB108" i="2"/>
  <c r="AD56" i="11" s="1"/>
  <c r="AD75" i="11" s="1"/>
  <c r="AA108" i="2"/>
  <c r="Z108" i="2"/>
  <c r="Y108" i="2"/>
  <c r="AA56" i="11" s="1"/>
  <c r="AA75" i="11" s="1"/>
  <c r="X108" i="2"/>
  <c r="W108" i="2"/>
  <c r="V108" i="2"/>
  <c r="U108" i="2"/>
  <c r="T108" i="2"/>
  <c r="S108" i="2"/>
  <c r="R108" i="2"/>
  <c r="T56" i="11" s="1"/>
  <c r="T75" i="11" s="1"/>
  <c r="Q108" i="2"/>
  <c r="S56" i="11" s="1"/>
  <c r="S75" i="11" s="1"/>
  <c r="P108" i="2"/>
  <c r="O108" i="2"/>
  <c r="N108" i="2"/>
  <c r="AF106" i="2"/>
  <c r="Y106" i="2"/>
  <c r="T106" i="2"/>
  <c r="R106" i="2"/>
  <c r="Q106" i="2"/>
  <c r="AR105" i="2"/>
  <c r="AR106" i="2" s="1"/>
  <c r="AQ105" i="2"/>
  <c r="AP105" i="2"/>
  <c r="AP106" i="2" s="1"/>
  <c r="AO105" i="2"/>
  <c r="AO106" i="2" s="1"/>
  <c r="AN105" i="2"/>
  <c r="AM105" i="2"/>
  <c r="AM106" i="2" s="1"/>
  <c r="AL105" i="2"/>
  <c r="AL106" i="2" s="1"/>
  <c r="AK105" i="2"/>
  <c r="AJ105" i="2"/>
  <c r="AJ106" i="2" s="1"/>
  <c r="AI105" i="2"/>
  <c r="AI106" i="2" s="1"/>
  <c r="AH105" i="2"/>
  <c r="AG105" i="2"/>
  <c r="AF105" i="2"/>
  <c r="AE105" i="2"/>
  <c r="AE106" i="2" s="1"/>
  <c r="AD105" i="2"/>
  <c r="AD106" i="2" s="1"/>
  <c r="AC105" i="2"/>
  <c r="AC106" i="2" s="1"/>
  <c r="AB105" i="2"/>
  <c r="AB106" i="2" s="1"/>
  <c r="AA105" i="2"/>
  <c r="Z105" i="2"/>
  <c r="Z106" i="2" s="1"/>
  <c r="E105" i="2"/>
  <c r="Y104" i="2"/>
  <c r="X104" i="2"/>
  <c r="X106" i="2" s="1"/>
  <c r="W104" i="2"/>
  <c r="V104" i="2"/>
  <c r="U104" i="2"/>
  <c r="U106" i="2" s="1"/>
  <c r="T104" i="2"/>
  <c r="V64" i="11" s="1"/>
  <c r="S104" i="2"/>
  <c r="U64" i="11" s="1"/>
  <c r="R104" i="2"/>
  <c r="Q104" i="2"/>
  <c r="S64" i="11" s="1"/>
  <c r="P104" i="2"/>
  <c r="P106" i="2" s="1"/>
  <c r="O104" i="2"/>
  <c r="O106" i="2" s="1"/>
  <c r="N104" i="2"/>
  <c r="N106" i="2" s="1"/>
  <c r="H104" i="2"/>
  <c r="AR99" i="2"/>
  <c r="AQ99" i="2"/>
  <c r="AS57" i="11" s="1"/>
  <c r="AP99" i="2"/>
  <c r="AO99" i="2"/>
  <c r="AQ57" i="11" s="1"/>
  <c r="AN99" i="2"/>
  <c r="AM99" i="2"/>
  <c r="AO57" i="11" s="1"/>
  <c r="AL99" i="2"/>
  <c r="AN57" i="11" s="1"/>
  <c r="AK99" i="2"/>
  <c r="AJ99" i="2"/>
  <c r="AL57" i="11" s="1"/>
  <c r="AI99" i="2"/>
  <c r="AH99" i="2"/>
  <c r="AG99" i="2"/>
  <c r="AI57" i="11" s="1"/>
  <c r="AF99" i="2"/>
  <c r="AE99" i="2"/>
  <c r="AD99" i="2"/>
  <c r="AF57" i="11" s="1"/>
  <c r="AC99" i="2"/>
  <c r="AB99" i="2"/>
  <c r="AA99" i="2"/>
  <c r="Z99" i="2"/>
  <c r="Y99" i="2"/>
  <c r="AA57" i="11" s="1"/>
  <c r="X99" i="2"/>
  <c r="W99" i="2"/>
  <c r="Y57" i="11" s="1"/>
  <c r="V99" i="2"/>
  <c r="X57" i="11" s="1"/>
  <c r="U99" i="2"/>
  <c r="T99" i="2"/>
  <c r="V57" i="11" s="1"/>
  <c r="S99" i="2"/>
  <c r="R99" i="2"/>
  <c r="T57" i="11" s="1"/>
  <c r="Q99" i="2"/>
  <c r="S57" i="11" s="1"/>
  <c r="P99" i="2"/>
  <c r="O99" i="2"/>
  <c r="N99" i="2"/>
  <c r="P57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H97" i="2" s="1"/>
  <c r="E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D50" i="11" s="1"/>
  <c r="AA95" i="2"/>
  <c r="Z95" i="2"/>
  <c r="AR94" i="2"/>
  <c r="AQ94" i="2"/>
  <c r="AP94" i="2"/>
  <c r="AO94" i="2"/>
  <c r="AN94" i="2"/>
  <c r="AM94" i="2"/>
  <c r="AL94" i="2"/>
  <c r="AK94" i="2"/>
  <c r="AJ94" i="2"/>
  <c r="AL50" i="11" s="1"/>
  <c r="K65" i="17" s="1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H93" i="2"/>
  <c r="AR92" i="2"/>
  <c r="AR98" i="2" s="1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E50" i="11" s="1"/>
  <c r="AB92" i="2"/>
  <c r="AA92" i="2"/>
  <c r="Z92" i="2"/>
  <c r="AR91" i="2"/>
  <c r="AQ91" i="2"/>
  <c r="AQ98" i="2" s="1"/>
  <c r="AP91" i="2"/>
  <c r="AO91" i="2"/>
  <c r="AN91" i="2"/>
  <c r="AP50" i="11" s="1"/>
  <c r="O65" i="17" s="1"/>
  <c r="AM91" i="2"/>
  <c r="AL91" i="2"/>
  <c r="I91" i="2" s="1"/>
  <c r="AK91" i="2"/>
  <c r="AM50" i="11" s="1"/>
  <c r="L65" i="17" s="1"/>
  <c r="AJ91" i="2"/>
  <c r="AI91" i="2"/>
  <c r="AH91" i="2"/>
  <c r="AG91" i="2"/>
  <c r="AF91" i="2"/>
  <c r="AH50" i="11" s="1"/>
  <c r="G65" i="17" s="1"/>
  <c r="AE91" i="2"/>
  <c r="AD91" i="2"/>
  <c r="AC91" i="2"/>
  <c r="AB91" i="2"/>
  <c r="AA91" i="2"/>
  <c r="AA98" i="2" s="1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S36" i="11" s="1"/>
  <c r="AP87" i="2"/>
  <c r="AO87" i="2"/>
  <c r="AN87" i="2"/>
  <c r="AP36" i="11" s="1"/>
  <c r="AM87" i="2"/>
  <c r="AO36" i="11" s="1"/>
  <c r="AL87" i="2"/>
  <c r="AK87" i="2"/>
  <c r="AJ87" i="2"/>
  <c r="AL36" i="11" s="1"/>
  <c r="K13" i="17" s="1"/>
  <c r="AI87" i="2"/>
  <c r="AH87" i="2"/>
  <c r="AG87" i="2"/>
  <c r="AF87" i="2"/>
  <c r="AE87" i="2"/>
  <c r="AD87" i="2"/>
  <c r="AC87" i="2"/>
  <c r="AB87" i="2"/>
  <c r="AA87" i="2"/>
  <c r="AC36" i="11" s="1"/>
  <c r="AC103" i="11" s="1"/>
  <c r="Z87" i="2"/>
  <c r="E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AG85" i="2"/>
  <c r="Q85" i="2"/>
  <c r="P85" i="2"/>
  <c r="P100" i="2" s="1"/>
  <c r="AR84" i="2"/>
  <c r="AQ84" i="2"/>
  <c r="AQ85" i="2" s="1"/>
  <c r="AP84" i="2"/>
  <c r="AR53" i="11" s="1"/>
  <c r="Q68" i="17" s="1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K84" i="2" s="1"/>
  <c r="E84" i="2"/>
  <c r="AR83" i="2"/>
  <c r="AT53" i="11" s="1"/>
  <c r="S68" i="17" s="1"/>
  <c r="AQ83" i="2"/>
  <c r="AP83" i="2"/>
  <c r="AO83" i="2"/>
  <c r="AN83" i="2"/>
  <c r="AM83" i="2"/>
  <c r="AM85" i="2" s="1"/>
  <c r="AL83" i="2"/>
  <c r="AK83" i="2"/>
  <c r="AJ83" i="2"/>
  <c r="AI83" i="2"/>
  <c r="AK53" i="11" s="1"/>
  <c r="J68" i="17" s="1"/>
  <c r="AH83" i="2"/>
  <c r="AJ53" i="11" s="1"/>
  <c r="I68" i="17" s="1"/>
  <c r="AG83" i="2"/>
  <c r="AF83" i="2"/>
  <c r="AH53" i="11" s="1"/>
  <c r="G68" i="17" s="1"/>
  <c r="AE83" i="2"/>
  <c r="AD83" i="2"/>
  <c r="AC83" i="2"/>
  <c r="AB83" i="2"/>
  <c r="AD53" i="11" s="1"/>
  <c r="AA83" i="2"/>
  <c r="Z83" i="2"/>
  <c r="AR82" i="2"/>
  <c r="AQ82" i="2"/>
  <c r="AP82" i="2"/>
  <c r="AO82" i="2"/>
  <c r="AN82" i="2"/>
  <c r="AM82" i="2"/>
  <c r="AL82" i="2"/>
  <c r="AL85" i="2" s="1"/>
  <c r="AK82" i="2"/>
  <c r="AJ82" i="2"/>
  <c r="AI82" i="2"/>
  <c r="AI85" i="2" s="1"/>
  <c r="AH82" i="2"/>
  <c r="AH85" i="2" s="1"/>
  <c r="AG82" i="2"/>
  <c r="AF82" i="2"/>
  <c r="AE82" i="2"/>
  <c r="AD82" i="2"/>
  <c r="AC82" i="2"/>
  <c r="AB82" i="2"/>
  <c r="AA82" i="2"/>
  <c r="Z82" i="2"/>
  <c r="Y82" i="2"/>
  <c r="X82" i="2"/>
  <c r="X85" i="2" s="1"/>
  <c r="W82" i="2"/>
  <c r="W85" i="2" s="1"/>
  <c r="V82" i="2"/>
  <c r="V85" i="2" s="1"/>
  <c r="U82" i="2"/>
  <c r="T82" i="2"/>
  <c r="T85" i="2" s="1"/>
  <c r="S82" i="2"/>
  <c r="S85" i="2" s="1"/>
  <c r="S100" i="2" s="1"/>
  <c r="R82" i="2"/>
  <c r="R85" i="2" s="1"/>
  <c r="Q82" i="2"/>
  <c r="P82" i="2"/>
  <c r="O82" i="2"/>
  <c r="O85" i="2" s="1"/>
  <c r="N82" i="2"/>
  <c r="N85" i="2" s="1"/>
  <c r="AR80" i="2"/>
  <c r="AQ80" i="2"/>
  <c r="AP80" i="2"/>
  <c r="AO80" i="2"/>
  <c r="AQ35" i="11" s="1"/>
  <c r="P12" i="17" s="1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61" i="11" s="1"/>
  <c r="AT83" i="11" s="1"/>
  <c r="AQ78" i="2"/>
  <c r="AP78" i="2"/>
  <c r="AR61" i="11" s="1"/>
  <c r="AR83" i="11" s="1"/>
  <c r="AO78" i="2"/>
  <c r="AN78" i="2"/>
  <c r="AP61" i="11" s="1"/>
  <c r="AP83" i="11" s="1"/>
  <c r="AM78" i="2"/>
  <c r="AO61" i="11" s="1"/>
  <c r="AO83" i="11" s="1"/>
  <c r="AL78" i="2"/>
  <c r="AK78" i="2"/>
  <c r="AM61" i="11" s="1"/>
  <c r="AM83" i="11" s="1"/>
  <c r="AJ78" i="2"/>
  <c r="AI78" i="2"/>
  <c r="AH78" i="2"/>
  <c r="AJ61" i="11" s="1"/>
  <c r="AJ83" i="11" s="1"/>
  <c r="AG78" i="2"/>
  <c r="AF78" i="2"/>
  <c r="AE78" i="2"/>
  <c r="AG61" i="11" s="1"/>
  <c r="AG83" i="11" s="1"/>
  <c r="AD78" i="2"/>
  <c r="AC78" i="2"/>
  <c r="AE61" i="11" s="1"/>
  <c r="AE83" i="11" s="1"/>
  <c r="AB78" i="2"/>
  <c r="AD61" i="11" s="1"/>
  <c r="AD83" i="11" s="1"/>
  <c r="AA78" i="2"/>
  <c r="Z78" i="2"/>
  <c r="Y78" i="2"/>
  <c r="X78" i="2"/>
  <c r="W78" i="2"/>
  <c r="Y61" i="11" s="1"/>
  <c r="Y83" i="11" s="1"/>
  <c r="V78" i="2"/>
  <c r="U78" i="2"/>
  <c r="W61" i="11" s="1"/>
  <c r="W83" i="11" s="1"/>
  <c r="T78" i="2"/>
  <c r="S78" i="2"/>
  <c r="R78" i="2"/>
  <c r="T61" i="11" s="1"/>
  <c r="T83" i="11" s="1"/>
  <c r="Q78" i="2"/>
  <c r="P78" i="2"/>
  <c r="O78" i="2"/>
  <c r="Q61" i="11" s="1"/>
  <c r="Q83" i="11" s="1"/>
  <c r="N78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Q76" i="2"/>
  <c r="AP76" i="2"/>
  <c r="AO76" i="2"/>
  <c r="AN76" i="2"/>
  <c r="AM76" i="2"/>
  <c r="AL76" i="2"/>
  <c r="AN43" i="11" s="1"/>
  <c r="M44" i="17" s="1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X43" i="11" s="1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H75" i="2"/>
  <c r="AR74" i="2"/>
  <c r="AQ74" i="2"/>
  <c r="AP74" i="2"/>
  <c r="AO74" i="2"/>
  <c r="AN74" i="2"/>
  <c r="AM74" i="2"/>
  <c r="AO52" i="11" s="1"/>
  <c r="N67" i="17" s="1"/>
  <c r="AL74" i="2"/>
  <c r="AK74" i="2"/>
  <c r="AM52" i="11" s="1"/>
  <c r="L67" i="17" s="1"/>
  <c r="AJ74" i="2"/>
  <c r="AI74" i="2"/>
  <c r="AH74" i="2"/>
  <c r="AJ52" i="11" s="1"/>
  <c r="I67" i="17" s="1"/>
  <c r="AG74" i="2"/>
  <c r="AI52" i="11" s="1"/>
  <c r="H67" i="17" s="1"/>
  <c r="AF74" i="2"/>
  <c r="AE74" i="2"/>
  <c r="AG52" i="11" s="1"/>
  <c r="AD74" i="2"/>
  <c r="AF52" i="11" s="1"/>
  <c r="AC74" i="2"/>
  <c r="AE52" i="11" s="1"/>
  <c r="AB74" i="2"/>
  <c r="AA74" i="2"/>
  <c r="Z74" i="2"/>
  <c r="Y74" i="2"/>
  <c r="X74" i="2"/>
  <c r="W74" i="2"/>
  <c r="V74" i="2"/>
  <c r="U74" i="2"/>
  <c r="W52" i="11" s="1"/>
  <c r="T74" i="2"/>
  <c r="S74" i="2"/>
  <c r="R74" i="2"/>
  <c r="T52" i="11" s="1"/>
  <c r="Q74" i="2"/>
  <c r="P74" i="2"/>
  <c r="O74" i="2"/>
  <c r="Q52" i="11" s="1"/>
  <c r="N74" i="2"/>
  <c r="P52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X65" i="11" s="1"/>
  <c r="U72" i="2"/>
  <c r="T72" i="2"/>
  <c r="S72" i="2"/>
  <c r="U65" i="11" s="1"/>
  <c r="R72" i="2"/>
  <c r="Q72" i="2"/>
  <c r="P72" i="2"/>
  <c r="O72" i="2"/>
  <c r="N72" i="2"/>
  <c r="I72" i="2"/>
  <c r="H72" i="2"/>
  <c r="Y71" i="2"/>
  <c r="X71" i="2"/>
  <c r="W71" i="2"/>
  <c r="K71" i="2" s="1"/>
  <c r="V71" i="2"/>
  <c r="U71" i="2"/>
  <c r="T71" i="2"/>
  <c r="S71" i="2"/>
  <c r="R71" i="2"/>
  <c r="Q71" i="2"/>
  <c r="P71" i="2"/>
  <c r="O71" i="2"/>
  <c r="N71" i="2"/>
  <c r="H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5" i="11" s="1"/>
  <c r="S70" i="17" s="1"/>
  <c r="AQ68" i="2"/>
  <c r="AP68" i="2"/>
  <c r="AO68" i="2"/>
  <c r="AN68" i="2"/>
  <c r="AM68" i="2"/>
  <c r="AL68" i="2"/>
  <c r="AK68" i="2"/>
  <c r="AJ68" i="2"/>
  <c r="AL55" i="11" s="1"/>
  <c r="K70" i="17" s="1"/>
  <c r="AI68" i="2"/>
  <c r="AH68" i="2"/>
  <c r="AJ55" i="11" s="1"/>
  <c r="I70" i="17" s="1"/>
  <c r="AG68" i="2"/>
  <c r="AI55" i="11" s="1"/>
  <c r="H70" i="17" s="1"/>
  <c r="AF68" i="2"/>
  <c r="AE68" i="2"/>
  <c r="AD68" i="2"/>
  <c r="AC68" i="2"/>
  <c r="AB68" i="2"/>
  <c r="AD55" i="11" s="1"/>
  <c r="AA68" i="2"/>
  <c r="Z68" i="2"/>
  <c r="Y68" i="2"/>
  <c r="X68" i="2"/>
  <c r="W68" i="2"/>
  <c r="V68" i="2"/>
  <c r="K68" i="2" s="1"/>
  <c r="U68" i="2"/>
  <c r="T68" i="2"/>
  <c r="V55" i="11" s="1"/>
  <c r="S68" i="2"/>
  <c r="R68" i="2"/>
  <c r="T55" i="11" s="1"/>
  <c r="Q68" i="2"/>
  <c r="P68" i="2"/>
  <c r="O68" i="2"/>
  <c r="N68" i="2"/>
  <c r="H68" i="2"/>
  <c r="AR67" i="2"/>
  <c r="AQ67" i="2"/>
  <c r="AP67" i="2"/>
  <c r="AO67" i="2"/>
  <c r="AN67" i="2"/>
  <c r="AM67" i="2"/>
  <c r="AL67" i="2"/>
  <c r="AK67" i="2"/>
  <c r="AJ67" i="2"/>
  <c r="AI67" i="2"/>
  <c r="AH67" i="2"/>
  <c r="AJ48" i="11" s="1"/>
  <c r="AG67" i="2"/>
  <c r="AF67" i="2"/>
  <c r="AE67" i="2"/>
  <c r="AD67" i="2"/>
  <c r="AC67" i="2"/>
  <c r="AB67" i="2"/>
  <c r="AA67" i="2"/>
  <c r="Z67" i="2"/>
  <c r="Y67" i="2"/>
  <c r="X67" i="2"/>
  <c r="W67" i="2"/>
  <c r="Y48" i="11" s="1"/>
  <c r="V67" i="2"/>
  <c r="U67" i="2"/>
  <c r="T67" i="2"/>
  <c r="S67" i="2"/>
  <c r="R67" i="2"/>
  <c r="T48" i="11" s="1"/>
  <c r="Q67" i="2"/>
  <c r="P67" i="2"/>
  <c r="O67" i="2"/>
  <c r="N67" i="2"/>
  <c r="AR66" i="2"/>
  <c r="AQ66" i="2"/>
  <c r="AQ69" i="2" s="1"/>
  <c r="AP66" i="2"/>
  <c r="AO66" i="2"/>
  <c r="AN66" i="2"/>
  <c r="AM66" i="2"/>
  <c r="AL66" i="2"/>
  <c r="AK66" i="2"/>
  <c r="AK69" i="2" s="1"/>
  <c r="AJ66" i="2"/>
  <c r="AI66" i="2"/>
  <c r="AH66" i="2"/>
  <c r="AH69" i="2" s="1"/>
  <c r="AG66" i="2"/>
  <c r="AG69" i="2" s="1"/>
  <c r="AF66" i="2"/>
  <c r="AE66" i="2"/>
  <c r="AD66" i="2"/>
  <c r="AC66" i="2"/>
  <c r="AC69" i="2" s="1"/>
  <c r="AB66" i="2"/>
  <c r="AA66" i="2"/>
  <c r="AA69" i="2" s="1"/>
  <c r="Z66" i="2"/>
  <c r="Y66" i="2"/>
  <c r="X66" i="2"/>
  <c r="X69" i="2" s="1"/>
  <c r="W66" i="2"/>
  <c r="V66" i="2"/>
  <c r="U66" i="2"/>
  <c r="U69" i="2" s="1"/>
  <c r="T66" i="2"/>
  <c r="S66" i="2"/>
  <c r="R66" i="2"/>
  <c r="R69" i="2" s="1"/>
  <c r="Q66" i="2"/>
  <c r="P66" i="2"/>
  <c r="O66" i="2"/>
  <c r="N66" i="2"/>
  <c r="AR64" i="2"/>
  <c r="AT59" i="11" s="1"/>
  <c r="AQ64" i="2"/>
  <c r="AP64" i="2"/>
  <c r="AO64" i="2"/>
  <c r="AQ59" i="11" s="1"/>
  <c r="AN64" i="2"/>
  <c r="AM64" i="2"/>
  <c r="AL64" i="2"/>
  <c r="AN59" i="11" s="1"/>
  <c r="AK64" i="2"/>
  <c r="AJ64" i="2"/>
  <c r="AL59" i="11" s="1"/>
  <c r="AI64" i="2"/>
  <c r="AH64" i="2"/>
  <c r="AG64" i="2"/>
  <c r="AI59" i="11" s="1"/>
  <c r="AF64" i="2"/>
  <c r="AE64" i="2"/>
  <c r="AD64" i="2"/>
  <c r="AC64" i="2"/>
  <c r="AB64" i="2"/>
  <c r="AD59" i="11" s="1"/>
  <c r="AA64" i="2"/>
  <c r="Z64" i="2"/>
  <c r="Y64" i="2"/>
  <c r="AA59" i="11" s="1"/>
  <c r="X64" i="2"/>
  <c r="W64" i="2"/>
  <c r="V64" i="2"/>
  <c r="X59" i="11" s="1"/>
  <c r="U64" i="2"/>
  <c r="T64" i="2"/>
  <c r="V59" i="11" s="1"/>
  <c r="S64" i="2"/>
  <c r="R64" i="2"/>
  <c r="Q64" i="2"/>
  <c r="S59" i="11" s="1"/>
  <c r="P64" i="2"/>
  <c r="O64" i="2"/>
  <c r="N64" i="2"/>
  <c r="AR63" i="2"/>
  <c r="AG96" i="16" s="1"/>
  <c r="AQ63" i="2"/>
  <c r="AP63" i="2"/>
  <c r="AO63" i="2"/>
  <c r="AN63" i="2"/>
  <c r="AM63" i="2"/>
  <c r="AL63" i="2"/>
  <c r="AK63" i="2"/>
  <c r="AJ63" i="2"/>
  <c r="AI63" i="2"/>
  <c r="X96" i="16" s="1"/>
  <c r="AH63" i="2"/>
  <c r="AG63" i="2"/>
  <c r="V96" i="16" s="1"/>
  <c r="AF63" i="2"/>
  <c r="U96" i="16" s="1"/>
  <c r="AE63" i="2"/>
  <c r="AD63" i="2"/>
  <c r="S96" i="16" s="1"/>
  <c r="AC63" i="2"/>
  <c r="AB63" i="2"/>
  <c r="AD31" i="11" s="1"/>
  <c r="AA63" i="2"/>
  <c r="P96" i="16" s="1"/>
  <c r="Z63" i="2"/>
  <c r="Y63" i="2"/>
  <c r="X63" i="2"/>
  <c r="W63" i="2"/>
  <c r="V63" i="2"/>
  <c r="U63" i="2"/>
  <c r="T63" i="2"/>
  <c r="S63" i="2"/>
  <c r="H96" i="16" s="1"/>
  <c r="R63" i="2"/>
  <c r="G96" i="16" s="1"/>
  <c r="Q63" i="2"/>
  <c r="F96" i="16" s="1"/>
  <c r="P63" i="2"/>
  <c r="O63" i="2"/>
  <c r="D96" i="16" s="1"/>
  <c r="N63" i="2"/>
  <c r="S62" i="2"/>
  <c r="AR61" i="2"/>
  <c r="AQ61" i="2"/>
  <c r="AS39" i="11" s="1"/>
  <c r="R16" i="17" s="1"/>
  <c r="AP61" i="2"/>
  <c r="AO61" i="2"/>
  <c r="AN61" i="2"/>
  <c r="AP39" i="11" s="1"/>
  <c r="O16" i="17" s="1"/>
  <c r="AM61" i="2"/>
  <c r="AL61" i="2"/>
  <c r="AK61" i="2"/>
  <c r="AJ61" i="2"/>
  <c r="AI61" i="2"/>
  <c r="AH61" i="2"/>
  <c r="AG61" i="2"/>
  <c r="AF61" i="2"/>
  <c r="AE61" i="2"/>
  <c r="AD61" i="2"/>
  <c r="AF39" i="11" s="1"/>
  <c r="AC61" i="2"/>
  <c r="AB61" i="2"/>
  <c r="AA61" i="2"/>
  <c r="AC39" i="11" s="1"/>
  <c r="Z61" i="2"/>
  <c r="Y61" i="2"/>
  <c r="X61" i="2"/>
  <c r="Z39" i="11" s="1"/>
  <c r="W61" i="2"/>
  <c r="V61" i="2"/>
  <c r="U61" i="2"/>
  <c r="T61" i="2"/>
  <c r="S61" i="2"/>
  <c r="R61" i="2"/>
  <c r="Q61" i="2"/>
  <c r="P61" i="2"/>
  <c r="O61" i="2"/>
  <c r="N61" i="2"/>
  <c r="P39" i="11" s="1"/>
  <c r="AR60" i="2"/>
  <c r="AQ60" i="2"/>
  <c r="AP60" i="2"/>
  <c r="AR39" i="11" s="1"/>
  <c r="Q16" i="17" s="1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E39" i="11" s="1"/>
  <c r="AB60" i="2"/>
  <c r="AA60" i="2"/>
  <c r="Z60" i="2"/>
  <c r="AB39" i="11" s="1"/>
  <c r="Y60" i="2"/>
  <c r="X60" i="2"/>
  <c r="W60" i="2"/>
  <c r="V60" i="2"/>
  <c r="U60" i="2"/>
  <c r="T60" i="2"/>
  <c r="V39" i="11" s="1"/>
  <c r="S60" i="2"/>
  <c r="R60" i="2"/>
  <c r="Q60" i="2"/>
  <c r="S39" i="11" s="1"/>
  <c r="P60" i="2"/>
  <c r="O60" i="2"/>
  <c r="N60" i="2"/>
  <c r="AR59" i="2"/>
  <c r="AQ59" i="2"/>
  <c r="AP59" i="2"/>
  <c r="AO59" i="2"/>
  <c r="AN59" i="2"/>
  <c r="AM59" i="2"/>
  <c r="AL59" i="2"/>
  <c r="I59" i="2" s="1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X39" i="11" s="1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M39" i="11" s="1"/>
  <c r="L16" i="17" s="1"/>
  <c r="AJ58" i="2"/>
  <c r="AI58" i="2"/>
  <c r="AH58" i="2"/>
  <c r="AG58" i="2"/>
  <c r="AF58" i="2"/>
  <c r="AE58" i="2"/>
  <c r="AD58" i="2"/>
  <c r="AC58" i="2"/>
  <c r="AB58" i="2"/>
  <c r="AA58" i="2"/>
  <c r="Z58" i="2"/>
  <c r="E58" i="2"/>
  <c r="AR57" i="2"/>
  <c r="AT39" i="11" s="1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G39" i="11" s="1"/>
  <c r="AD57" i="2"/>
  <c r="AC57" i="2"/>
  <c r="AB57" i="2"/>
  <c r="H57" i="2" s="1"/>
  <c r="AA57" i="2"/>
  <c r="Z57" i="2"/>
  <c r="Y57" i="2"/>
  <c r="AA39" i="11" s="1"/>
  <c r="X57" i="2"/>
  <c r="W57" i="2"/>
  <c r="V57" i="2"/>
  <c r="U57" i="2"/>
  <c r="T57" i="2"/>
  <c r="S57" i="2"/>
  <c r="R57" i="2"/>
  <c r="Q57" i="2"/>
  <c r="P57" i="2"/>
  <c r="O57" i="2"/>
  <c r="Q39" i="11" s="1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R62" i="2" s="1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L39" i="11" s="1"/>
  <c r="K16" i="17" s="1"/>
  <c r="AI55" i="2"/>
  <c r="AH55" i="2"/>
  <c r="AG55" i="2"/>
  <c r="AI39" i="11" s="1"/>
  <c r="H16" i="17" s="1"/>
  <c r="AF55" i="2"/>
  <c r="AE55" i="2"/>
  <c r="AD55" i="2"/>
  <c r="AC55" i="2"/>
  <c r="AB55" i="2"/>
  <c r="AA55" i="2"/>
  <c r="Z55" i="2"/>
  <c r="E55" i="2"/>
  <c r="AR53" i="2"/>
  <c r="AQ53" i="2"/>
  <c r="AS65" i="11" s="1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Q65" i="11" s="1"/>
  <c r="N51" i="2"/>
  <c r="AR46" i="2"/>
  <c r="AQ46" i="2"/>
  <c r="AP46" i="2"/>
  <c r="AO46" i="2"/>
  <c r="AN46" i="2"/>
  <c r="AP44" i="11" s="1"/>
  <c r="O45" i="17" s="1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E46" i="2"/>
  <c r="AR45" i="2"/>
  <c r="AT65" i="11" s="1"/>
  <c r="AQ45" i="2"/>
  <c r="AP45" i="2"/>
  <c r="AO45" i="2"/>
  <c r="AN45" i="2"/>
  <c r="AM45" i="2"/>
  <c r="AO65" i="11" s="1"/>
  <c r="AL45" i="2"/>
  <c r="AK45" i="2"/>
  <c r="AJ45" i="2"/>
  <c r="AI45" i="2"/>
  <c r="AH45" i="2"/>
  <c r="AG45" i="2"/>
  <c r="AF45" i="2"/>
  <c r="AE45" i="2"/>
  <c r="AG65" i="11" s="1"/>
  <c r="AD45" i="2"/>
  <c r="AC45" i="2"/>
  <c r="AB45" i="2"/>
  <c r="AD65" i="11" s="1"/>
  <c r="AA45" i="2"/>
  <c r="Z45" i="2"/>
  <c r="E45" i="2"/>
  <c r="AR44" i="2"/>
  <c r="AQ44" i="2"/>
  <c r="AP44" i="2"/>
  <c r="AO44" i="2"/>
  <c r="AN44" i="2"/>
  <c r="AP42" i="11" s="1"/>
  <c r="AM44" i="2"/>
  <c r="AL44" i="2"/>
  <c r="AK44" i="2"/>
  <c r="AM42" i="11" s="1"/>
  <c r="AJ44" i="2"/>
  <c r="AI44" i="2"/>
  <c r="AK42" i="11" s="1"/>
  <c r="J43" i="17" s="1"/>
  <c r="AH44" i="2"/>
  <c r="AJ42" i="11" s="1"/>
  <c r="AG44" i="2"/>
  <c r="AF44" i="2"/>
  <c r="AH42" i="11" s="1"/>
  <c r="AE44" i="2"/>
  <c r="AD44" i="2"/>
  <c r="AC44" i="2"/>
  <c r="AB44" i="2"/>
  <c r="AA44" i="2"/>
  <c r="Z44" i="2"/>
  <c r="Y44" i="2"/>
  <c r="X44" i="2"/>
  <c r="Z42" i="11" s="1"/>
  <c r="W44" i="2"/>
  <c r="V44" i="2"/>
  <c r="U44" i="2"/>
  <c r="W42" i="11" s="1"/>
  <c r="T44" i="2"/>
  <c r="S44" i="2"/>
  <c r="U42" i="11" s="1"/>
  <c r="R44" i="2"/>
  <c r="T42" i="11" s="1"/>
  <c r="Q44" i="2"/>
  <c r="P44" i="2"/>
  <c r="R42" i="11" s="1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I43" i="2"/>
  <c r="E43" i="2"/>
  <c r="AR42" i="2"/>
  <c r="AT49" i="11" s="1"/>
  <c r="S64" i="17" s="1"/>
  <c r="AQ42" i="2"/>
  <c r="AP42" i="2"/>
  <c r="AR49" i="11" s="1"/>
  <c r="AO42" i="2"/>
  <c r="AN42" i="2"/>
  <c r="AM42" i="2"/>
  <c r="AL42" i="2"/>
  <c r="AK42" i="2"/>
  <c r="AM49" i="11" s="1"/>
  <c r="AJ42" i="2"/>
  <c r="AI42" i="2"/>
  <c r="AH42" i="2"/>
  <c r="AJ49" i="11" s="1"/>
  <c r="AG42" i="2"/>
  <c r="AF42" i="2"/>
  <c r="AH49" i="11" s="1"/>
  <c r="AE42" i="2"/>
  <c r="AD42" i="2"/>
  <c r="AC42" i="2"/>
  <c r="AB42" i="2"/>
  <c r="AA42" i="2"/>
  <c r="Z42" i="2"/>
  <c r="AB49" i="11" s="1"/>
  <c r="Y42" i="2"/>
  <c r="X42" i="2"/>
  <c r="W42" i="2"/>
  <c r="V42" i="2"/>
  <c r="U42" i="2"/>
  <c r="W49" i="11" s="1"/>
  <c r="T42" i="2"/>
  <c r="S42" i="2"/>
  <c r="R42" i="2"/>
  <c r="T49" i="11" s="1"/>
  <c r="Q42" i="2"/>
  <c r="P42" i="2"/>
  <c r="R49" i="11" s="1"/>
  <c r="O42" i="2"/>
  <c r="N42" i="2"/>
  <c r="AR41" i="2"/>
  <c r="AT51" i="11" s="1"/>
  <c r="S66" i="17" s="1"/>
  <c r="AQ41" i="2"/>
  <c r="AP41" i="2"/>
  <c r="AO41" i="2"/>
  <c r="AN41" i="2"/>
  <c r="AM41" i="2"/>
  <c r="AL41" i="2"/>
  <c r="AK41" i="2"/>
  <c r="AJ41" i="2"/>
  <c r="AI41" i="2"/>
  <c r="AH41" i="2"/>
  <c r="AG41" i="2"/>
  <c r="AI51" i="11" s="1"/>
  <c r="H66" i="17" s="1"/>
  <c r="AF41" i="2"/>
  <c r="AE41" i="2"/>
  <c r="AG51" i="11" s="1"/>
  <c r="AD41" i="2"/>
  <c r="AF51" i="11" s="1"/>
  <c r="AC41" i="2"/>
  <c r="AB41" i="2"/>
  <c r="AD51" i="11" s="1"/>
  <c r="AA41" i="2"/>
  <c r="Z41" i="2"/>
  <c r="Y41" i="2"/>
  <c r="AA51" i="11" s="1"/>
  <c r="X41" i="2"/>
  <c r="W41" i="2"/>
  <c r="V41" i="2"/>
  <c r="U41" i="2"/>
  <c r="T41" i="2"/>
  <c r="S41" i="2"/>
  <c r="R41" i="2"/>
  <c r="Q41" i="2"/>
  <c r="S51" i="11" s="1"/>
  <c r="P41" i="2"/>
  <c r="O41" i="2"/>
  <c r="Q51" i="11" s="1"/>
  <c r="N41" i="2"/>
  <c r="P51" i="11" s="1"/>
  <c r="AR40" i="2"/>
  <c r="AT60" i="11" s="1"/>
  <c r="C160" i="11" s="1"/>
  <c r="K60" i="11" s="1"/>
  <c r="AQ40" i="2"/>
  <c r="AS60" i="11" s="1"/>
  <c r="AP40" i="2"/>
  <c r="AO40" i="2"/>
  <c r="AQ60" i="11" s="1"/>
  <c r="AN40" i="2"/>
  <c r="AM40" i="2"/>
  <c r="AL40" i="2"/>
  <c r="I40" i="2" s="1"/>
  <c r="AK40" i="2"/>
  <c r="AJ40" i="2"/>
  <c r="AI40" i="2"/>
  <c r="AH40" i="2"/>
  <c r="AG40" i="2"/>
  <c r="AI60" i="11" s="1"/>
  <c r="AF40" i="2"/>
  <c r="AH60" i="11" s="1"/>
  <c r="AE40" i="2"/>
  <c r="AD40" i="2"/>
  <c r="AF60" i="11" s="1"/>
  <c r="AC40" i="2"/>
  <c r="AB40" i="2"/>
  <c r="AD60" i="11" s="1"/>
  <c r="AA40" i="2"/>
  <c r="AC60" i="11" s="1"/>
  <c r="Z40" i="2"/>
  <c r="AB60" i="11" s="1"/>
  <c r="E40" i="2"/>
  <c r="AK39" i="2"/>
  <c r="AR38" i="2"/>
  <c r="AQ38" i="2"/>
  <c r="AP38" i="2"/>
  <c r="AO38" i="2"/>
  <c r="AN38" i="2"/>
  <c r="AM38" i="2"/>
  <c r="AL38" i="2"/>
  <c r="AN38" i="11" s="1"/>
  <c r="M15" i="17" s="1"/>
  <c r="K38" i="2"/>
  <c r="H38" i="2"/>
  <c r="E38" i="2"/>
  <c r="AR37" i="2"/>
  <c r="AG103" i="16" s="1"/>
  <c r="AQ37" i="2"/>
  <c r="AP37" i="2"/>
  <c r="AE103" i="16" s="1"/>
  <c r="AO37" i="2"/>
  <c r="AD103" i="16" s="1"/>
  <c r="AN37" i="2"/>
  <c r="AM37" i="2"/>
  <c r="AL37" i="2"/>
  <c r="AK37" i="2"/>
  <c r="Z103" i="16" s="1"/>
  <c r="AJ37" i="2"/>
  <c r="AI37" i="2"/>
  <c r="AH37" i="2"/>
  <c r="AJ34" i="11" s="1"/>
  <c r="AG37" i="2"/>
  <c r="AF37" i="2"/>
  <c r="U103" i="16" s="1"/>
  <c r="AE37" i="2"/>
  <c r="AD37" i="2"/>
  <c r="AC37" i="2"/>
  <c r="AE34" i="11" s="1"/>
  <c r="AE100" i="11" s="1"/>
  <c r="AB37" i="2"/>
  <c r="AA37" i="2"/>
  <c r="P103" i="16" s="1"/>
  <c r="Z37" i="2"/>
  <c r="O103" i="16" s="1"/>
  <c r="Y37" i="2"/>
  <c r="N103" i="16" s="1"/>
  <c r="X37" i="2"/>
  <c r="W37" i="2"/>
  <c r="L103" i="16" s="1"/>
  <c r="V37" i="2"/>
  <c r="U37" i="2"/>
  <c r="T37" i="2"/>
  <c r="S37" i="2"/>
  <c r="R37" i="2"/>
  <c r="Q37" i="2"/>
  <c r="P37" i="2"/>
  <c r="E103" i="16" s="1"/>
  <c r="O37" i="2"/>
  <c r="Q34" i="11" s="1"/>
  <c r="Q100" i="11" s="1"/>
  <c r="N37" i="2"/>
  <c r="AR36" i="2"/>
  <c r="AT37" i="11" s="1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G37" i="11" s="1"/>
  <c r="AD36" i="2"/>
  <c r="AC36" i="2"/>
  <c r="AB36" i="2"/>
  <c r="AD37" i="11" s="1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Q37" i="11" s="1"/>
  <c r="N36" i="2"/>
  <c r="AR35" i="2"/>
  <c r="AQ35" i="2"/>
  <c r="AS33" i="11" s="1"/>
  <c r="R10" i="17" s="1"/>
  <c r="AP35" i="2"/>
  <c r="AO35" i="2"/>
  <c r="AN35" i="2"/>
  <c r="AP33" i="11" s="1"/>
  <c r="O10" i="17" s="1"/>
  <c r="AM35" i="2"/>
  <c r="AL35" i="2"/>
  <c r="AK35" i="2"/>
  <c r="AJ35" i="2"/>
  <c r="AI35" i="2"/>
  <c r="AH35" i="2"/>
  <c r="AG35" i="2"/>
  <c r="AF35" i="2"/>
  <c r="AE35" i="2"/>
  <c r="AD35" i="2"/>
  <c r="AF33" i="11" s="1"/>
  <c r="AC35" i="2"/>
  <c r="AB35" i="2"/>
  <c r="AA35" i="2"/>
  <c r="AC33" i="11" s="1"/>
  <c r="Z35" i="2"/>
  <c r="Y35" i="2"/>
  <c r="X35" i="2"/>
  <c r="Z33" i="11" s="1"/>
  <c r="W35" i="2"/>
  <c r="V35" i="2"/>
  <c r="V39" i="2" s="1"/>
  <c r="U35" i="2"/>
  <c r="T35" i="2"/>
  <c r="S35" i="2"/>
  <c r="R35" i="2"/>
  <c r="Q35" i="2"/>
  <c r="P35" i="2"/>
  <c r="O35" i="2"/>
  <c r="N35" i="2"/>
  <c r="P33" i="11" s="1"/>
  <c r="AR34" i="2"/>
  <c r="AG99" i="16" s="1"/>
  <c r="AQ34" i="2"/>
  <c r="AP34" i="2"/>
  <c r="AE99" i="16" s="1"/>
  <c r="AO34" i="2"/>
  <c r="AD99" i="16" s="1"/>
  <c r="AN34" i="2"/>
  <c r="AM34" i="2"/>
  <c r="AO32" i="11" s="1"/>
  <c r="N9" i="17" s="1"/>
  <c r="AL34" i="2"/>
  <c r="AK34" i="2"/>
  <c r="AJ34" i="2"/>
  <c r="AJ39" i="2" s="1"/>
  <c r="AI34" i="2"/>
  <c r="AH34" i="2"/>
  <c r="AG34" i="2"/>
  <c r="AF34" i="2"/>
  <c r="AE34" i="2"/>
  <c r="T99" i="16" s="1"/>
  <c r="AD34" i="2"/>
  <c r="AC34" i="2"/>
  <c r="AB34" i="2"/>
  <c r="AB39" i="2" s="1"/>
  <c r="AA34" i="2"/>
  <c r="Z34" i="2"/>
  <c r="AB32" i="11" s="1"/>
  <c r="Y34" i="2"/>
  <c r="X34" i="2"/>
  <c r="W34" i="2"/>
  <c r="Y32" i="11" s="1"/>
  <c r="V34" i="2"/>
  <c r="U34" i="2"/>
  <c r="T34" i="2"/>
  <c r="I99" i="16" s="1"/>
  <c r="S34" i="2"/>
  <c r="R34" i="2"/>
  <c r="Q34" i="2"/>
  <c r="P34" i="2"/>
  <c r="O34" i="2"/>
  <c r="D99" i="16" s="1"/>
  <c r="N34" i="2"/>
  <c r="AR32" i="2"/>
  <c r="AT54" i="11" s="1"/>
  <c r="S69" i="17" s="1"/>
  <c r="AQ32" i="2"/>
  <c r="AS54" i="11" s="1"/>
  <c r="R69" i="17" s="1"/>
  <c r="AP32" i="2"/>
  <c r="AO32" i="2"/>
  <c r="AQ54" i="11" s="1"/>
  <c r="P69" i="17" s="1"/>
  <c r="AN32" i="2"/>
  <c r="AM32" i="2"/>
  <c r="AL32" i="2"/>
  <c r="AK32" i="2"/>
  <c r="AJ32" i="2"/>
  <c r="AI32" i="2"/>
  <c r="AK54" i="11" s="1"/>
  <c r="J69" i="17" s="1"/>
  <c r="AH32" i="2"/>
  <c r="AG32" i="2"/>
  <c r="AF32" i="2"/>
  <c r="AE32" i="2"/>
  <c r="AD32" i="2"/>
  <c r="AF54" i="11" s="1"/>
  <c r="AC32" i="2"/>
  <c r="AB32" i="2"/>
  <c r="AA32" i="2"/>
  <c r="AC54" i="11" s="1"/>
  <c r="Z32" i="2"/>
  <c r="E32" i="2"/>
  <c r="AR31" i="2"/>
  <c r="AQ31" i="2"/>
  <c r="AP31" i="2"/>
  <c r="AR63" i="11" s="1"/>
  <c r="AO31" i="2"/>
  <c r="AN31" i="2"/>
  <c r="AM31" i="2"/>
  <c r="AL31" i="2"/>
  <c r="AK31" i="2"/>
  <c r="AJ31" i="2"/>
  <c r="AI31" i="2"/>
  <c r="AH31" i="2"/>
  <c r="AG31" i="2"/>
  <c r="AI63" i="11" s="1"/>
  <c r="AF31" i="2"/>
  <c r="AE31" i="2"/>
  <c r="AG63" i="11" s="1"/>
  <c r="AD31" i="2"/>
  <c r="AF63" i="11" s="1"/>
  <c r="AC31" i="2"/>
  <c r="AE63" i="11" s="1"/>
  <c r="AB31" i="2"/>
  <c r="AA31" i="2"/>
  <c r="Z31" i="2"/>
  <c r="AB63" i="11" s="1"/>
  <c r="Y31" i="2"/>
  <c r="X31" i="2"/>
  <c r="W31" i="2"/>
  <c r="V31" i="2"/>
  <c r="U31" i="2"/>
  <c r="T31" i="2"/>
  <c r="S31" i="2"/>
  <c r="R31" i="2"/>
  <c r="Q31" i="2"/>
  <c r="P31" i="2"/>
  <c r="O31" i="2"/>
  <c r="Q63" i="11" s="1"/>
  <c r="N31" i="2"/>
  <c r="P63" i="11" s="1"/>
  <c r="AR28" i="2"/>
  <c r="AR27" i="2"/>
  <c r="AG53" i="10" s="1"/>
  <c r="AQ27" i="2"/>
  <c r="AF53" i="10" s="1"/>
  <c r="AP27" i="2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P53" i="10" s="1"/>
  <c r="Z27" i="2"/>
  <c r="E27" i="2"/>
  <c r="AR26" i="2"/>
  <c r="AG48" i="10" s="1"/>
  <c r="AQ26" i="2"/>
  <c r="AF48" i="10" s="1"/>
  <c r="AP26" i="2"/>
  <c r="AE48" i="10" s="1"/>
  <c r="AO26" i="2"/>
  <c r="AD48" i="10" s="1"/>
  <c r="AN26" i="2"/>
  <c r="AM26" i="2"/>
  <c r="AL26" i="2"/>
  <c r="AK26" i="2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W26" i="2"/>
  <c r="L48" i="10" s="1"/>
  <c r="V26" i="2"/>
  <c r="U26" i="2"/>
  <c r="T26" i="2"/>
  <c r="I48" i="10" s="1"/>
  <c r="S26" i="2"/>
  <c r="R26" i="2"/>
  <c r="G48" i="10" s="1"/>
  <c r="Q26" i="2"/>
  <c r="F48" i="10" s="1"/>
  <c r="P26" i="2"/>
  <c r="E48" i="10" s="1"/>
  <c r="O26" i="2"/>
  <c r="D48" i="10" s="1"/>
  <c r="N26" i="2"/>
  <c r="C48" i="10" s="1"/>
  <c r="AR25" i="2"/>
  <c r="AG54" i="10" s="1"/>
  <c r="AQ25" i="2"/>
  <c r="AF54" i="10" s="1"/>
  <c r="AP25" i="2"/>
  <c r="AE54" i="10" s="1"/>
  <c r="AO25" i="2"/>
  <c r="AD54" i="10" s="1"/>
  <c r="AN25" i="2"/>
  <c r="AM25" i="2"/>
  <c r="AL25" i="2"/>
  <c r="AA54" i="10" s="1"/>
  <c r="AK25" i="2"/>
  <c r="Z54" i="10" s="1"/>
  <c r="AJ25" i="2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AA25" i="2"/>
  <c r="P54" i="10" s="1"/>
  <c r="Z25" i="2"/>
  <c r="O54" i="10" s="1"/>
  <c r="Y25" i="2"/>
  <c r="N54" i="10" s="1"/>
  <c r="X25" i="2"/>
  <c r="M54" i="10" s="1"/>
  <c r="W25" i="2"/>
  <c r="V25" i="2"/>
  <c r="K54" i="10" s="1"/>
  <c r="U25" i="2"/>
  <c r="T25" i="2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K24" i="2"/>
  <c r="Z51" i="10" s="1"/>
  <c r="AJ24" i="2"/>
  <c r="Y51" i="10" s="1"/>
  <c r="AI24" i="2"/>
  <c r="AH24" i="2"/>
  <c r="W51" i="10" s="1"/>
  <c r="AG24" i="2"/>
  <c r="V51" i="10" s="1"/>
  <c r="AF24" i="2"/>
  <c r="U51" i="10" s="1"/>
  <c r="AE24" i="2"/>
  <c r="T51" i="10" s="1"/>
  <c r="AD24" i="2"/>
  <c r="S51" i="10" s="1"/>
  <c r="AC24" i="2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U24" i="2"/>
  <c r="J51" i="10" s="1"/>
  <c r="T24" i="2"/>
  <c r="I51" i="10" s="1"/>
  <c r="S24" i="2"/>
  <c r="R24" i="2"/>
  <c r="G51" i="10" s="1"/>
  <c r="Q24" i="2"/>
  <c r="F51" i="10" s="1"/>
  <c r="P24" i="2"/>
  <c r="E51" i="10" s="1"/>
  <c r="O24" i="2"/>
  <c r="D51" i="10" s="1"/>
  <c r="N24" i="2"/>
  <c r="C51" i="10" s="1"/>
  <c r="AR23" i="2"/>
  <c r="AG56" i="10" s="1"/>
  <c r="AQ23" i="2"/>
  <c r="AF56" i="10" s="1"/>
  <c r="AP23" i="2"/>
  <c r="AE56" i="10" s="1"/>
  <c r="AO23" i="2"/>
  <c r="AD56" i="10" s="1"/>
  <c r="AN23" i="2"/>
  <c r="AM23" i="2"/>
  <c r="AB56" i="10" s="1"/>
  <c r="AL23" i="2"/>
  <c r="AK23" i="2"/>
  <c r="Z56" i="10" s="1"/>
  <c r="AJ23" i="2"/>
  <c r="Y56" i="10" s="1"/>
  <c r="AI23" i="2"/>
  <c r="AH23" i="2"/>
  <c r="AJ13" i="11" s="1"/>
  <c r="H14" i="9" s="1"/>
  <c r="AG23" i="2"/>
  <c r="V56" i="10" s="1"/>
  <c r="AF23" i="2"/>
  <c r="U56" i="10" s="1"/>
  <c r="AE23" i="2"/>
  <c r="T56" i="10" s="1"/>
  <c r="AD23" i="2"/>
  <c r="AC23" i="2"/>
  <c r="R56" i="10" s="1"/>
  <c r="AB23" i="2"/>
  <c r="Q56" i="10" s="1"/>
  <c r="AA23" i="2"/>
  <c r="Z23" i="2"/>
  <c r="O56" i="10" s="1"/>
  <c r="Y23" i="2"/>
  <c r="N56" i="10" s="1"/>
  <c r="X23" i="2"/>
  <c r="W23" i="2"/>
  <c r="L56" i="10" s="1"/>
  <c r="V23" i="2"/>
  <c r="U23" i="2"/>
  <c r="T23" i="2"/>
  <c r="I56" i="10" s="1"/>
  <c r="S23" i="2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G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AI21" i="2"/>
  <c r="X52" i="10" s="1"/>
  <c r="AH21" i="2"/>
  <c r="W52" i="10" s="1"/>
  <c r="AG21" i="2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Z21" i="2"/>
  <c r="O52" i="10" s="1"/>
  <c r="Y21" i="2"/>
  <c r="N52" i="10" s="1"/>
  <c r="X21" i="2"/>
  <c r="M52" i="10" s="1"/>
  <c r="W21" i="2"/>
  <c r="V21" i="2"/>
  <c r="K52" i="10" s="1"/>
  <c r="U21" i="2"/>
  <c r="J52" i="10" s="1"/>
  <c r="T21" i="2"/>
  <c r="S21" i="2"/>
  <c r="H52" i="10" s="1"/>
  <c r="R21" i="2"/>
  <c r="G52" i="10" s="1"/>
  <c r="Q21" i="2"/>
  <c r="P21" i="2"/>
  <c r="E52" i="10" s="1"/>
  <c r="O21" i="2"/>
  <c r="D52" i="10" s="1"/>
  <c r="N21" i="2"/>
  <c r="C52" i="10" s="1"/>
  <c r="AF20" i="2"/>
  <c r="AC20" i="2"/>
  <c r="P20" i="2"/>
  <c r="AR19" i="2"/>
  <c r="AT10" i="11" s="1"/>
  <c r="AQ19" i="2"/>
  <c r="AP19" i="2"/>
  <c r="AE55" i="10" s="1"/>
  <c r="AO19" i="2"/>
  <c r="AD55" i="10" s="1"/>
  <c r="AN19" i="2"/>
  <c r="AC55" i="10" s="1"/>
  <c r="AM19" i="2"/>
  <c r="AB55" i="10" s="1"/>
  <c r="AL19" i="2"/>
  <c r="AA55" i="10" s="1"/>
  <c r="AK19" i="2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AK18" i="2"/>
  <c r="AJ18" i="2"/>
  <c r="AJ20" i="2" s="1"/>
  <c r="AI18" i="2"/>
  <c r="AH18" i="2"/>
  <c r="AH20" i="2" s="1"/>
  <c r="AG18" i="2"/>
  <c r="AF18" i="2"/>
  <c r="AE18" i="2"/>
  <c r="AD18" i="2"/>
  <c r="AD20" i="2" s="1"/>
  <c r="AC18" i="2"/>
  <c r="AB18" i="2"/>
  <c r="AB20" i="2" s="1"/>
  <c r="AA18" i="2"/>
  <c r="Z18" i="2"/>
  <c r="Y18" i="2"/>
  <c r="Y20" i="2" s="1"/>
  <c r="X18" i="2"/>
  <c r="X20" i="2" s="1"/>
  <c r="W18" i="2"/>
  <c r="W20" i="2" s="1"/>
  <c r="V18" i="2"/>
  <c r="V20" i="2" s="1"/>
  <c r="U18" i="2"/>
  <c r="T18" i="2"/>
  <c r="V14" i="11" s="1"/>
  <c r="S18" i="2"/>
  <c r="R18" i="2"/>
  <c r="R20" i="2" s="1"/>
  <c r="Q18" i="2"/>
  <c r="P18" i="2"/>
  <c r="O18" i="2"/>
  <c r="N18" i="2"/>
  <c r="AD16" i="2"/>
  <c r="T16" i="2"/>
  <c r="N16" i="2"/>
  <c r="AR15" i="2"/>
  <c r="AQ15" i="2"/>
  <c r="AP15" i="2"/>
  <c r="AO15" i="2"/>
  <c r="AN15" i="2"/>
  <c r="AN16" i="2" s="1"/>
  <c r="AM15" i="2"/>
  <c r="AL15" i="2"/>
  <c r="AK15" i="2"/>
  <c r="AM17" i="11" s="1"/>
  <c r="K18" i="9" s="1"/>
  <c r="AJ15" i="2"/>
  <c r="AI15" i="2"/>
  <c r="AH15" i="2"/>
  <c r="AJ17" i="11" s="1"/>
  <c r="H18" i="9" s="1"/>
  <c r="AG15" i="2"/>
  <c r="AF15" i="2"/>
  <c r="AE15" i="2"/>
  <c r="AG17" i="11" s="1"/>
  <c r="AD15" i="2"/>
  <c r="AC15" i="2"/>
  <c r="AB15" i="2"/>
  <c r="AA15" i="2"/>
  <c r="Z15" i="2"/>
  <c r="Y15" i="2"/>
  <c r="X15" i="2"/>
  <c r="X16" i="2" s="1"/>
  <c r="W15" i="2"/>
  <c r="V15" i="2"/>
  <c r="U15" i="2"/>
  <c r="W17" i="11" s="1"/>
  <c r="T15" i="2"/>
  <c r="S15" i="2"/>
  <c r="R15" i="2"/>
  <c r="T17" i="11" s="1"/>
  <c r="Q15" i="2"/>
  <c r="P15" i="2"/>
  <c r="O15" i="2"/>
  <c r="Q17" i="11" s="1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I14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W16" i="2" s="1"/>
  <c r="V13" i="2"/>
  <c r="U13" i="2"/>
  <c r="T13" i="2"/>
  <c r="S13" i="2"/>
  <c r="R13" i="2"/>
  <c r="Q13" i="2"/>
  <c r="P13" i="2"/>
  <c r="O13" i="2"/>
  <c r="N13" i="2"/>
  <c r="K13" i="2"/>
  <c r="AR12" i="2"/>
  <c r="AQ12" i="2"/>
  <c r="AP12" i="2"/>
  <c r="AP16" i="2" s="1"/>
  <c r="AO12" i="2"/>
  <c r="AN12" i="2"/>
  <c r="AM12" i="2"/>
  <c r="AO18" i="11" s="1"/>
  <c r="M19" i="9" s="1"/>
  <c r="AL12" i="2"/>
  <c r="AK12" i="2"/>
  <c r="AJ12" i="2"/>
  <c r="AJ16" i="2" s="1"/>
  <c r="AI12" i="2"/>
  <c r="AI16" i="2" s="1"/>
  <c r="AH12" i="2"/>
  <c r="AG12" i="2"/>
  <c r="AG16" i="2" s="1"/>
  <c r="AF12" i="2"/>
  <c r="AF16" i="2" s="1"/>
  <c r="AE12" i="2"/>
  <c r="AD12" i="2"/>
  <c r="AC12" i="2"/>
  <c r="AE18" i="11" s="1"/>
  <c r="AB12" i="2"/>
  <c r="AA12" i="2"/>
  <c r="Z12" i="2"/>
  <c r="Z16" i="2" s="1"/>
  <c r="Y12" i="2"/>
  <c r="X12" i="2"/>
  <c r="W12" i="2"/>
  <c r="Y18" i="11" s="1"/>
  <c r="V12" i="2"/>
  <c r="U12" i="2"/>
  <c r="T12" i="2"/>
  <c r="S12" i="2"/>
  <c r="S16" i="2" s="1"/>
  <c r="R12" i="2"/>
  <c r="Q12" i="2"/>
  <c r="Q16" i="2" s="1"/>
  <c r="P12" i="2"/>
  <c r="P16" i="2" s="1"/>
  <c r="O12" i="2"/>
  <c r="N12" i="2"/>
  <c r="AP10" i="2"/>
  <c r="AG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Q19" i="11" s="1"/>
  <c r="AN9" i="2"/>
  <c r="AM9" i="2"/>
  <c r="AL9" i="2"/>
  <c r="AK9" i="2"/>
  <c r="AJ9" i="2"/>
  <c r="AI9" i="2"/>
  <c r="AH9" i="2"/>
  <c r="AG9" i="2"/>
  <c r="AF9" i="2"/>
  <c r="AE9" i="2"/>
  <c r="AE10" i="2" s="1"/>
  <c r="AD9" i="2"/>
  <c r="AC9" i="2"/>
  <c r="AB9" i="2"/>
  <c r="AD19" i="11" s="1"/>
  <c r="AD28" i="11" s="1"/>
  <c r="AA9" i="2"/>
  <c r="Z9" i="2"/>
  <c r="E9" i="2"/>
  <c r="AR8" i="2"/>
  <c r="AQ8" i="2"/>
  <c r="AP8" i="2"/>
  <c r="AO8" i="2"/>
  <c r="AN8" i="2"/>
  <c r="AM8" i="2"/>
  <c r="AL8" i="2"/>
  <c r="AK8" i="2"/>
  <c r="AJ8" i="2"/>
  <c r="AI8" i="2"/>
  <c r="AI10" i="2" s="1"/>
  <c r="AH8" i="2"/>
  <c r="AG8" i="2"/>
  <c r="AF8" i="2"/>
  <c r="AE8" i="2"/>
  <c r="AD8" i="2"/>
  <c r="AD10" i="2" s="1"/>
  <c r="AC8" i="2"/>
  <c r="AC10" i="2" s="1"/>
  <c r="AB8" i="2"/>
  <c r="AA8" i="2"/>
  <c r="Z8" i="2"/>
  <c r="AB19" i="11" s="1"/>
  <c r="AB28" i="11" s="1"/>
  <c r="E8" i="2"/>
  <c r="K24" i="19"/>
  <c r="C24" i="19"/>
  <c r="B24" i="19"/>
  <c r="K23" i="19"/>
  <c r="C23" i="19"/>
  <c r="B23" i="19"/>
  <c r="K22" i="19"/>
  <c r="C22" i="19" s="1"/>
  <c r="B22" i="19"/>
  <c r="C21" i="19"/>
  <c r="B21" i="19"/>
  <c r="B10" i="19" s="1"/>
  <c r="K20" i="19"/>
  <c r="C20" i="19" s="1"/>
  <c r="B20" i="19"/>
  <c r="C19" i="19"/>
  <c r="C9" i="19" s="1"/>
  <c r="B19" i="19"/>
  <c r="K18" i="19"/>
  <c r="B18" i="19"/>
  <c r="K17" i="19"/>
  <c r="C17" i="19"/>
  <c r="B17" i="19"/>
  <c r="C16" i="19"/>
  <c r="B16" i="19"/>
  <c r="B8" i="19" s="1"/>
  <c r="K15" i="19"/>
  <c r="B15" i="19"/>
  <c r="B7" i="19" s="1"/>
  <c r="C10" i="19"/>
  <c r="B9" i="19"/>
  <c r="B2" i="1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AF103" i="16"/>
  <c r="AC103" i="16"/>
  <c r="AB103" i="16"/>
  <c r="AA103" i="16"/>
  <c r="Y103" i="16"/>
  <c r="X103" i="16"/>
  <c r="V103" i="16"/>
  <c r="S103" i="16"/>
  <c r="Q103" i="16"/>
  <c r="M103" i="16"/>
  <c r="K103" i="16"/>
  <c r="I103" i="16"/>
  <c r="H103" i="16"/>
  <c r="F103" i="16"/>
  <c r="C103" i="16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AF99" i="16"/>
  <c r="AC99" i="16"/>
  <c r="AA99" i="16"/>
  <c r="Z99" i="16"/>
  <c r="Y99" i="16"/>
  <c r="W99" i="16"/>
  <c r="V99" i="16"/>
  <c r="U99" i="16"/>
  <c r="S99" i="16"/>
  <c r="P99" i="16"/>
  <c r="O99" i="16"/>
  <c r="N99" i="16"/>
  <c r="K99" i="16"/>
  <c r="J99" i="16"/>
  <c r="G99" i="16"/>
  <c r="F99" i="16"/>
  <c r="E99" i="16"/>
  <c r="C99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AF96" i="16"/>
  <c r="AD96" i="16"/>
  <c r="AB96" i="16"/>
  <c r="AA96" i="16"/>
  <c r="Y96" i="16"/>
  <c r="W96" i="16"/>
  <c r="T96" i="16"/>
  <c r="R96" i="16"/>
  <c r="N96" i="16"/>
  <c r="L96" i="16"/>
  <c r="K96" i="16"/>
  <c r="I96" i="16"/>
  <c r="E96" i="16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I200" i="11"/>
  <c r="J199" i="11" s="1"/>
  <c r="G200" i="11"/>
  <c r="C200" i="11"/>
  <c r="D199" i="11" s="1"/>
  <c r="D200" i="11" s="1"/>
  <c r="C179" i="11"/>
  <c r="K103" i="11" s="1"/>
  <c r="K68" i="8" s="1"/>
  <c r="C168" i="11"/>
  <c r="B167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8" i="11"/>
  <c r="B145" i="11"/>
  <c r="B144" i="11"/>
  <c r="B143" i="11"/>
  <c r="B142" i="11"/>
  <c r="B141" i="11"/>
  <c r="B138" i="11"/>
  <c r="B137" i="11"/>
  <c r="B126" i="11"/>
  <c r="B125" i="11"/>
  <c r="B124" i="11"/>
  <c r="B123" i="11"/>
  <c r="B122" i="11"/>
  <c r="B121" i="11"/>
  <c r="B119" i="11"/>
  <c r="B118" i="11"/>
  <c r="B117" i="11"/>
  <c r="B116" i="11"/>
  <c r="B115" i="11"/>
  <c r="B114" i="11"/>
  <c r="B113" i="11"/>
  <c r="B112" i="11"/>
  <c r="B111" i="11"/>
  <c r="B74" i="11"/>
  <c r="S65" i="11"/>
  <c r="P65" i="11"/>
  <c r="AT64" i="11"/>
  <c r="AR64" i="11"/>
  <c r="AQ64" i="11"/>
  <c r="AO64" i="11"/>
  <c r="AN64" i="11"/>
  <c r="AL64" i="11"/>
  <c r="AH64" i="11"/>
  <c r="AG64" i="11"/>
  <c r="AF64" i="11"/>
  <c r="AE64" i="11"/>
  <c r="AD64" i="11"/>
  <c r="AB64" i="11"/>
  <c r="AA64" i="11"/>
  <c r="Z64" i="11"/>
  <c r="Y64" i="11"/>
  <c r="W64" i="11"/>
  <c r="T64" i="11"/>
  <c r="Q64" i="11"/>
  <c r="AT63" i="11"/>
  <c r="AS63" i="11"/>
  <c r="AQ63" i="11"/>
  <c r="AP63" i="11"/>
  <c r="AO63" i="11"/>
  <c r="AN63" i="11"/>
  <c r="AM63" i="11"/>
  <c r="AK63" i="11"/>
  <c r="AD63" i="11"/>
  <c r="AC63" i="11"/>
  <c r="AA63" i="11"/>
  <c r="Z63" i="11"/>
  <c r="Y63" i="11"/>
  <c r="X63" i="11"/>
  <c r="W63" i="11"/>
  <c r="U63" i="11"/>
  <c r="S63" i="11"/>
  <c r="AT62" i="11"/>
  <c r="AT77" i="11" s="1"/>
  <c r="AR62" i="11"/>
  <c r="AR77" i="11" s="1"/>
  <c r="AP62" i="11"/>
  <c r="AP77" i="11" s="1"/>
  <c r="AO62" i="11"/>
  <c r="AO77" i="11" s="1"/>
  <c r="AM62" i="11"/>
  <c r="AM77" i="11" s="1"/>
  <c r="AL62" i="11"/>
  <c r="AL77" i="11" s="1"/>
  <c r="AJ62" i="11"/>
  <c r="AJ77" i="11" s="1"/>
  <c r="AI62" i="11"/>
  <c r="AI77" i="11" s="1"/>
  <c r="AG62" i="11"/>
  <c r="AG77" i="11" s="1"/>
  <c r="AB62" i="11"/>
  <c r="AB77" i="11" s="1"/>
  <c r="Y62" i="11"/>
  <c r="Y77" i="11" s="1"/>
  <c r="X62" i="11"/>
  <c r="X77" i="11" s="1"/>
  <c r="W62" i="11"/>
  <c r="W77" i="11" s="1"/>
  <c r="V62" i="11"/>
  <c r="V77" i="11" s="1"/>
  <c r="U62" i="11"/>
  <c r="U77" i="11" s="1"/>
  <c r="T62" i="11"/>
  <c r="T77" i="11" s="1"/>
  <c r="S62" i="11"/>
  <c r="S77" i="11" s="1"/>
  <c r="Q62" i="11"/>
  <c r="Q77" i="11" s="1"/>
  <c r="AS61" i="11"/>
  <c r="AS83" i="11" s="1"/>
  <c r="AQ61" i="11"/>
  <c r="AQ83" i="11" s="1"/>
  <c r="AN61" i="11"/>
  <c r="AN83" i="11" s="1"/>
  <c r="AL61" i="11"/>
  <c r="AL83" i="11" s="1"/>
  <c r="AK61" i="11"/>
  <c r="AK83" i="11" s="1"/>
  <c r="AI61" i="11"/>
  <c r="AI83" i="11" s="1"/>
  <c r="AH61" i="11"/>
  <c r="AH83" i="11" s="1"/>
  <c r="AF61" i="11"/>
  <c r="AF83" i="11" s="1"/>
  <c r="AC61" i="11"/>
  <c r="AC83" i="11" s="1"/>
  <c r="AA61" i="11"/>
  <c r="AA83" i="11" s="1"/>
  <c r="Z61" i="11"/>
  <c r="Z83" i="11" s="1"/>
  <c r="X61" i="11"/>
  <c r="X83" i="11" s="1"/>
  <c r="V61" i="11"/>
  <c r="V83" i="11" s="1"/>
  <c r="U61" i="11"/>
  <c r="U83" i="11" s="1"/>
  <c r="S61" i="11"/>
  <c r="S83" i="11" s="1"/>
  <c r="R61" i="11"/>
  <c r="R83" i="11" s="1"/>
  <c r="P61" i="11"/>
  <c r="P83" i="11" s="1"/>
  <c r="AR60" i="11"/>
  <c r="AP60" i="11"/>
  <c r="AO60" i="11"/>
  <c r="AN60" i="11"/>
  <c r="AM60" i="11"/>
  <c r="AL60" i="11"/>
  <c r="AK60" i="11"/>
  <c r="AJ60" i="11"/>
  <c r="AG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S59" i="11"/>
  <c r="AR59" i="11"/>
  <c r="AP59" i="11"/>
  <c r="AO59" i="11"/>
  <c r="AM59" i="11"/>
  <c r="AK59" i="11"/>
  <c r="AJ59" i="11"/>
  <c r="AH59" i="11"/>
  <c r="AG59" i="11"/>
  <c r="AF59" i="11"/>
  <c r="AE59" i="11"/>
  <c r="AC59" i="11"/>
  <c r="AB59" i="11"/>
  <c r="Z59" i="11"/>
  <c r="Y59" i="11"/>
  <c r="W59" i="11"/>
  <c r="U59" i="11"/>
  <c r="T59" i="11"/>
  <c r="R59" i="11"/>
  <c r="Q59" i="11"/>
  <c r="P59" i="11"/>
  <c r="AT58" i="11"/>
  <c r="AT76" i="11" s="1"/>
  <c r="AQ58" i="11"/>
  <c r="AQ76" i="11" s="1"/>
  <c r="AN58" i="11"/>
  <c r="AN76" i="11" s="1"/>
  <c r="AM58" i="11"/>
  <c r="AM76" i="11" s="1"/>
  <c r="AL58" i="11"/>
  <c r="AL76" i="11" s="1"/>
  <c r="AK58" i="11"/>
  <c r="AK76" i="11" s="1"/>
  <c r="AJ58" i="11"/>
  <c r="AJ76" i="11" s="1"/>
  <c r="AI58" i="11"/>
  <c r="AI76" i="11" s="1"/>
  <c r="AH58" i="11"/>
  <c r="AH76" i="11" s="1"/>
  <c r="AF58" i="11"/>
  <c r="AF76" i="11" s="1"/>
  <c r="X58" i="11"/>
  <c r="X76" i="11" s="1"/>
  <c r="W58" i="11"/>
  <c r="W76" i="11" s="1"/>
  <c r="V58" i="11"/>
  <c r="V76" i="11" s="1"/>
  <c r="U58" i="11"/>
  <c r="U76" i="11" s="1"/>
  <c r="T58" i="11"/>
  <c r="T76" i="11" s="1"/>
  <c r="S58" i="11"/>
  <c r="S76" i="11" s="1"/>
  <c r="R58" i="11"/>
  <c r="R76" i="11" s="1"/>
  <c r="P58" i="11"/>
  <c r="P76" i="11" s="1"/>
  <c r="AT57" i="11"/>
  <c r="AR57" i="11"/>
  <c r="AP57" i="11"/>
  <c r="AM57" i="11"/>
  <c r="AK57" i="11"/>
  <c r="AJ57" i="11"/>
  <c r="AH57" i="11"/>
  <c r="AG57" i="11"/>
  <c r="AE57" i="11"/>
  <c r="AD57" i="11"/>
  <c r="AB57" i="11"/>
  <c r="Z57" i="11"/>
  <c r="W57" i="11"/>
  <c r="U57" i="11"/>
  <c r="R57" i="11"/>
  <c r="Q57" i="11"/>
  <c r="AT56" i="11"/>
  <c r="AT75" i="11" s="1"/>
  <c r="AS56" i="11"/>
  <c r="AS75" i="11" s="1"/>
  <c r="AR56" i="11"/>
  <c r="AR75" i="11" s="1"/>
  <c r="AQ56" i="11"/>
  <c r="AQ75" i="11" s="1"/>
  <c r="AP56" i="11"/>
  <c r="AP75" i="11" s="1"/>
  <c r="AO56" i="11"/>
  <c r="AO75" i="11" s="1"/>
  <c r="AN56" i="11"/>
  <c r="AN75" i="11" s="1"/>
  <c r="AM56" i="11"/>
  <c r="AM75" i="11" s="1"/>
  <c r="AH56" i="11"/>
  <c r="AH75" i="11" s="1"/>
  <c r="AE56" i="11"/>
  <c r="AE75" i="11" s="1"/>
  <c r="AC56" i="11"/>
  <c r="AC75" i="11" s="1"/>
  <c r="AB56" i="11"/>
  <c r="AB75" i="11" s="1"/>
  <c r="Z56" i="11"/>
  <c r="Z75" i="11" s="1"/>
  <c r="Y56" i="11"/>
  <c r="Y75" i="11" s="1"/>
  <c r="W56" i="11"/>
  <c r="W75" i="11" s="1"/>
  <c r="V56" i="11"/>
  <c r="V75" i="11" s="1"/>
  <c r="R56" i="11"/>
  <c r="R75" i="11" s="1"/>
  <c r="AS55" i="11"/>
  <c r="R70" i="17" s="1"/>
  <c r="AR55" i="11"/>
  <c r="Q70" i="17" s="1"/>
  <c r="AP55" i="11"/>
  <c r="O70" i="17" s="1"/>
  <c r="AO55" i="11"/>
  <c r="N70" i="17" s="1"/>
  <c r="AM55" i="11"/>
  <c r="L70" i="17" s="1"/>
  <c r="AK55" i="11"/>
  <c r="J70" i="17" s="1"/>
  <c r="AH55" i="11"/>
  <c r="G70" i="17" s="1"/>
  <c r="AG55" i="11"/>
  <c r="AF55" i="11"/>
  <c r="AE55" i="11"/>
  <c r="AC55" i="11"/>
  <c r="AB55" i="11"/>
  <c r="Z55" i="11"/>
  <c r="Y55" i="11"/>
  <c r="X55" i="11"/>
  <c r="W55" i="11"/>
  <c r="U55" i="11"/>
  <c r="S55" i="11"/>
  <c r="R55" i="11"/>
  <c r="Q55" i="11"/>
  <c r="P55" i="11"/>
  <c r="AR54" i="11"/>
  <c r="Q69" i="17" s="1"/>
  <c r="AP54" i="11"/>
  <c r="O69" i="17" s="1"/>
  <c r="AO54" i="11"/>
  <c r="N69" i="17" s="1"/>
  <c r="AN54" i="11"/>
  <c r="M69" i="17" s="1"/>
  <c r="AM54" i="11"/>
  <c r="L69" i="17" s="1"/>
  <c r="AL54" i="11"/>
  <c r="K69" i="17" s="1"/>
  <c r="AJ54" i="11"/>
  <c r="I69" i="17" s="1"/>
  <c r="AI54" i="11"/>
  <c r="H69" i="17" s="1"/>
  <c r="AH54" i="11"/>
  <c r="G69" i="17" s="1"/>
  <c r="AG54" i="11"/>
  <c r="AE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AQ53" i="11"/>
  <c r="P68" i="17" s="1"/>
  <c r="AP53" i="11"/>
  <c r="O68" i="17" s="1"/>
  <c r="AN53" i="11"/>
  <c r="M68" i="17" s="1"/>
  <c r="AM53" i="11"/>
  <c r="L68" i="17" s="1"/>
  <c r="AL53" i="11"/>
  <c r="K68" i="17" s="1"/>
  <c r="AI53" i="11"/>
  <c r="H68" i="17" s="1"/>
  <c r="AF53" i="11"/>
  <c r="AE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S67" i="17" s="1"/>
  <c r="AS52" i="11"/>
  <c r="R67" i="17" s="1"/>
  <c r="AR52" i="11"/>
  <c r="Q67" i="17" s="1"/>
  <c r="AQ52" i="11"/>
  <c r="P67" i="17" s="1"/>
  <c r="AP52" i="11"/>
  <c r="O67" i="17" s="1"/>
  <c r="AN52" i="11"/>
  <c r="M67" i="17" s="1"/>
  <c r="AL52" i="11"/>
  <c r="K67" i="17" s="1"/>
  <c r="AK52" i="11"/>
  <c r="J67" i="17" s="1"/>
  <c r="AH52" i="11"/>
  <c r="G67" i="17" s="1"/>
  <c r="AD52" i="11"/>
  <c r="AC52" i="11"/>
  <c r="AB52" i="11"/>
  <c r="AA52" i="11"/>
  <c r="Z52" i="11"/>
  <c r="Y52" i="11"/>
  <c r="X52" i="11"/>
  <c r="V52" i="11"/>
  <c r="U52" i="11"/>
  <c r="S52" i="11"/>
  <c r="R52" i="11"/>
  <c r="AS51" i="11"/>
  <c r="R66" i="17" s="1"/>
  <c r="AR51" i="11"/>
  <c r="Q66" i="17" s="1"/>
  <c r="AQ51" i="11"/>
  <c r="P66" i="17" s="1"/>
  <c r="AP51" i="11"/>
  <c r="O66" i="17" s="1"/>
  <c r="AO51" i="11"/>
  <c r="N66" i="17" s="1"/>
  <c r="AN51" i="11"/>
  <c r="M66" i="17" s="1"/>
  <c r="AM51" i="11"/>
  <c r="L66" i="17" s="1"/>
  <c r="AL51" i="11"/>
  <c r="K66" i="17" s="1"/>
  <c r="AK51" i="11"/>
  <c r="J66" i="17" s="1"/>
  <c r="AJ51" i="11"/>
  <c r="I66" i="17" s="1"/>
  <c r="AH51" i="11"/>
  <c r="G66" i="17" s="1"/>
  <c r="AE51" i="11"/>
  <c r="AC51" i="11"/>
  <c r="AB51" i="11"/>
  <c r="Z51" i="11"/>
  <c r="Y51" i="11"/>
  <c r="X51" i="11"/>
  <c r="W51" i="11"/>
  <c r="V51" i="11"/>
  <c r="U51" i="11"/>
  <c r="T51" i="11"/>
  <c r="R51" i="11"/>
  <c r="AT50" i="11"/>
  <c r="S65" i="17" s="1"/>
  <c r="AS50" i="11"/>
  <c r="R65" i="17" s="1"/>
  <c r="AQ50" i="11"/>
  <c r="P65" i="17" s="1"/>
  <c r="AJ50" i="11"/>
  <c r="I65" i="17" s="1"/>
  <c r="AI50" i="11"/>
  <c r="H65" i="17" s="1"/>
  <c r="AG50" i="11"/>
  <c r="AF50" i="11"/>
  <c r="AC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S49" i="11"/>
  <c r="AQ49" i="11"/>
  <c r="AP49" i="11"/>
  <c r="O64" i="17" s="1"/>
  <c r="AO49" i="11"/>
  <c r="AN49" i="11"/>
  <c r="AL49" i="11"/>
  <c r="AK49" i="11"/>
  <c r="AI49" i="11"/>
  <c r="AG49" i="11"/>
  <c r="AF49" i="11"/>
  <c r="AD49" i="11"/>
  <c r="AC49" i="11"/>
  <c r="AA49" i="11"/>
  <c r="Z49" i="11"/>
  <c r="Y49" i="11"/>
  <c r="X49" i="11"/>
  <c r="V49" i="11"/>
  <c r="U49" i="11"/>
  <c r="S49" i="11"/>
  <c r="Q49" i="11"/>
  <c r="P49" i="11"/>
  <c r="AT48" i="11"/>
  <c r="AS48" i="11"/>
  <c r="AR48" i="11"/>
  <c r="AQ48" i="11"/>
  <c r="AP48" i="11"/>
  <c r="AN48" i="11"/>
  <c r="AM48" i="11"/>
  <c r="AL48" i="11"/>
  <c r="AK48" i="11"/>
  <c r="AI48" i="11"/>
  <c r="AH48" i="11"/>
  <c r="AG48" i="11"/>
  <c r="AF48" i="11"/>
  <c r="AE48" i="11"/>
  <c r="AD48" i="11"/>
  <c r="AC48" i="11"/>
  <c r="AB48" i="11"/>
  <c r="AA48" i="11"/>
  <c r="Z48" i="11"/>
  <c r="X48" i="11"/>
  <c r="W48" i="11"/>
  <c r="V48" i="11"/>
  <c r="U48" i="11"/>
  <c r="S48" i="11"/>
  <c r="R48" i="11"/>
  <c r="Q48" i="11"/>
  <c r="P48" i="11"/>
  <c r="AT45" i="11"/>
  <c r="AS45" i="11"/>
  <c r="R46" i="17" s="1"/>
  <c r="AR45" i="11"/>
  <c r="Q46" i="17" s="1"/>
  <c r="AQ45" i="11"/>
  <c r="P46" i="17" s="1"/>
  <c r="AP45" i="11"/>
  <c r="O46" i="17" s="1"/>
  <c r="AO45" i="11"/>
  <c r="N46" i="17" s="1"/>
  <c r="AN45" i="11"/>
  <c r="M46" i="17" s="1"/>
  <c r="AM45" i="11"/>
  <c r="L46" i="17" s="1"/>
  <c r="AL45" i="11"/>
  <c r="K46" i="17" s="1"/>
  <c r="AK45" i="11"/>
  <c r="J46" i="17" s="1"/>
  <c r="AJ45" i="11"/>
  <c r="I46" i="17" s="1"/>
  <c r="AI45" i="11"/>
  <c r="H46" i="17" s="1"/>
  <c r="AH45" i="11"/>
  <c r="G46" i="17" s="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AT44" i="11"/>
  <c r="AS44" i="11"/>
  <c r="R45" i="17" s="1"/>
  <c r="AR44" i="11"/>
  <c r="Q45" i="17" s="1"/>
  <c r="AQ44" i="11"/>
  <c r="P45" i="17" s="1"/>
  <c r="AO44" i="11"/>
  <c r="N45" i="17" s="1"/>
  <c r="AN44" i="11"/>
  <c r="M45" i="17" s="1"/>
  <c r="AM44" i="11"/>
  <c r="L45" i="17" s="1"/>
  <c r="AL44" i="11"/>
  <c r="K45" i="17" s="1"/>
  <c r="AK44" i="11"/>
  <c r="J45" i="17" s="1"/>
  <c r="AJ44" i="11"/>
  <c r="I45" i="17" s="1"/>
  <c r="AI44" i="11"/>
  <c r="H45" i="17" s="1"/>
  <c r="AH44" i="11"/>
  <c r="G45" i="17" s="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3" i="11"/>
  <c r="AS43" i="11"/>
  <c r="R44" i="17" s="1"/>
  <c r="AR43" i="11"/>
  <c r="Q44" i="17" s="1"/>
  <c r="AQ43" i="11"/>
  <c r="P44" i="17" s="1"/>
  <c r="AP43" i="11"/>
  <c r="O44" i="17" s="1"/>
  <c r="AO43" i="11"/>
  <c r="N44" i="17" s="1"/>
  <c r="AM43" i="11"/>
  <c r="L44" i="17" s="1"/>
  <c r="AL43" i="11"/>
  <c r="K44" i="17" s="1"/>
  <c r="AK43" i="11"/>
  <c r="J44" i="17" s="1"/>
  <c r="AJ43" i="11"/>
  <c r="I44" i="17" s="1"/>
  <c r="AI43" i="11"/>
  <c r="H44" i="17" s="1"/>
  <c r="AH43" i="11"/>
  <c r="G44" i="17" s="1"/>
  <c r="AG43" i="11"/>
  <c r="AF43" i="11"/>
  <c r="AE43" i="11"/>
  <c r="AD43" i="11"/>
  <c r="AC43" i="11"/>
  <c r="AB43" i="11"/>
  <c r="AA43" i="11"/>
  <c r="Z43" i="11"/>
  <c r="Y43" i="11"/>
  <c r="W43" i="11"/>
  <c r="V43" i="11"/>
  <c r="U43" i="11"/>
  <c r="T43" i="11"/>
  <c r="S43" i="11"/>
  <c r="R43" i="11"/>
  <c r="Q43" i="11"/>
  <c r="P43" i="11"/>
  <c r="AT42" i="11"/>
  <c r="AS42" i="11"/>
  <c r="AR42" i="11"/>
  <c r="AQ42" i="11"/>
  <c r="AO42" i="11"/>
  <c r="N43" i="17" s="1"/>
  <c r="AN42" i="11"/>
  <c r="AL42" i="11"/>
  <c r="AI42" i="11"/>
  <c r="AG42" i="11"/>
  <c r="AF42" i="11"/>
  <c r="AE42" i="11"/>
  <c r="AD42" i="11"/>
  <c r="AC42" i="11"/>
  <c r="AB42" i="11"/>
  <c r="AA42" i="11"/>
  <c r="Y42" i="11"/>
  <c r="X42" i="11"/>
  <c r="V42" i="11"/>
  <c r="S42" i="11"/>
  <c r="Q42" i="11"/>
  <c r="P42" i="11"/>
  <c r="AQ39" i="11"/>
  <c r="P16" i="17" s="1"/>
  <c r="AK39" i="11"/>
  <c r="J16" i="17" s="1"/>
  <c r="AH39" i="11"/>
  <c r="G16" i="17" s="1"/>
  <c r="W39" i="11"/>
  <c r="U39" i="11"/>
  <c r="R39" i="11"/>
  <c r="AT38" i="11"/>
  <c r="AS38" i="11"/>
  <c r="R15" i="17" s="1"/>
  <c r="AR38" i="11"/>
  <c r="Q15" i="17" s="1"/>
  <c r="AQ38" i="11"/>
  <c r="P15" i="17" s="1"/>
  <c r="AP38" i="11"/>
  <c r="O15" i="17" s="1"/>
  <c r="AO38" i="11"/>
  <c r="N15" i="17" s="1"/>
  <c r="AM38" i="11"/>
  <c r="L15" i="17" s="1"/>
  <c r="AL38" i="11"/>
  <c r="K15" i="17" s="1"/>
  <c r="AK38" i="11"/>
  <c r="J15" i="17" s="1"/>
  <c r="AJ38" i="11"/>
  <c r="I15" i="17" s="1"/>
  <c r="AI38" i="11"/>
  <c r="H15" i="17" s="1"/>
  <c r="AH38" i="11"/>
  <c r="G15" i="17" s="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S37" i="11"/>
  <c r="R14" i="17" s="1"/>
  <c r="AR37" i="11"/>
  <c r="Q14" i="17" s="1"/>
  <c r="AQ37" i="11"/>
  <c r="P14" i="17" s="1"/>
  <c r="AP37" i="11"/>
  <c r="O14" i="17" s="1"/>
  <c r="AO37" i="11"/>
  <c r="N14" i="17" s="1"/>
  <c r="AN37" i="11"/>
  <c r="M14" i="17" s="1"/>
  <c r="AM37" i="11"/>
  <c r="L14" i="17" s="1"/>
  <c r="AL37" i="11"/>
  <c r="K14" i="17" s="1"/>
  <c r="AK37" i="11"/>
  <c r="J14" i="17" s="1"/>
  <c r="AJ37" i="11"/>
  <c r="I14" i="17" s="1"/>
  <c r="AI37" i="11"/>
  <c r="H14" i="17" s="1"/>
  <c r="AH37" i="11"/>
  <c r="G14" i="17" s="1"/>
  <c r="AE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AT36" i="11"/>
  <c r="AR36" i="11"/>
  <c r="AQ36" i="11"/>
  <c r="AN36" i="11"/>
  <c r="AM36" i="11"/>
  <c r="AK36" i="11"/>
  <c r="AJ36" i="11"/>
  <c r="AI36" i="11"/>
  <c r="AH36" i="11"/>
  <c r="G13" i="17" s="1"/>
  <c r="AG36" i="11"/>
  <c r="AG103" i="11" s="1"/>
  <c r="AF36" i="11"/>
  <c r="AF103" i="11" s="1"/>
  <c r="AE36" i="11"/>
  <c r="AE103" i="11" s="1"/>
  <c r="AD36" i="11"/>
  <c r="AD103" i="11" s="1"/>
  <c r="AB36" i="11"/>
  <c r="AB103" i="11" s="1"/>
  <c r="AA36" i="11"/>
  <c r="AA103" i="11" s="1"/>
  <c r="Z36" i="11"/>
  <c r="Z103" i="11" s="1"/>
  <c r="Y36" i="11"/>
  <c r="Y103" i="11" s="1"/>
  <c r="X36" i="11"/>
  <c r="X103" i="11" s="1"/>
  <c r="W36" i="11"/>
  <c r="W103" i="11" s="1"/>
  <c r="V36" i="11"/>
  <c r="V103" i="11" s="1"/>
  <c r="U36" i="11"/>
  <c r="U103" i="11" s="1"/>
  <c r="T36" i="11"/>
  <c r="T103" i="11" s="1"/>
  <c r="S36" i="11"/>
  <c r="S103" i="11" s="1"/>
  <c r="R36" i="11"/>
  <c r="R103" i="11" s="1"/>
  <c r="Q36" i="11"/>
  <c r="Q103" i="11" s="1"/>
  <c r="P36" i="11"/>
  <c r="P103" i="11" s="1"/>
  <c r="AT35" i="11"/>
  <c r="S12" i="17" s="1"/>
  <c r="AS35" i="11"/>
  <c r="R12" i="17" s="1"/>
  <c r="AR35" i="11"/>
  <c r="Q12" i="17" s="1"/>
  <c r="AP35" i="11"/>
  <c r="O12" i="17" s="1"/>
  <c r="AO35" i="11"/>
  <c r="N12" i="17" s="1"/>
  <c r="AN35" i="11"/>
  <c r="M12" i="17" s="1"/>
  <c r="AM35" i="11"/>
  <c r="L12" i="17" s="1"/>
  <c r="AL35" i="11"/>
  <c r="K12" i="17" s="1"/>
  <c r="AK35" i="11"/>
  <c r="J12" i="17" s="1"/>
  <c r="AJ35" i="11"/>
  <c r="I12" i="17" s="1"/>
  <c r="AI35" i="11"/>
  <c r="H12" i="17" s="1"/>
  <c r="AH35" i="11"/>
  <c r="G12" i="17" s="1"/>
  <c r="AG35" i="11"/>
  <c r="AF35" i="11"/>
  <c r="AE35" i="11"/>
  <c r="AD35" i="11"/>
  <c r="AC35" i="11"/>
  <c r="AB35" i="11"/>
  <c r="AA35" i="11"/>
  <c r="Z35" i="11"/>
  <c r="Y35" i="11"/>
  <c r="Y88" i="11" s="1"/>
  <c r="X35" i="11"/>
  <c r="W35" i="11"/>
  <c r="V35" i="11"/>
  <c r="U35" i="11"/>
  <c r="U88" i="11" s="1"/>
  <c r="T35" i="11"/>
  <c r="S35" i="11"/>
  <c r="R35" i="11"/>
  <c r="Q35" i="11"/>
  <c r="Q88" i="11" s="1"/>
  <c r="P35" i="11"/>
  <c r="AT34" i="11"/>
  <c r="AS34" i="11"/>
  <c r="AQ34" i="11"/>
  <c r="AP34" i="11"/>
  <c r="AO34" i="11"/>
  <c r="AN34" i="11"/>
  <c r="AM34" i="11"/>
  <c r="AL34" i="11"/>
  <c r="AK34" i="11"/>
  <c r="AI34" i="11"/>
  <c r="AH34" i="11"/>
  <c r="AF34" i="11"/>
  <c r="AF100" i="11" s="1"/>
  <c r="AD34" i="11"/>
  <c r="AD100" i="11" s="1"/>
  <c r="AC34" i="11"/>
  <c r="AC100" i="11" s="1"/>
  <c r="AA34" i="11"/>
  <c r="AA100" i="11" s="1"/>
  <c r="Z34" i="11"/>
  <c r="Z100" i="11" s="1"/>
  <c r="Y34" i="11"/>
  <c r="Y100" i="11" s="1"/>
  <c r="X34" i="11"/>
  <c r="X100" i="11" s="1"/>
  <c r="W34" i="11"/>
  <c r="W100" i="11" s="1"/>
  <c r="V34" i="11"/>
  <c r="V100" i="11" s="1"/>
  <c r="U34" i="11"/>
  <c r="U100" i="11" s="1"/>
  <c r="S34" i="11"/>
  <c r="S100" i="11" s="1"/>
  <c r="R34" i="11"/>
  <c r="R100" i="11" s="1"/>
  <c r="P34" i="11"/>
  <c r="P100" i="11" s="1"/>
  <c r="AT33" i="11"/>
  <c r="C132" i="11" s="1"/>
  <c r="AR33" i="11"/>
  <c r="Q10" i="17" s="1"/>
  <c r="AQ33" i="11"/>
  <c r="P10" i="17" s="1"/>
  <c r="AO33" i="11"/>
  <c r="N10" i="17" s="1"/>
  <c r="AN33" i="11"/>
  <c r="M10" i="17" s="1"/>
  <c r="AM33" i="11"/>
  <c r="L10" i="17" s="1"/>
  <c r="AL33" i="11"/>
  <c r="K10" i="17" s="1"/>
  <c r="AK33" i="11"/>
  <c r="J10" i="17" s="1"/>
  <c r="AJ33" i="11"/>
  <c r="I10" i="17" s="1"/>
  <c r="AI33" i="11"/>
  <c r="H10" i="17" s="1"/>
  <c r="AH33" i="11"/>
  <c r="G10" i="17" s="1"/>
  <c r="AG33" i="11"/>
  <c r="AE33" i="11"/>
  <c r="AD33" i="11"/>
  <c r="AB33" i="11"/>
  <c r="AA33" i="11"/>
  <c r="Y33" i="11"/>
  <c r="X33" i="11"/>
  <c r="W33" i="11"/>
  <c r="V33" i="11"/>
  <c r="U33" i="11"/>
  <c r="T33" i="11"/>
  <c r="S33" i="11"/>
  <c r="R33" i="11"/>
  <c r="Q33" i="11"/>
  <c r="AT32" i="11"/>
  <c r="AS32" i="11"/>
  <c r="R9" i="17" s="1"/>
  <c r="AQ32" i="11"/>
  <c r="P9" i="17" s="1"/>
  <c r="AP32" i="11"/>
  <c r="O9" i="17" s="1"/>
  <c r="AN32" i="11"/>
  <c r="M9" i="17" s="1"/>
  <c r="AM32" i="11"/>
  <c r="L9" i="17" s="1"/>
  <c r="AL32" i="11"/>
  <c r="K9" i="17" s="1"/>
  <c r="AK32" i="11"/>
  <c r="J9" i="17" s="1"/>
  <c r="AJ32" i="11"/>
  <c r="I9" i="17" s="1"/>
  <c r="AI32" i="11"/>
  <c r="H9" i="17" s="1"/>
  <c r="AH32" i="11"/>
  <c r="G9" i="17" s="1"/>
  <c r="AG32" i="11"/>
  <c r="AF32" i="11"/>
  <c r="AD32" i="11"/>
  <c r="AC32" i="11"/>
  <c r="AA32" i="11"/>
  <c r="Z32" i="11"/>
  <c r="X32" i="11"/>
  <c r="W32" i="11"/>
  <c r="V32" i="11"/>
  <c r="U32" i="11"/>
  <c r="T32" i="11"/>
  <c r="S32" i="11"/>
  <c r="R32" i="11"/>
  <c r="Q32" i="11"/>
  <c r="P32" i="11"/>
  <c r="AS31" i="11"/>
  <c r="R8" i="17" s="1"/>
  <c r="AR31" i="11"/>
  <c r="Q8" i="17" s="1"/>
  <c r="AQ31" i="11"/>
  <c r="P8" i="17" s="1"/>
  <c r="AO31" i="11"/>
  <c r="N8" i="17" s="1"/>
  <c r="AN31" i="11"/>
  <c r="M8" i="17" s="1"/>
  <c r="AL31" i="11"/>
  <c r="AK31" i="11"/>
  <c r="J8" i="17" s="1"/>
  <c r="AJ31" i="11"/>
  <c r="I8" i="17" s="1"/>
  <c r="AI31" i="11"/>
  <c r="H8" i="17" s="1"/>
  <c r="AH31" i="11"/>
  <c r="G8" i="17" s="1"/>
  <c r="AG31" i="11"/>
  <c r="AF31" i="11"/>
  <c r="AE31" i="11"/>
  <c r="AC31" i="11"/>
  <c r="AB31" i="11"/>
  <c r="AA31" i="11"/>
  <c r="Y31" i="11"/>
  <c r="X31" i="11"/>
  <c r="V31" i="11"/>
  <c r="U31" i="11"/>
  <c r="T31" i="11"/>
  <c r="S31" i="11"/>
  <c r="R31" i="11"/>
  <c r="Q31" i="11"/>
  <c r="P31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E21" i="9" s="1"/>
  <c r="AT19" i="11"/>
  <c r="AS19" i="11"/>
  <c r="AR19" i="11"/>
  <c r="AP19" i="11"/>
  <c r="AO19" i="11"/>
  <c r="AM19" i="11"/>
  <c r="AJ19" i="11"/>
  <c r="AI19" i="11"/>
  <c r="AG19" i="11"/>
  <c r="AG28" i="11" s="1"/>
  <c r="AF19" i="11"/>
  <c r="AF28" i="11" s="1"/>
  <c r="AC19" i="11"/>
  <c r="AC28" i="11" s="1"/>
  <c r="AA19" i="11"/>
  <c r="AA28" i="11" s="1"/>
  <c r="Z19" i="11"/>
  <c r="Z28" i="11" s="1"/>
  <c r="Y19" i="11"/>
  <c r="Y28" i="11" s="1"/>
  <c r="X19" i="11"/>
  <c r="X28" i="11" s="1"/>
  <c r="W19" i="11"/>
  <c r="W28" i="11" s="1"/>
  <c r="V19" i="11"/>
  <c r="V28" i="11" s="1"/>
  <c r="U19" i="11"/>
  <c r="U28" i="11" s="1"/>
  <c r="T19" i="11"/>
  <c r="T28" i="11" s="1"/>
  <c r="S19" i="11"/>
  <c r="S28" i="11" s="1"/>
  <c r="R19" i="11"/>
  <c r="R28" i="11" s="1"/>
  <c r="Q19" i="11"/>
  <c r="Q28" i="11" s="1"/>
  <c r="P19" i="11"/>
  <c r="P28" i="11" s="1"/>
  <c r="K19" i="11"/>
  <c r="E20" i="9" s="1"/>
  <c r="AT18" i="11"/>
  <c r="R19" i="9" s="1"/>
  <c r="AS18" i="11"/>
  <c r="Q19" i="9" s="1"/>
  <c r="AQ18" i="11"/>
  <c r="O19" i="9" s="1"/>
  <c r="AP18" i="11"/>
  <c r="N19" i="9" s="1"/>
  <c r="AN18" i="11"/>
  <c r="L19" i="9" s="1"/>
  <c r="AM18" i="11"/>
  <c r="K19" i="9" s="1"/>
  <c r="AL18" i="11"/>
  <c r="AI18" i="11"/>
  <c r="G19" i="9" s="1"/>
  <c r="AG18" i="11"/>
  <c r="AF18" i="11"/>
  <c r="AD18" i="11"/>
  <c r="AC18" i="11"/>
  <c r="AA18" i="11"/>
  <c r="Z18" i="11"/>
  <c r="X18" i="11"/>
  <c r="W18" i="11"/>
  <c r="V18" i="11"/>
  <c r="S18" i="11"/>
  <c r="Q18" i="11"/>
  <c r="P18" i="11"/>
  <c r="AT17" i="11"/>
  <c r="AS17" i="11"/>
  <c r="Q18" i="9" s="1"/>
  <c r="AR17" i="11"/>
  <c r="P18" i="9" s="1"/>
  <c r="AQ17" i="11"/>
  <c r="O18" i="9" s="1"/>
  <c r="AP17" i="11"/>
  <c r="N18" i="9" s="1"/>
  <c r="AO17" i="11"/>
  <c r="M18" i="9" s="1"/>
  <c r="AN17" i="11"/>
  <c r="L18" i="9" s="1"/>
  <c r="AL17" i="11"/>
  <c r="J18" i="9" s="1"/>
  <c r="AK17" i="11"/>
  <c r="I18" i="9" s="1"/>
  <c r="AI17" i="11"/>
  <c r="AH17" i="11"/>
  <c r="AF17" i="11"/>
  <c r="AE17" i="11"/>
  <c r="AD17" i="11"/>
  <c r="AC17" i="11"/>
  <c r="AB17" i="11"/>
  <c r="AA17" i="11"/>
  <c r="Z17" i="11"/>
  <c r="Y17" i="11"/>
  <c r="X17" i="11"/>
  <c r="V17" i="11"/>
  <c r="U17" i="11"/>
  <c r="S17" i="11"/>
  <c r="R17" i="11"/>
  <c r="P17" i="11"/>
  <c r="AT14" i="1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W14" i="11"/>
  <c r="T14" i="11"/>
  <c r="S14" i="11"/>
  <c r="R14" i="11"/>
  <c r="Q14" i="11"/>
  <c r="P14" i="11"/>
  <c r="AT13" i="11"/>
  <c r="AS13" i="11"/>
  <c r="Q14" i="9" s="1"/>
  <c r="AR13" i="11"/>
  <c r="P14" i="9" s="1"/>
  <c r="AQ13" i="11"/>
  <c r="O14" i="9" s="1"/>
  <c r="AP13" i="11"/>
  <c r="N14" i="9" s="1"/>
  <c r="AO13" i="11"/>
  <c r="M14" i="9" s="1"/>
  <c r="AM13" i="11"/>
  <c r="K14" i="9" s="1"/>
  <c r="AL13" i="11"/>
  <c r="J14" i="9" s="1"/>
  <c r="AI13" i="11"/>
  <c r="AG13" i="11"/>
  <c r="AF13" i="11"/>
  <c r="AE13" i="11"/>
  <c r="AD13" i="11"/>
  <c r="AC13" i="11"/>
  <c r="AB13" i="11"/>
  <c r="AA13" i="11"/>
  <c r="Z13" i="11"/>
  <c r="Y13" i="11"/>
  <c r="V13" i="11"/>
  <c r="S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N12" i="11"/>
  <c r="L13" i="9" s="1"/>
  <c r="AM12" i="11"/>
  <c r="K13" i="9" s="1"/>
  <c r="AK12" i="11"/>
  <c r="I13" i="9" s="1"/>
  <c r="AI12" i="11"/>
  <c r="AH12" i="11"/>
  <c r="AF12" i="11"/>
  <c r="AE12" i="11"/>
  <c r="AD12" i="11"/>
  <c r="AC12" i="11"/>
  <c r="AB12" i="11"/>
  <c r="AA12" i="11"/>
  <c r="Z12" i="11"/>
  <c r="X12" i="11"/>
  <c r="W12" i="11"/>
  <c r="U12" i="11"/>
  <c r="S12" i="11"/>
  <c r="R12" i="11"/>
  <c r="P12" i="1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H11" i="11"/>
  <c r="AG11" i="11"/>
  <c r="AF11" i="11"/>
  <c r="AE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R10" i="11"/>
  <c r="AQ10" i="11"/>
  <c r="AP10" i="11"/>
  <c r="AO10" i="11"/>
  <c r="AN10" i="11"/>
  <c r="L11" i="9" s="1"/>
  <c r="AM10" i="11"/>
  <c r="AL10" i="11"/>
  <c r="AK10" i="11"/>
  <c r="AJ10" i="11"/>
  <c r="H11" i="9" s="1"/>
  <c r="AI10" i="11"/>
  <c r="AH10" i="11"/>
  <c r="AH99" i="11" s="1"/>
  <c r="AF10" i="11"/>
  <c r="AF99" i="11" s="1"/>
  <c r="AE10" i="11"/>
  <c r="AE99" i="11" s="1"/>
  <c r="AB10" i="11"/>
  <c r="AB99" i="11" s="1"/>
  <c r="AA10" i="11"/>
  <c r="AA99" i="11" s="1"/>
  <c r="AA104" i="11" s="1"/>
  <c r="Z10" i="11"/>
  <c r="Z99" i="11" s="1"/>
  <c r="Y10" i="11"/>
  <c r="Y99" i="11" s="1"/>
  <c r="Y104" i="11" s="1"/>
  <c r="X10" i="11"/>
  <c r="X99" i="11" s="1"/>
  <c r="W10" i="11"/>
  <c r="W99" i="11" s="1"/>
  <c r="V10" i="11"/>
  <c r="V99" i="11" s="1"/>
  <c r="U10" i="11"/>
  <c r="U99" i="11" s="1"/>
  <c r="T10" i="11"/>
  <c r="T99" i="11" s="1"/>
  <c r="S10" i="11"/>
  <c r="S99" i="11" s="1"/>
  <c r="R10" i="11"/>
  <c r="R99" i="11" s="1"/>
  <c r="P10" i="11"/>
  <c r="P99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K9" i="11"/>
  <c r="I10" i="9" s="1"/>
  <c r="AJ9" i="11"/>
  <c r="H10" i="9" s="1"/>
  <c r="AH9" i="11"/>
  <c r="AF9" i="11"/>
  <c r="AE9" i="11"/>
  <c r="AD9" i="11"/>
  <c r="AC9" i="11"/>
  <c r="AB9" i="11"/>
  <c r="AA9" i="11"/>
  <c r="Z9" i="11"/>
  <c r="Y9" i="11"/>
  <c r="X9" i="11"/>
  <c r="W9" i="11"/>
  <c r="U9" i="11"/>
  <c r="T9" i="11"/>
  <c r="R9" i="11"/>
  <c r="P9" i="11"/>
  <c r="AT8" i="11"/>
  <c r="AS8" i="11"/>
  <c r="Q9" i="9" s="1"/>
  <c r="AR8" i="11"/>
  <c r="P9" i="9" s="1"/>
  <c r="AP8" i="11"/>
  <c r="N9" i="9" s="1"/>
  <c r="AM8" i="11"/>
  <c r="K9" i="9" s="1"/>
  <c r="AL8" i="11"/>
  <c r="J9" i="9" s="1"/>
  <c r="AJ8" i="11"/>
  <c r="H9" i="9" s="1"/>
  <c r="AI8" i="11"/>
  <c r="AH8" i="11"/>
  <c r="AG8" i="11"/>
  <c r="AF8" i="11"/>
  <c r="AE8" i="11"/>
  <c r="AD8" i="11"/>
  <c r="AC8" i="11"/>
  <c r="AB8" i="11"/>
  <c r="Z8" i="11"/>
  <c r="W8" i="11"/>
  <c r="V8" i="11"/>
  <c r="T8" i="11"/>
  <c r="S8" i="11"/>
  <c r="R8" i="11"/>
  <c r="Q8" i="11"/>
  <c r="P8" i="11"/>
  <c r="AT7" i="11"/>
  <c r="AS7" i="11"/>
  <c r="Q8" i="9" s="1"/>
  <c r="AR7" i="11"/>
  <c r="P8" i="9" s="1"/>
  <c r="AQ7" i="11"/>
  <c r="AO7" i="11"/>
  <c r="M8" i="9" s="1"/>
  <c r="AL7" i="11"/>
  <c r="J8" i="9" s="1"/>
  <c r="AK7" i="11"/>
  <c r="I8" i="9" s="1"/>
  <c r="AJ7" i="11"/>
  <c r="H8" i="9" s="1"/>
  <c r="AI7" i="11"/>
  <c r="AH7" i="11"/>
  <c r="AG7" i="11"/>
  <c r="AF7" i="11"/>
  <c r="AE7" i="11"/>
  <c r="AD7" i="11"/>
  <c r="AC7" i="11"/>
  <c r="AB7" i="11"/>
  <c r="AA7" i="11"/>
  <c r="Y7" i="11"/>
  <c r="V7" i="11"/>
  <c r="U7" i="11"/>
  <c r="T7" i="11"/>
  <c r="S7" i="11"/>
  <c r="R7" i="11"/>
  <c r="Q7" i="11"/>
  <c r="P7" i="11"/>
  <c r="Q5" i="11"/>
  <c r="R5" i="11" s="1"/>
  <c r="S5" i="11" s="1"/>
  <c r="T5" i="11" s="1"/>
  <c r="U5" i="11" s="1"/>
  <c r="V5" i="11" s="1"/>
  <c r="W5" i="11" s="1"/>
  <c r="X5" i="11" s="1"/>
  <c r="Y5" i="11" s="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2" i="8"/>
  <c r="B62" i="8"/>
  <c r="B45" i="8"/>
  <c r="B70" i="17" s="1"/>
  <c r="B82" i="17" s="1"/>
  <c r="B44" i="8"/>
  <c r="B69" i="17" s="1"/>
  <c r="B81" i="17" s="1"/>
  <c r="B43" i="8"/>
  <c r="B68" i="17" s="1"/>
  <c r="B80" i="17" s="1"/>
  <c r="B42" i="8"/>
  <c r="B67" i="17" s="1"/>
  <c r="B79" i="17" s="1"/>
  <c r="B41" i="8"/>
  <c r="B66" i="17" s="1"/>
  <c r="B78" i="17" s="1"/>
  <c r="B40" i="8"/>
  <c r="B65" i="17" s="1"/>
  <c r="B77" i="17" s="1"/>
  <c r="B39" i="8"/>
  <c r="B64" i="17" s="1"/>
  <c r="B76" i="17" s="1"/>
  <c r="B38" i="8"/>
  <c r="B63" i="17" s="1"/>
  <c r="B75" i="17" s="1"/>
  <c r="B36" i="8"/>
  <c r="B35" i="8"/>
  <c r="B34" i="8"/>
  <c r="B33" i="8"/>
  <c r="B32" i="8"/>
  <c r="B30" i="8"/>
  <c r="B29" i="8"/>
  <c r="B28" i="8"/>
  <c r="B27" i="8"/>
  <c r="B26" i="8"/>
  <c r="B25" i="8"/>
  <c r="B24" i="8"/>
  <c r="B23" i="8"/>
  <c r="B22" i="8"/>
  <c r="B21" i="8"/>
  <c r="B14" i="8"/>
  <c r="B13" i="8"/>
  <c r="B12" i="8"/>
  <c r="B11" i="8"/>
  <c r="B10" i="8"/>
  <c r="B9" i="8"/>
  <c r="B8" i="8"/>
  <c r="B2" i="8"/>
  <c r="B26" i="1"/>
  <c r="C156" i="38"/>
  <c r="D155" i="38" s="1"/>
  <c r="D156" i="38" s="1"/>
  <c r="E155" i="38" s="1"/>
  <c r="E156" i="38" s="1"/>
  <c r="B102" i="38"/>
  <c r="R101" i="38"/>
  <c r="S101" i="38" s="1"/>
  <c r="T101" i="38" s="1"/>
  <c r="U101" i="38" s="1"/>
  <c r="V101" i="38" s="1"/>
  <c r="W101" i="38" s="1"/>
  <c r="X101" i="38" s="1"/>
  <c r="Y101" i="38" s="1"/>
  <c r="Z101" i="38" s="1"/>
  <c r="AA101" i="38" s="1"/>
  <c r="AB101" i="38" s="1"/>
  <c r="AC101" i="38" s="1"/>
  <c r="AD101" i="38" s="1"/>
  <c r="L101" i="38"/>
  <c r="M101" i="38" s="1"/>
  <c r="N101" i="38" s="1"/>
  <c r="O101" i="38" s="1"/>
  <c r="P101" i="38" s="1"/>
  <c r="K101" i="38"/>
  <c r="B86" i="38"/>
  <c r="V85" i="38"/>
  <c r="W85" i="38" s="1"/>
  <c r="X85" i="38" s="1"/>
  <c r="Y85" i="38" s="1"/>
  <c r="Z85" i="38" s="1"/>
  <c r="AA85" i="38" s="1"/>
  <c r="AB85" i="38" s="1"/>
  <c r="AC85" i="38" s="1"/>
  <c r="AD85" i="38" s="1"/>
  <c r="R85" i="38"/>
  <c r="S85" i="38" s="1"/>
  <c r="T85" i="38" s="1"/>
  <c r="U85" i="38" s="1"/>
  <c r="K85" i="38"/>
  <c r="L85" i="38" s="1"/>
  <c r="M85" i="38" s="1"/>
  <c r="N85" i="38" s="1"/>
  <c r="O85" i="38" s="1"/>
  <c r="P85" i="38" s="1"/>
  <c r="B70" i="38"/>
  <c r="R69" i="38"/>
  <c r="S69" i="38" s="1"/>
  <c r="T69" i="38" s="1"/>
  <c r="U69" i="38" s="1"/>
  <c r="V69" i="38" s="1"/>
  <c r="W69" i="38" s="1"/>
  <c r="X69" i="38" s="1"/>
  <c r="Y69" i="38" s="1"/>
  <c r="Z69" i="38" s="1"/>
  <c r="AA69" i="38" s="1"/>
  <c r="AB69" i="38" s="1"/>
  <c r="AC69" i="38" s="1"/>
  <c r="AD69" i="38" s="1"/>
  <c r="L69" i="38"/>
  <c r="M69" i="38" s="1"/>
  <c r="N69" i="38" s="1"/>
  <c r="O69" i="38" s="1"/>
  <c r="P69" i="38" s="1"/>
  <c r="K69" i="38"/>
  <c r="B54" i="38"/>
  <c r="B99" i="39" s="1"/>
  <c r="AA53" i="38"/>
  <c r="AB53" i="38" s="1"/>
  <c r="AC53" i="38" s="1"/>
  <c r="AD53" i="38" s="1"/>
  <c r="R53" i="38"/>
  <c r="S53" i="38" s="1"/>
  <c r="T53" i="38" s="1"/>
  <c r="U53" i="38" s="1"/>
  <c r="V53" i="38" s="1"/>
  <c r="W53" i="38" s="1"/>
  <c r="X53" i="38" s="1"/>
  <c r="Y53" i="38" s="1"/>
  <c r="Z53" i="38" s="1"/>
  <c r="M53" i="38"/>
  <c r="N53" i="38" s="1"/>
  <c r="O53" i="38" s="1"/>
  <c r="P53" i="38" s="1"/>
  <c r="K53" i="38"/>
  <c r="L53" i="38" s="1"/>
  <c r="B38" i="38"/>
  <c r="B95" i="39" s="1"/>
  <c r="R37" i="38"/>
  <c r="S37" i="38" s="1"/>
  <c r="T37" i="38" s="1"/>
  <c r="U37" i="38" s="1"/>
  <c r="V37" i="38" s="1"/>
  <c r="W37" i="38" s="1"/>
  <c r="X37" i="38" s="1"/>
  <c r="Y37" i="38" s="1"/>
  <c r="Z37" i="38" s="1"/>
  <c r="AA37" i="38" s="1"/>
  <c r="AB37" i="38" s="1"/>
  <c r="AC37" i="38" s="1"/>
  <c r="AD37" i="38" s="1"/>
  <c r="K37" i="38"/>
  <c r="L37" i="38" s="1"/>
  <c r="M37" i="38" s="1"/>
  <c r="N37" i="38" s="1"/>
  <c r="O37" i="38" s="1"/>
  <c r="P37" i="38" s="1"/>
  <c r="R21" i="38"/>
  <c r="S21" i="38" s="1"/>
  <c r="T21" i="38" s="1"/>
  <c r="U21" i="38" s="1"/>
  <c r="V21" i="38" s="1"/>
  <c r="W21" i="38" s="1"/>
  <c r="X21" i="38" s="1"/>
  <c r="Y21" i="38" s="1"/>
  <c r="Z21" i="38" s="1"/>
  <c r="AA21" i="38" s="1"/>
  <c r="AB21" i="38" s="1"/>
  <c r="AC21" i="38" s="1"/>
  <c r="AD21" i="38" s="1"/>
  <c r="K21" i="38"/>
  <c r="L21" i="38" s="1"/>
  <c r="M21" i="38" s="1"/>
  <c r="N21" i="38" s="1"/>
  <c r="O21" i="38" s="1"/>
  <c r="P21" i="38" s="1"/>
  <c r="AD13" i="38"/>
  <c r="H13" i="38"/>
  <c r="F13" i="38"/>
  <c r="D12" i="38"/>
  <c r="C12" i="38"/>
  <c r="Q8" i="38"/>
  <c r="J8" i="38"/>
  <c r="S5" i="38"/>
  <c r="S1" i="38" s="1"/>
  <c r="R5" i="38"/>
  <c r="K5" i="38"/>
  <c r="L5" i="38" s="1"/>
  <c r="B2" i="38"/>
  <c r="B2" i="39" s="1"/>
  <c r="R1" i="38"/>
  <c r="Q1" i="38"/>
  <c r="J1" i="38"/>
  <c r="AA89" i="65" l="1"/>
  <c r="C91" i="65"/>
  <c r="AG89" i="65"/>
  <c r="AF89" i="65"/>
  <c r="AE89" i="65"/>
  <c r="AK173" i="65"/>
  <c r="N95" i="65"/>
  <c r="AC89" i="65"/>
  <c r="AM89" i="65"/>
  <c r="AM93" i="65" s="1"/>
  <c r="AJ89" i="65"/>
  <c r="AJ93" i="65" s="1"/>
  <c r="AJ95" i="65" s="1"/>
  <c r="AK174" i="65"/>
  <c r="AB89" i="65"/>
  <c r="AR89" i="65"/>
  <c r="AR90" i="65" s="1"/>
  <c r="AL89" i="65"/>
  <c r="AL90" i="65" s="1"/>
  <c r="AQ89" i="65"/>
  <c r="AP89" i="65"/>
  <c r="AK89" i="65"/>
  <c r="AK90" i="65" s="1"/>
  <c r="AO89" i="65"/>
  <c r="AO90" i="65" s="1"/>
  <c r="N94" i="65"/>
  <c r="J209" i="65"/>
  <c r="K209" i="65" s="1"/>
  <c r="AF209" i="65"/>
  <c r="AJ170" i="65"/>
  <c r="AJ171" i="65"/>
  <c r="AJ175" i="65"/>
  <c r="AJ176" i="65"/>
  <c r="AB209" i="65"/>
  <c r="E209" i="65"/>
  <c r="E169" i="65"/>
  <c r="AB169" i="65"/>
  <c r="L169" i="65"/>
  <c r="AH169" i="65" s="1"/>
  <c r="AG169" i="65"/>
  <c r="F9" i="65"/>
  <c r="AC9" i="65"/>
  <c r="AC49" i="65"/>
  <c r="C90" i="65"/>
  <c r="N90" i="65" s="1"/>
  <c r="N91" i="65"/>
  <c r="N15" i="65"/>
  <c r="N12" i="65"/>
  <c r="C10" i="65"/>
  <c r="N10" i="65" s="1"/>
  <c r="C11" i="64"/>
  <c r="E20" i="64"/>
  <c r="D21" i="64"/>
  <c r="E21" i="64" s="1"/>
  <c r="D18" i="64"/>
  <c r="C119" i="61"/>
  <c r="D97" i="64" s="1"/>
  <c r="D192" i="61"/>
  <c r="C109" i="61"/>
  <c r="E40" i="64"/>
  <c r="B139" i="61"/>
  <c r="D157" i="61"/>
  <c r="D200" i="61"/>
  <c r="D83" i="61"/>
  <c r="D150" i="61"/>
  <c r="C16" i="61"/>
  <c r="C17" i="61" s="1"/>
  <c r="C116" i="61"/>
  <c r="C40" i="61"/>
  <c r="C41" i="61" s="1"/>
  <c r="D171" i="61"/>
  <c r="C102" i="61"/>
  <c r="D193" i="61"/>
  <c r="B18" i="61"/>
  <c r="C159" i="61"/>
  <c r="D199" i="61"/>
  <c r="C175" i="61"/>
  <c r="D23" i="64" s="1"/>
  <c r="D39" i="64" s="1"/>
  <c r="D41" i="64" s="1"/>
  <c r="D58" i="64" s="1"/>
  <c r="D59" i="64" s="1"/>
  <c r="C177" i="61"/>
  <c r="B201" i="61"/>
  <c r="D201" i="61"/>
  <c r="C202" i="61"/>
  <c r="B193" i="61"/>
  <c r="C194" i="61"/>
  <c r="B229" i="63"/>
  <c r="D229" i="63"/>
  <c r="C230" i="63"/>
  <c r="C168" i="63"/>
  <c r="G266" i="65" s="1"/>
  <c r="B221" i="63"/>
  <c r="C222" i="63"/>
  <c r="D221" i="63"/>
  <c r="C204" i="63"/>
  <c r="C212" i="63"/>
  <c r="C213" i="63" s="1"/>
  <c r="C192" i="63"/>
  <c r="C83" i="63"/>
  <c r="C42" i="63"/>
  <c r="C13" i="63"/>
  <c r="D138" i="63" s="1"/>
  <c r="D72" i="63"/>
  <c r="D74" i="63" s="1"/>
  <c r="C114" i="63"/>
  <c r="C116" i="63" s="1"/>
  <c r="C175" i="63"/>
  <c r="D175" i="63" s="1"/>
  <c r="C190" i="63"/>
  <c r="C23" i="64" s="1"/>
  <c r="C74" i="63"/>
  <c r="C125" i="61"/>
  <c r="C12" i="61"/>
  <c r="D134" i="61" s="1"/>
  <c r="C127" i="61"/>
  <c r="C26" i="61"/>
  <c r="C27" i="61" s="1"/>
  <c r="D11" i="64" s="1"/>
  <c r="E11" i="64" s="1"/>
  <c r="C68" i="60"/>
  <c r="C69" i="60"/>
  <c r="L8" i="38"/>
  <c r="M5" i="38"/>
  <c r="Z31" i="11"/>
  <c r="M96" i="16"/>
  <c r="AC96" i="16"/>
  <c r="AP31" i="11"/>
  <c r="O8" i="17" s="1"/>
  <c r="K105" i="2"/>
  <c r="AA106" i="2"/>
  <c r="AQ106" i="2"/>
  <c r="AS64" i="11"/>
  <c r="Q99" i="16"/>
  <c r="AR65" i="11"/>
  <c r="AB65" i="11"/>
  <c r="I73" i="2"/>
  <c r="AN65" i="11"/>
  <c r="C8" i="19"/>
  <c r="E36" i="2"/>
  <c r="P37" i="11"/>
  <c r="AD39" i="2"/>
  <c r="AF37" i="11"/>
  <c r="AG34" i="11"/>
  <c r="AG100" i="11" s="1"/>
  <c r="T103" i="16"/>
  <c r="AE65" i="11"/>
  <c r="Y112" i="2"/>
  <c r="Y113" i="2" s="1"/>
  <c r="AA58" i="11"/>
  <c r="AA76" i="11" s="1"/>
  <c r="K32" i="2"/>
  <c r="AD54" i="11"/>
  <c r="AC39" i="2"/>
  <c r="R99" i="16"/>
  <c r="AE32" i="11"/>
  <c r="T65" i="11"/>
  <c r="AP112" i="2"/>
  <c r="AR58" i="11"/>
  <c r="AR76" i="11" s="1"/>
  <c r="W103" i="16"/>
  <c r="F52" i="10"/>
  <c r="S9" i="11"/>
  <c r="V52" i="10"/>
  <c r="AI9" i="11"/>
  <c r="H51" i="10"/>
  <c r="U8" i="11"/>
  <c r="X51" i="10"/>
  <c r="AK8" i="11"/>
  <c r="I9" i="9" s="1"/>
  <c r="I54" i="10"/>
  <c r="V12" i="11"/>
  <c r="Y54" i="10"/>
  <c r="AL12" i="11"/>
  <c r="J13" i="9" s="1"/>
  <c r="J48" i="10"/>
  <c r="W7" i="11"/>
  <c r="Z48" i="10"/>
  <c r="AM7" i="11"/>
  <c r="V53" i="10"/>
  <c r="AI11" i="11"/>
  <c r="R100" i="2"/>
  <c r="AE85" i="2"/>
  <c r="AG53" i="11"/>
  <c r="N112" i="2"/>
  <c r="P56" i="11"/>
  <c r="P75" i="11" s="1"/>
  <c r="AD112" i="2"/>
  <c r="AF56" i="11"/>
  <c r="AF75" i="11" s="1"/>
  <c r="H56" i="10"/>
  <c r="U13" i="11"/>
  <c r="X56" i="10"/>
  <c r="AK13" i="11"/>
  <c r="I14" i="9" s="1"/>
  <c r="J54" i="10"/>
  <c r="K25" i="2"/>
  <c r="K48" i="10"/>
  <c r="X7" i="11"/>
  <c r="AA48" i="10"/>
  <c r="AN7" i="11"/>
  <c r="L8" i="9" s="1"/>
  <c r="T63" i="11"/>
  <c r="AJ63" i="11"/>
  <c r="P39" i="2"/>
  <c r="AF39" i="2"/>
  <c r="G103" i="16"/>
  <c r="T34" i="11"/>
  <c r="T100" i="11" s="1"/>
  <c r="T104" i="11" s="1"/>
  <c r="O112" i="2"/>
  <c r="Q56" i="11"/>
  <c r="Q75" i="11" s="1"/>
  <c r="AE112" i="2"/>
  <c r="AG56" i="11"/>
  <c r="AG75" i="11" s="1"/>
  <c r="AQ112" i="2"/>
  <c r="AQ113" i="2" s="1"/>
  <c r="AS62" i="11"/>
  <c r="AS77" i="11" s="1"/>
  <c r="W65" i="11"/>
  <c r="AR50" i="11"/>
  <c r="Q65" i="17" s="1"/>
  <c r="I52" i="10"/>
  <c r="V9" i="11"/>
  <c r="Y52" i="10"/>
  <c r="AL9" i="11"/>
  <c r="J10" i="9" s="1"/>
  <c r="J56" i="10"/>
  <c r="W13" i="11"/>
  <c r="K51" i="10"/>
  <c r="X8" i="11"/>
  <c r="AA51" i="10"/>
  <c r="AN8" i="11"/>
  <c r="L9" i="9" s="1"/>
  <c r="L54" i="10"/>
  <c r="Y12" i="11"/>
  <c r="AB54" i="10"/>
  <c r="AO12" i="11"/>
  <c r="M13" i="9" s="1"/>
  <c r="M48" i="10"/>
  <c r="Z7" i="11"/>
  <c r="AC48" i="10"/>
  <c r="AP7" i="11"/>
  <c r="AC64" i="11"/>
  <c r="I68" i="2"/>
  <c r="AN55" i="11"/>
  <c r="M70" i="17" s="1"/>
  <c r="AL69" i="2"/>
  <c r="AO48" i="11"/>
  <c r="I67" i="2"/>
  <c r="AF10" i="2"/>
  <c r="AH19" i="11"/>
  <c r="AH28" i="11" s="1"/>
  <c r="AN39" i="11"/>
  <c r="M16" i="17" s="1"/>
  <c r="J96" i="16"/>
  <c r="W31" i="11"/>
  <c r="AM31" i="11"/>
  <c r="L8" i="17" s="1"/>
  <c r="Z96" i="16"/>
  <c r="W69" i="2"/>
  <c r="AM69" i="2"/>
  <c r="AN106" i="2"/>
  <c r="AP64" i="11"/>
  <c r="K8" i="38"/>
  <c r="K1" i="38"/>
  <c r="R11" i="38"/>
  <c r="R12" i="38"/>
  <c r="D103" i="16"/>
  <c r="K45" i="2"/>
  <c r="Y69" i="2"/>
  <c r="AA55" i="11"/>
  <c r="AO69" i="2"/>
  <c r="AQ55" i="11"/>
  <c r="P70" i="17" s="1"/>
  <c r="AH98" i="2"/>
  <c r="AO50" i="11"/>
  <c r="N65" i="17" s="1"/>
  <c r="H99" i="2"/>
  <c r="AC57" i="11"/>
  <c r="H105" i="2"/>
  <c r="AC16" i="2"/>
  <c r="S20" i="2"/>
  <c r="U14" i="11"/>
  <c r="AI20" i="2"/>
  <c r="AK14" i="11"/>
  <c r="I15" i="9" s="1"/>
  <c r="P55" i="10"/>
  <c r="AC10" i="11"/>
  <c r="AC99" i="11" s="1"/>
  <c r="AF55" i="10"/>
  <c r="AS10" i="11"/>
  <c r="W62" i="2"/>
  <c r="Y39" i="11"/>
  <c r="AM62" i="2"/>
  <c r="AO39" i="11"/>
  <c r="N16" i="17" s="1"/>
  <c r="AI65" i="11"/>
  <c r="K88" i="2"/>
  <c r="AI98" i="2"/>
  <c r="AK50" i="11"/>
  <c r="J65" i="17" s="1"/>
  <c r="AJ98" i="2"/>
  <c r="AO8" i="11"/>
  <c r="M9" i="9" s="1"/>
  <c r="Q113" i="2"/>
  <c r="AJ112" i="2"/>
  <c r="I8" i="2"/>
  <c r="AL10" i="2"/>
  <c r="AD10" i="11"/>
  <c r="AD99" i="11" s="1"/>
  <c r="AH13" i="11"/>
  <c r="AK64" i="11"/>
  <c r="Q96" i="16"/>
  <c r="AN10" i="2"/>
  <c r="AK16" i="2"/>
  <c r="P56" i="10"/>
  <c r="H23" i="2"/>
  <c r="I42" i="2"/>
  <c r="H44" i="2"/>
  <c r="I52" i="2"/>
  <c r="AE62" i="2"/>
  <c r="P62" i="2"/>
  <c r="H78" i="2"/>
  <c r="AB61" i="11"/>
  <c r="AB83" i="11" s="1"/>
  <c r="X100" i="2"/>
  <c r="AG106" i="2"/>
  <c r="AG113" i="2" s="1"/>
  <c r="AI64" i="11"/>
  <c r="T113" i="2"/>
  <c r="I95" i="2"/>
  <c r="I82" i="2"/>
  <c r="I18" i="2"/>
  <c r="I104" i="2"/>
  <c r="I86" i="2"/>
  <c r="I84" i="2"/>
  <c r="AG55" i="10"/>
  <c r="AR20" i="2"/>
  <c r="AI100" i="2"/>
  <c r="AH16" i="2"/>
  <c r="AJ18" i="11"/>
  <c r="H19" i="9" s="1"/>
  <c r="AD39" i="11"/>
  <c r="T20" i="2"/>
  <c r="H64" i="2"/>
  <c r="Q12" i="11"/>
  <c r="AG12" i="11"/>
  <c r="R13" i="11"/>
  <c r="AN19" i="11"/>
  <c r="AB34" i="11"/>
  <c r="AB100" i="11" s="1"/>
  <c r="AR34" i="11"/>
  <c r="Q11" i="17" s="1"/>
  <c r="AO53" i="11"/>
  <c r="N68" i="17" s="1"/>
  <c r="P64" i="11"/>
  <c r="AK65" i="11"/>
  <c r="K8" i="2"/>
  <c r="AO10" i="2"/>
  <c r="V16" i="2"/>
  <c r="I13" i="2"/>
  <c r="E15" i="2"/>
  <c r="Z20" i="2"/>
  <c r="K41" i="2"/>
  <c r="I41" i="2"/>
  <c r="I45" i="2"/>
  <c r="H58" i="2"/>
  <c r="O62" i="2"/>
  <c r="Q69" i="2"/>
  <c r="AJ69" i="2"/>
  <c r="H77" i="2"/>
  <c r="I83" i="2"/>
  <c r="H86" i="2"/>
  <c r="E88" i="2"/>
  <c r="K97" i="2"/>
  <c r="K1" i="33"/>
  <c r="AL14" i="11"/>
  <c r="J15" i="9" s="1"/>
  <c r="AM65" i="11"/>
  <c r="R79" i="2"/>
  <c r="R101" i="2" s="1"/>
  <c r="Z85" i="2"/>
  <c r="AP85" i="2"/>
  <c r="K92" i="2"/>
  <c r="H92" i="2"/>
  <c r="Q10" i="11"/>
  <c r="Q99" i="11" s="1"/>
  <c r="AG10" i="11"/>
  <c r="AG99" i="11" s="1"/>
  <c r="AR32" i="11"/>
  <c r="Q9" i="17" s="1"/>
  <c r="AL56" i="11"/>
  <c r="AL75" i="11" s="1"/>
  <c r="R64" i="11"/>
  <c r="R103" i="16"/>
  <c r="AM20" i="2"/>
  <c r="AD28" i="2"/>
  <c r="S56" i="10"/>
  <c r="N28" i="2"/>
  <c r="X39" i="2"/>
  <c r="M99" i="16"/>
  <c r="AN39" i="2"/>
  <c r="I36" i="2"/>
  <c r="E44" i="2"/>
  <c r="H45" i="2"/>
  <c r="AI62" i="2"/>
  <c r="T62" i="2"/>
  <c r="T79" i="2" s="1"/>
  <c r="T101" i="2" s="1"/>
  <c r="S69" i="2"/>
  <c r="E70" i="2"/>
  <c r="I71" i="2"/>
  <c r="H80" i="2"/>
  <c r="AF98" i="2"/>
  <c r="K95" i="2"/>
  <c r="V106" i="2"/>
  <c r="X64" i="11"/>
  <c r="AR112" i="2"/>
  <c r="Y8" i="11"/>
  <c r="AM16" i="2"/>
  <c r="K14" i="2"/>
  <c r="V65" i="11"/>
  <c r="AH62" i="2"/>
  <c r="Q9" i="11"/>
  <c r="AG9" i="11"/>
  <c r="T12" i="11"/>
  <c r="AJ12" i="11"/>
  <c r="H13" i="9" s="1"/>
  <c r="X14" i="11"/>
  <c r="T39" i="11"/>
  <c r="AJ39" i="11"/>
  <c r="I16" i="17" s="1"/>
  <c r="AB50" i="11"/>
  <c r="AB10" i="2"/>
  <c r="AR10" i="2"/>
  <c r="AA28" i="2"/>
  <c r="AP39" i="2"/>
  <c r="AP47" i="2" s="1"/>
  <c r="AJ62" i="2"/>
  <c r="K57" i="2"/>
  <c r="T69" i="2"/>
  <c r="H76" i="2"/>
  <c r="AE98" i="2"/>
  <c r="AB98" i="2"/>
  <c r="AG98" i="2"/>
  <c r="I99" i="2"/>
  <c r="AK106" i="2"/>
  <c r="AM64" i="11"/>
  <c r="AS53" i="11"/>
  <c r="R68" i="17" s="1"/>
  <c r="H37" i="2"/>
  <c r="H41" i="2"/>
  <c r="H42" i="2"/>
  <c r="Y65" i="11"/>
  <c r="AM79" i="2"/>
  <c r="AK62" i="2"/>
  <c r="K70" i="2"/>
  <c r="AB18" i="11"/>
  <c r="AR18" i="11"/>
  <c r="P19" i="9" s="1"/>
  <c r="AT31" i="11"/>
  <c r="AN62" i="11"/>
  <c r="AN77" i="11" s="1"/>
  <c r="AE20" i="2"/>
  <c r="AA39" i="2"/>
  <c r="AQ39" i="2"/>
  <c r="AQ47" i="2" s="1"/>
  <c r="E37" i="2"/>
  <c r="I53" i="2"/>
  <c r="V62" i="2"/>
  <c r="I108" i="2"/>
  <c r="AC112" i="2"/>
  <c r="AC113" i="2" s="1"/>
  <c r="AM112" i="2"/>
  <c r="AM113" i="2" s="1"/>
  <c r="S5" i="33"/>
  <c r="D9" i="35"/>
  <c r="AE19" i="11"/>
  <c r="AE28" i="11" s="1"/>
  <c r="AE49" i="11"/>
  <c r="E35" i="2"/>
  <c r="Y62" i="2"/>
  <c r="K89" i="2"/>
  <c r="I89" i="2"/>
  <c r="I94" i="2"/>
  <c r="E104" i="2"/>
  <c r="D8" i="35"/>
  <c r="D25" i="35"/>
  <c r="C8" i="38"/>
  <c r="R18" i="11"/>
  <c r="AH18" i="11"/>
  <c r="I15" i="2"/>
  <c r="N20" i="2"/>
  <c r="N29" i="2" s="1"/>
  <c r="Q39" i="2"/>
  <c r="Q47" i="2" s="1"/>
  <c r="AG39" i="2"/>
  <c r="R39" i="2"/>
  <c r="R47" i="2" s="1"/>
  <c r="AH39" i="2"/>
  <c r="AH47" i="2" s="1"/>
  <c r="AA62" i="2"/>
  <c r="H55" i="2"/>
  <c r="AQ62" i="2"/>
  <c r="H56" i="2"/>
  <c r="T100" i="2"/>
  <c r="AR85" i="2"/>
  <c r="AR100" i="2" s="1"/>
  <c r="S112" i="2"/>
  <c r="U56" i="11"/>
  <c r="U75" i="11" s="1"/>
  <c r="AI112" i="2"/>
  <c r="AI113" i="2" s="1"/>
  <c r="AK56" i="11"/>
  <c r="AK75" i="11" s="1"/>
  <c r="I110" i="2"/>
  <c r="U113" i="2"/>
  <c r="K28" i="35"/>
  <c r="C129" i="11" s="1"/>
  <c r="AQ100" i="2"/>
  <c r="K110" i="2"/>
  <c r="R16" i="2"/>
  <c r="AN98" i="2"/>
  <c r="T18" i="11"/>
  <c r="H15" i="2"/>
  <c r="K58" i="2"/>
  <c r="AF65" i="11"/>
  <c r="E67" i="2"/>
  <c r="H96" i="2"/>
  <c r="AA8" i="11"/>
  <c r="AQ8" i="11"/>
  <c r="O9" i="9" s="1"/>
  <c r="AD11" i="11"/>
  <c r="AT11" i="11"/>
  <c r="U18" i="11"/>
  <c r="AK18" i="11"/>
  <c r="I19" i="9" s="1"/>
  <c r="AK19" i="11"/>
  <c r="AN50" i="11"/>
  <c r="M65" i="17" s="1"/>
  <c r="AD62" i="11"/>
  <c r="AD77" i="11" s="1"/>
  <c r="AM10" i="2"/>
  <c r="T39" i="2"/>
  <c r="AF62" i="2"/>
  <c r="O69" i="2"/>
  <c r="AE69" i="2"/>
  <c r="E68" i="2"/>
  <c r="I75" i="2"/>
  <c r="I77" i="2"/>
  <c r="W100" i="2"/>
  <c r="AM98" i="2"/>
  <c r="AM100" i="2" s="1"/>
  <c r="S106" i="2"/>
  <c r="V112" i="2"/>
  <c r="X56" i="11"/>
  <c r="X75" i="11" s="1"/>
  <c r="I109" i="2"/>
  <c r="Q112" i="2"/>
  <c r="F13" i="33"/>
  <c r="AK10" i="2"/>
  <c r="O16" i="2"/>
  <c r="AE16" i="2"/>
  <c r="E14" i="2"/>
  <c r="K15" i="2"/>
  <c r="C57" i="10"/>
  <c r="AL65" i="11"/>
  <c r="AB69" i="2"/>
  <c r="AR69" i="2"/>
  <c r="H73" i="2"/>
  <c r="K96" i="2"/>
  <c r="AP113" i="2"/>
  <c r="J10" i="33"/>
  <c r="M14" i="55"/>
  <c r="M9" i="55"/>
  <c r="P9" i="59"/>
  <c r="P98" i="59"/>
  <c r="P23" i="59"/>
  <c r="M26" i="55"/>
  <c r="P53" i="46"/>
  <c r="M7" i="55"/>
  <c r="Q9" i="59"/>
  <c r="Q126" i="59"/>
  <c r="Q98" i="59"/>
  <c r="K68" i="59"/>
  <c r="K53" i="59"/>
  <c r="K38" i="59"/>
  <c r="P9" i="46"/>
  <c r="M34" i="55"/>
  <c r="D61" i="12"/>
  <c r="K27" i="19" s="1"/>
  <c r="M32" i="55"/>
  <c r="M15" i="55"/>
  <c r="P83" i="59"/>
  <c r="P68" i="59"/>
  <c r="M35" i="55"/>
  <c r="M22" i="55"/>
  <c r="P53" i="59"/>
  <c r="M25" i="55"/>
  <c r="M13" i="55"/>
  <c r="P38" i="59"/>
  <c r="M16" i="55"/>
  <c r="J1" i="46"/>
  <c r="J9" i="46" s="1"/>
  <c r="P126" i="59"/>
  <c r="AQ10" i="2"/>
  <c r="Y16" i="2"/>
  <c r="I12" i="2"/>
  <c r="AA20" i="2"/>
  <c r="K59" i="2"/>
  <c r="E64" i="2"/>
  <c r="K73" i="2"/>
  <c r="K74" i="2"/>
  <c r="I74" i="2"/>
  <c r="K76" i="2"/>
  <c r="K80" i="2"/>
  <c r="AA85" i="2"/>
  <c r="AA100" i="2" s="1"/>
  <c r="I97" i="2"/>
  <c r="AK112" i="2"/>
  <c r="AK113" i="2" s="1"/>
  <c r="P112" i="2"/>
  <c r="P113" i="2" s="1"/>
  <c r="M28" i="55"/>
  <c r="P113" i="59"/>
  <c r="F7" i="49"/>
  <c r="C33" i="51"/>
  <c r="G29" i="51" s="1"/>
  <c r="C36" i="31"/>
  <c r="M17" i="55"/>
  <c r="H12" i="2"/>
  <c r="AQ16" i="2"/>
  <c r="H14" i="2"/>
  <c r="K44" i="2"/>
  <c r="I44" i="2"/>
  <c r="I58" i="2"/>
  <c r="AJ85" i="2"/>
  <c r="AJ100" i="2" s="1"/>
  <c r="I87" i="2"/>
  <c r="AL113" i="2"/>
  <c r="W112" i="2"/>
  <c r="R112" i="2"/>
  <c r="R113" i="2" s="1"/>
  <c r="D14" i="35"/>
  <c r="T14" i="35" s="1"/>
  <c r="Q1" i="46"/>
  <c r="Q9" i="46" s="1"/>
  <c r="H7" i="30"/>
  <c r="C27" i="31"/>
  <c r="E29" i="51"/>
  <c r="G26" i="31"/>
  <c r="E26" i="31"/>
  <c r="C26" i="31"/>
  <c r="G25" i="31"/>
  <c r="E25" i="31"/>
  <c r="C25" i="31"/>
  <c r="G29" i="31"/>
  <c r="G24" i="31"/>
  <c r="C43" i="31"/>
  <c r="C29" i="51"/>
  <c r="D29" i="51" s="1"/>
  <c r="E29" i="31"/>
  <c r="C42" i="31"/>
  <c r="C29" i="31"/>
  <c r="E24" i="31"/>
  <c r="C41" i="31"/>
  <c r="C16" i="31" s="1" a="1"/>
  <c r="C16" i="31" s="1"/>
  <c r="C34" i="51"/>
  <c r="G28" i="31"/>
  <c r="E28" i="31"/>
  <c r="C24" i="31"/>
  <c r="C28" i="31"/>
  <c r="G27" i="31"/>
  <c r="E27" i="31"/>
  <c r="C30" i="31"/>
  <c r="AH10" i="2"/>
  <c r="AR16" i="2"/>
  <c r="AR29" i="2" s="1"/>
  <c r="AL20" i="2"/>
  <c r="V47" i="2"/>
  <c r="I37" i="2"/>
  <c r="K53" i="2"/>
  <c r="AP62" i="2"/>
  <c r="N100" i="2"/>
  <c r="I88" i="2"/>
  <c r="Q15" i="35"/>
  <c r="S15" i="35" s="1"/>
  <c r="G30" i="31"/>
  <c r="F26" i="49"/>
  <c r="M33" i="55"/>
  <c r="AN20" i="2"/>
  <c r="K34" i="2"/>
  <c r="Z69" i="2"/>
  <c r="AP69" i="2"/>
  <c r="I70" i="2"/>
  <c r="F13" i="49"/>
  <c r="L11" i="51" a="1"/>
  <c r="L11" i="51" s="1"/>
  <c r="L12" i="51" a="1"/>
  <c r="L12" i="51" s="1"/>
  <c r="L13" i="51" a="1"/>
  <c r="L13" i="51" s="1"/>
  <c r="L14" i="51" a="1"/>
  <c r="L14" i="51" s="1"/>
  <c r="L16" i="51" a="1"/>
  <c r="L16" i="51" s="1"/>
  <c r="L18" i="51" a="1"/>
  <c r="L18" i="51" s="1"/>
  <c r="L19" i="51" a="1"/>
  <c r="L19" i="51" s="1"/>
  <c r="L20" i="51" a="1"/>
  <c r="L20" i="51" s="1"/>
  <c r="L21" i="51" a="1"/>
  <c r="L21" i="51" s="1"/>
  <c r="L22" i="51" a="1"/>
  <c r="L22" i="51" s="1"/>
  <c r="L7" i="51" a="1"/>
  <c r="L7" i="51" s="1"/>
  <c r="L9" i="51" a="1"/>
  <c r="L9" i="51" s="1"/>
  <c r="L8" i="51" a="1"/>
  <c r="L8" i="51" s="1"/>
  <c r="L10" i="51" a="1"/>
  <c r="L10" i="51" s="1"/>
  <c r="L15" i="51" a="1"/>
  <c r="L15" i="51" s="1"/>
  <c r="L17" i="51" a="1"/>
  <c r="L17" i="51" s="1"/>
  <c r="L23" i="51" a="1"/>
  <c r="L23" i="51" s="1"/>
  <c r="L24" i="51" a="1"/>
  <c r="L24" i="51" s="1"/>
  <c r="L26" i="51" a="1"/>
  <c r="L26" i="51" s="1"/>
  <c r="L25" i="51" a="1"/>
  <c r="L25" i="51" s="1"/>
  <c r="M23" i="55"/>
  <c r="M8" i="55"/>
  <c r="H9" i="59"/>
  <c r="F18" i="49"/>
  <c r="F9" i="49"/>
  <c r="O9" i="59"/>
  <c r="I9" i="59"/>
  <c r="J9" i="59"/>
  <c r="F6" i="49"/>
  <c r="F23" i="49"/>
  <c r="F16" i="49"/>
  <c r="F30" i="49"/>
  <c r="P8" i="59"/>
  <c r="H8" i="59"/>
  <c r="F20" i="49"/>
  <c r="I8" i="59"/>
  <c r="F28" i="49"/>
  <c r="J8" i="59"/>
  <c r="K8" i="59"/>
  <c r="O8" i="59"/>
  <c r="Q8" i="59"/>
  <c r="R5" i="59"/>
  <c r="Q1" i="59"/>
  <c r="K1" i="59"/>
  <c r="L5" i="59"/>
  <c r="B33" i="9"/>
  <c r="B21" i="17"/>
  <c r="B42" i="9"/>
  <c r="B22" i="17"/>
  <c r="D20" i="35"/>
  <c r="B23" i="17"/>
  <c r="G20" i="9"/>
  <c r="AI28" i="11"/>
  <c r="H20" i="9"/>
  <c r="H23" i="9" s="1"/>
  <c r="AJ28" i="11"/>
  <c r="I20" i="9"/>
  <c r="AK28" i="11"/>
  <c r="R20" i="9"/>
  <c r="AT28" i="11"/>
  <c r="K20" i="9"/>
  <c r="AM28" i="11"/>
  <c r="L20" i="9"/>
  <c r="L23" i="9" s="1"/>
  <c r="AN28" i="11"/>
  <c r="M20" i="9"/>
  <c r="M23" i="9" s="1"/>
  <c r="AO28" i="11"/>
  <c r="N20" i="9"/>
  <c r="N23" i="9" s="1"/>
  <c r="AP28" i="11"/>
  <c r="O20" i="9"/>
  <c r="O23" i="9" s="1"/>
  <c r="AQ28" i="11"/>
  <c r="P20" i="9"/>
  <c r="P23" i="9" s="1"/>
  <c r="AR28" i="11"/>
  <c r="Q20" i="9"/>
  <c r="AS28" i="11"/>
  <c r="S104" i="11"/>
  <c r="W22" i="11"/>
  <c r="L107" i="16"/>
  <c r="T15" i="11"/>
  <c r="G104" i="16" s="1"/>
  <c r="N107" i="16"/>
  <c r="Q9" i="35"/>
  <c r="V15" i="11"/>
  <c r="P22" i="11"/>
  <c r="AF22" i="11"/>
  <c r="AD22" i="11"/>
  <c r="Z104" i="11"/>
  <c r="AB15" i="11"/>
  <c r="O104" i="16" s="1"/>
  <c r="AE104" i="11"/>
  <c r="E107" i="16"/>
  <c r="AA22" i="11"/>
  <c r="P107" i="16"/>
  <c r="R107" i="16"/>
  <c r="AC104" i="11"/>
  <c r="T22" i="11"/>
  <c r="D107" i="16"/>
  <c r="T107" i="16"/>
  <c r="Q104" i="11"/>
  <c r="AG104" i="11"/>
  <c r="I107" i="16"/>
  <c r="I108" i="16" s="1"/>
  <c r="AB22" i="11"/>
  <c r="V104" i="11"/>
  <c r="Q40" i="11"/>
  <c r="AG40" i="11"/>
  <c r="X104" i="11"/>
  <c r="B29" i="9"/>
  <c r="Y15" i="11"/>
  <c r="L104" i="16" s="1"/>
  <c r="R22" i="11"/>
  <c r="AH22" i="11"/>
  <c r="U40" i="11"/>
  <c r="B37" i="17"/>
  <c r="S40" i="11"/>
  <c r="W15" i="11"/>
  <c r="S22" i="11"/>
  <c r="B38" i="17"/>
  <c r="W40" i="11"/>
  <c r="B38" i="9"/>
  <c r="B39" i="17"/>
  <c r="AA15" i="11"/>
  <c r="N100" i="16" s="1"/>
  <c r="U22" i="11"/>
  <c r="V22" i="11"/>
  <c r="X40" i="11"/>
  <c r="C107" i="16"/>
  <c r="C108" i="16" s="1"/>
  <c r="S107" i="16"/>
  <c r="S108" i="16" s="1"/>
  <c r="B20" i="17"/>
  <c r="Y40" i="11"/>
  <c r="Z40" i="11"/>
  <c r="X22" i="11"/>
  <c r="AA40" i="11"/>
  <c r="F107" i="16"/>
  <c r="Y22" i="11"/>
  <c r="Y24" i="11" s="1"/>
  <c r="AB40" i="11"/>
  <c r="AH99" i="16"/>
  <c r="B24" i="17"/>
  <c r="AC15" i="11"/>
  <c r="P104" i="16" s="1"/>
  <c r="P15" i="11"/>
  <c r="C100" i="16" s="1"/>
  <c r="AF15" i="11"/>
  <c r="S104" i="16" s="1"/>
  <c r="Z22" i="11"/>
  <c r="AC40" i="11"/>
  <c r="U46" i="11"/>
  <c r="Y66" i="11"/>
  <c r="B25" i="17"/>
  <c r="Q15" i="11"/>
  <c r="D100" i="16" s="1"/>
  <c r="AG15" i="11"/>
  <c r="T104" i="16" s="1"/>
  <c r="J68" i="8"/>
  <c r="M68" i="8" s="1"/>
  <c r="U104" i="11"/>
  <c r="AE40" i="11"/>
  <c r="C130" i="11"/>
  <c r="K32" i="11" s="1"/>
  <c r="E9" i="17" s="1"/>
  <c r="S15" i="11"/>
  <c r="F104" i="16" s="1"/>
  <c r="AC22" i="11"/>
  <c r="Q23" i="9"/>
  <c r="P40" i="11"/>
  <c r="AF40" i="11"/>
  <c r="K107" i="16"/>
  <c r="W104" i="11"/>
  <c r="AS66" i="11"/>
  <c r="R72" i="17" s="1"/>
  <c r="U15" i="11"/>
  <c r="H104" i="16" s="1"/>
  <c r="AE22" i="11"/>
  <c r="R40" i="11"/>
  <c r="M107" i="16"/>
  <c r="Q22" i="11"/>
  <c r="AG22" i="11"/>
  <c r="T40" i="11"/>
  <c r="O107" i="16"/>
  <c r="C51" i="47"/>
  <c r="C59" i="47" s="1"/>
  <c r="C55" i="47"/>
  <c r="C63" i="47" s="1"/>
  <c r="C52" i="47"/>
  <c r="C60" i="47" s="1"/>
  <c r="C53" i="47"/>
  <c r="C61" i="47" s="1"/>
  <c r="S11" i="38"/>
  <c r="S12" i="38"/>
  <c r="S9" i="38"/>
  <c r="S10" i="38"/>
  <c r="D8" i="38"/>
  <c r="R9" i="38"/>
  <c r="R10" i="38"/>
  <c r="S8" i="38"/>
  <c r="T5" i="38"/>
  <c r="Z5" i="11"/>
  <c r="AA5" i="11" s="1"/>
  <c r="AB5" i="11" s="1"/>
  <c r="AC5" i="11" s="1"/>
  <c r="AD5" i="11" s="1"/>
  <c r="AE5" i="11" s="1"/>
  <c r="AF5" i="11" s="1"/>
  <c r="AG5" i="11" s="1"/>
  <c r="AH5" i="11" s="1"/>
  <c r="Q10" i="38"/>
  <c r="Q9" i="38"/>
  <c r="Q11" i="38"/>
  <c r="R8" i="38"/>
  <c r="N5" i="38"/>
  <c r="M8" i="38"/>
  <c r="J10" i="38"/>
  <c r="J12" i="38"/>
  <c r="J9" i="38"/>
  <c r="K10" i="38"/>
  <c r="K12" i="38"/>
  <c r="K9" i="38"/>
  <c r="K11" i="38"/>
  <c r="J11" i="38"/>
  <c r="M1" i="38"/>
  <c r="Q12" i="38"/>
  <c r="AD15" i="11"/>
  <c r="Q104" i="16" s="1"/>
  <c r="C116" i="11"/>
  <c r="K11" i="11" s="1"/>
  <c r="R12" i="9"/>
  <c r="J19" i="9"/>
  <c r="G8" i="9"/>
  <c r="H38" i="9" s="1"/>
  <c r="G38" i="9"/>
  <c r="AI15" i="11"/>
  <c r="V100" i="16" s="1"/>
  <c r="G39" i="9"/>
  <c r="G9" i="9"/>
  <c r="H39" i="9" s="1"/>
  <c r="G40" i="9"/>
  <c r="G10" i="9"/>
  <c r="H40" i="9" s="1"/>
  <c r="L1" i="38"/>
  <c r="K8" i="9"/>
  <c r="AM15" i="11"/>
  <c r="Z100" i="16" s="1"/>
  <c r="O8" i="9"/>
  <c r="AQ15" i="11"/>
  <c r="AD104" i="16" s="1"/>
  <c r="R13" i="9"/>
  <c r="C115" i="11"/>
  <c r="K12" i="11" s="1"/>
  <c r="R14" i="9"/>
  <c r="C117" i="11"/>
  <c r="K13" i="11" s="1"/>
  <c r="M39" i="9"/>
  <c r="R104" i="11"/>
  <c r="R15" i="9"/>
  <c r="C118" i="11"/>
  <c r="K14" i="11" s="1"/>
  <c r="K39" i="17"/>
  <c r="R8" i="9"/>
  <c r="C111" i="11"/>
  <c r="AT15" i="11"/>
  <c r="AG104" i="16" s="1"/>
  <c r="N39" i="9"/>
  <c r="J40" i="9"/>
  <c r="K37" i="17"/>
  <c r="K58" i="17"/>
  <c r="AE15" i="11"/>
  <c r="O39" i="9"/>
  <c r="K35" i="17"/>
  <c r="K43" i="17"/>
  <c r="Y107" i="16"/>
  <c r="K64" i="17"/>
  <c r="V40" i="11"/>
  <c r="K8" i="17"/>
  <c r="L31" i="17" s="1"/>
  <c r="AL40" i="11"/>
  <c r="K33" i="17"/>
  <c r="C18" i="19"/>
  <c r="K25" i="19"/>
  <c r="AJ10" i="2"/>
  <c r="AL19" i="11"/>
  <c r="M40" i="9"/>
  <c r="J11" i="9"/>
  <c r="J16" i="9" s="1"/>
  <c r="AL99" i="11"/>
  <c r="R104" i="16"/>
  <c r="R15" i="11"/>
  <c r="E100" i="16" s="1"/>
  <c r="AH15" i="11"/>
  <c r="R9" i="9"/>
  <c r="C113" i="11"/>
  <c r="K8" i="11" s="1"/>
  <c r="N40" i="9"/>
  <c r="O40" i="9"/>
  <c r="J42" i="9"/>
  <c r="AL15" i="11"/>
  <c r="Y104" i="16" s="1"/>
  <c r="M11" i="9"/>
  <c r="M16" i="9" s="1"/>
  <c r="AO99" i="11"/>
  <c r="J43" i="9"/>
  <c r="I44" i="9"/>
  <c r="AO15" i="11"/>
  <c r="AB104" i="16" s="1"/>
  <c r="R18" i="9"/>
  <c r="AT22" i="11"/>
  <c r="J44" i="9"/>
  <c r="J45" i="9"/>
  <c r="J38" i="9"/>
  <c r="R40" i="9"/>
  <c r="M42" i="9"/>
  <c r="S15" i="17"/>
  <c r="C135" i="11"/>
  <c r="K38" i="11" s="1"/>
  <c r="S46" i="17"/>
  <c r="C144" i="11"/>
  <c r="K45" i="11" s="1"/>
  <c r="N42" i="9"/>
  <c r="M43" i="9"/>
  <c r="S13" i="17"/>
  <c r="AT103" i="11"/>
  <c r="C133" i="11"/>
  <c r="K36" i="11" s="1"/>
  <c r="AD40" i="11"/>
  <c r="C142" i="11"/>
  <c r="K43" i="11" s="1"/>
  <c r="S44" i="17"/>
  <c r="V46" i="11"/>
  <c r="N44" i="9"/>
  <c r="P15" i="35"/>
  <c r="S11" i="17"/>
  <c r="C136" i="11"/>
  <c r="K34" i="11" s="1"/>
  <c r="AT100" i="11"/>
  <c r="AT40" i="11"/>
  <c r="AL46" i="11"/>
  <c r="AD66" i="11"/>
  <c r="S63" i="17"/>
  <c r="AT66" i="11"/>
  <c r="S72" i="17" s="1"/>
  <c r="M38" i="9"/>
  <c r="AD104" i="11"/>
  <c r="R11" i="9"/>
  <c r="AT99" i="11"/>
  <c r="P7" i="35"/>
  <c r="S7" i="35" s="1"/>
  <c r="S9" i="17"/>
  <c r="Z15" i="11"/>
  <c r="N8" i="9"/>
  <c r="AP15" i="11"/>
  <c r="AC104" i="16" s="1"/>
  <c r="J39" i="9"/>
  <c r="I104" i="16"/>
  <c r="K56" i="10"/>
  <c r="K23" i="2"/>
  <c r="V28" i="2"/>
  <c r="X13" i="11"/>
  <c r="AA56" i="10"/>
  <c r="AL28" i="2"/>
  <c r="I23" i="2"/>
  <c r="AN13" i="11"/>
  <c r="L14" i="9" s="1"/>
  <c r="M44" i="9" s="1"/>
  <c r="K40" i="9"/>
  <c r="K42" i="9"/>
  <c r="K44" i="9"/>
  <c r="AM22" i="11"/>
  <c r="L33" i="17"/>
  <c r="L35" i="17"/>
  <c r="L37" i="17"/>
  <c r="L39" i="17"/>
  <c r="J107" i="16"/>
  <c r="L43" i="17"/>
  <c r="Z107" i="16"/>
  <c r="L58" i="17"/>
  <c r="W46" i="11"/>
  <c r="AM46" i="11"/>
  <c r="L64" i="17"/>
  <c r="AJ99" i="11"/>
  <c r="E13" i="2"/>
  <c r="H18" i="2"/>
  <c r="J55" i="10"/>
  <c r="K19" i="2"/>
  <c r="U20" i="2"/>
  <c r="K20" i="2" s="1"/>
  <c r="Z55" i="10"/>
  <c r="AK20" i="2"/>
  <c r="AK29" i="2" s="1"/>
  <c r="AK48" i="2" s="1"/>
  <c r="L52" i="10"/>
  <c r="K21" i="2"/>
  <c r="AB48" i="10"/>
  <c r="I26" i="2"/>
  <c r="L40" i="9"/>
  <c r="P104" i="11"/>
  <c r="AF104" i="11"/>
  <c r="L42" i="9"/>
  <c r="AN22" i="11"/>
  <c r="M31" i="17"/>
  <c r="M33" i="17"/>
  <c r="M35" i="17"/>
  <c r="M37" i="17"/>
  <c r="M39" i="17"/>
  <c r="M43" i="17"/>
  <c r="N56" i="17" s="1"/>
  <c r="AA107" i="16"/>
  <c r="M58" i="17"/>
  <c r="X46" i="11"/>
  <c r="AN46" i="11"/>
  <c r="P66" i="11"/>
  <c r="AF66" i="11"/>
  <c r="M64" i="17"/>
  <c r="AN99" i="11"/>
  <c r="AF88" i="11"/>
  <c r="P88" i="11"/>
  <c r="AE88" i="11"/>
  <c r="AT88" i="11"/>
  <c r="AD88" i="11"/>
  <c r="AS88" i="11"/>
  <c r="AC88" i="11"/>
  <c r="AR88" i="11"/>
  <c r="AB88" i="11"/>
  <c r="AQ88" i="11"/>
  <c r="AA88" i="11"/>
  <c r="AP88" i="11"/>
  <c r="Z88" i="11"/>
  <c r="AN88" i="11"/>
  <c r="X88" i="11"/>
  <c r="AM88" i="11"/>
  <c r="W88" i="11"/>
  <c r="AL88" i="11"/>
  <c r="V88" i="11"/>
  <c r="AJ88" i="11"/>
  <c r="T88" i="11"/>
  <c r="AI88" i="11"/>
  <c r="S88" i="11"/>
  <c r="AH88" i="11"/>
  <c r="R88" i="11"/>
  <c r="C172" i="11"/>
  <c r="E8" i="19"/>
  <c r="D8" i="19"/>
  <c r="F8" i="19" s="1"/>
  <c r="D9" i="19"/>
  <c r="F9" i="19" s="1"/>
  <c r="I32" i="2"/>
  <c r="L99" i="16"/>
  <c r="L100" i="16" s="1"/>
  <c r="W39" i="2"/>
  <c r="AB99" i="16"/>
  <c r="I34" i="2"/>
  <c r="AM39" i="2"/>
  <c r="AM47" i="2" s="1"/>
  <c r="K46" i="2"/>
  <c r="H46" i="2"/>
  <c r="O96" i="16"/>
  <c r="H63" i="2"/>
  <c r="AE96" i="16"/>
  <c r="I63" i="2"/>
  <c r="AH106" i="2"/>
  <c r="AH113" i="2" s="1"/>
  <c r="AJ64" i="11"/>
  <c r="AO22" i="11"/>
  <c r="N31" i="17"/>
  <c r="N33" i="17"/>
  <c r="N35" i="17"/>
  <c r="N37" i="17"/>
  <c r="N39" i="17"/>
  <c r="N47" i="17"/>
  <c r="N58" i="17"/>
  <c r="Y46" i="11"/>
  <c r="AO46" i="11"/>
  <c r="N64" i="17"/>
  <c r="E18" i="2"/>
  <c r="O20" i="2"/>
  <c r="E20" i="2" s="1"/>
  <c r="AC54" i="10"/>
  <c r="I25" i="2"/>
  <c r="AP22" i="11"/>
  <c r="O31" i="17"/>
  <c r="O33" i="17"/>
  <c r="G11" i="17"/>
  <c r="AH100" i="11"/>
  <c r="O35" i="17"/>
  <c r="O37" i="17"/>
  <c r="O39" i="17"/>
  <c r="AH40" i="11"/>
  <c r="O43" i="17"/>
  <c r="AC107" i="16"/>
  <c r="O58" i="17"/>
  <c r="Z46" i="11"/>
  <c r="AP46" i="11"/>
  <c r="G63" i="17"/>
  <c r="AC47" i="2"/>
  <c r="Y39" i="2"/>
  <c r="Y47" i="2" s="1"/>
  <c r="H35" i="2"/>
  <c r="K36" i="2"/>
  <c r="G11" i="9"/>
  <c r="G41" i="9"/>
  <c r="AI99" i="11"/>
  <c r="O42" i="9"/>
  <c r="G43" i="9"/>
  <c r="G13" i="9"/>
  <c r="H43" i="9" s="1"/>
  <c r="O44" i="9"/>
  <c r="G45" i="9"/>
  <c r="G15" i="9"/>
  <c r="H45" i="9" s="1"/>
  <c r="G18" i="9"/>
  <c r="G23" i="9" s="1"/>
  <c r="C123" i="11"/>
  <c r="K17" i="11" s="1"/>
  <c r="AQ22" i="11"/>
  <c r="P31" i="17"/>
  <c r="H32" i="17"/>
  <c r="P33" i="17"/>
  <c r="H11" i="17"/>
  <c r="AI100" i="11"/>
  <c r="P35" i="17"/>
  <c r="H13" i="17"/>
  <c r="AI103" i="11"/>
  <c r="P37" i="17"/>
  <c r="H38" i="17"/>
  <c r="P39" i="17"/>
  <c r="AI40" i="11"/>
  <c r="P43" i="17"/>
  <c r="AD107" i="16"/>
  <c r="H57" i="17"/>
  <c r="P58" i="17"/>
  <c r="H59" i="17"/>
  <c r="AA46" i="11"/>
  <c r="AQ46" i="11"/>
  <c r="S66" i="11"/>
  <c r="H63" i="17"/>
  <c r="AI66" i="11"/>
  <c r="H72" i="17" s="1"/>
  <c r="P64" i="17"/>
  <c r="AG88" i="11"/>
  <c r="I100" i="16"/>
  <c r="Q20" i="2"/>
  <c r="Q29" i="2" s="1"/>
  <c r="AG20" i="2"/>
  <c r="AG29" i="2" s="1"/>
  <c r="P52" i="10"/>
  <c r="H21" i="2"/>
  <c r="P38" i="9"/>
  <c r="P40" i="9"/>
  <c r="P42" i="9"/>
  <c r="P44" i="9"/>
  <c r="AR15" i="11"/>
  <c r="AE100" i="16" s="1"/>
  <c r="AR22" i="11"/>
  <c r="Q31" i="17"/>
  <c r="I32" i="17"/>
  <c r="Q33" i="17"/>
  <c r="I11" i="17"/>
  <c r="AJ100" i="11"/>
  <c r="Q35" i="17"/>
  <c r="I13" i="17"/>
  <c r="AJ103" i="11"/>
  <c r="Q37" i="17"/>
  <c r="I38" i="17"/>
  <c r="Q39" i="17"/>
  <c r="AJ40" i="11"/>
  <c r="Q43" i="17"/>
  <c r="AE107" i="16"/>
  <c r="I57" i="17"/>
  <c r="Q58" i="17"/>
  <c r="I59" i="17"/>
  <c r="AB46" i="11"/>
  <c r="AR46" i="11"/>
  <c r="T66" i="11"/>
  <c r="I63" i="17"/>
  <c r="Q64" i="17"/>
  <c r="AK88" i="11"/>
  <c r="J100" i="16"/>
  <c r="I9" i="2"/>
  <c r="V29" i="2"/>
  <c r="V48" i="2" s="1"/>
  <c r="H32" i="2"/>
  <c r="AA47" i="2"/>
  <c r="AO39" i="2"/>
  <c r="AO47" i="2" s="1"/>
  <c r="U62" i="2"/>
  <c r="K56" i="2"/>
  <c r="E63" i="2"/>
  <c r="C96" i="16"/>
  <c r="AD98" i="2"/>
  <c r="H91" i="2"/>
  <c r="Q38" i="9"/>
  <c r="I39" i="9"/>
  <c r="Q40" i="9"/>
  <c r="I11" i="9"/>
  <c r="I16" i="9" s="1"/>
  <c r="AK99" i="11"/>
  <c r="Q42" i="9"/>
  <c r="I43" i="9"/>
  <c r="Q44" i="9"/>
  <c r="I45" i="9"/>
  <c r="AS15" i="11"/>
  <c r="AF104" i="16" s="1"/>
  <c r="I23" i="9"/>
  <c r="AS22" i="11"/>
  <c r="R31" i="17"/>
  <c r="J32" i="17"/>
  <c r="R33" i="17"/>
  <c r="J11" i="17"/>
  <c r="AK100" i="11"/>
  <c r="R35" i="17"/>
  <c r="J13" i="17"/>
  <c r="K36" i="17" s="1"/>
  <c r="AK103" i="11"/>
  <c r="R37" i="17"/>
  <c r="J38" i="17"/>
  <c r="R39" i="17"/>
  <c r="AK40" i="11"/>
  <c r="R43" i="17"/>
  <c r="AF107" i="16"/>
  <c r="J57" i="17"/>
  <c r="R58" i="17"/>
  <c r="J59" i="17"/>
  <c r="AC46" i="11"/>
  <c r="AS46" i="11"/>
  <c r="U66" i="11"/>
  <c r="J63" i="17"/>
  <c r="AK66" i="11"/>
  <c r="J72" i="17" s="1"/>
  <c r="R64" i="17"/>
  <c r="AO88" i="11"/>
  <c r="AR100" i="11"/>
  <c r="I21" i="2"/>
  <c r="R51" i="10"/>
  <c r="H24" i="2"/>
  <c r="E25" i="2"/>
  <c r="Q54" i="10"/>
  <c r="H25" i="2"/>
  <c r="P47" i="2"/>
  <c r="E31" i="2"/>
  <c r="R63" i="11"/>
  <c r="H31" i="2"/>
  <c r="AF47" i="2"/>
  <c r="AH63" i="11"/>
  <c r="AR39" i="2"/>
  <c r="AR47" i="2" s="1"/>
  <c r="H36" i="2"/>
  <c r="P28" i="35"/>
  <c r="S28" i="35" s="1"/>
  <c r="S8" i="17"/>
  <c r="K32" i="17"/>
  <c r="P8" i="35"/>
  <c r="S8" i="35" s="1"/>
  <c r="T8" i="35" s="1"/>
  <c r="S10" i="17"/>
  <c r="K33" i="11"/>
  <c r="K11" i="17"/>
  <c r="AL100" i="11"/>
  <c r="S35" i="17"/>
  <c r="P19" i="35"/>
  <c r="S19" i="35" s="1"/>
  <c r="S14" i="17"/>
  <c r="K37" i="11"/>
  <c r="K38" i="17"/>
  <c r="S16" i="17"/>
  <c r="C137" i="11"/>
  <c r="K39" i="11" s="1"/>
  <c r="Q107" i="16"/>
  <c r="S43" i="17"/>
  <c r="AG107" i="16"/>
  <c r="C141" i="11"/>
  <c r="K57" i="17"/>
  <c r="S45" i="17"/>
  <c r="C143" i="11"/>
  <c r="K44" i="11" s="1"/>
  <c r="K59" i="17"/>
  <c r="AD46" i="11"/>
  <c r="AT46" i="11"/>
  <c r="K63" i="17"/>
  <c r="Q66" i="11"/>
  <c r="H107" i="16"/>
  <c r="H108" i="16" s="1"/>
  <c r="K26" i="19"/>
  <c r="C26" i="19" s="1"/>
  <c r="K12" i="2"/>
  <c r="U16" i="2"/>
  <c r="O53" i="10"/>
  <c r="K27" i="2"/>
  <c r="H27" i="2"/>
  <c r="AE53" i="10"/>
  <c r="I27" i="2"/>
  <c r="AG47" i="2"/>
  <c r="AL62" i="2"/>
  <c r="I62" i="2" s="1"/>
  <c r="I55" i="2"/>
  <c r="Z65" i="11"/>
  <c r="Z66" i="11" s="1"/>
  <c r="E77" i="2"/>
  <c r="K39" i="9"/>
  <c r="K11" i="9"/>
  <c r="L41" i="9" s="1"/>
  <c r="AM99" i="11"/>
  <c r="C114" i="11"/>
  <c r="K10" i="11" s="1"/>
  <c r="K99" i="11" s="1"/>
  <c r="K43" i="9"/>
  <c r="K45" i="9"/>
  <c r="K23" i="9"/>
  <c r="L32" i="17"/>
  <c r="L11" i="17"/>
  <c r="AM100" i="11"/>
  <c r="L13" i="17"/>
  <c r="AM103" i="11"/>
  <c r="L38" i="17"/>
  <c r="AM40" i="11"/>
  <c r="L57" i="17"/>
  <c r="L59" i="17"/>
  <c r="AE46" i="11"/>
  <c r="W66" i="11"/>
  <c r="L63" i="17"/>
  <c r="AM66" i="11"/>
  <c r="L72" i="17" s="1"/>
  <c r="J200" i="11"/>
  <c r="AC29" i="2"/>
  <c r="AC48" i="2" s="1"/>
  <c r="N39" i="2"/>
  <c r="I69" i="2"/>
  <c r="L39" i="9"/>
  <c r="L43" i="9"/>
  <c r="L45" i="9"/>
  <c r="M32" i="17"/>
  <c r="M11" i="17"/>
  <c r="AN100" i="11"/>
  <c r="M13" i="17"/>
  <c r="AN103" i="11"/>
  <c r="M38" i="17"/>
  <c r="AN40" i="11"/>
  <c r="M57" i="17"/>
  <c r="M59" i="17"/>
  <c r="P46" i="11"/>
  <c r="AF46" i="11"/>
  <c r="X66" i="11"/>
  <c r="AN66" i="11"/>
  <c r="M72" i="17" s="1"/>
  <c r="M63" i="17"/>
  <c r="X107" i="16"/>
  <c r="K18" i="2"/>
  <c r="M45" i="9"/>
  <c r="N32" i="17"/>
  <c r="N11" i="17"/>
  <c r="AO100" i="11"/>
  <c r="N13" i="17"/>
  <c r="AO103" i="11"/>
  <c r="N38" i="17"/>
  <c r="AO40" i="11"/>
  <c r="N57" i="17"/>
  <c r="N59" i="17"/>
  <c r="Q46" i="11"/>
  <c r="AG46" i="11"/>
  <c r="N63" i="17"/>
  <c r="AG66" i="11"/>
  <c r="AB107" i="16"/>
  <c r="K9" i="2"/>
  <c r="H9" i="2"/>
  <c r="AA10" i="2"/>
  <c r="K10" i="2" s="1"/>
  <c r="AD29" i="2"/>
  <c r="T47" i="2"/>
  <c r="V63" i="11"/>
  <c r="V66" i="11" s="1"/>
  <c r="AJ47" i="2"/>
  <c r="AL63" i="11"/>
  <c r="AL66" i="11" s="1"/>
  <c r="K72" i="17" s="1"/>
  <c r="AP65" i="11"/>
  <c r="AP66" i="11" s="1"/>
  <c r="O72" i="17" s="1"/>
  <c r="N11" i="9"/>
  <c r="AP99" i="11"/>
  <c r="N43" i="9"/>
  <c r="N45" i="9"/>
  <c r="O32" i="17"/>
  <c r="O11" i="17"/>
  <c r="AP100" i="11"/>
  <c r="O13" i="17"/>
  <c r="AP103" i="11"/>
  <c r="O38" i="17"/>
  <c r="AP40" i="11"/>
  <c r="G43" i="17"/>
  <c r="U107" i="16"/>
  <c r="O57" i="17"/>
  <c r="O59" i="17"/>
  <c r="R46" i="11"/>
  <c r="AH46" i="11"/>
  <c r="O63" i="17"/>
  <c r="G64" i="17"/>
  <c r="AO66" i="11"/>
  <c r="N72" i="17" s="1"/>
  <c r="G56" i="10"/>
  <c r="R28" i="2"/>
  <c r="R29" i="2" s="1"/>
  <c r="W56" i="10"/>
  <c r="AH28" i="2"/>
  <c r="I38" i="2"/>
  <c r="K40" i="2"/>
  <c r="AE60" i="11"/>
  <c r="AE66" i="11" s="1"/>
  <c r="E41" i="2"/>
  <c r="Z62" i="2"/>
  <c r="K55" i="2"/>
  <c r="E71" i="2"/>
  <c r="AA65" i="11"/>
  <c r="AA66" i="11" s="1"/>
  <c r="Y85" i="2"/>
  <c r="Y100" i="2" s="1"/>
  <c r="AO85" i="2"/>
  <c r="AQ65" i="11"/>
  <c r="AQ66" i="11" s="1"/>
  <c r="P72" i="17" s="1"/>
  <c r="AB112" i="2"/>
  <c r="AB113" i="2" s="1"/>
  <c r="K108" i="2"/>
  <c r="O11" i="9"/>
  <c r="AQ99" i="11"/>
  <c r="G42" i="9"/>
  <c r="G12" i="9"/>
  <c r="O43" i="9"/>
  <c r="G44" i="9"/>
  <c r="G14" i="9"/>
  <c r="H44" i="9" s="1"/>
  <c r="O45" i="9"/>
  <c r="AI22" i="11"/>
  <c r="H31" i="17"/>
  <c r="P32" i="17"/>
  <c r="H33" i="17"/>
  <c r="P11" i="17"/>
  <c r="AQ100" i="11"/>
  <c r="H35" i="17"/>
  <c r="P13" i="17"/>
  <c r="AQ103" i="11"/>
  <c r="H37" i="17"/>
  <c r="P38" i="17"/>
  <c r="H39" i="17"/>
  <c r="AQ40" i="11"/>
  <c r="H43" i="17"/>
  <c r="V107" i="16"/>
  <c r="P57" i="17"/>
  <c r="H58" i="17"/>
  <c r="P59" i="17"/>
  <c r="S46" i="11"/>
  <c r="AI46" i="11"/>
  <c r="P63" i="17"/>
  <c r="H64" i="17"/>
  <c r="AH103" i="11"/>
  <c r="H48" i="10"/>
  <c r="E26" i="2"/>
  <c r="E42" i="2"/>
  <c r="I46" i="2"/>
  <c r="E51" i="2"/>
  <c r="R65" i="11"/>
  <c r="AH65" i="11"/>
  <c r="K61" i="2"/>
  <c r="E61" i="2"/>
  <c r="H16" i="9"/>
  <c r="H33" i="9" s="1"/>
  <c r="P39" i="9"/>
  <c r="AB104" i="11"/>
  <c r="P11" i="9"/>
  <c r="P16" i="9" s="1"/>
  <c r="AR99" i="11"/>
  <c r="P43" i="9"/>
  <c r="P45" i="9"/>
  <c r="AJ15" i="11"/>
  <c r="W100" i="16" s="1"/>
  <c r="AJ22" i="11"/>
  <c r="I31" i="17"/>
  <c r="Q32" i="17"/>
  <c r="I33" i="17"/>
  <c r="I35" i="17"/>
  <c r="Q13" i="17"/>
  <c r="AR103" i="11"/>
  <c r="I37" i="17"/>
  <c r="Q38" i="17"/>
  <c r="I39" i="17"/>
  <c r="AR40" i="11"/>
  <c r="G107" i="16"/>
  <c r="I43" i="17"/>
  <c r="J56" i="17" s="1"/>
  <c r="W107" i="16"/>
  <c r="Q57" i="17"/>
  <c r="I58" i="17"/>
  <c r="Q59" i="17"/>
  <c r="T46" i="11"/>
  <c r="AJ46" i="11"/>
  <c r="AB66" i="11"/>
  <c r="Q63" i="17"/>
  <c r="AR66" i="11"/>
  <c r="Q72" i="17" s="1"/>
  <c r="I64" i="17"/>
  <c r="AL103" i="11"/>
  <c r="S100" i="16"/>
  <c r="AH29" i="2"/>
  <c r="I10" i="2"/>
  <c r="H20" i="2"/>
  <c r="W47" i="2"/>
  <c r="S39" i="2"/>
  <c r="S47" i="2" s="1"/>
  <c r="H99" i="16"/>
  <c r="E34" i="2"/>
  <c r="AI39" i="2"/>
  <c r="AI47" i="2" s="1"/>
  <c r="X99" i="16"/>
  <c r="I38" i="9"/>
  <c r="Q39" i="9"/>
  <c r="I40" i="9"/>
  <c r="Q11" i="9"/>
  <c r="Q16" i="9" s="1"/>
  <c r="AS99" i="11"/>
  <c r="I42" i="9"/>
  <c r="Q43" i="9"/>
  <c r="Q45" i="9"/>
  <c r="AK15" i="11"/>
  <c r="X104" i="16" s="1"/>
  <c r="AK22" i="11"/>
  <c r="J31" i="17"/>
  <c r="R32" i="17"/>
  <c r="J33" i="17"/>
  <c r="R11" i="17"/>
  <c r="AS100" i="11"/>
  <c r="J35" i="17"/>
  <c r="R13" i="17"/>
  <c r="AS103" i="11"/>
  <c r="J37" i="17"/>
  <c r="R38" i="17"/>
  <c r="J39" i="17"/>
  <c r="AS40" i="11"/>
  <c r="J47" i="17"/>
  <c r="R57" i="17"/>
  <c r="J58" i="17"/>
  <c r="R59" i="17"/>
  <c r="AK46" i="11"/>
  <c r="R63" i="17"/>
  <c r="J64" i="17"/>
  <c r="AM29" i="2"/>
  <c r="H13" i="2"/>
  <c r="AB16" i="2"/>
  <c r="AM28" i="2"/>
  <c r="X47" i="2"/>
  <c r="AN47" i="2"/>
  <c r="K35" i="2"/>
  <c r="K37" i="2"/>
  <c r="J103" i="16"/>
  <c r="J104" i="16" s="1"/>
  <c r="Z104" i="16"/>
  <c r="K43" i="2"/>
  <c r="AC65" i="11"/>
  <c r="AC66" i="11" s="1"/>
  <c r="H43" i="2"/>
  <c r="AH79" i="2"/>
  <c r="AH101" i="2" s="1"/>
  <c r="AJ65" i="11"/>
  <c r="K60" i="2"/>
  <c r="H60" i="2"/>
  <c r="E21" i="2"/>
  <c r="W28" i="2"/>
  <c r="W29" i="2" s="1"/>
  <c r="W48" i="2" s="1"/>
  <c r="AO28" i="2"/>
  <c r="U39" i="2"/>
  <c r="K39" i="2" s="1"/>
  <c r="AL39" i="2"/>
  <c r="AL47" i="2" s="1"/>
  <c r="K42" i="2"/>
  <c r="AG79" i="2"/>
  <c r="I56" i="2"/>
  <c r="E59" i="2"/>
  <c r="I66" i="2"/>
  <c r="AN69" i="2"/>
  <c r="K94" i="2"/>
  <c r="H94" i="2"/>
  <c r="H95" i="2"/>
  <c r="B40" i="9"/>
  <c r="H8" i="2"/>
  <c r="E10" i="2"/>
  <c r="AL16" i="2"/>
  <c r="Y28" i="2"/>
  <c r="Y29" i="2" s="1"/>
  <c r="Y48" i="2" s="1"/>
  <c r="AP28" i="2"/>
  <c r="AN62" i="2"/>
  <c r="AN79" i="2" s="1"/>
  <c r="AN101" i="2" s="1"/>
  <c r="I57" i="2"/>
  <c r="C15" i="19"/>
  <c r="Z28" i="2"/>
  <c r="AQ28" i="2"/>
  <c r="S79" i="2"/>
  <c r="S101" i="2" s="1"/>
  <c r="AO62" i="2"/>
  <c r="AO79" i="2" s="1"/>
  <c r="X62" i="2"/>
  <c r="X79" i="2" s="1"/>
  <c r="X101" i="2" s="1"/>
  <c r="H61" i="2"/>
  <c r="K72" i="2"/>
  <c r="AO16" i="2"/>
  <c r="AI52" i="10"/>
  <c r="AB28" i="2"/>
  <c r="AB29" i="2" s="1"/>
  <c r="AB48" i="2" s="1"/>
  <c r="AK47" i="2"/>
  <c r="U79" i="2"/>
  <c r="AK79" i="2"/>
  <c r="H67" i="2"/>
  <c r="H74" i="2"/>
  <c r="AD85" i="2"/>
  <c r="AD100" i="2" s="1"/>
  <c r="W106" i="2"/>
  <c r="K104" i="2"/>
  <c r="E23" i="2"/>
  <c r="M56" i="10"/>
  <c r="X28" i="2"/>
  <c r="X29" i="2" s="1"/>
  <c r="AC56" i="10"/>
  <c r="AN28" i="2"/>
  <c r="AC28" i="2"/>
  <c r="Z39" i="2"/>
  <c r="H39" i="2" s="1"/>
  <c r="I51" i="2"/>
  <c r="AJ79" i="2"/>
  <c r="AJ101" i="2" s="1"/>
  <c r="AB62" i="2"/>
  <c r="AB79" i="2" s="1"/>
  <c r="AB101" i="2" s="1"/>
  <c r="AR62" i="2"/>
  <c r="AR79" i="2" s="1"/>
  <c r="AR101" i="2" s="1"/>
  <c r="E66" i="2"/>
  <c r="H70" i="2"/>
  <c r="H83" i="2"/>
  <c r="AG100" i="2"/>
  <c r="K87" i="2"/>
  <c r="I93" i="2"/>
  <c r="AJ113" i="2"/>
  <c r="B45" i="9"/>
  <c r="B35" i="9"/>
  <c r="E12" i="2"/>
  <c r="AA16" i="2"/>
  <c r="H16" i="2" s="1"/>
  <c r="E19" i="2"/>
  <c r="H26" i="2"/>
  <c r="H34" i="2"/>
  <c r="I35" i="2"/>
  <c r="W79" i="2"/>
  <c r="W101" i="2" s="1"/>
  <c r="AC62" i="2"/>
  <c r="AC79" i="2" s="1"/>
  <c r="N69" i="2"/>
  <c r="AD69" i="2"/>
  <c r="H69" i="2" s="1"/>
  <c r="K67" i="2"/>
  <c r="E72" i="2"/>
  <c r="AF85" i="2"/>
  <c r="AF100" i="2" s="1"/>
  <c r="AH100" i="2"/>
  <c r="H110" i="2"/>
  <c r="AE28" i="2"/>
  <c r="AE29" i="2" s="1"/>
  <c r="AE48" i="2" s="1"/>
  <c r="AD62" i="2"/>
  <c r="AC85" i="2"/>
  <c r="K83" i="2"/>
  <c r="B2" i="32"/>
  <c r="E272" i="30" s="1"/>
  <c r="B2" i="36"/>
  <c r="B2" i="30"/>
  <c r="H19" i="2"/>
  <c r="K26" i="2"/>
  <c r="O28" i="2"/>
  <c r="E28" i="2" s="1"/>
  <c r="AF28" i="2"/>
  <c r="AF29" i="2" s="1"/>
  <c r="AF48" i="2" s="1"/>
  <c r="Y79" i="2"/>
  <c r="N62" i="2"/>
  <c r="P69" i="2"/>
  <c r="P79" i="2" s="1"/>
  <c r="P101" i="2" s="1"/>
  <c r="AF69" i="2"/>
  <c r="AF79" i="2" s="1"/>
  <c r="AF101" i="2" s="1"/>
  <c r="I19" i="2"/>
  <c r="P28" i="2"/>
  <c r="P29" i="2" s="1"/>
  <c r="P48" i="2" s="1"/>
  <c r="AG28" i="2"/>
  <c r="AP79" i="2"/>
  <c r="E57" i="2"/>
  <c r="AE79" i="2"/>
  <c r="AE101" i="2" s="1"/>
  <c r="AE100" i="2"/>
  <c r="H89" i="2"/>
  <c r="AD113" i="2"/>
  <c r="E111" i="2"/>
  <c r="P77" i="11"/>
  <c r="D10" i="19"/>
  <c r="F10" i="19" s="1"/>
  <c r="E24" i="2"/>
  <c r="Q28" i="2"/>
  <c r="I31" i="2"/>
  <c r="H51" i="2"/>
  <c r="AG62" i="2"/>
  <c r="K63" i="2"/>
  <c r="E89" i="2"/>
  <c r="AO98" i="2"/>
  <c r="AO113" i="2"/>
  <c r="AE113" i="2"/>
  <c r="AF112" i="2"/>
  <c r="AF113" i="2" s="1"/>
  <c r="H111" i="2"/>
  <c r="I111" i="2"/>
  <c r="M103" i="11"/>
  <c r="AI28" i="2"/>
  <c r="AI29" i="2" s="1"/>
  <c r="K31" i="2"/>
  <c r="AB47" i="2"/>
  <c r="O39" i="2"/>
  <c r="O47" i="2" s="1"/>
  <c r="AE39" i="2"/>
  <c r="AE47" i="2" s="1"/>
  <c r="K51" i="2"/>
  <c r="H53" i="2"/>
  <c r="E56" i="2"/>
  <c r="Q62" i="2"/>
  <c r="Q79" i="2" s="1"/>
  <c r="AI69" i="2"/>
  <c r="AI79" i="2" s="1"/>
  <c r="AI101" i="2" s="1"/>
  <c r="I76" i="2"/>
  <c r="U85" i="2"/>
  <c r="E85" i="2" s="1"/>
  <c r="E82" i="2"/>
  <c r="AK85" i="2"/>
  <c r="AK98" i="2"/>
  <c r="N113" i="2"/>
  <c r="H106" i="2"/>
  <c r="H109" i="2"/>
  <c r="Z112" i="2"/>
  <c r="Z113" i="2" s="1"/>
  <c r="I112" i="2"/>
  <c r="D152" i="2" s="1"/>
  <c r="F152" i="2" s="1"/>
  <c r="AO20" i="2"/>
  <c r="S28" i="2"/>
  <c r="S29" i="2" s="1"/>
  <c r="S48" i="2" s="1"/>
  <c r="S102" i="2" s="1"/>
  <c r="S114" i="2" s="1"/>
  <c r="AJ28" i="2"/>
  <c r="H40" i="2"/>
  <c r="K78" i="2"/>
  <c r="I80" i="2"/>
  <c r="V100" i="2"/>
  <c r="I92" i="2"/>
  <c r="O113" i="2"/>
  <c r="AP20" i="2"/>
  <c r="I24" i="2"/>
  <c r="T28" i="2"/>
  <c r="T29" i="2" s="1"/>
  <c r="AK28" i="2"/>
  <c r="N47" i="2"/>
  <c r="AD47" i="2"/>
  <c r="I61" i="2"/>
  <c r="K64" i="2"/>
  <c r="K66" i="2"/>
  <c r="V69" i="2"/>
  <c r="E73" i="2"/>
  <c r="I78" i="2"/>
  <c r="AB85" i="2"/>
  <c r="AB100" i="2" s="1"/>
  <c r="H84" i="2"/>
  <c r="AQ20" i="2"/>
  <c r="AQ29" i="2" s="1"/>
  <c r="K24" i="2"/>
  <c r="AG57" i="10"/>
  <c r="B57" i="10" s="1"/>
  <c r="U28" i="2"/>
  <c r="H59" i="2"/>
  <c r="I60" i="2"/>
  <c r="I64" i="2"/>
  <c r="K77" i="2"/>
  <c r="AN85" i="2"/>
  <c r="AN100" i="2" s="1"/>
  <c r="O100" i="2"/>
  <c r="AC98" i="2"/>
  <c r="AR113" i="2"/>
  <c r="H108" i="2"/>
  <c r="AA112" i="2"/>
  <c r="AA113" i="2" s="1"/>
  <c r="Q100" i="2"/>
  <c r="H88" i="2"/>
  <c r="E92" i="2"/>
  <c r="E95" i="2"/>
  <c r="E83" i="2"/>
  <c r="F116" i="2"/>
  <c r="AA79" i="2"/>
  <c r="AQ79" i="2"/>
  <c r="AQ101" i="2" s="1"/>
  <c r="E78" i="2"/>
  <c r="AL98" i="2"/>
  <c r="I105" i="2"/>
  <c r="H82" i="2"/>
  <c r="E94" i="2"/>
  <c r="S113" i="2"/>
  <c r="L116" i="2"/>
  <c r="K111" i="2"/>
  <c r="K82" i="2"/>
  <c r="E91" i="2"/>
  <c r="H66" i="2"/>
  <c r="E74" i="2"/>
  <c r="E86" i="2"/>
  <c r="H87" i="2"/>
  <c r="B31" i="9"/>
  <c r="E93" i="2"/>
  <c r="E99" i="2"/>
  <c r="E109" i="2"/>
  <c r="E76" i="2"/>
  <c r="E80" i="2"/>
  <c r="E98" i="2"/>
  <c r="S8" i="33"/>
  <c r="S1" i="33"/>
  <c r="T5" i="33"/>
  <c r="K91" i="2"/>
  <c r="E108" i="2"/>
  <c r="X112" i="2"/>
  <c r="E110" i="2"/>
  <c r="AN112" i="2"/>
  <c r="AN113" i="2" s="1"/>
  <c r="E60" i="2"/>
  <c r="E75" i="2"/>
  <c r="Z98" i="2"/>
  <c r="Z100" i="2" s="1"/>
  <c r="AP98" i="2"/>
  <c r="AP100" i="2" s="1"/>
  <c r="K93" i="2"/>
  <c r="K99" i="2"/>
  <c r="I106" i="2"/>
  <c r="D151" i="2" s="1"/>
  <c r="F151" i="2" s="1"/>
  <c r="K109" i="2"/>
  <c r="B59" i="17"/>
  <c r="B52" i="17"/>
  <c r="B51" i="17"/>
  <c r="R1" i="33"/>
  <c r="B50" i="17"/>
  <c r="B2" i="45"/>
  <c r="F11" i="49" s="1"/>
  <c r="B2" i="44"/>
  <c r="Q10" i="33"/>
  <c r="Q11" i="33"/>
  <c r="C30" i="35"/>
  <c r="C39" i="35" s="1"/>
  <c r="K11" i="33"/>
  <c r="J11" i="33"/>
  <c r="B2" i="48"/>
  <c r="B2" i="49" s="1"/>
  <c r="B2" i="37"/>
  <c r="L5" i="33"/>
  <c r="J9" i="33"/>
  <c r="D13" i="35"/>
  <c r="T13" i="35" s="1"/>
  <c r="K15" i="35"/>
  <c r="D8" i="33"/>
  <c r="D149" i="33"/>
  <c r="E148" i="33" s="1"/>
  <c r="E149" i="33" s="1"/>
  <c r="C22" i="35"/>
  <c r="D7" i="35"/>
  <c r="C184" i="11" s="1"/>
  <c r="C10" i="56" s="1"/>
  <c r="D26" i="35"/>
  <c r="T26" i="35" s="1"/>
  <c r="D28" i="35"/>
  <c r="D19" i="35"/>
  <c r="K120" i="48"/>
  <c r="O8" i="46"/>
  <c r="O9" i="46"/>
  <c r="L120" i="48"/>
  <c r="C119" i="48"/>
  <c r="K5" i="46"/>
  <c r="K5" i="52" s="1"/>
  <c r="J8" i="46"/>
  <c r="K34" i="35"/>
  <c r="T25" i="35"/>
  <c r="D10" i="46"/>
  <c r="Q38" i="46"/>
  <c r="P68" i="46"/>
  <c r="P98" i="46"/>
  <c r="P38" i="46"/>
  <c r="P83" i="46"/>
  <c r="P113" i="46"/>
  <c r="P8" i="46"/>
  <c r="H9" i="46"/>
  <c r="Q126" i="46"/>
  <c r="Q113" i="46"/>
  <c r="I9" i="46"/>
  <c r="R5" i="46"/>
  <c r="R5" i="52" s="1"/>
  <c r="P23" i="46"/>
  <c r="Q23" i="46"/>
  <c r="E171" i="30"/>
  <c r="E173" i="30"/>
  <c r="E259" i="30"/>
  <c r="E99" i="30"/>
  <c r="E201" i="30"/>
  <c r="E24" i="30"/>
  <c r="C54" i="47"/>
  <c r="C62" i="47" s="1"/>
  <c r="E144" i="30"/>
  <c r="E17" i="30"/>
  <c r="E13" i="30"/>
  <c r="E281" i="30"/>
  <c r="E104" i="30"/>
  <c r="E236" i="30"/>
  <c r="S105" i="38" s="1"/>
  <c r="E234" i="30"/>
  <c r="E20" i="30"/>
  <c r="E215" i="30"/>
  <c r="E219" i="30"/>
  <c r="E196" i="30"/>
  <c r="E198" i="30"/>
  <c r="E42" i="30"/>
  <c r="E44" i="30"/>
  <c r="E46" i="30"/>
  <c r="E102" i="30"/>
  <c r="E121" i="30"/>
  <c r="E123" i="30"/>
  <c r="E165" i="30"/>
  <c r="E169" i="30"/>
  <c r="E190" i="30"/>
  <c r="E194" i="30"/>
  <c r="E308" i="30"/>
  <c r="E30" i="30"/>
  <c r="E34" i="30"/>
  <c r="E73" i="30"/>
  <c r="E98" i="30"/>
  <c r="E100" i="30"/>
  <c r="E115" i="30"/>
  <c r="E119" i="30"/>
  <c r="E163" i="30"/>
  <c r="E209" i="30"/>
  <c r="E9" i="30"/>
  <c r="E67" i="30"/>
  <c r="E69" i="30"/>
  <c r="E71" i="30"/>
  <c r="E94" i="30"/>
  <c r="E96" i="30"/>
  <c r="E182" i="30"/>
  <c r="E184" i="30"/>
  <c r="E205" i="30"/>
  <c r="E207" i="30"/>
  <c r="E155" i="30"/>
  <c r="E157" i="30"/>
  <c r="E222" i="30"/>
  <c r="E256" i="30"/>
  <c r="E258" i="30"/>
  <c r="E260" i="30"/>
  <c r="E296" i="30"/>
  <c r="E313" i="30"/>
  <c r="E61" i="30"/>
  <c r="E86" i="30"/>
  <c r="E275" i="30"/>
  <c r="E82" i="30"/>
  <c r="E84" i="30"/>
  <c r="E147" i="30"/>
  <c r="E199" i="30"/>
  <c r="E239" i="30"/>
  <c r="E292" i="30"/>
  <c r="E294" i="30"/>
  <c r="E143" i="30"/>
  <c r="E145" i="30"/>
  <c r="E309" i="30"/>
  <c r="E25" i="30"/>
  <c r="E41" i="30"/>
  <c r="E45" i="30"/>
  <c r="E78" i="30"/>
  <c r="E80" i="30"/>
  <c r="E168" i="30"/>
  <c r="E231" i="30"/>
  <c r="E267" i="30"/>
  <c r="E269" i="30"/>
  <c r="E284" i="30"/>
  <c r="E133" i="30"/>
  <c r="E137" i="30"/>
  <c r="E187" i="30"/>
  <c r="E189" i="30"/>
  <c r="E208" i="30"/>
  <c r="E225" i="30"/>
  <c r="E278" i="30"/>
  <c r="E280" i="30"/>
  <c r="E303" i="30"/>
  <c r="E181" i="30"/>
  <c r="E185" i="30"/>
  <c r="E12" i="30"/>
  <c r="E129" i="30"/>
  <c r="E179" i="30"/>
  <c r="E255" i="30"/>
  <c r="E14" i="30"/>
  <c r="E18" i="30"/>
  <c r="E54" i="30"/>
  <c r="E58" i="30"/>
  <c r="E202" i="30"/>
  <c r="E253" i="30"/>
  <c r="E276" i="30"/>
  <c r="E295" i="30"/>
  <c r="E312" i="30"/>
  <c r="E48" i="30"/>
  <c r="E50" i="30"/>
  <c r="E125" i="30"/>
  <c r="E127" i="30"/>
  <c r="E249" i="30"/>
  <c r="AO93" i="65" l="1"/>
  <c r="AM90" i="65"/>
  <c r="AK93" i="65"/>
  <c r="AJ90" i="65"/>
  <c r="AL93" i="65"/>
  <c r="AR93" i="65"/>
  <c r="AP93" i="65"/>
  <c r="AP95" i="65" s="1"/>
  <c r="AP90" i="65"/>
  <c r="AQ93" i="65"/>
  <c r="AQ95" i="65" s="1"/>
  <c r="AQ90" i="65"/>
  <c r="AF129" i="65"/>
  <c r="AK176" i="65"/>
  <c r="AL176" i="65"/>
  <c r="AM176" i="65" s="1"/>
  <c r="AL175" i="65"/>
  <c r="AM175" i="65" s="1"/>
  <c r="AK175" i="65"/>
  <c r="AL171" i="65"/>
  <c r="AM171" i="65" s="1"/>
  <c r="AK171" i="65"/>
  <c r="AK170" i="65"/>
  <c r="AL170" i="65"/>
  <c r="AM170" i="65" s="1"/>
  <c r="AA169" i="65"/>
  <c r="D169" i="65"/>
  <c r="L209" i="65"/>
  <c r="AH209" i="65" s="1"/>
  <c r="AG209" i="65"/>
  <c r="AA209" i="65"/>
  <c r="D209" i="65"/>
  <c r="Z209" i="65" s="1"/>
  <c r="AL95" i="65"/>
  <c r="AR95" i="65"/>
  <c r="AO95" i="65"/>
  <c r="AK95" i="65"/>
  <c r="AM95" i="65"/>
  <c r="AH129" i="65"/>
  <c r="AG129" i="65"/>
  <c r="O95" i="65"/>
  <c r="O92" i="65"/>
  <c r="O93" i="65"/>
  <c r="O96" i="65"/>
  <c r="O91" i="65"/>
  <c r="O90" i="65"/>
  <c r="E9" i="65"/>
  <c r="AB9" i="65"/>
  <c r="AB49" i="65"/>
  <c r="O94" i="65"/>
  <c r="O18" i="65"/>
  <c r="O13" i="65"/>
  <c r="O10" i="65"/>
  <c r="O14" i="65"/>
  <c r="O12" i="65"/>
  <c r="O16" i="65"/>
  <c r="O15" i="65"/>
  <c r="O11" i="65"/>
  <c r="D60" i="64"/>
  <c r="D70" i="64"/>
  <c r="E70" i="64" s="1"/>
  <c r="E97" i="64"/>
  <c r="D69" i="64"/>
  <c r="E69" i="64" s="1"/>
  <c r="E18" i="64"/>
  <c r="C39" i="64"/>
  <c r="E23" i="64"/>
  <c r="D12" i="64"/>
  <c r="C12" i="64"/>
  <c r="E12" i="64"/>
  <c r="C86" i="64"/>
  <c r="C82" i="64"/>
  <c r="C77" i="64" s="1"/>
  <c r="D150" i="63"/>
  <c r="C150" i="63"/>
  <c r="C48" i="63"/>
  <c r="C50" i="63" s="1"/>
  <c r="C128" i="61"/>
  <c r="C178" i="61"/>
  <c r="C203" i="61"/>
  <c r="B202" i="61"/>
  <c r="D202" i="61"/>
  <c r="B194" i="61"/>
  <c r="C195" i="61"/>
  <c r="C47" i="61"/>
  <c r="C49" i="61" s="1"/>
  <c r="D159" i="61"/>
  <c r="C169" i="61"/>
  <c r="C126" i="61"/>
  <c r="C231" i="63"/>
  <c r="B230" i="63"/>
  <c r="D230" i="63"/>
  <c r="D158" i="61"/>
  <c r="C94" i="61"/>
  <c r="D194" i="61" s="1"/>
  <c r="D80" i="61"/>
  <c r="C60" i="61"/>
  <c r="D75" i="61"/>
  <c r="D50" i="64" s="1"/>
  <c r="D157" i="63"/>
  <c r="C121" i="63"/>
  <c r="C123" i="63" s="1"/>
  <c r="C43" i="63"/>
  <c r="C193" i="63"/>
  <c r="C135" i="64" s="1"/>
  <c r="C104" i="63"/>
  <c r="D219" i="63" s="1"/>
  <c r="B222" i="63"/>
  <c r="C223" i="63"/>
  <c r="D77" i="63"/>
  <c r="G264" i="65" s="1"/>
  <c r="G253" i="65" s="1"/>
  <c r="G254" i="65" s="1"/>
  <c r="C214" i="63"/>
  <c r="C117" i="63"/>
  <c r="C118" i="63" s="1"/>
  <c r="D76" i="61"/>
  <c r="D42" i="64" s="1"/>
  <c r="D61" i="64" s="1"/>
  <c r="C42" i="61"/>
  <c r="D70" i="61"/>
  <c r="D72" i="61" s="1"/>
  <c r="C103" i="61"/>
  <c r="C105" i="61" s="1"/>
  <c r="C75" i="61"/>
  <c r="C110" i="61"/>
  <c r="C112" i="61" s="1"/>
  <c r="C76" i="61"/>
  <c r="C72" i="61"/>
  <c r="M21" i="51" a="1"/>
  <c r="M21" i="51" s="1"/>
  <c r="C21" i="51"/>
  <c r="Q23" i="59"/>
  <c r="M20" i="51" a="1"/>
  <c r="M20" i="51" s="1"/>
  <c r="C20" i="51"/>
  <c r="AH48" i="2"/>
  <c r="AH102" i="2" s="1"/>
  <c r="AH114" i="2" s="1"/>
  <c r="O100" i="16"/>
  <c r="K100" i="11"/>
  <c r="K67" i="8" s="1"/>
  <c r="M19" i="51" a="1"/>
  <c r="M19" i="51" s="1"/>
  <c r="C19" i="51"/>
  <c r="H25" i="31"/>
  <c r="C20" i="31"/>
  <c r="Q113" i="59"/>
  <c r="K69" i="2"/>
  <c r="Q101" i="2"/>
  <c r="I47" i="2"/>
  <c r="D147" i="2" s="1"/>
  <c r="F147" i="2" s="1"/>
  <c r="AM101" i="2"/>
  <c r="AG108" i="16"/>
  <c r="M14" i="51" a="1"/>
  <c r="M14" i="51" s="1"/>
  <c r="C14" i="51"/>
  <c r="I20" i="2"/>
  <c r="Q48" i="2"/>
  <c r="F25" i="49"/>
  <c r="F32" i="49"/>
  <c r="F17" i="49"/>
  <c r="M26" i="51" a="1"/>
  <c r="M26" i="51" s="1"/>
  <c r="C26" i="51"/>
  <c r="M13" i="51" a="1"/>
  <c r="M13" i="51" s="1"/>
  <c r="C13" i="51"/>
  <c r="H27" i="31"/>
  <c r="O79" i="2"/>
  <c r="F12" i="49"/>
  <c r="M24" i="51" a="1"/>
  <c r="M24" i="51" s="1"/>
  <c r="C24" i="51"/>
  <c r="M12" i="51" a="1"/>
  <c r="M12" i="51" s="1"/>
  <c r="C12" i="51"/>
  <c r="H29" i="31"/>
  <c r="F29" i="31"/>
  <c r="F10" i="49"/>
  <c r="K23" i="59"/>
  <c r="M23" i="51" a="1"/>
  <c r="M23" i="51" s="1"/>
  <c r="C23" i="51"/>
  <c r="M11" i="51" a="1"/>
  <c r="M11" i="51" s="1"/>
  <c r="C11" i="51"/>
  <c r="K83" i="59"/>
  <c r="Q38" i="59"/>
  <c r="C27" i="19"/>
  <c r="D27" i="19"/>
  <c r="Q53" i="59"/>
  <c r="F27" i="49"/>
  <c r="AD79" i="2"/>
  <c r="AD101" i="2" s="1"/>
  <c r="AT24" i="11"/>
  <c r="AN29" i="2"/>
  <c r="AN48" i="2" s="1"/>
  <c r="F19" i="49"/>
  <c r="M15" i="51" a="1"/>
  <c r="M15" i="51" s="1"/>
  <c r="C15" i="51"/>
  <c r="H26" i="31"/>
  <c r="F26" i="31"/>
  <c r="F15" i="49"/>
  <c r="K98" i="59"/>
  <c r="Q68" i="59"/>
  <c r="V113" i="2"/>
  <c r="AG100" i="16"/>
  <c r="AB102" i="2"/>
  <c r="AB114" i="2" s="1"/>
  <c r="I16" i="2"/>
  <c r="W102" i="2"/>
  <c r="F14" i="49"/>
  <c r="F29" i="49"/>
  <c r="M10" i="51" a="1"/>
  <c r="M10" i="51" s="1"/>
  <c r="C10" i="51"/>
  <c r="G31" i="31"/>
  <c r="K9" i="59"/>
  <c r="C104" i="16"/>
  <c r="M18" i="51" a="1"/>
  <c r="M18" i="51" s="1"/>
  <c r="C18" i="51"/>
  <c r="E31" i="31"/>
  <c r="F28" i="31" s="1"/>
  <c r="H24" i="31"/>
  <c r="F24" i="31"/>
  <c r="M17" i="51" a="1"/>
  <c r="M17" i="51" s="1"/>
  <c r="C17" i="51"/>
  <c r="E200" i="30"/>
  <c r="E131" i="30"/>
  <c r="E229" i="30"/>
  <c r="E290" i="30"/>
  <c r="E220" i="30"/>
  <c r="E111" i="30"/>
  <c r="E226" i="30"/>
  <c r="E289" i="30"/>
  <c r="E38" i="30"/>
  <c r="E210" i="30"/>
  <c r="K113" i="59"/>
  <c r="Q83" i="59"/>
  <c r="M16" i="51" a="1"/>
  <c r="M16" i="51" s="1"/>
  <c r="C16" i="51"/>
  <c r="D29" i="31"/>
  <c r="Q53" i="46"/>
  <c r="E177" i="30"/>
  <c r="E114" i="30"/>
  <c r="E227" i="30"/>
  <c r="E248" i="30"/>
  <c r="E153" i="30"/>
  <c r="E92" i="30"/>
  <c r="T68" i="33" s="1"/>
  <c r="E161" i="30"/>
  <c r="E287" i="30"/>
  <c r="E28" i="30"/>
  <c r="E176" i="30"/>
  <c r="Q83" i="46"/>
  <c r="H30" i="31"/>
  <c r="AG48" i="2"/>
  <c r="M25" i="51" a="1"/>
  <c r="M25" i="51" s="1"/>
  <c r="C25" i="51"/>
  <c r="I98" i="2"/>
  <c r="R56" i="38"/>
  <c r="I113" i="2"/>
  <c r="D153" i="2" s="1"/>
  <c r="F153" i="2" s="1"/>
  <c r="AA101" i="2"/>
  <c r="T48" i="2"/>
  <c r="T102" i="2" s="1"/>
  <c r="T114" i="2" s="1"/>
  <c r="T100" i="16"/>
  <c r="E175" i="30"/>
  <c r="E112" i="30"/>
  <c r="E141" i="30"/>
  <c r="E237" i="30"/>
  <c r="E149" i="30"/>
  <c r="E88" i="30"/>
  <c r="E159" i="30"/>
  <c r="E270" i="30"/>
  <c r="E26" i="30"/>
  <c r="J72" i="38" s="1"/>
  <c r="E108" i="30"/>
  <c r="E29" i="30"/>
  <c r="B29" i="56"/>
  <c r="B28" i="56"/>
  <c r="B27" i="56"/>
  <c r="B26" i="56"/>
  <c r="B25" i="56"/>
  <c r="X48" i="2"/>
  <c r="X102" i="2" s="1"/>
  <c r="M8" i="51" a="1"/>
  <c r="M8" i="51" s="1"/>
  <c r="C8" i="51"/>
  <c r="D8" i="51" s="1"/>
  <c r="E70" i="30"/>
  <c r="E233" i="30"/>
  <c r="E128" i="30"/>
  <c r="E136" i="30"/>
  <c r="E266" i="30"/>
  <c r="E15" i="30"/>
  <c r="Q8" i="46"/>
  <c r="L119" i="48" s="1"/>
  <c r="AP29" i="2"/>
  <c r="AP48" i="2" s="1"/>
  <c r="M9" i="51" a="1"/>
  <c r="M9" i="51" s="1"/>
  <c r="E9" i="51" s="1" a="1"/>
  <c r="E9" i="51" s="1"/>
  <c r="C9" i="51"/>
  <c r="D9" i="51" s="1"/>
  <c r="H28" i="31"/>
  <c r="K126" i="59"/>
  <c r="E62" i="30"/>
  <c r="E10" i="30"/>
  <c r="L72" i="38" s="1"/>
  <c r="E76" i="30"/>
  <c r="E218" i="30"/>
  <c r="E109" i="30"/>
  <c r="E262" i="30"/>
  <c r="E306" i="30"/>
  <c r="E247" i="30"/>
  <c r="E33" i="30"/>
  <c r="E274" i="30"/>
  <c r="Q68" i="46"/>
  <c r="L128" i="48" s="1"/>
  <c r="AI48" i="2"/>
  <c r="Y101" i="2"/>
  <c r="Y102" i="2" s="1"/>
  <c r="Y114" i="2" s="1"/>
  <c r="R48" i="2"/>
  <c r="R102" i="2" s="1"/>
  <c r="R114" i="2" s="1"/>
  <c r="E9" i="19"/>
  <c r="F24" i="49"/>
  <c r="L9" i="59"/>
  <c r="C7" i="51"/>
  <c r="D7" i="51" s="1"/>
  <c r="M7" i="51" a="1"/>
  <c r="M7" i="51" s="1"/>
  <c r="F22" i="49"/>
  <c r="K10" i="33"/>
  <c r="K12" i="33"/>
  <c r="K9" i="33"/>
  <c r="U29" i="2"/>
  <c r="C31" i="31"/>
  <c r="C45" i="31" s="1"/>
  <c r="E152" i="30"/>
  <c r="E139" i="30"/>
  <c r="E300" i="30"/>
  <c r="K43" i="38" s="1"/>
  <c r="E297" i="30"/>
  <c r="L58" i="38" s="1"/>
  <c r="F8" i="49"/>
  <c r="F21" i="49"/>
  <c r="E251" i="30"/>
  <c r="E60" i="30"/>
  <c r="E305" i="30"/>
  <c r="E286" i="30"/>
  <c r="E216" i="30"/>
  <c r="E107" i="30"/>
  <c r="E224" i="30"/>
  <c r="K88" i="38" s="1"/>
  <c r="E211" i="30"/>
  <c r="E213" i="30"/>
  <c r="E228" i="30"/>
  <c r="Q98" i="46"/>
  <c r="AQ48" i="2"/>
  <c r="AQ102" i="2" s="1"/>
  <c r="AQ114" i="2" s="1"/>
  <c r="D18" i="19"/>
  <c r="F31" i="49"/>
  <c r="M22" i="51" a="1"/>
  <c r="M22" i="51" s="1"/>
  <c r="C22" i="51"/>
  <c r="L1" i="59"/>
  <c r="L53" i="59" s="1"/>
  <c r="M5" i="59"/>
  <c r="S5" i="59"/>
  <c r="R1" i="59"/>
  <c r="R53" i="59" s="1"/>
  <c r="Q100" i="16"/>
  <c r="G100" i="16"/>
  <c r="G108" i="16"/>
  <c r="K69" i="8"/>
  <c r="R23" i="9"/>
  <c r="T24" i="11"/>
  <c r="L108" i="16"/>
  <c r="Q108" i="16"/>
  <c r="O108" i="16"/>
  <c r="AG24" i="11"/>
  <c r="AB24" i="11"/>
  <c r="W24" i="11"/>
  <c r="W68" i="11" s="1"/>
  <c r="AF24" i="11"/>
  <c r="T108" i="16"/>
  <c r="P24" i="11"/>
  <c r="P68" i="11" s="1"/>
  <c r="P69" i="11" s="1"/>
  <c r="N68" i="8"/>
  <c r="Z108" i="16"/>
  <c r="S71" i="17"/>
  <c r="R108" i="16"/>
  <c r="J108" i="16"/>
  <c r="J20" i="9"/>
  <c r="J23" i="9" s="1"/>
  <c r="J25" i="9" s="1"/>
  <c r="K86" i="17" s="1"/>
  <c r="AL28" i="11"/>
  <c r="H100" i="16"/>
  <c r="AH24" i="11"/>
  <c r="G86" i="17" s="1"/>
  <c r="AD24" i="11"/>
  <c r="AD68" i="11" s="1"/>
  <c r="AD69" i="11" s="1"/>
  <c r="AI24" i="11"/>
  <c r="AI68" i="11" s="1"/>
  <c r="V108" i="16"/>
  <c r="D108" i="16"/>
  <c r="AM24" i="11"/>
  <c r="AM68" i="11" s="1"/>
  <c r="D104" i="16"/>
  <c r="O71" i="17"/>
  <c r="U24" i="11"/>
  <c r="U68" i="11" s="1"/>
  <c r="U71" i="11" s="1"/>
  <c r="Q24" i="11"/>
  <c r="Q68" i="11" s="1"/>
  <c r="AJ24" i="11"/>
  <c r="AA24" i="11"/>
  <c r="AA68" i="11" s="1"/>
  <c r="U100" i="16"/>
  <c r="E108" i="16"/>
  <c r="U108" i="16"/>
  <c r="K71" i="17"/>
  <c r="V24" i="11"/>
  <c r="V68" i="11" s="1"/>
  <c r="P108" i="16"/>
  <c r="AH66" i="11"/>
  <c r="G72" i="17" s="1"/>
  <c r="G71" i="17" s="1"/>
  <c r="J17" i="17"/>
  <c r="Y108" i="16"/>
  <c r="W108" i="16"/>
  <c r="M108" i="16"/>
  <c r="P71" i="17"/>
  <c r="N71" i="17"/>
  <c r="Q16" i="35"/>
  <c r="P100" i="16"/>
  <c r="R24" i="11"/>
  <c r="AC24" i="11"/>
  <c r="P30" i="9"/>
  <c r="P33" i="9"/>
  <c r="J33" i="9"/>
  <c r="J32" i="9"/>
  <c r="H32" i="9"/>
  <c r="E104" i="16"/>
  <c r="AN15" i="11"/>
  <c r="AA104" i="16" s="1"/>
  <c r="AO24" i="11"/>
  <c r="AO68" i="11" s="1"/>
  <c r="AB108" i="16"/>
  <c r="AE104" i="16"/>
  <c r="AD100" i="16"/>
  <c r="AH104" i="11"/>
  <c r="AQ24" i="11"/>
  <c r="AQ68" i="11" s="1"/>
  <c r="V104" i="16"/>
  <c r="AB100" i="16"/>
  <c r="I17" i="17"/>
  <c r="AD108" i="16"/>
  <c r="M30" i="9"/>
  <c r="M35" i="9"/>
  <c r="M32" i="9"/>
  <c r="M25" i="9"/>
  <c r="N86" i="17" s="1"/>
  <c r="N75" i="17" s="1"/>
  <c r="M34" i="9"/>
  <c r="M33" i="9"/>
  <c r="M28" i="9"/>
  <c r="I32" i="9"/>
  <c r="I28" i="9"/>
  <c r="AC100" i="16"/>
  <c r="P25" i="9"/>
  <c r="Q86" i="17" s="1"/>
  <c r="Q75" i="17" s="1"/>
  <c r="R66" i="11"/>
  <c r="Y100" i="16"/>
  <c r="K20" i="18"/>
  <c r="K22" i="8"/>
  <c r="O17" i="17"/>
  <c r="H17" i="17"/>
  <c r="R100" i="16"/>
  <c r="M100" i="16"/>
  <c r="F100" i="16"/>
  <c r="F108" i="16"/>
  <c r="AP104" i="11"/>
  <c r="AS24" i="11"/>
  <c r="AS68" i="11" s="1"/>
  <c r="R17" i="17"/>
  <c r="N17" i="17"/>
  <c r="AE24" i="11"/>
  <c r="AE68" i="11" s="1"/>
  <c r="N108" i="16"/>
  <c r="AP24" i="11"/>
  <c r="AP68" i="11" s="1"/>
  <c r="S24" i="11"/>
  <c r="S68" i="11" s="1"/>
  <c r="M71" i="17"/>
  <c r="N104" i="16"/>
  <c r="AT68" i="11"/>
  <c r="AT69" i="11" s="1"/>
  <c r="P29" i="9"/>
  <c r="Z24" i="11"/>
  <c r="Z68" i="11" s="1"/>
  <c r="Z69" i="11" s="1"/>
  <c r="AF100" i="16"/>
  <c r="AJ66" i="11"/>
  <c r="I72" i="17" s="1"/>
  <c r="I71" i="17" s="1"/>
  <c r="AK24" i="11"/>
  <c r="AK68" i="11" s="1"/>
  <c r="M104" i="16"/>
  <c r="N103" i="11"/>
  <c r="F9" i="51" a="1"/>
  <c r="F9" i="51" s="1"/>
  <c r="G9" i="51" s="1"/>
  <c r="AN102" i="2"/>
  <c r="AN114" i="2" s="1"/>
  <c r="Q46" i="9"/>
  <c r="R85" i="17"/>
  <c r="Q34" i="9"/>
  <c r="Q33" i="9"/>
  <c r="Q28" i="9"/>
  <c r="Q35" i="9"/>
  <c r="Q25" i="9"/>
  <c r="R86" i="17" s="1"/>
  <c r="R75" i="17" s="1"/>
  <c r="Q30" i="9"/>
  <c r="Q32" i="9"/>
  <c r="Q29" i="9"/>
  <c r="AI102" i="2"/>
  <c r="AI114" i="2" s="1"/>
  <c r="AF102" i="2"/>
  <c r="AF114" i="2" s="1"/>
  <c r="K100" i="39"/>
  <c r="P102" i="2"/>
  <c r="P114" i="2" s="1"/>
  <c r="H113" i="2"/>
  <c r="P34" i="17"/>
  <c r="R56" i="17"/>
  <c r="R47" i="17"/>
  <c r="O47" i="17"/>
  <c r="O60" i="17" s="1"/>
  <c r="O56" i="17"/>
  <c r="S32" i="17"/>
  <c r="R43" i="9"/>
  <c r="K16" i="9"/>
  <c r="K31" i="9" s="1"/>
  <c r="K38" i="9"/>
  <c r="E12" i="9"/>
  <c r="K12" i="8"/>
  <c r="K12" i="18"/>
  <c r="S74" i="38"/>
  <c r="K128" i="48"/>
  <c r="AL100" i="2"/>
  <c r="AH56" i="10"/>
  <c r="E311" i="30"/>
  <c r="E277" i="30"/>
  <c r="E174" i="30"/>
  <c r="E158" i="30"/>
  <c r="E142" i="30"/>
  <c r="E124" i="30"/>
  <c r="E106" i="30"/>
  <c r="E97" i="30"/>
  <c r="E81" i="30"/>
  <c r="E72" i="30"/>
  <c r="E63" i="30"/>
  <c r="E47" i="30"/>
  <c r="E302" i="30"/>
  <c r="E293" i="30"/>
  <c r="E273" i="30"/>
  <c r="E264" i="30"/>
  <c r="E246" i="30"/>
  <c r="E244" i="30"/>
  <c r="E242" i="30"/>
  <c r="E240" i="30"/>
  <c r="E206" i="30"/>
  <c r="E197" i="30"/>
  <c r="E188" i="30"/>
  <c r="E172" i="30"/>
  <c r="E156" i="30"/>
  <c r="E140" i="30"/>
  <c r="N56" i="38" s="1"/>
  <c r="E122" i="30"/>
  <c r="E113" i="30"/>
  <c r="E95" i="30"/>
  <c r="E79" i="30"/>
  <c r="E52" i="30"/>
  <c r="E36" i="30"/>
  <c r="E307" i="30"/>
  <c r="E291" i="30"/>
  <c r="E271" i="30"/>
  <c r="R106" i="38" s="1"/>
  <c r="E238" i="30"/>
  <c r="E204" i="30"/>
  <c r="E195" i="30"/>
  <c r="E186" i="30"/>
  <c r="E170" i="30"/>
  <c r="E154" i="30"/>
  <c r="E138" i="30"/>
  <c r="E120" i="30"/>
  <c r="E93" i="30"/>
  <c r="E77" i="30"/>
  <c r="E68" i="30"/>
  <c r="E59" i="30"/>
  <c r="E43" i="30"/>
  <c r="E27" i="30"/>
  <c r="E298" i="30"/>
  <c r="E282" i="30"/>
  <c r="E193" i="30"/>
  <c r="E118" i="30"/>
  <c r="E91" i="30"/>
  <c r="E75" i="30"/>
  <c r="E66" i="30"/>
  <c r="E57" i="30"/>
  <c r="E191" i="30"/>
  <c r="E166" i="30"/>
  <c r="E150" i="30"/>
  <c r="E134" i="30"/>
  <c r="E116" i="30"/>
  <c r="E105" i="30"/>
  <c r="E89" i="30"/>
  <c r="E64" i="30"/>
  <c r="E55" i="30"/>
  <c r="E39" i="30"/>
  <c r="E23" i="30"/>
  <c r="E301" i="30"/>
  <c r="E285" i="30"/>
  <c r="E265" i="30"/>
  <c r="E263" i="30"/>
  <c r="E254" i="30"/>
  <c r="E245" i="30"/>
  <c r="E243" i="30"/>
  <c r="E241" i="30"/>
  <c r="E232" i="30"/>
  <c r="E223" i="30"/>
  <c r="E214" i="30"/>
  <c r="E180" i="30"/>
  <c r="E164" i="30"/>
  <c r="E148" i="30"/>
  <c r="E132" i="30"/>
  <c r="E103" i="30"/>
  <c r="E87" i="30"/>
  <c r="E299" i="30"/>
  <c r="E283" i="30"/>
  <c r="E261" i="30"/>
  <c r="E252" i="30"/>
  <c r="E230" i="30"/>
  <c r="E221" i="30"/>
  <c r="E212" i="30"/>
  <c r="E203" i="30"/>
  <c r="E178" i="30"/>
  <c r="E162" i="30"/>
  <c r="E146" i="30"/>
  <c r="E130" i="30"/>
  <c r="E110" i="30"/>
  <c r="E101" i="30"/>
  <c r="E85" i="30"/>
  <c r="E51" i="30"/>
  <c r="E35" i="30"/>
  <c r="E56" i="30"/>
  <c r="E16" i="30"/>
  <c r="E257" i="30"/>
  <c r="E183" i="30"/>
  <c r="E160" i="30"/>
  <c r="E8" i="30"/>
  <c r="E135" i="30"/>
  <c r="E74" i="30"/>
  <c r="E31" i="30"/>
  <c r="E288" i="30"/>
  <c r="E37" i="30"/>
  <c r="E250" i="30"/>
  <c r="E235" i="30"/>
  <c r="E126" i="30"/>
  <c r="E49" i="30"/>
  <c r="E21" i="30"/>
  <c r="E53" i="30"/>
  <c r="E19" i="30"/>
  <c r="E151" i="30"/>
  <c r="E90" i="30"/>
  <c r="L40" i="38" s="1"/>
  <c r="E279" i="30"/>
  <c r="Q107" i="38" s="1"/>
  <c r="E65" i="30"/>
  <c r="E7" i="30"/>
  <c r="E304" i="30"/>
  <c r="E117" i="30"/>
  <c r="E32" i="30"/>
  <c r="E268" i="30"/>
  <c r="E192" i="30"/>
  <c r="E167" i="30"/>
  <c r="E40" i="30"/>
  <c r="E217" i="30"/>
  <c r="E22" i="30"/>
  <c r="E83" i="30"/>
  <c r="E11" i="30"/>
  <c r="E69" i="2"/>
  <c r="AM48" i="2"/>
  <c r="AM102" i="2" s="1"/>
  <c r="AM114" i="2" s="1"/>
  <c r="M34" i="17"/>
  <c r="E45" i="17"/>
  <c r="K34" i="8"/>
  <c r="K32" i="18"/>
  <c r="AK104" i="11"/>
  <c r="K62" i="2"/>
  <c r="P17" i="17"/>
  <c r="O101" i="2"/>
  <c r="P9" i="35"/>
  <c r="X15" i="11"/>
  <c r="AL104" i="11"/>
  <c r="R44" i="38"/>
  <c r="R91" i="38"/>
  <c r="Q58" i="38"/>
  <c r="L124" i="48"/>
  <c r="D15" i="35"/>
  <c r="T15" i="35" s="1"/>
  <c r="K16" i="35"/>
  <c r="AH103" i="16"/>
  <c r="Q56" i="33"/>
  <c r="I85" i="2"/>
  <c r="O29" i="2"/>
  <c r="I46" i="9"/>
  <c r="J85" i="17"/>
  <c r="H30" i="9"/>
  <c r="H56" i="17"/>
  <c r="H47" i="17"/>
  <c r="AQ104" i="11"/>
  <c r="S58" i="17"/>
  <c r="J71" i="17"/>
  <c r="I31" i="9"/>
  <c r="I41" i="9"/>
  <c r="I34" i="17"/>
  <c r="L47" i="17"/>
  <c r="L56" i="17"/>
  <c r="J31" i="9"/>
  <c r="J41" i="9"/>
  <c r="L76" i="38"/>
  <c r="L73" i="38"/>
  <c r="L12" i="38"/>
  <c r="L9" i="38"/>
  <c r="L11" i="38"/>
  <c r="L10" i="38"/>
  <c r="R74" i="38"/>
  <c r="Q91" i="38"/>
  <c r="R41" i="38"/>
  <c r="S59" i="38"/>
  <c r="R38" i="33"/>
  <c r="W113" i="2"/>
  <c r="K106" i="2"/>
  <c r="AE102" i="2"/>
  <c r="AE114" i="2" s="1"/>
  <c r="O41" i="9"/>
  <c r="AE108" i="16"/>
  <c r="W104" i="16"/>
  <c r="E15" i="9"/>
  <c r="R90" i="38"/>
  <c r="Q74" i="38"/>
  <c r="S76" i="38"/>
  <c r="J120" i="48"/>
  <c r="R98" i="33"/>
  <c r="AK100" i="2"/>
  <c r="AH55" i="10"/>
  <c r="AC100" i="2"/>
  <c r="AC101" i="2" s="1"/>
  <c r="AC102" i="2" s="1"/>
  <c r="AC114" i="2" s="1"/>
  <c r="Q47" i="17"/>
  <c r="Q56" i="17"/>
  <c r="P32" i="9"/>
  <c r="E18" i="9"/>
  <c r="V79" i="2"/>
  <c r="V101" i="2" s="1"/>
  <c r="V102" i="2" s="1"/>
  <c r="V114" i="2" s="1"/>
  <c r="AJ104" i="11"/>
  <c r="AT104" i="11"/>
  <c r="R71" i="17"/>
  <c r="I34" i="9"/>
  <c r="R45" i="9"/>
  <c r="O16" i="9"/>
  <c r="O28" i="9" s="1"/>
  <c r="O38" i="9"/>
  <c r="R42" i="38"/>
  <c r="S41" i="38"/>
  <c r="R53" i="33"/>
  <c r="H28" i="2"/>
  <c r="H85" i="2"/>
  <c r="R36" i="17"/>
  <c r="X100" i="16"/>
  <c r="I85" i="17"/>
  <c r="Z29" i="2"/>
  <c r="C145" i="11"/>
  <c r="K42" i="11"/>
  <c r="K34" i="17"/>
  <c r="H41" i="9"/>
  <c r="Z47" i="2"/>
  <c r="H47" i="2" s="1"/>
  <c r="T68" i="11"/>
  <c r="R41" i="9"/>
  <c r="R57" i="38"/>
  <c r="Q105" i="38"/>
  <c r="R89" i="38"/>
  <c r="S90" i="38"/>
  <c r="R87" i="33"/>
  <c r="R71" i="33"/>
  <c r="R102" i="33"/>
  <c r="R72" i="33"/>
  <c r="R69" i="33"/>
  <c r="R12" i="33"/>
  <c r="R40" i="33"/>
  <c r="R86" i="33"/>
  <c r="R56" i="33"/>
  <c r="R57" i="33"/>
  <c r="R101" i="33"/>
  <c r="R70" i="33"/>
  <c r="R10" i="33"/>
  <c r="R55" i="33"/>
  <c r="R39" i="33"/>
  <c r="R41" i="33"/>
  <c r="R54" i="33"/>
  <c r="R11" i="33"/>
  <c r="R9" i="33"/>
  <c r="H98" i="2"/>
  <c r="E106" i="2"/>
  <c r="D127" i="2" s="1"/>
  <c r="F127" i="2" s="1"/>
  <c r="K85" i="2"/>
  <c r="U100" i="2"/>
  <c r="K100" i="2" s="1"/>
  <c r="P35" i="9"/>
  <c r="N41" i="9"/>
  <c r="X108" i="16"/>
  <c r="E10" i="17"/>
  <c r="K23" i="8"/>
  <c r="K21" i="18"/>
  <c r="I29" i="9"/>
  <c r="H31" i="9"/>
  <c r="E11" i="17"/>
  <c r="K22" i="18"/>
  <c r="K24" i="8"/>
  <c r="K85" i="17"/>
  <c r="J46" i="9"/>
  <c r="AB68" i="11"/>
  <c r="L104" i="38"/>
  <c r="M106" i="38"/>
  <c r="M89" i="38"/>
  <c r="M107" i="38"/>
  <c r="M90" i="38"/>
  <c r="M74" i="38"/>
  <c r="M59" i="38"/>
  <c r="M58" i="38"/>
  <c r="M44" i="38"/>
  <c r="M108" i="38"/>
  <c r="M57" i="38"/>
  <c r="M43" i="38"/>
  <c r="M41" i="38"/>
  <c r="M11" i="38"/>
  <c r="M91" i="38"/>
  <c r="M105" i="38"/>
  <c r="M75" i="38"/>
  <c r="M76" i="38"/>
  <c r="M42" i="38"/>
  <c r="M26" i="38" s="1"/>
  <c r="F88" i="39" s="1"/>
  <c r="M12" i="38"/>
  <c r="M60" i="38"/>
  <c r="M9" i="38"/>
  <c r="M92" i="38"/>
  <c r="M73" i="38"/>
  <c r="M10" i="38"/>
  <c r="Q90" i="38"/>
  <c r="R72" i="38"/>
  <c r="Q34" i="35"/>
  <c r="M34" i="35"/>
  <c r="C170" i="11"/>
  <c r="L98" i="33"/>
  <c r="L83" i="33"/>
  <c r="L53" i="33"/>
  <c r="L1" i="33"/>
  <c r="L8" i="33"/>
  <c r="L38" i="33"/>
  <c r="M5" i="33"/>
  <c r="R68" i="33"/>
  <c r="E62" i="2"/>
  <c r="AK101" i="2"/>
  <c r="AK102" i="2" s="1"/>
  <c r="AK114" i="2" s="1"/>
  <c r="C7" i="19"/>
  <c r="C187" i="11"/>
  <c r="C25" i="19"/>
  <c r="D25" i="19" s="1"/>
  <c r="D15" i="19"/>
  <c r="Q36" i="17"/>
  <c r="H28" i="9"/>
  <c r="AO100" i="2"/>
  <c r="AO101" i="2" s="1"/>
  <c r="O36" i="17"/>
  <c r="N79" i="2"/>
  <c r="K16" i="2"/>
  <c r="S47" i="17"/>
  <c r="S56" i="17"/>
  <c r="S33" i="17"/>
  <c r="AH54" i="10"/>
  <c r="I25" i="9"/>
  <c r="J86" i="17" s="1"/>
  <c r="J25" i="17" s="1"/>
  <c r="H36" i="17"/>
  <c r="E10" i="19"/>
  <c r="J29" i="9"/>
  <c r="S34" i="17"/>
  <c r="S57" i="17"/>
  <c r="J28" i="9"/>
  <c r="AO104" i="11"/>
  <c r="AJ29" i="2"/>
  <c r="AJ48" i="2" s="1"/>
  <c r="AJ102" i="2" s="1"/>
  <c r="AJ114" i="2" s="1"/>
  <c r="K47" i="17"/>
  <c r="K60" i="17" s="1"/>
  <c r="K56" i="17"/>
  <c r="L56" i="38"/>
  <c r="G46" i="9"/>
  <c r="R107" i="38"/>
  <c r="R43" i="38"/>
  <c r="S42" i="38"/>
  <c r="K124" i="48"/>
  <c r="C120" i="48"/>
  <c r="Q55" i="33"/>
  <c r="Q85" i="33"/>
  <c r="R83" i="33"/>
  <c r="L117" i="2"/>
  <c r="L27" i="2" s="1"/>
  <c r="L106" i="2"/>
  <c r="F55" i="2"/>
  <c r="F80" i="2"/>
  <c r="F117" i="2"/>
  <c r="F105" i="2" s="1"/>
  <c r="F71" i="2"/>
  <c r="F58" i="2"/>
  <c r="F52" i="2"/>
  <c r="F24" i="2"/>
  <c r="F84" i="2"/>
  <c r="F28" i="2"/>
  <c r="F64" i="2"/>
  <c r="F95" i="2"/>
  <c r="F59" i="2"/>
  <c r="U101" i="2"/>
  <c r="E11" i="9"/>
  <c r="K11" i="18"/>
  <c r="K11" i="8"/>
  <c r="Q17" i="17"/>
  <c r="P16" i="35"/>
  <c r="E44" i="17"/>
  <c r="K31" i="18"/>
  <c r="K33" i="8"/>
  <c r="M41" i="9"/>
  <c r="M31" i="9"/>
  <c r="J30" i="9"/>
  <c r="L88" i="38"/>
  <c r="Q76" i="38"/>
  <c r="K74" i="38"/>
  <c r="G6" i="17"/>
  <c r="AI5" i="11"/>
  <c r="R73" i="38"/>
  <c r="S43" i="38"/>
  <c r="S108" i="38"/>
  <c r="K119" i="48"/>
  <c r="T28" i="35"/>
  <c r="Q70" i="33"/>
  <c r="Q71" i="33"/>
  <c r="AL79" i="2"/>
  <c r="R34" i="17"/>
  <c r="H34" i="9"/>
  <c r="AM104" i="11"/>
  <c r="AR48" i="2"/>
  <c r="AR102" i="2" s="1"/>
  <c r="AR114" i="2" s="1"/>
  <c r="K35" i="35"/>
  <c r="E16" i="17"/>
  <c r="K27" i="18"/>
  <c r="K29" i="8"/>
  <c r="L44" i="9"/>
  <c r="N85" i="17"/>
  <c r="E9" i="9"/>
  <c r="K9" i="18"/>
  <c r="K9" i="8"/>
  <c r="M29" i="9"/>
  <c r="G16" i="9"/>
  <c r="H85" i="17" s="1"/>
  <c r="Q89" i="38"/>
  <c r="R40" i="38"/>
  <c r="R75" i="38"/>
  <c r="S73" i="38"/>
  <c r="S89" i="38"/>
  <c r="Q72" i="33"/>
  <c r="Q87" i="33"/>
  <c r="K28" i="2"/>
  <c r="N48" i="2"/>
  <c r="U47" i="2"/>
  <c r="K47" i="2" s="1"/>
  <c r="AG101" i="2"/>
  <c r="Q79" i="17"/>
  <c r="Q34" i="17"/>
  <c r="O34" i="17"/>
  <c r="N36" i="17"/>
  <c r="K41" i="9"/>
  <c r="S39" i="17"/>
  <c r="J36" i="17"/>
  <c r="I35" i="9"/>
  <c r="AR24" i="11"/>
  <c r="AR68" i="11" s="1"/>
  <c r="H29" i="9"/>
  <c r="N16" i="9"/>
  <c r="N25" i="9" s="1"/>
  <c r="O86" i="17" s="1"/>
  <c r="N38" i="9"/>
  <c r="E46" i="17"/>
  <c r="K35" i="8"/>
  <c r="K33" i="18"/>
  <c r="R39" i="9"/>
  <c r="E310" i="30"/>
  <c r="N40" i="38"/>
  <c r="N72" i="38"/>
  <c r="N88" i="38"/>
  <c r="N104" i="38"/>
  <c r="N1" i="38"/>
  <c r="N8" i="38"/>
  <c r="O5" i="38"/>
  <c r="R104" i="38"/>
  <c r="R108" i="38"/>
  <c r="S91" i="38"/>
  <c r="J98" i="33"/>
  <c r="J88" i="38"/>
  <c r="J40" i="38"/>
  <c r="K56" i="33"/>
  <c r="Q41" i="33"/>
  <c r="K104" i="38"/>
  <c r="K40" i="38"/>
  <c r="S5" i="46"/>
  <c r="S5" i="52" s="1"/>
  <c r="R67" i="46"/>
  <c r="R1" i="46"/>
  <c r="R9" i="46"/>
  <c r="J119" i="48"/>
  <c r="T19" i="35"/>
  <c r="T22" i="35" s="1"/>
  <c r="K68" i="33"/>
  <c r="K99" i="33"/>
  <c r="Q57" i="33"/>
  <c r="G45" i="42"/>
  <c r="H34" i="42"/>
  <c r="H28" i="42"/>
  <c r="G23" i="42"/>
  <c r="H12" i="42"/>
  <c r="G7" i="42"/>
  <c r="D142" i="45"/>
  <c r="D138" i="45"/>
  <c r="D134" i="45"/>
  <c r="D130" i="45"/>
  <c r="D126" i="45"/>
  <c r="D122" i="45"/>
  <c r="D118" i="45"/>
  <c r="D114" i="45"/>
  <c r="D110" i="45"/>
  <c r="D106" i="45"/>
  <c r="D102" i="45"/>
  <c r="D98" i="45"/>
  <c r="R38" i="46" s="1"/>
  <c r="D94" i="45"/>
  <c r="E88" i="45"/>
  <c r="D83" i="45"/>
  <c r="E72" i="45"/>
  <c r="D67" i="45"/>
  <c r="D61" i="45"/>
  <c r="E50" i="45"/>
  <c r="D45" i="45"/>
  <c r="E34" i="45"/>
  <c r="D29" i="45"/>
  <c r="E18" i="45"/>
  <c r="D13" i="45"/>
  <c r="H50" i="42"/>
  <c r="H39" i="42"/>
  <c r="G34" i="42"/>
  <c r="G28" i="42"/>
  <c r="H17" i="42"/>
  <c r="G12" i="42"/>
  <c r="D88" i="45"/>
  <c r="H49" i="42"/>
  <c r="H38" i="42"/>
  <c r="G27" i="42"/>
  <c r="H16" i="42"/>
  <c r="G11" i="42"/>
  <c r="D141" i="45"/>
  <c r="D137" i="45"/>
  <c r="D133" i="45"/>
  <c r="D129" i="45"/>
  <c r="D125" i="45"/>
  <c r="D121" i="45"/>
  <c r="D117" i="45"/>
  <c r="D113" i="45"/>
  <c r="D109" i="45"/>
  <c r="D105" i="45"/>
  <c r="D101" i="45"/>
  <c r="D97" i="45"/>
  <c r="D93" i="45"/>
  <c r="D87" i="45"/>
  <c r="E76" i="45"/>
  <c r="D71" i="45"/>
  <c r="E54" i="45"/>
  <c r="G43" i="42"/>
  <c r="G32" i="42"/>
  <c r="H26" i="42"/>
  <c r="G21" i="42"/>
  <c r="H10" i="42"/>
  <c r="G5" i="42"/>
  <c r="G48" i="42"/>
  <c r="H42" i="42"/>
  <c r="G37" i="42"/>
  <c r="G31" i="42"/>
  <c r="H20" i="42"/>
  <c r="G15" i="42"/>
  <c r="H4" i="42"/>
  <c r="D140" i="45"/>
  <c r="D136" i="45"/>
  <c r="D132" i="45"/>
  <c r="D128" i="45"/>
  <c r="D124" i="45"/>
  <c r="D120" i="45"/>
  <c r="D116" i="45"/>
  <c r="D112" i="45"/>
  <c r="D108" i="45"/>
  <c r="D104" i="45"/>
  <c r="D100" i="45"/>
  <c r="D96" i="45"/>
  <c r="L126" i="59" s="1"/>
  <c r="D91" i="45"/>
  <c r="E80" i="45"/>
  <c r="D75" i="45"/>
  <c r="E64" i="45"/>
  <c r="E58" i="45"/>
  <c r="D53" i="45"/>
  <c r="E42" i="45"/>
  <c r="D37" i="45"/>
  <c r="E26" i="45"/>
  <c r="D21" i="45"/>
  <c r="E10" i="45"/>
  <c r="G51" i="42"/>
  <c r="G44" i="42"/>
  <c r="H37" i="42"/>
  <c r="G16" i="42"/>
  <c r="G9" i="42"/>
  <c r="E127" i="45"/>
  <c r="E122" i="45"/>
  <c r="E89" i="45"/>
  <c r="D77" i="45"/>
  <c r="L82" i="59" s="1"/>
  <c r="E70" i="45"/>
  <c r="D46" i="45"/>
  <c r="D40" i="45"/>
  <c r="D34" i="45"/>
  <c r="E28" i="45"/>
  <c r="D11" i="45"/>
  <c r="G50" i="42"/>
  <c r="H43" i="42"/>
  <c r="H36" i="42"/>
  <c r="G29" i="42"/>
  <c r="G22" i="42"/>
  <c r="H15" i="42"/>
  <c r="H8" i="42"/>
  <c r="G2" i="42"/>
  <c r="G36" i="42"/>
  <c r="G8" i="42"/>
  <c r="E105" i="45"/>
  <c r="D95" i="45"/>
  <c r="E69" i="45"/>
  <c r="D39" i="45"/>
  <c r="D33" i="45"/>
  <c r="G49" i="42"/>
  <c r="G42" i="42"/>
  <c r="H21" i="42"/>
  <c r="H14" i="42"/>
  <c r="E131" i="45"/>
  <c r="E126" i="45"/>
  <c r="E115" i="45"/>
  <c r="E87" i="45"/>
  <c r="E81" i="45"/>
  <c r="E75" i="45"/>
  <c r="D69" i="45"/>
  <c r="E62" i="45"/>
  <c r="E56" i="45"/>
  <c r="D50" i="45"/>
  <c r="E44" i="45"/>
  <c r="D27" i="45"/>
  <c r="E21" i="45"/>
  <c r="E15" i="45"/>
  <c r="E9" i="45"/>
  <c r="H35" i="42"/>
  <c r="H27" i="42"/>
  <c r="G14" i="42"/>
  <c r="H7" i="42"/>
  <c r="E141" i="45"/>
  <c r="E136" i="45"/>
  <c r="D131" i="45"/>
  <c r="E120" i="45"/>
  <c r="D115" i="45"/>
  <c r="E110" i="45"/>
  <c r="E99" i="45"/>
  <c r="D81" i="45"/>
  <c r="H48" i="42"/>
  <c r="H41" i="42"/>
  <c r="G35" i="42"/>
  <c r="G20" i="42"/>
  <c r="G41" i="42"/>
  <c r="G26" i="42"/>
  <c r="H13" i="42"/>
  <c r="H6" i="42"/>
  <c r="E109" i="45"/>
  <c r="D86" i="45"/>
  <c r="D80" i="45"/>
  <c r="D74" i="45"/>
  <c r="D68" i="45"/>
  <c r="H47" i="42"/>
  <c r="H33" i="42"/>
  <c r="H19" i="42"/>
  <c r="G13" i="42"/>
  <c r="G6" i="42"/>
  <c r="E140" i="45"/>
  <c r="E135" i="45"/>
  <c r="E130" i="45"/>
  <c r="E119" i="45"/>
  <c r="E114" i="45"/>
  <c r="E93" i="45"/>
  <c r="D55" i="45"/>
  <c r="D43" i="45"/>
  <c r="E37" i="45"/>
  <c r="E31" i="45"/>
  <c r="E25" i="45"/>
  <c r="D14" i="45"/>
  <c r="D8" i="45"/>
  <c r="G46" i="42"/>
  <c r="H32" i="42"/>
  <c r="H18" i="42"/>
  <c r="H11" i="42"/>
  <c r="E139" i="45"/>
  <c r="E113" i="45"/>
  <c r="E91" i="45"/>
  <c r="E66" i="45"/>
  <c r="D36" i="45"/>
  <c r="E30" i="45"/>
  <c r="E24" i="45"/>
  <c r="D7" i="45"/>
  <c r="H52" i="42"/>
  <c r="G39" i="42"/>
  <c r="H31" i="42"/>
  <c r="H24" i="42"/>
  <c r="G18" i="42"/>
  <c r="G4" i="42"/>
  <c r="D139" i="45"/>
  <c r="E134" i="45"/>
  <c r="E123" i="45"/>
  <c r="E118" i="45"/>
  <c r="E97" i="45"/>
  <c r="E84" i="45"/>
  <c r="H40" i="42"/>
  <c r="E111" i="45"/>
  <c r="E104" i="45"/>
  <c r="E73" i="45"/>
  <c r="E65" i="45"/>
  <c r="D58" i="45"/>
  <c r="E51" i="45"/>
  <c r="E22" i="45"/>
  <c r="D16" i="45"/>
  <c r="G17" i="42"/>
  <c r="E137" i="45"/>
  <c r="E103" i="45"/>
  <c r="E57" i="45"/>
  <c r="E36" i="45"/>
  <c r="D15" i="45"/>
  <c r="E143" i="45"/>
  <c r="D103" i="45"/>
  <c r="E79" i="45"/>
  <c r="D72" i="45"/>
  <c r="D64" i="45"/>
  <c r="D57" i="45"/>
  <c r="E43" i="45"/>
  <c r="D28" i="45"/>
  <c r="E7" i="45"/>
  <c r="G38" i="42"/>
  <c r="H25" i="42"/>
  <c r="H3" i="42"/>
  <c r="D143" i="45"/>
  <c r="E129" i="45"/>
  <c r="D123" i="45"/>
  <c r="E116" i="45"/>
  <c r="E96" i="45"/>
  <c r="D79" i="45"/>
  <c r="E49" i="45"/>
  <c r="E35" i="45"/>
  <c r="E20" i="45"/>
  <c r="E14" i="45"/>
  <c r="G25" i="42"/>
  <c r="G3" i="42"/>
  <c r="E102" i="45"/>
  <c r="E86" i="45"/>
  <c r="E71" i="45"/>
  <c r="D56" i="45"/>
  <c r="D49" i="45"/>
  <c r="D42" i="45"/>
  <c r="D35" i="45"/>
  <c r="K52" i="59" s="1"/>
  <c r="E27" i="45"/>
  <c r="D20" i="45"/>
  <c r="E6" i="45"/>
  <c r="G47" i="42"/>
  <c r="E142" i="45"/>
  <c r="E78" i="45"/>
  <c r="H46" i="42"/>
  <c r="G24" i="42"/>
  <c r="H2" i="42"/>
  <c r="D135" i="45"/>
  <c r="E128" i="45"/>
  <c r="E108" i="45"/>
  <c r="E101" i="45"/>
  <c r="E95" i="45"/>
  <c r="E85" i="45"/>
  <c r="D78" i="45"/>
  <c r="D70" i="45"/>
  <c r="E55" i="45"/>
  <c r="E48" i="45"/>
  <c r="E41" i="45"/>
  <c r="D26" i="45"/>
  <c r="E19" i="45"/>
  <c r="E121" i="45"/>
  <c r="D85" i="45"/>
  <c r="E61" i="45"/>
  <c r="D48" i="45"/>
  <c r="D41" i="45"/>
  <c r="E33" i="45"/>
  <c r="D19" i="45"/>
  <c r="E12" i="45"/>
  <c r="H45" i="42"/>
  <c r="G33" i="42"/>
  <c r="H23" i="42"/>
  <c r="E107" i="45"/>
  <c r="E94" i="45"/>
  <c r="E77" i="45"/>
  <c r="D54" i="45"/>
  <c r="D25" i="45"/>
  <c r="D12" i="45"/>
  <c r="G10" i="42"/>
  <c r="D127" i="45"/>
  <c r="D107" i="45"/>
  <c r="E100" i="45"/>
  <c r="D84" i="45"/>
  <c r="E68" i="45"/>
  <c r="E60" i="45"/>
  <c r="E47" i="45"/>
  <c r="E40" i="45"/>
  <c r="E32" i="45"/>
  <c r="D18" i="45"/>
  <c r="H44" i="42"/>
  <c r="H22" i="42"/>
  <c r="E133" i="45"/>
  <c r="D76" i="45"/>
  <c r="D60" i="45"/>
  <c r="E53" i="45"/>
  <c r="D47" i="45"/>
  <c r="D32" i="45"/>
  <c r="R125" i="59" s="1"/>
  <c r="D24" i="45"/>
  <c r="E11" i="45"/>
  <c r="E132" i="45"/>
  <c r="E125" i="45"/>
  <c r="E90" i="45"/>
  <c r="E82" i="45"/>
  <c r="E74" i="45"/>
  <c r="D66" i="45"/>
  <c r="D59" i="45"/>
  <c r="D52" i="45"/>
  <c r="E38" i="45"/>
  <c r="D23" i="45"/>
  <c r="H29" i="42"/>
  <c r="E59" i="45"/>
  <c r="E46" i="45"/>
  <c r="E106" i="45"/>
  <c r="D22" i="45"/>
  <c r="E83" i="45"/>
  <c r="E45" i="45"/>
  <c r="D10" i="45"/>
  <c r="E138" i="45"/>
  <c r="G40" i="42"/>
  <c r="E112" i="45"/>
  <c r="E67" i="45"/>
  <c r="H9" i="42"/>
  <c r="D119" i="45"/>
  <c r="D30" i="45"/>
  <c r="E8" i="45"/>
  <c r="G52" i="42"/>
  <c r="E17" i="45"/>
  <c r="H51" i="42"/>
  <c r="D90" i="45"/>
  <c r="D6" i="45"/>
  <c r="E117" i="45"/>
  <c r="D99" i="45"/>
  <c r="D51" i="45"/>
  <c r="E39" i="45"/>
  <c r="E16" i="45"/>
  <c r="G19" i="42"/>
  <c r="H5" i="42"/>
  <c r="D89" i="45"/>
  <c r="E29" i="45"/>
  <c r="E124" i="45"/>
  <c r="D82" i="45"/>
  <c r="E13" i="45"/>
  <c r="E52" i="45"/>
  <c r="D38" i="45"/>
  <c r="D65" i="45"/>
  <c r="Q125" i="59" s="1"/>
  <c r="E23" i="45"/>
  <c r="D9" i="45"/>
  <c r="H30" i="42"/>
  <c r="G30" i="42"/>
  <c r="D62" i="45"/>
  <c r="D111" i="45"/>
  <c r="D17" i="45"/>
  <c r="D31" i="45"/>
  <c r="D44" i="45"/>
  <c r="D73" i="45"/>
  <c r="E98" i="45"/>
  <c r="K112" i="2"/>
  <c r="E112" i="2"/>
  <c r="D128" i="2" s="1"/>
  <c r="F128" i="2" s="1"/>
  <c r="Q23" i="17"/>
  <c r="K31" i="11"/>
  <c r="H25" i="9"/>
  <c r="I86" i="17" s="1"/>
  <c r="I25" i="17" s="1"/>
  <c r="H34" i="17"/>
  <c r="M17" i="17"/>
  <c r="I28" i="2"/>
  <c r="K36" i="35"/>
  <c r="E13" i="17"/>
  <c r="K26" i="8"/>
  <c r="K24" i="18"/>
  <c r="S59" i="17"/>
  <c r="J35" i="9"/>
  <c r="G85" i="17"/>
  <c r="U104" i="16"/>
  <c r="Y68" i="11"/>
  <c r="AL22" i="11"/>
  <c r="AL24" i="11" s="1"/>
  <c r="AL68" i="11" s="1"/>
  <c r="Q106" i="38"/>
  <c r="Q60" i="38"/>
  <c r="R88" i="38"/>
  <c r="R58" i="38"/>
  <c r="S106" i="38"/>
  <c r="E119" i="48"/>
  <c r="T7" i="35"/>
  <c r="K38" i="33"/>
  <c r="K39" i="33"/>
  <c r="Q84" i="33"/>
  <c r="G59" i="49"/>
  <c r="G78" i="49"/>
  <c r="D32" i="49"/>
  <c r="G27" i="49"/>
  <c r="E19" i="49"/>
  <c r="D15" i="49"/>
  <c r="G10" i="49"/>
  <c r="G66" i="49"/>
  <c r="D31" i="49"/>
  <c r="G26" i="49"/>
  <c r="E18" i="49"/>
  <c r="D14" i="49"/>
  <c r="G9" i="49"/>
  <c r="G57" i="49"/>
  <c r="D30" i="49"/>
  <c r="G25" i="49"/>
  <c r="E17" i="49"/>
  <c r="D13" i="49"/>
  <c r="G8" i="49"/>
  <c r="G48" i="49"/>
  <c r="E29" i="49"/>
  <c r="D25" i="49"/>
  <c r="G20" i="49"/>
  <c r="E16" i="49"/>
  <c r="D12" i="49"/>
  <c r="G7" i="49"/>
  <c r="G39" i="49"/>
  <c r="D22" i="49"/>
  <c r="D16" i="49"/>
  <c r="G32" i="49"/>
  <c r="D27" i="49"/>
  <c r="E21" i="49"/>
  <c r="D10" i="49"/>
  <c r="E32" i="49"/>
  <c r="D21" i="49"/>
  <c r="E15" i="49"/>
  <c r="G31" i="49"/>
  <c r="D26" i="49"/>
  <c r="D20" i="49"/>
  <c r="D9" i="49"/>
  <c r="G73" i="49"/>
  <c r="G24" i="49"/>
  <c r="D19" i="49"/>
  <c r="G72" i="49"/>
  <c r="E30" i="49"/>
  <c r="E24" i="49"/>
  <c r="G18" i="49"/>
  <c r="E13" i="49"/>
  <c r="E7" i="49"/>
  <c r="G68" i="49"/>
  <c r="G29" i="49"/>
  <c r="D24" i="49"/>
  <c r="G12" i="49"/>
  <c r="D7" i="49"/>
  <c r="G65" i="49"/>
  <c r="G55" i="49"/>
  <c r="E28" i="49"/>
  <c r="G22" i="49"/>
  <c r="D17" i="49"/>
  <c r="E11" i="49"/>
  <c r="D29" i="49"/>
  <c r="G17" i="49"/>
  <c r="E6" i="49"/>
  <c r="G28" i="49"/>
  <c r="D6" i="49"/>
  <c r="D28" i="49"/>
  <c r="G16" i="49"/>
  <c r="E27" i="49"/>
  <c r="G15" i="49"/>
  <c r="E14" i="49"/>
  <c r="E25" i="49"/>
  <c r="G13" i="49"/>
  <c r="G23" i="49"/>
  <c r="E12" i="49"/>
  <c r="D23" i="49"/>
  <c r="G61" i="49"/>
  <c r="E22" i="49"/>
  <c r="D11" i="49"/>
  <c r="G30" i="49"/>
  <c r="E26" i="49"/>
  <c r="E23" i="49"/>
  <c r="G21" i="49"/>
  <c r="E20" i="49"/>
  <c r="G19" i="49"/>
  <c r="D18" i="49"/>
  <c r="G14" i="49"/>
  <c r="G11" i="49"/>
  <c r="E10" i="49"/>
  <c r="E9" i="49"/>
  <c r="G60" i="49"/>
  <c r="E8" i="49"/>
  <c r="G37" i="49"/>
  <c r="E31" i="49"/>
  <c r="D8" i="49"/>
  <c r="G6" i="49"/>
  <c r="G49" i="49"/>
  <c r="AH51" i="10"/>
  <c r="AH52" i="10"/>
  <c r="AH53" i="10"/>
  <c r="I39" i="2"/>
  <c r="AS104" i="11"/>
  <c r="H42" i="9"/>
  <c r="P36" i="17"/>
  <c r="N23" i="17"/>
  <c r="N34" i="17"/>
  <c r="S17" i="17"/>
  <c r="S31" i="17"/>
  <c r="Q85" i="17"/>
  <c r="C188" i="11"/>
  <c r="C189" i="11" s="1"/>
  <c r="C174" i="11"/>
  <c r="E15" i="17"/>
  <c r="K26" i="18"/>
  <c r="K28" i="8"/>
  <c r="Q43" i="38"/>
  <c r="Q59" i="38"/>
  <c r="R59" i="38"/>
  <c r="S44" i="38"/>
  <c r="S92" i="38"/>
  <c r="D120" i="48"/>
  <c r="K113" i="46"/>
  <c r="L5" i="46"/>
  <c r="L5" i="52" s="1"/>
  <c r="K1" i="46"/>
  <c r="K83" i="46" s="1"/>
  <c r="K53" i="33"/>
  <c r="K41" i="33"/>
  <c r="Q86" i="33"/>
  <c r="H112" i="2"/>
  <c r="AP101" i="2"/>
  <c r="X113" i="2"/>
  <c r="X114" i="2" s="1"/>
  <c r="Q41" i="9"/>
  <c r="Q31" i="9"/>
  <c r="AL29" i="2"/>
  <c r="I56" i="17"/>
  <c r="I47" i="17"/>
  <c r="H62" i="2"/>
  <c r="AD48" i="2"/>
  <c r="AD102" i="2" s="1"/>
  <c r="AD114" i="2" s="1"/>
  <c r="L36" i="17"/>
  <c r="E14" i="17"/>
  <c r="K27" i="8"/>
  <c r="K25" i="18"/>
  <c r="P28" i="9"/>
  <c r="P47" i="17"/>
  <c r="P56" i="17"/>
  <c r="L17" i="17"/>
  <c r="S36" i="17"/>
  <c r="S38" i="17"/>
  <c r="E16" i="2"/>
  <c r="K7" i="11"/>
  <c r="E14" i="9"/>
  <c r="K14" i="18"/>
  <c r="K14" i="8"/>
  <c r="Q44" i="38"/>
  <c r="Q41" i="38"/>
  <c r="R76" i="38"/>
  <c r="R105" i="38"/>
  <c r="S75" i="38"/>
  <c r="S58" i="38"/>
  <c r="T98" i="33"/>
  <c r="T53" i="33"/>
  <c r="T83" i="33"/>
  <c r="T38" i="33"/>
  <c r="U5" i="33"/>
  <c r="T8" i="33"/>
  <c r="T1" i="33"/>
  <c r="Z79" i="2"/>
  <c r="AO29" i="2"/>
  <c r="AO48" i="2" s="1"/>
  <c r="AR104" i="11"/>
  <c r="E39" i="2"/>
  <c r="S37" i="17"/>
  <c r="J34" i="17"/>
  <c r="J23" i="17"/>
  <c r="I33" i="9"/>
  <c r="I36" i="17"/>
  <c r="H35" i="9"/>
  <c r="AI104" i="11"/>
  <c r="AA108" i="16"/>
  <c r="L16" i="9"/>
  <c r="L34" i="9" s="1"/>
  <c r="AG68" i="11"/>
  <c r="J34" i="9"/>
  <c r="AC68" i="11"/>
  <c r="K31" i="17"/>
  <c r="K17" i="17"/>
  <c r="K40" i="17" s="1"/>
  <c r="R16" i="9"/>
  <c r="R28" i="9" s="1"/>
  <c r="R38" i="9"/>
  <c r="R44" i="9"/>
  <c r="K75" i="38"/>
  <c r="Q75" i="38"/>
  <c r="Q57" i="38"/>
  <c r="T104" i="38"/>
  <c r="T88" i="38"/>
  <c r="T8" i="38"/>
  <c r="T72" i="38"/>
  <c r="U5" i="38"/>
  <c r="T1" i="38"/>
  <c r="S57" i="38"/>
  <c r="S60" i="38"/>
  <c r="K87" i="33"/>
  <c r="E120" i="48"/>
  <c r="K70" i="33"/>
  <c r="Q54" i="33"/>
  <c r="K42" i="33"/>
  <c r="S71" i="33"/>
  <c r="S42" i="33"/>
  <c r="S40" i="33"/>
  <c r="S56" i="33"/>
  <c r="S54" i="33"/>
  <c r="S102" i="33"/>
  <c r="S100" i="33"/>
  <c r="S85" i="33"/>
  <c r="S86" i="33"/>
  <c r="S87" i="33"/>
  <c r="S57" i="33"/>
  <c r="S84" i="33"/>
  <c r="S101" i="33"/>
  <c r="S72" i="33"/>
  <c r="S70" i="33"/>
  <c r="S10" i="33"/>
  <c r="S55" i="33"/>
  <c r="S99" i="33"/>
  <c r="S41" i="33"/>
  <c r="S69" i="33"/>
  <c r="S11" i="33"/>
  <c r="S39" i="33"/>
  <c r="S9" i="33"/>
  <c r="S12" i="33"/>
  <c r="K98" i="2"/>
  <c r="I30" i="9"/>
  <c r="Q71" i="17"/>
  <c r="P31" i="9"/>
  <c r="P41" i="9"/>
  <c r="G47" i="17"/>
  <c r="G17" i="17"/>
  <c r="AA29" i="2"/>
  <c r="AA48" i="2" s="1"/>
  <c r="AA102" i="2" s="1"/>
  <c r="AA114" i="2" s="1"/>
  <c r="H10" i="2"/>
  <c r="M36" i="17"/>
  <c r="L71" i="17"/>
  <c r="L34" i="17"/>
  <c r="AF108" i="16"/>
  <c r="P34" i="9"/>
  <c r="H71" i="17"/>
  <c r="AC108" i="16"/>
  <c r="AN104" i="11"/>
  <c r="M56" i="17"/>
  <c r="M47" i="17"/>
  <c r="L38" i="9"/>
  <c r="AF68" i="11"/>
  <c r="E13" i="9"/>
  <c r="K13" i="8"/>
  <c r="K13" i="18"/>
  <c r="R42" i="9"/>
  <c r="K41" i="38"/>
  <c r="K105" i="38"/>
  <c r="Q92" i="38"/>
  <c r="S107" i="38"/>
  <c r="Z169" i="65" l="1"/>
  <c r="Q94" i="65"/>
  <c r="P94" i="65"/>
  <c r="D9" i="65"/>
  <c r="AA9" i="65"/>
  <c r="AA49" i="65"/>
  <c r="Q90" i="65"/>
  <c r="P90" i="65"/>
  <c r="Q91" i="65"/>
  <c r="P91" i="65"/>
  <c r="Q96" i="65"/>
  <c r="P96" i="65"/>
  <c r="Q93" i="65"/>
  <c r="P93" i="65"/>
  <c r="P92" i="65"/>
  <c r="Q92" i="65"/>
  <c r="Q95" i="65"/>
  <c r="P95" i="65"/>
  <c r="Q11" i="65"/>
  <c r="P11" i="65"/>
  <c r="Q15" i="65"/>
  <c r="P15" i="65"/>
  <c r="Q16" i="65"/>
  <c r="P16" i="65"/>
  <c r="Q12" i="65"/>
  <c r="P12" i="65"/>
  <c r="Q14" i="65"/>
  <c r="P14" i="65"/>
  <c r="P10" i="65"/>
  <c r="Q10" i="65"/>
  <c r="Q13" i="65"/>
  <c r="P13" i="65"/>
  <c r="P18" i="65"/>
  <c r="Q18" i="65"/>
  <c r="C120" i="61"/>
  <c r="D98" i="64" s="1"/>
  <c r="D142" i="61"/>
  <c r="C142" i="61"/>
  <c r="C41" i="64"/>
  <c r="E39" i="64"/>
  <c r="D62" i="64"/>
  <c r="D43" i="64"/>
  <c r="Q39" i="64"/>
  <c r="M39" i="64"/>
  <c r="N39" i="64"/>
  <c r="O39" i="64"/>
  <c r="L39" i="64"/>
  <c r="P39" i="64"/>
  <c r="D178" i="61"/>
  <c r="D88" i="61" s="1"/>
  <c r="D135" i="64"/>
  <c r="D119" i="64" s="1"/>
  <c r="D45" i="64" s="1"/>
  <c r="C140" i="61"/>
  <c r="C144" i="61"/>
  <c r="D86" i="64"/>
  <c r="D89" i="64" s="1"/>
  <c r="D144" i="61"/>
  <c r="D82" i="64"/>
  <c r="C137" i="64"/>
  <c r="C89" i="64"/>
  <c r="D193" i="63"/>
  <c r="D170" i="63" s="1"/>
  <c r="C146" i="63"/>
  <c r="C18" i="61"/>
  <c r="D10" i="64" s="1"/>
  <c r="D203" i="61"/>
  <c r="B203" i="61"/>
  <c r="C204" i="61"/>
  <c r="D195" i="61"/>
  <c r="B195" i="61"/>
  <c r="C196" i="61"/>
  <c r="B196" i="61" s="1"/>
  <c r="D89" i="61"/>
  <c r="D137" i="61" s="1"/>
  <c r="C232" i="63"/>
  <c r="D231" i="63"/>
  <c r="B231" i="63"/>
  <c r="D77" i="61"/>
  <c r="C97" i="61"/>
  <c r="C98" i="61" s="1"/>
  <c r="C124" i="63"/>
  <c r="C125" i="63" s="1"/>
  <c r="C108" i="63"/>
  <c r="C109" i="63" s="1"/>
  <c r="D82" i="63"/>
  <c r="C42" i="64" s="1"/>
  <c r="C61" i="64" s="1"/>
  <c r="D79" i="63"/>
  <c r="C61" i="63"/>
  <c r="D91" i="63"/>
  <c r="C98" i="64" s="1"/>
  <c r="C71" i="64" s="1"/>
  <c r="C105" i="63"/>
  <c r="D167" i="63"/>
  <c r="C170" i="63"/>
  <c r="C84" i="63"/>
  <c r="C85" i="63" s="1"/>
  <c r="C196" i="63" s="1"/>
  <c r="D81" i="63"/>
  <c r="C50" i="64" s="1"/>
  <c r="E50" i="64" s="1"/>
  <c r="C224" i="63"/>
  <c r="D223" i="63"/>
  <c r="B223" i="63"/>
  <c r="C215" i="63"/>
  <c r="C195" i="63"/>
  <c r="C77" i="61"/>
  <c r="C180" i="61" s="1"/>
  <c r="D133" i="61"/>
  <c r="C113" i="61"/>
  <c r="C114" i="61" s="1"/>
  <c r="C106" i="61"/>
  <c r="C107" i="61" s="1"/>
  <c r="G23" i="17"/>
  <c r="G50" i="17"/>
  <c r="L8" i="2"/>
  <c r="L67" i="2"/>
  <c r="L43" i="38"/>
  <c r="L60" i="38"/>
  <c r="D24" i="31"/>
  <c r="R67" i="59"/>
  <c r="L37" i="59"/>
  <c r="D21" i="19"/>
  <c r="D20" i="19"/>
  <c r="D16" i="19"/>
  <c r="D19" i="19"/>
  <c r="D22" i="19"/>
  <c r="D24" i="19"/>
  <c r="D23" i="19"/>
  <c r="D17" i="19"/>
  <c r="L41" i="38"/>
  <c r="L89" i="38"/>
  <c r="R97" i="59"/>
  <c r="L52" i="59"/>
  <c r="D30" i="31"/>
  <c r="F34" i="2"/>
  <c r="F73" i="2"/>
  <c r="L41" i="2"/>
  <c r="L104" i="2"/>
  <c r="K44" i="38"/>
  <c r="L75" i="38"/>
  <c r="L106" i="38"/>
  <c r="R52" i="59"/>
  <c r="L38" i="59"/>
  <c r="I53" i="59"/>
  <c r="I98" i="59"/>
  <c r="I68" i="59"/>
  <c r="I126" i="59"/>
  <c r="I83" i="59"/>
  <c r="I23" i="59"/>
  <c r="I113" i="59"/>
  <c r="I38" i="59"/>
  <c r="K92" i="38"/>
  <c r="J53" i="33"/>
  <c r="K72" i="33"/>
  <c r="F39" i="2"/>
  <c r="F78" i="2"/>
  <c r="L21" i="2"/>
  <c r="L61" i="2"/>
  <c r="R26" i="33"/>
  <c r="N82" i="17"/>
  <c r="AB54" i="59"/>
  <c r="R18" i="52"/>
  <c r="V17" i="52"/>
  <c r="Z16" i="52"/>
  <c r="J16" i="52"/>
  <c r="D17" i="52"/>
  <c r="AB114" i="59"/>
  <c r="Q18" i="52"/>
  <c r="U17" i="52"/>
  <c r="Y16" i="52"/>
  <c r="I16" i="52"/>
  <c r="C17" i="52"/>
  <c r="P18" i="52"/>
  <c r="T17" i="52"/>
  <c r="X16" i="52"/>
  <c r="H16" i="52"/>
  <c r="O18" i="52"/>
  <c r="S17" i="52"/>
  <c r="W16" i="52"/>
  <c r="F16" i="52"/>
  <c r="N18" i="52"/>
  <c r="R17" i="52"/>
  <c r="M18" i="52"/>
  <c r="Q17" i="52"/>
  <c r="U16" i="52"/>
  <c r="C16" i="52"/>
  <c r="AB99" i="59"/>
  <c r="AA18" i="52"/>
  <c r="K18" i="52"/>
  <c r="O17" i="52"/>
  <c r="S16" i="52"/>
  <c r="Z18" i="52"/>
  <c r="J18" i="52"/>
  <c r="N17" i="52"/>
  <c r="R16" i="52"/>
  <c r="AB69" i="59"/>
  <c r="AB24" i="59"/>
  <c r="Y18" i="52"/>
  <c r="I18" i="52"/>
  <c r="M17" i="52"/>
  <c r="Q16" i="52"/>
  <c r="X18" i="52"/>
  <c r="AB17" i="52"/>
  <c r="L17" i="52"/>
  <c r="P16" i="52"/>
  <c r="H18" i="52"/>
  <c r="W18" i="52"/>
  <c r="AA17" i="52"/>
  <c r="K17" i="52"/>
  <c r="O16" i="52"/>
  <c r="F18" i="52"/>
  <c r="AB127" i="59"/>
  <c r="V18" i="52"/>
  <c r="Z17" i="52"/>
  <c r="J17" i="52"/>
  <c r="N16" i="52"/>
  <c r="D18" i="52"/>
  <c r="AB39" i="59"/>
  <c r="T18" i="52"/>
  <c r="X17" i="52"/>
  <c r="AB16" i="52"/>
  <c r="L16" i="52"/>
  <c r="H17" i="52"/>
  <c r="O112" i="59"/>
  <c r="AB84" i="59"/>
  <c r="V16" i="52"/>
  <c r="T16" i="52"/>
  <c r="D16" i="52"/>
  <c r="M16" i="52"/>
  <c r="K16" i="52"/>
  <c r="AB18" i="52"/>
  <c r="F17" i="52"/>
  <c r="S18" i="52"/>
  <c r="L18" i="52"/>
  <c r="Y17" i="52"/>
  <c r="W17" i="52"/>
  <c r="P17" i="52"/>
  <c r="I17" i="52"/>
  <c r="AA16" i="52"/>
  <c r="C18" i="52"/>
  <c r="U18" i="52"/>
  <c r="O37" i="59"/>
  <c r="O52" i="59"/>
  <c r="O97" i="59"/>
  <c r="O82" i="59"/>
  <c r="O125" i="59"/>
  <c r="O22" i="59"/>
  <c r="O67" i="59"/>
  <c r="Q37" i="59"/>
  <c r="Q82" i="59"/>
  <c r="Q22" i="59"/>
  <c r="J68" i="33"/>
  <c r="AG102" i="2"/>
  <c r="F100" i="2"/>
  <c r="F66" i="2"/>
  <c r="L47" i="2"/>
  <c r="L89" i="2"/>
  <c r="K58" i="38"/>
  <c r="Q99" i="33"/>
  <c r="R99" i="33"/>
  <c r="R42" i="33"/>
  <c r="Q73" i="38"/>
  <c r="H100" i="2"/>
  <c r="L57" i="38"/>
  <c r="K106" i="38"/>
  <c r="R92" i="38"/>
  <c r="D26" i="31"/>
  <c r="Q97" i="59"/>
  <c r="Q25" i="38"/>
  <c r="J87" i="39" s="1"/>
  <c r="J104" i="38"/>
  <c r="J38" i="33"/>
  <c r="F72" i="2"/>
  <c r="F86" i="2"/>
  <c r="L64" i="2"/>
  <c r="L112" i="2"/>
  <c r="K69" i="33"/>
  <c r="K108" i="38"/>
  <c r="L91" i="38"/>
  <c r="L59" i="38"/>
  <c r="K42" i="38"/>
  <c r="R9" i="59"/>
  <c r="R8" i="59"/>
  <c r="R126" i="59"/>
  <c r="R23" i="59"/>
  <c r="R22" i="59"/>
  <c r="R38" i="59"/>
  <c r="R68" i="59"/>
  <c r="R83" i="59"/>
  <c r="F8" i="51" a="1"/>
  <c r="F8" i="51" s="1"/>
  <c r="G8" i="51" s="1"/>
  <c r="E8" i="51" a="1"/>
  <c r="E8" i="51" s="1"/>
  <c r="B8" i="51" a="1"/>
  <c r="B8" i="51" s="1"/>
  <c r="D28" i="31"/>
  <c r="K125" i="59"/>
  <c r="T40" i="38"/>
  <c r="R60" i="38"/>
  <c r="K73" i="38"/>
  <c r="R97" i="46"/>
  <c r="J83" i="33"/>
  <c r="F38" i="2"/>
  <c r="F57" i="2"/>
  <c r="L16" i="2"/>
  <c r="L69" i="2"/>
  <c r="R100" i="33"/>
  <c r="R85" i="33"/>
  <c r="L90" i="38"/>
  <c r="L105" i="38"/>
  <c r="K56" i="38"/>
  <c r="R112" i="59"/>
  <c r="F27" i="31"/>
  <c r="E113" i="2"/>
  <c r="D129" i="2" s="1"/>
  <c r="F129" i="2" s="1"/>
  <c r="L107" i="38"/>
  <c r="K90" i="38"/>
  <c r="R98" i="59"/>
  <c r="R82" i="46"/>
  <c r="H97" i="59"/>
  <c r="H22" i="59"/>
  <c r="H112" i="59"/>
  <c r="H52" i="59"/>
  <c r="H82" i="59"/>
  <c r="H125" i="59"/>
  <c r="H67" i="59"/>
  <c r="H37" i="59"/>
  <c r="F9" i="2"/>
  <c r="F98" i="2"/>
  <c r="L34" i="2"/>
  <c r="L91" i="2"/>
  <c r="Q100" i="33"/>
  <c r="Q101" i="33"/>
  <c r="L42" i="38"/>
  <c r="K98" i="33"/>
  <c r="B9" i="51" a="1"/>
  <c r="B9" i="51" s="1"/>
  <c r="L22" i="59"/>
  <c r="L8" i="59"/>
  <c r="L97" i="59"/>
  <c r="L68" i="59"/>
  <c r="K67" i="59"/>
  <c r="I112" i="59"/>
  <c r="I125" i="59"/>
  <c r="I67" i="59"/>
  <c r="I82" i="59"/>
  <c r="I37" i="59"/>
  <c r="I97" i="59"/>
  <c r="I52" i="59"/>
  <c r="I22" i="59"/>
  <c r="F18" i="2"/>
  <c r="F106" i="2"/>
  <c r="D139" i="2" s="1"/>
  <c r="F139" i="2" s="1"/>
  <c r="L23" i="2"/>
  <c r="L59" i="2"/>
  <c r="Q69" i="33"/>
  <c r="K71" i="33"/>
  <c r="Q39" i="33"/>
  <c r="L108" i="38"/>
  <c r="D25" i="31"/>
  <c r="K82" i="59"/>
  <c r="L125" i="59"/>
  <c r="D26" i="19"/>
  <c r="Q52" i="59"/>
  <c r="L23" i="59"/>
  <c r="F7" i="51" a="1"/>
  <c r="F7" i="51" s="1"/>
  <c r="G7" i="51" s="1"/>
  <c r="B7" i="51" a="1"/>
  <c r="B7" i="51" s="1"/>
  <c r="E7" i="51" a="1"/>
  <c r="E7" i="51" s="1"/>
  <c r="L83" i="59"/>
  <c r="L26" i="2"/>
  <c r="L87" i="2"/>
  <c r="Z71" i="11"/>
  <c r="K76" i="38"/>
  <c r="J97" i="59"/>
  <c r="J125" i="59"/>
  <c r="J112" i="59"/>
  <c r="J82" i="59"/>
  <c r="J67" i="59"/>
  <c r="J22" i="59"/>
  <c r="J37" i="59"/>
  <c r="J52" i="59"/>
  <c r="O98" i="59"/>
  <c r="O38" i="59"/>
  <c r="O53" i="59"/>
  <c r="O68" i="59"/>
  <c r="O83" i="59"/>
  <c r="O113" i="59"/>
  <c r="O126" i="59"/>
  <c r="O23" i="59"/>
  <c r="L72" i="2"/>
  <c r="L74" i="2"/>
  <c r="K55" i="33"/>
  <c r="K102" i="33"/>
  <c r="K100" i="33"/>
  <c r="L44" i="38"/>
  <c r="T56" i="38"/>
  <c r="AP102" i="2"/>
  <c r="AP114" i="2" s="1"/>
  <c r="K60" i="38"/>
  <c r="K72" i="38"/>
  <c r="Q42" i="38"/>
  <c r="Q26" i="38" s="1"/>
  <c r="J88" i="39" s="1"/>
  <c r="K79" i="2"/>
  <c r="F13" i="2"/>
  <c r="L95" i="2"/>
  <c r="L88" i="2"/>
  <c r="L82" i="2"/>
  <c r="L68" i="33"/>
  <c r="R84" i="33"/>
  <c r="L74" i="38"/>
  <c r="K83" i="33"/>
  <c r="K23" i="33" s="1"/>
  <c r="L112" i="59"/>
  <c r="D27" i="31"/>
  <c r="L15" i="2"/>
  <c r="L31" i="2"/>
  <c r="K40" i="33"/>
  <c r="L98" i="59"/>
  <c r="L113" i="59"/>
  <c r="C46" i="31"/>
  <c r="H31" i="31"/>
  <c r="F30" i="31"/>
  <c r="H126" i="59"/>
  <c r="H53" i="59"/>
  <c r="H113" i="59"/>
  <c r="H23" i="59"/>
  <c r="H68" i="59"/>
  <c r="H98" i="59"/>
  <c r="H38" i="59"/>
  <c r="H83" i="59"/>
  <c r="R37" i="59"/>
  <c r="L13" i="2"/>
  <c r="L18" i="2"/>
  <c r="K22" i="59"/>
  <c r="K37" i="59"/>
  <c r="J56" i="38"/>
  <c r="K107" i="38"/>
  <c r="F37" i="2"/>
  <c r="F77" i="2"/>
  <c r="L20" i="2"/>
  <c r="L46" i="2"/>
  <c r="K86" i="33"/>
  <c r="K89" i="38"/>
  <c r="Q40" i="33"/>
  <c r="K59" i="38"/>
  <c r="K57" i="38"/>
  <c r="K25" i="38" s="1"/>
  <c r="D87" i="39" s="1"/>
  <c r="L92" i="38"/>
  <c r="Q10" i="31"/>
  <c r="P7" i="31"/>
  <c r="E10" i="31"/>
  <c r="C9" i="31"/>
  <c r="D10" i="31"/>
  <c r="Q8" i="31"/>
  <c r="H8" i="31" s="1"/>
  <c r="Q9" i="31"/>
  <c r="H9" i="31" s="1"/>
  <c r="D8" i="31"/>
  <c r="D7" i="31"/>
  <c r="D11" i="31" s="1"/>
  <c r="P10" i="31"/>
  <c r="E8" i="31"/>
  <c r="C10" i="31"/>
  <c r="P9" i="31"/>
  <c r="C8" i="31"/>
  <c r="E7" i="31"/>
  <c r="E9" i="31"/>
  <c r="Q7" i="31"/>
  <c r="D9" i="31"/>
  <c r="I9" i="31" s="1"/>
  <c r="P8" i="31"/>
  <c r="C7" i="31"/>
  <c r="C11" i="31" s="1"/>
  <c r="C44" i="31" s="1"/>
  <c r="K91" i="38"/>
  <c r="K27" i="38" s="1"/>
  <c r="D89" i="39" s="1"/>
  <c r="R113" i="59"/>
  <c r="L67" i="59"/>
  <c r="Q67" i="59"/>
  <c r="K112" i="59"/>
  <c r="Q102" i="2"/>
  <c r="Q114" i="2" s="1"/>
  <c r="Q112" i="59"/>
  <c r="P125" i="59"/>
  <c r="P97" i="59"/>
  <c r="P37" i="59"/>
  <c r="P67" i="59"/>
  <c r="P112" i="59"/>
  <c r="P22" i="59"/>
  <c r="P52" i="59"/>
  <c r="P82" i="59"/>
  <c r="J83" i="59"/>
  <c r="J68" i="59"/>
  <c r="J113" i="59"/>
  <c r="J126" i="59"/>
  <c r="J98" i="59"/>
  <c r="J38" i="59"/>
  <c r="J53" i="59"/>
  <c r="J23" i="59"/>
  <c r="F14" i="2"/>
  <c r="L63" i="2"/>
  <c r="K57" i="33"/>
  <c r="R82" i="59"/>
  <c r="F25" i="31"/>
  <c r="F31" i="31" s="1"/>
  <c r="K97" i="59"/>
  <c r="T5" i="59"/>
  <c r="S1" i="59"/>
  <c r="S67" i="59" s="1"/>
  <c r="M1" i="59"/>
  <c r="M53" i="59" s="1"/>
  <c r="N5" i="59"/>
  <c r="Q53" i="17"/>
  <c r="J76" i="17"/>
  <c r="AH68" i="11"/>
  <c r="G34" i="9"/>
  <c r="N25" i="17"/>
  <c r="R68" i="11"/>
  <c r="R69" i="11" s="1"/>
  <c r="AT71" i="11"/>
  <c r="K78" i="17"/>
  <c r="K20" i="17"/>
  <c r="Q20" i="17"/>
  <c r="Q28" i="17"/>
  <c r="Q77" i="17"/>
  <c r="Q81" i="17"/>
  <c r="Q27" i="17"/>
  <c r="Q83" i="17"/>
  <c r="N40" i="17"/>
  <c r="O40" i="17"/>
  <c r="Q21" i="17"/>
  <c r="Q26" i="17"/>
  <c r="Q25" i="17"/>
  <c r="Q51" i="17"/>
  <c r="P46" i="9"/>
  <c r="Q76" i="17"/>
  <c r="M60" i="17"/>
  <c r="Z74" i="11"/>
  <c r="Z78" i="11" s="1"/>
  <c r="AT74" i="11"/>
  <c r="AT78" i="11" s="1"/>
  <c r="AT79" i="11" s="1"/>
  <c r="AJ68" i="11"/>
  <c r="J40" i="17"/>
  <c r="S40" i="17"/>
  <c r="G28" i="9"/>
  <c r="N27" i="17"/>
  <c r="I60" i="17"/>
  <c r="U74" i="11"/>
  <c r="U78" i="11" s="1"/>
  <c r="U69" i="11"/>
  <c r="K53" i="17"/>
  <c r="N76" i="17"/>
  <c r="N83" i="17"/>
  <c r="K50" i="17"/>
  <c r="S60" i="17"/>
  <c r="K76" i="17"/>
  <c r="K22" i="17"/>
  <c r="K24" i="17"/>
  <c r="Q50" i="17"/>
  <c r="N24" i="17"/>
  <c r="K81" i="17"/>
  <c r="Q78" i="17"/>
  <c r="N78" i="17"/>
  <c r="K79" i="17"/>
  <c r="K82" i="17"/>
  <c r="K26" i="17"/>
  <c r="K27" i="17"/>
  <c r="P60" i="17"/>
  <c r="K77" i="17"/>
  <c r="N20" i="17"/>
  <c r="K23" i="17"/>
  <c r="Q22" i="17"/>
  <c r="I40" i="17"/>
  <c r="K28" i="17"/>
  <c r="K80" i="17"/>
  <c r="O31" i="9"/>
  <c r="P40" i="17"/>
  <c r="K75" i="17"/>
  <c r="AA100" i="16"/>
  <c r="K51" i="17"/>
  <c r="K25" i="17"/>
  <c r="J60" i="17"/>
  <c r="K83" i="17"/>
  <c r="K21" i="17"/>
  <c r="H40" i="17"/>
  <c r="K52" i="17"/>
  <c r="AN24" i="11"/>
  <c r="AN68" i="11" s="1"/>
  <c r="AN69" i="11" s="1"/>
  <c r="R23" i="17"/>
  <c r="K25" i="9"/>
  <c r="L86" i="17" s="1"/>
  <c r="L20" i="17" s="1"/>
  <c r="R83" i="17"/>
  <c r="R76" i="17"/>
  <c r="P74" i="11"/>
  <c r="P78" i="11" s="1"/>
  <c r="P79" i="11" s="1"/>
  <c r="R25" i="17"/>
  <c r="AD71" i="11"/>
  <c r="Q82" i="17"/>
  <c r="Q52" i="17"/>
  <c r="Q24" i="17"/>
  <c r="Q80" i="17"/>
  <c r="AD74" i="11"/>
  <c r="AD78" i="11" s="1"/>
  <c r="Q40" i="17"/>
  <c r="N26" i="17"/>
  <c r="N53" i="17"/>
  <c r="N28" i="17"/>
  <c r="N50" i="17"/>
  <c r="N52" i="17"/>
  <c r="N21" i="17"/>
  <c r="N77" i="17"/>
  <c r="N79" i="17"/>
  <c r="N80" i="17"/>
  <c r="N81" i="17"/>
  <c r="N22" i="17"/>
  <c r="N51" i="17"/>
  <c r="D11" i="51"/>
  <c r="D10" i="51"/>
  <c r="B10" i="51" a="1"/>
  <c r="B10" i="51" s="1"/>
  <c r="F10" i="51" a="1"/>
  <c r="F10" i="51" s="1"/>
  <c r="G10" i="51" s="1"/>
  <c r="E10" i="51" a="1"/>
  <c r="E10" i="51" s="1"/>
  <c r="E96" i="39"/>
  <c r="L24" i="38"/>
  <c r="AG114" i="2"/>
  <c r="AI71" i="11" s="1"/>
  <c r="O80" i="17"/>
  <c r="O79" i="17"/>
  <c r="O82" i="17"/>
  <c r="O81" i="17"/>
  <c r="O22" i="17"/>
  <c r="O52" i="17"/>
  <c r="O21" i="17"/>
  <c r="O51" i="17"/>
  <c r="O53" i="17"/>
  <c r="O24" i="17"/>
  <c r="O26" i="17"/>
  <c r="O76" i="17"/>
  <c r="O27" i="17"/>
  <c r="O28" i="17"/>
  <c r="O78" i="17"/>
  <c r="O77" i="17"/>
  <c r="O20" i="17"/>
  <c r="O25" i="17"/>
  <c r="O50" i="17"/>
  <c r="O75" i="17"/>
  <c r="O23" i="17"/>
  <c r="O83" i="17"/>
  <c r="AF71" i="11"/>
  <c r="AF69" i="11"/>
  <c r="AF74" i="11"/>
  <c r="AF78" i="11" s="1"/>
  <c r="AI74" i="11"/>
  <c r="AI78" i="11" s="1"/>
  <c r="AI69" i="11"/>
  <c r="Q69" i="11"/>
  <c r="Q74" i="11"/>
  <c r="Q78" i="11" s="1"/>
  <c r="M122" i="37"/>
  <c r="T23" i="33"/>
  <c r="K52" i="46"/>
  <c r="K91" i="11"/>
  <c r="K53" i="8" s="1"/>
  <c r="R8" i="46"/>
  <c r="C96" i="39"/>
  <c r="J24" i="38"/>
  <c r="N89" i="38"/>
  <c r="N108" i="38"/>
  <c r="N75" i="38"/>
  <c r="N73" i="38"/>
  <c r="N44" i="38"/>
  <c r="N42" i="38"/>
  <c r="N105" i="38"/>
  <c r="N58" i="38"/>
  <c r="N107" i="38"/>
  <c r="N57" i="38"/>
  <c r="N43" i="38"/>
  <c r="N90" i="38"/>
  <c r="N11" i="38"/>
  <c r="N41" i="38"/>
  <c r="N91" i="38"/>
  <c r="N106" i="38"/>
  <c r="N76" i="38"/>
  <c r="N12" i="38"/>
  <c r="N60" i="38"/>
  <c r="N9" i="38"/>
  <c r="N74" i="38"/>
  <c r="N59" i="38"/>
  <c r="N10" i="38"/>
  <c r="N92" i="38"/>
  <c r="R71" i="11"/>
  <c r="F21" i="2"/>
  <c r="F12" i="2"/>
  <c r="F44" i="2"/>
  <c r="F89" i="2"/>
  <c r="F79" i="2"/>
  <c r="F63" i="2"/>
  <c r="L76" i="2"/>
  <c r="L42" i="2"/>
  <c r="L38" i="2"/>
  <c r="L58" i="2"/>
  <c r="L83" i="2"/>
  <c r="L111" i="2"/>
  <c r="E100" i="39"/>
  <c r="F97" i="39"/>
  <c r="M28" i="38"/>
  <c r="H60" i="17"/>
  <c r="K104" i="16"/>
  <c r="X24" i="11"/>
  <c r="X68" i="11" s="1"/>
  <c r="K100" i="16"/>
  <c r="K108" i="16"/>
  <c r="L101" i="39"/>
  <c r="E8" i="9"/>
  <c r="K8" i="8"/>
  <c r="K8" i="18"/>
  <c r="K98" i="46"/>
  <c r="D122" i="37"/>
  <c r="P37" i="46"/>
  <c r="P125" i="46"/>
  <c r="P112" i="46"/>
  <c r="P67" i="46"/>
  <c r="P97" i="46"/>
  <c r="P52" i="46"/>
  <c r="P82" i="46"/>
  <c r="P22" i="46"/>
  <c r="J68" i="46"/>
  <c r="J38" i="46"/>
  <c r="J113" i="46"/>
  <c r="J83" i="46"/>
  <c r="J53" i="46"/>
  <c r="J126" i="46"/>
  <c r="J23" i="46"/>
  <c r="J98" i="46"/>
  <c r="J127" i="37"/>
  <c r="T5" i="46"/>
  <c r="T5" i="52" s="1"/>
  <c r="S22" i="46"/>
  <c r="S1" i="46"/>
  <c r="S38" i="46" s="1"/>
  <c r="S53" i="46"/>
  <c r="S83" i="46"/>
  <c r="C100" i="39"/>
  <c r="N28" i="9"/>
  <c r="Q35" i="35"/>
  <c r="F10" i="2"/>
  <c r="F19" i="2"/>
  <c r="F94" i="2"/>
  <c r="F112" i="2"/>
  <c r="D140" i="2" s="1"/>
  <c r="F140" i="2" s="1"/>
  <c r="F93" i="2"/>
  <c r="F88" i="2"/>
  <c r="L97" i="2"/>
  <c r="L57" i="2"/>
  <c r="L51" i="2"/>
  <c r="L71" i="2"/>
  <c r="L94" i="2"/>
  <c r="L101" i="33"/>
  <c r="L99" i="33"/>
  <c r="L84" i="33"/>
  <c r="L72" i="33"/>
  <c r="L57" i="33"/>
  <c r="L71" i="33"/>
  <c r="L69" i="33"/>
  <c r="L85" i="33"/>
  <c r="L54" i="33"/>
  <c r="L41" i="33"/>
  <c r="L86" i="33"/>
  <c r="L42" i="33"/>
  <c r="L11" i="33"/>
  <c r="L70" i="33"/>
  <c r="L55" i="33"/>
  <c r="L100" i="33"/>
  <c r="L87" i="33"/>
  <c r="L12" i="33"/>
  <c r="L56" i="33"/>
  <c r="L9" i="33"/>
  <c r="L102" i="33"/>
  <c r="L10" i="33"/>
  <c r="L40" i="33"/>
  <c r="L39" i="33"/>
  <c r="L24" i="33" s="1"/>
  <c r="K116" i="48"/>
  <c r="K115" i="37"/>
  <c r="L60" i="17"/>
  <c r="S9" i="35"/>
  <c r="T9" i="35" s="1"/>
  <c r="T30" i="35" s="1"/>
  <c r="T39" i="35" s="1"/>
  <c r="I100" i="2"/>
  <c r="K29" i="2"/>
  <c r="R46" i="9"/>
  <c r="S85" i="17"/>
  <c r="R30" i="9"/>
  <c r="M126" i="37"/>
  <c r="K37" i="46"/>
  <c r="Q27" i="38"/>
  <c r="J89" i="39" s="1"/>
  <c r="N60" i="17"/>
  <c r="R98" i="46"/>
  <c r="G100" i="39"/>
  <c r="AH71" i="11"/>
  <c r="AH69" i="11"/>
  <c r="AH74" i="11"/>
  <c r="AH78" i="11" s="1"/>
  <c r="S27" i="38"/>
  <c r="F99" i="2"/>
  <c r="L77" i="2"/>
  <c r="L52" i="2"/>
  <c r="E126" i="37"/>
  <c r="K123" i="37"/>
  <c r="R27" i="33"/>
  <c r="G29" i="9"/>
  <c r="E43" i="17"/>
  <c r="K46" i="11"/>
  <c r="K32" i="8"/>
  <c r="K30" i="18"/>
  <c r="AM69" i="11"/>
  <c r="AM74" i="11"/>
  <c r="AM78" i="11" s="1"/>
  <c r="AM71" i="11"/>
  <c r="Q42" i="33"/>
  <c r="W114" i="2"/>
  <c r="U48" i="2"/>
  <c r="K97" i="46"/>
  <c r="I81" i="17"/>
  <c r="I53" i="17"/>
  <c r="I22" i="17"/>
  <c r="I78" i="17"/>
  <c r="I27" i="17"/>
  <c r="I52" i="17"/>
  <c r="I80" i="17"/>
  <c r="I24" i="17"/>
  <c r="I82" i="17"/>
  <c r="I21" i="17"/>
  <c r="I26" i="17"/>
  <c r="I77" i="17"/>
  <c r="I51" i="17"/>
  <c r="I79" i="17"/>
  <c r="I28" i="17"/>
  <c r="I20" i="17"/>
  <c r="I126" i="46"/>
  <c r="I113" i="46"/>
  <c r="I83" i="46"/>
  <c r="I68" i="46"/>
  <c r="I53" i="46"/>
  <c r="I23" i="46"/>
  <c r="I38" i="46"/>
  <c r="I98" i="46"/>
  <c r="R23" i="46"/>
  <c r="O85" i="17"/>
  <c r="N46" i="9"/>
  <c r="N34" i="9"/>
  <c r="N29" i="9"/>
  <c r="N30" i="9"/>
  <c r="N32" i="9"/>
  <c r="N33" i="9"/>
  <c r="N35" i="9"/>
  <c r="G21" i="17"/>
  <c r="G51" i="17"/>
  <c r="G81" i="17"/>
  <c r="G20" i="17"/>
  <c r="G80" i="17"/>
  <c r="G82" i="17"/>
  <c r="G53" i="17"/>
  <c r="G22" i="17"/>
  <c r="G52" i="17"/>
  <c r="G24" i="17"/>
  <c r="G25" i="17"/>
  <c r="G26" i="17"/>
  <c r="G27" i="17"/>
  <c r="G77" i="17"/>
  <c r="G28" i="17"/>
  <c r="G79" i="17"/>
  <c r="G78" i="17"/>
  <c r="F83" i="2"/>
  <c r="F47" i="2"/>
  <c r="D135" i="2" s="1"/>
  <c r="F135" i="2" s="1"/>
  <c r="F31" i="2"/>
  <c r="F20" i="2"/>
  <c r="F53" i="2"/>
  <c r="F109" i="2"/>
  <c r="L24" i="2"/>
  <c r="L25" i="2"/>
  <c r="L29" i="2"/>
  <c r="L9" i="2"/>
  <c r="L96" i="2"/>
  <c r="L66" i="2"/>
  <c r="J77" i="17"/>
  <c r="J28" i="17"/>
  <c r="J51" i="17"/>
  <c r="J79" i="17"/>
  <c r="J50" i="17"/>
  <c r="J78" i="17"/>
  <c r="J81" i="17"/>
  <c r="J22" i="17"/>
  <c r="J80" i="17"/>
  <c r="J53" i="17"/>
  <c r="J82" i="17"/>
  <c r="J24" i="17"/>
  <c r="J52" i="17"/>
  <c r="J27" i="17"/>
  <c r="J26" i="17"/>
  <c r="J21" i="17"/>
  <c r="J20" i="17"/>
  <c r="R24" i="33"/>
  <c r="G30" i="9"/>
  <c r="AJ71" i="11"/>
  <c r="AJ69" i="11"/>
  <c r="AJ74" i="11"/>
  <c r="AJ78" i="11" s="1"/>
  <c r="L27" i="38"/>
  <c r="E89" i="39" s="1"/>
  <c r="E101" i="39"/>
  <c r="AD73" i="33"/>
  <c r="AD58" i="33"/>
  <c r="AD88" i="33"/>
  <c r="AD103" i="33"/>
  <c r="AD43" i="33"/>
  <c r="AD77" i="38"/>
  <c r="AD109" i="38"/>
  <c r="AD45" i="38"/>
  <c r="AD93" i="38"/>
  <c r="AD61" i="38"/>
  <c r="K85" i="33"/>
  <c r="G32" i="9"/>
  <c r="S24" i="33"/>
  <c r="K26" i="33"/>
  <c r="K68" i="46"/>
  <c r="R113" i="46"/>
  <c r="K96" i="39"/>
  <c r="R24" i="38"/>
  <c r="M4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AJ5" i="11"/>
  <c r="F101" i="39"/>
  <c r="G75" i="17"/>
  <c r="Z48" i="2"/>
  <c r="F48" i="2" s="1"/>
  <c r="D136" i="2" s="1"/>
  <c r="F136" i="2" s="1"/>
  <c r="H29" i="2"/>
  <c r="AK71" i="11"/>
  <c r="AK69" i="11"/>
  <c r="AK74" i="11"/>
  <c r="AK78" i="11" s="1"/>
  <c r="AP69" i="11"/>
  <c r="AP74" i="11"/>
  <c r="AP78" i="11" s="1"/>
  <c r="AP71" i="11"/>
  <c r="S72" i="38"/>
  <c r="S83" i="33"/>
  <c r="S38" i="33"/>
  <c r="S56" i="38"/>
  <c r="S98" i="33"/>
  <c r="S88" i="38"/>
  <c r="S68" i="33"/>
  <c r="S104" i="38"/>
  <c r="S53" i="33"/>
  <c r="S40" i="38"/>
  <c r="K101" i="33"/>
  <c r="K84" i="33"/>
  <c r="I83" i="17"/>
  <c r="T108" i="38"/>
  <c r="T106" i="38"/>
  <c r="T105" i="38"/>
  <c r="T60" i="38"/>
  <c r="T58" i="38"/>
  <c r="T59" i="38"/>
  <c r="T57" i="38"/>
  <c r="T89" i="38"/>
  <c r="T42" i="38"/>
  <c r="T11" i="38"/>
  <c r="T90" i="38"/>
  <c r="T41" i="38"/>
  <c r="T91" i="38"/>
  <c r="T10" i="38"/>
  <c r="T92" i="38"/>
  <c r="T76" i="38"/>
  <c r="T74" i="38"/>
  <c r="T75" i="38"/>
  <c r="T107" i="38"/>
  <c r="T44" i="38"/>
  <c r="T9" i="38"/>
  <c r="T73" i="38"/>
  <c r="T43" i="38"/>
  <c r="T12" i="38"/>
  <c r="M96" i="39"/>
  <c r="T24" i="38"/>
  <c r="U88" i="38"/>
  <c r="U104" i="38"/>
  <c r="U56" i="38"/>
  <c r="U40" i="38"/>
  <c r="U72" i="38"/>
  <c r="V5" i="38"/>
  <c r="U8" i="38"/>
  <c r="U1" i="38"/>
  <c r="D126" i="37"/>
  <c r="K82" i="46"/>
  <c r="D101" i="39"/>
  <c r="E8" i="17"/>
  <c r="K19" i="18"/>
  <c r="K21" i="8"/>
  <c r="AB127" i="46"/>
  <c r="AB114" i="46"/>
  <c r="AB39" i="46"/>
  <c r="AB24" i="46"/>
  <c r="AB54" i="46"/>
  <c r="AB99" i="46"/>
  <c r="AB69" i="46"/>
  <c r="AB84" i="46"/>
  <c r="O125" i="46"/>
  <c r="O22" i="46"/>
  <c r="O82" i="46"/>
  <c r="O67" i="46"/>
  <c r="O37" i="46"/>
  <c r="O97" i="46"/>
  <c r="O112" i="46"/>
  <c r="O52" i="46"/>
  <c r="Q125" i="46"/>
  <c r="Q22" i="46"/>
  <c r="Q112" i="46"/>
  <c r="Q82" i="46"/>
  <c r="Q97" i="46"/>
  <c r="Q37" i="46"/>
  <c r="Q67" i="46"/>
  <c r="Q52" i="46"/>
  <c r="R83" i="46"/>
  <c r="C126" i="37"/>
  <c r="G96" i="39"/>
  <c r="N24" i="38"/>
  <c r="AO69" i="11"/>
  <c r="AO74" i="11"/>
  <c r="AO78" i="11" s="1"/>
  <c r="AO71" i="11"/>
  <c r="F60" i="2"/>
  <c r="F16" i="2"/>
  <c r="F40" i="2"/>
  <c r="F36" i="2"/>
  <c r="F82" i="2"/>
  <c r="F70" i="2"/>
  <c r="L44" i="2"/>
  <c r="L45" i="2"/>
  <c r="L39" i="2"/>
  <c r="L35" i="2"/>
  <c r="L68" i="2"/>
  <c r="L62" i="2"/>
  <c r="G35" i="9"/>
  <c r="S25" i="38"/>
  <c r="S26" i="33"/>
  <c r="S25" i="33"/>
  <c r="AC71" i="11"/>
  <c r="AC69" i="11"/>
  <c r="AC74" i="11"/>
  <c r="AC78" i="11" s="1"/>
  <c r="K38" i="46"/>
  <c r="K53" i="46"/>
  <c r="R22" i="46"/>
  <c r="G33" i="9"/>
  <c r="F61" i="2"/>
  <c r="F26" i="2"/>
  <c r="F69" i="2"/>
  <c r="F92" i="2"/>
  <c r="F113" i="2"/>
  <c r="D141" i="2" s="1"/>
  <c r="F141" i="2" s="1"/>
  <c r="D165" i="2" s="1"/>
  <c r="F76" i="2"/>
  <c r="L80" i="2"/>
  <c r="L14" i="2"/>
  <c r="L75" i="2"/>
  <c r="L43" i="2"/>
  <c r="L92" i="2"/>
  <c r="L85" i="2"/>
  <c r="K89" i="11"/>
  <c r="K58" i="8" s="1"/>
  <c r="N31" i="9"/>
  <c r="H46" i="9"/>
  <c r="R26" i="38"/>
  <c r="K88" i="39" s="1"/>
  <c r="I23" i="17"/>
  <c r="O48" i="2"/>
  <c r="O102" i="2" s="1"/>
  <c r="O114" i="2" s="1"/>
  <c r="Q71" i="11" s="1"/>
  <c r="E29" i="2"/>
  <c r="D122" i="2" s="1"/>
  <c r="L85" i="17"/>
  <c r="K46" i="9"/>
  <c r="K29" i="9"/>
  <c r="K30" i="9"/>
  <c r="K32" i="9"/>
  <c r="K33" i="9"/>
  <c r="K35" i="9"/>
  <c r="K34" i="9"/>
  <c r="G83" i="17"/>
  <c r="U98" i="33"/>
  <c r="U68" i="33"/>
  <c r="U83" i="33"/>
  <c r="U38" i="33"/>
  <c r="U53" i="33"/>
  <c r="V5" i="33"/>
  <c r="U8" i="33"/>
  <c r="U1" i="33"/>
  <c r="L123" i="37"/>
  <c r="S27" i="33"/>
  <c r="K8" i="46"/>
  <c r="K112" i="46"/>
  <c r="R126" i="46"/>
  <c r="R68" i="46"/>
  <c r="C122" i="37"/>
  <c r="J23" i="33"/>
  <c r="AL101" i="2"/>
  <c r="I101" i="2" s="1"/>
  <c r="D149" i="2" s="1"/>
  <c r="F149" i="2" s="1"/>
  <c r="I79" i="2"/>
  <c r="I75" i="17"/>
  <c r="F29" i="2"/>
  <c r="D134" i="2" s="1"/>
  <c r="F134" i="2" s="1"/>
  <c r="R31" i="9"/>
  <c r="K113" i="2"/>
  <c r="K97" i="39"/>
  <c r="R28" i="38"/>
  <c r="K28" i="9"/>
  <c r="E100" i="2"/>
  <c r="C11" i="19"/>
  <c r="E7" i="19"/>
  <c r="D7" i="19"/>
  <c r="P34" i="35"/>
  <c r="S34" i="35" s="1"/>
  <c r="T71" i="11"/>
  <c r="T69" i="11"/>
  <c r="T74" i="11"/>
  <c r="T78" i="11" s="1"/>
  <c r="S71" i="11"/>
  <c r="S74" i="11"/>
  <c r="S78" i="11" s="1"/>
  <c r="S69" i="11"/>
  <c r="R23" i="33"/>
  <c r="K122" i="37"/>
  <c r="Q108" i="38"/>
  <c r="R22" i="17"/>
  <c r="R78" i="17"/>
  <c r="R21" i="17"/>
  <c r="R77" i="17"/>
  <c r="R24" i="17"/>
  <c r="R52" i="17"/>
  <c r="R80" i="17"/>
  <c r="R79" i="17"/>
  <c r="R82" i="17"/>
  <c r="R81" i="17"/>
  <c r="R51" i="17"/>
  <c r="R26" i="17"/>
  <c r="R28" i="17"/>
  <c r="R53" i="17"/>
  <c r="R20" i="17"/>
  <c r="R27" i="17"/>
  <c r="M100" i="39"/>
  <c r="M85" i="17"/>
  <c r="L46" i="9"/>
  <c r="L32" i="9"/>
  <c r="L29" i="9"/>
  <c r="L31" i="9"/>
  <c r="L33" i="9"/>
  <c r="L35" i="9"/>
  <c r="L25" i="9"/>
  <c r="M86" i="17" s="1"/>
  <c r="L30" i="9"/>
  <c r="L28" i="9"/>
  <c r="K126" i="46"/>
  <c r="H22" i="46"/>
  <c r="H125" i="46"/>
  <c r="H52" i="46"/>
  <c r="H67" i="46"/>
  <c r="H97" i="46"/>
  <c r="H82" i="46"/>
  <c r="H37" i="46"/>
  <c r="H112" i="46"/>
  <c r="R53" i="46"/>
  <c r="R112" i="46"/>
  <c r="AB74" i="11"/>
  <c r="AB78" i="11" s="1"/>
  <c r="AB69" i="11"/>
  <c r="Q24" i="33"/>
  <c r="R33" i="9"/>
  <c r="Q102" i="33"/>
  <c r="AD79" i="11"/>
  <c r="Y69" i="11"/>
  <c r="Y74" i="11"/>
  <c r="Y78" i="11" s="1"/>
  <c r="Y71" i="11"/>
  <c r="R29" i="9"/>
  <c r="AR74" i="11"/>
  <c r="AR78" i="11" s="1"/>
  <c r="AR71" i="11"/>
  <c r="AR69" i="11"/>
  <c r="I76" i="17"/>
  <c r="J97" i="39"/>
  <c r="Q28" i="38"/>
  <c r="K22" i="46"/>
  <c r="I52" i="46"/>
  <c r="I37" i="46"/>
  <c r="I67" i="46"/>
  <c r="I97" i="46"/>
  <c r="I112" i="46"/>
  <c r="I22" i="46"/>
  <c r="I125" i="46"/>
  <c r="I82" i="46"/>
  <c r="R125" i="46"/>
  <c r="AE71" i="11"/>
  <c r="AE74" i="11"/>
  <c r="AE78" i="11" s="1"/>
  <c r="AE69" i="11"/>
  <c r="E47" i="2"/>
  <c r="D123" i="2" s="1"/>
  <c r="F123" i="2" s="1"/>
  <c r="F15" i="2"/>
  <c r="F42" i="2"/>
  <c r="F43" i="2"/>
  <c r="F96" i="2"/>
  <c r="F87" i="2"/>
  <c r="F67" i="2"/>
  <c r="L32" i="2"/>
  <c r="L99" i="2"/>
  <c r="L105" i="2"/>
  <c r="L108" i="2"/>
  <c r="L53" i="2"/>
  <c r="L79" i="2"/>
  <c r="S26" i="38"/>
  <c r="AS71" i="11"/>
  <c r="AS69" i="11"/>
  <c r="AS74" i="11"/>
  <c r="AS78" i="11" s="1"/>
  <c r="K127" i="37"/>
  <c r="L26" i="38"/>
  <c r="E88" i="39" s="1"/>
  <c r="W69" i="11"/>
  <c r="W74" i="11"/>
  <c r="W78" i="11" s="1"/>
  <c r="J83" i="17"/>
  <c r="K26" i="38"/>
  <c r="D88" i="39" s="1"/>
  <c r="Q83" i="33"/>
  <c r="Q68" i="33"/>
  <c r="Q53" i="33"/>
  <c r="Q98" i="33"/>
  <c r="Q38" i="33"/>
  <c r="Q88" i="38"/>
  <c r="Q56" i="38"/>
  <c r="Q104" i="38"/>
  <c r="Q40" i="38"/>
  <c r="Q72" i="38"/>
  <c r="J40" i="33"/>
  <c r="J54" i="33"/>
  <c r="J58" i="38"/>
  <c r="J105" i="38"/>
  <c r="J107" i="38"/>
  <c r="J86" i="33"/>
  <c r="J44" i="38"/>
  <c r="J84" i="33"/>
  <c r="J89" i="38"/>
  <c r="J57" i="33"/>
  <c r="J43" i="38"/>
  <c r="J100" i="33"/>
  <c r="J41" i="33"/>
  <c r="J42" i="38"/>
  <c r="J87" i="33"/>
  <c r="J92" i="38"/>
  <c r="J90" i="38"/>
  <c r="J99" i="33"/>
  <c r="J59" i="38"/>
  <c r="J91" i="38"/>
  <c r="J42" i="33"/>
  <c r="J72" i="33"/>
  <c r="J57" i="38"/>
  <c r="J41" i="38"/>
  <c r="J69" i="33"/>
  <c r="J106" i="38"/>
  <c r="J108" i="38"/>
  <c r="J102" i="33"/>
  <c r="J39" i="33"/>
  <c r="J76" i="38"/>
  <c r="J71" i="33"/>
  <c r="J56" i="33"/>
  <c r="J60" i="38"/>
  <c r="J74" i="38"/>
  <c r="J85" i="33"/>
  <c r="J55" i="33"/>
  <c r="J75" i="38"/>
  <c r="J70" i="33"/>
  <c r="J73" i="38"/>
  <c r="J101" i="33"/>
  <c r="M72" i="38"/>
  <c r="M88" i="38"/>
  <c r="M56" i="38"/>
  <c r="M104" i="38"/>
  <c r="M40" i="38"/>
  <c r="K54" i="33"/>
  <c r="R32" i="9"/>
  <c r="AO102" i="2"/>
  <c r="AO114" i="2" s="1"/>
  <c r="I50" i="17"/>
  <c r="L113" i="46"/>
  <c r="L53" i="46"/>
  <c r="L125" i="46"/>
  <c r="L23" i="46"/>
  <c r="M5" i="46"/>
  <c r="M5" i="52" s="1"/>
  <c r="L22" i="46"/>
  <c r="L82" i="46"/>
  <c r="L38" i="46"/>
  <c r="L37" i="46"/>
  <c r="L83" i="46"/>
  <c r="L67" i="46"/>
  <c r="L1" i="46"/>
  <c r="L8" i="46" s="1"/>
  <c r="J101" i="39"/>
  <c r="J52" i="46"/>
  <c r="J67" i="46"/>
  <c r="J82" i="46"/>
  <c r="J112" i="46"/>
  <c r="J97" i="46"/>
  <c r="J22" i="46"/>
  <c r="J37" i="46"/>
  <c r="J125" i="46"/>
  <c r="O98" i="46"/>
  <c r="O23" i="46"/>
  <c r="O68" i="46"/>
  <c r="O53" i="46"/>
  <c r="O126" i="46"/>
  <c r="O83" i="46"/>
  <c r="O113" i="46"/>
  <c r="O38" i="46"/>
  <c r="R52" i="46"/>
  <c r="D96" i="39"/>
  <c r="K24" i="38"/>
  <c r="F8" i="2"/>
  <c r="F23" i="2"/>
  <c r="F46" i="2"/>
  <c r="F101" i="2"/>
  <c r="D137" i="2" s="1"/>
  <c r="F137" i="2" s="1"/>
  <c r="F62" i="2"/>
  <c r="F108" i="2"/>
  <c r="L36" i="2"/>
  <c r="L10" i="2"/>
  <c r="L109" i="2"/>
  <c r="L110" i="2"/>
  <c r="L73" i="2"/>
  <c r="L86" i="2"/>
  <c r="R27" i="38"/>
  <c r="K89" i="39" s="1"/>
  <c r="AQ74" i="11"/>
  <c r="AQ78" i="11" s="1"/>
  <c r="AQ71" i="11"/>
  <c r="AQ69" i="11"/>
  <c r="K25" i="33"/>
  <c r="D100" i="39"/>
  <c r="Z79" i="11"/>
  <c r="G31" i="9"/>
  <c r="D123" i="37"/>
  <c r="K27" i="33"/>
  <c r="K67" i="46"/>
  <c r="D164" i="2"/>
  <c r="H79" i="2"/>
  <c r="Z101" i="2"/>
  <c r="H101" i="2" s="1"/>
  <c r="K23" i="46"/>
  <c r="Q36" i="35"/>
  <c r="R37" i="46"/>
  <c r="F25" i="2"/>
  <c r="F56" i="2"/>
  <c r="F51" i="2"/>
  <c r="F104" i="2"/>
  <c r="F85" i="2"/>
  <c r="F110" i="2"/>
  <c r="L28" i="2"/>
  <c r="L12" i="2"/>
  <c r="L101" i="2"/>
  <c r="L113" i="2"/>
  <c r="L98" i="2"/>
  <c r="M25" i="38"/>
  <c r="F87" i="39" s="1"/>
  <c r="D163" i="2"/>
  <c r="E97" i="39"/>
  <c r="L28" i="38"/>
  <c r="R60" i="17"/>
  <c r="K101" i="39"/>
  <c r="M120" i="48"/>
  <c r="T102" i="33"/>
  <c r="T100" i="33"/>
  <c r="T12" i="33"/>
  <c r="T85" i="33"/>
  <c r="T70" i="33"/>
  <c r="T101" i="33"/>
  <c r="T71" i="33"/>
  <c r="T57" i="33"/>
  <c r="T42" i="33"/>
  <c r="T55" i="33"/>
  <c r="T86" i="33"/>
  <c r="T72" i="33"/>
  <c r="T10" i="33"/>
  <c r="T39" i="33"/>
  <c r="T99" i="33"/>
  <c r="T87" i="33"/>
  <c r="T56" i="33"/>
  <c r="T40" i="33"/>
  <c r="T41" i="33"/>
  <c r="T69" i="33"/>
  <c r="T11" i="33"/>
  <c r="T54" i="33"/>
  <c r="T9" i="33"/>
  <c r="T84" i="33"/>
  <c r="AL48" i="2"/>
  <c r="L48" i="2" s="1"/>
  <c r="I29" i="2"/>
  <c r="D146" i="2" s="1"/>
  <c r="F146" i="2" s="1"/>
  <c r="K9" i="46"/>
  <c r="F41" i="2"/>
  <c r="F68" i="2"/>
  <c r="F27" i="2"/>
  <c r="F111" i="2"/>
  <c r="F91" i="2"/>
  <c r="F32" i="2"/>
  <c r="L55" i="2"/>
  <c r="L70" i="2"/>
  <c r="L19" i="2"/>
  <c r="L84" i="2"/>
  <c r="L78" i="2"/>
  <c r="L93" i="2"/>
  <c r="E79" i="2"/>
  <c r="N101" i="2"/>
  <c r="E101" i="2" s="1"/>
  <c r="D125" i="2" s="1"/>
  <c r="F125" i="2" s="1"/>
  <c r="D161" i="2" s="1"/>
  <c r="M27" i="38"/>
  <c r="F89" i="39" s="1"/>
  <c r="R25" i="33"/>
  <c r="G25" i="9"/>
  <c r="H86" i="17" s="1"/>
  <c r="H83" i="17" s="1"/>
  <c r="K126" i="37"/>
  <c r="P85" i="17"/>
  <c r="O46" i="9"/>
  <c r="O33" i="9"/>
  <c r="O32" i="9"/>
  <c r="O29" i="9"/>
  <c r="O35" i="9"/>
  <c r="O25" i="9"/>
  <c r="P86" i="17" s="1"/>
  <c r="O34" i="9"/>
  <c r="O30" i="9"/>
  <c r="AA74" i="11"/>
  <c r="AA78" i="11" s="1"/>
  <c r="AA71" i="11"/>
  <c r="AA69" i="11"/>
  <c r="R50" i="17"/>
  <c r="U79" i="11"/>
  <c r="V69" i="11"/>
  <c r="V74" i="11"/>
  <c r="V78" i="11" s="1"/>
  <c r="V71" i="11"/>
  <c r="R40" i="17"/>
  <c r="AG71" i="11"/>
  <c r="AG69" i="11"/>
  <c r="AG74" i="11"/>
  <c r="AG78" i="11" s="1"/>
  <c r="L40" i="17"/>
  <c r="K125" i="46"/>
  <c r="L127" i="37"/>
  <c r="R34" i="9"/>
  <c r="L97" i="39"/>
  <c r="S28" i="38"/>
  <c r="AL69" i="11"/>
  <c r="AL74" i="11"/>
  <c r="AL78" i="11" s="1"/>
  <c r="AL71" i="11"/>
  <c r="M40" i="17"/>
  <c r="H38" i="46"/>
  <c r="H68" i="46"/>
  <c r="H126" i="46"/>
  <c r="H83" i="46"/>
  <c r="H98" i="46"/>
  <c r="H23" i="46"/>
  <c r="H53" i="46"/>
  <c r="H113" i="46"/>
  <c r="Q26" i="33"/>
  <c r="O40" i="38"/>
  <c r="O88" i="38"/>
  <c r="O56" i="38"/>
  <c r="O104" i="38"/>
  <c r="O72" i="38"/>
  <c r="O8" i="38"/>
  <c r="O1" i="38"/>
  <c r="P5" i="38"/>
  <c r="F45" i="2"/>
  <c r="F75" i="2"/>
  <c r="F35" i="2"/>
  <c r="F97" i="2"/>
  <c r="F74" i="2"/>
  <c r="L60" i="2"/>
  <c r="L37" i="2"/>
  <c r="L40" i="2"/>
  <c r="L100" i="2"/>
  <c r="L56" i="2"/>
  <c r="M98" i="33"/>
  <c r="M83" i="33"/>
  <c r="M38" i="33"/>
  <c r="N5" i="33"/>
  <c r="M1" i="33"/>
  <c r="M8" i="33"/>
  <c r="M68" i="33"/>
  <c r="M53" i="33"/>
  <c r="Q25" i="33"/>
  <c r="Q60" i="17"/>
  <c r="R25" i="38"/>
  <c r="K87" i="39" s="1"/>
  <c r="R25" i="9"/>
  <c r="S86" i="17" s="1"/>
  <c r="M127" i="48"/>
  <c r="E122" i="37"/>
  <c r="L23" i="33"/>
  <c r="D97" i="39"/>
  <c r="K28" i="38"/>
  <c r="D127" i="37"/>
  <c r="R35" i="9"/>
  <c r="J75" i="17"/>
  <c r="G76" i="17"/>
  <c r="R93" i="65" l="1"/>
  <c r="R96" i="65"/>
  <c r="R95" i="65"/>
  <c r="R91" i="65"/>
  <c r="R94" i="65"/>
  <c r="R92" i="65"/>
  <c r="R90" i="65"/>
  <c r="Z9" i="65"/>
  <c r="Z49" i="65"/>
  <c r="R11" i="65"/>
  <c r="R13" i="65"/>
  <c r="R18" i="65"/>
  <c r="R12" i="65"/>
  <c r="R14" i="65"/>
  <c r="R15" i="65"/>
  <c r="R10" i="65"/>
  <c r="R16" i="65"/>
  <c r="D63" i="64"/>
  <c r="D46" i="64"/>
  <c r="D47" i="64"/>
  <c r="D71" i="64"/>
  <c r="E71" i="64" s="1"/>
  <c r="E98" i="64"/>
  <c r="C58" i="64"/>
  <c r="C62" i="64" s="1"/>
  <c r="E41" i="64"/>
  <c r="C119" i="64"/>
  <c r="C45" i="64" s="1"/>
  <c r="E61" i="64"/>
  <c r="D120" i="64"/>
  <c r="D121" i="64"/>
  <c r="D129" i="64" s="1"/>
  <c r="D127" i="64"/>
  <c r="C118" i="61"/>
  <c r="D95" i="64" s="1"/>
  <c r="E82" i="64"/>
  <c r="D77" i="64"/>
  <c r="E77" i="64" s="1"/>
  <c r="D44" i="64"/>
  <c r="D48" i="64" s="1"/>
  <c r="C43" i="64"/>
  <c r="E42" i="64"/>
  <c r="L38" i="64"/>
  <c r="N38" i="64"/>
  <c r="M38" i="64"/>
  <c r="O38" i="64"/>
  <c r="P38" i="64"/>
  <c r="Q38" i="64"/>
  <c r="D151" i="61"/>
  <c r="C117" i="61"/>
  <c r="D96" i="64" s="1"/>
  <c r="D140" i="61"/>
  <c r="D141" i="61" s="1"/>
  <c r="D143" i="61" s="1"/>
  <c r="D136" i="64"/>
  <c r="C122" i="61"/>
  <c r="D152" i="61"/>
  <c r="D161" i="61"/>
  <c r="C133" i="61"/>
  <c r="D104" i="64" s="1"/>
  <c r="D112" i="64" s="1"/>
  <c r="D84" i="63"/>
  <c r="D88" i="63" s="1"/>
  <c r="C95" i="64" s="1"/>
  <c r="E86" i="64"/>
  <c r="E89" i="64"/>
  <c r="D137" i="64"/>
  <c r="E135" i="64"/>
  <c r="C141" i="61"/>
  <c r="C143" i="61" s="1"/>
  <c r="C145" i="61" s="1"/>
  <c r="C138" i="64"/>
  <c r="C49" i="64" s="1"/>
  <c r="C216" i="63"/>
  <c r="C136" i="64"/>
  <c r="C130" i="63"/>
  <c r="D148" i="63"/>
  <c r="C148" i="63"/>
  <c r="C133" i="63"/>
  <c r="D146" i="63"/>
  <c r="D159" i="63"/>
  <c r="C137" i="63"/>
  <c r="C136" i="63"/>
  <c r="C103" i="64" s="1"/>
  <c r="C111" i="64" s="1"/>
  <c r="D87" i="63"/>
  <c r="D160" i="63"/>
  <c r="D161" i="63"/>
  <c r="D78" i="61"/>
  <c r="D153" i="61"/>
  <c r="C19" i="63"/>
  <c r="C129" i="63"/>
  <c r="C136" i="61"/>
  <c r="C128" i="63"/>
  <c r="B204" i="61"/>
  <c r="D196" i="61"/>
  <c r="B232" i="63"/>
  <c r="D100" i="63"/>
  <c r="D140" i="63" s="1"/>
  <c r="D137" i="63"/>
  <c r="D83" i="63"/>
  <c r="D162" i="63" s="1"/>
  <c r="C106" i="63"/>
  <c r="D222" i="63"/>
  <c r="C88" i="63"/>
  <c r="C131" i="63"/>
  <c r="D163" i="63"/>
  <c r="D164" i="63" s="1"/>
  <c r="C89" i="63"/>
  <c r="C142" i="63"/>
  <c r="D224" i="63"/>
  <c r="B224" i="63"/>
  <c r="L97" i="46"/>
  <c r="S67" i="46"/>
  <c r="R74" i="11"/>
  <c r="R78" i="11" s="1"/>
  <c r="H7" i="31"/>
  <c r="Q11" i="31"/>
  <c r="H11" i="31" s="1"/>
  <c r="C19" i="31" s="1"/>
  <c r="H10" i="31"/>
  <c r="M8" i="59"/>
  <c r="M68" i="59"/>
  <c r="S126" i="59"/>
  <c r="F24" i="59"/>
  <c r="D24" i="59"/>
  <c r="L98" i="46"/>
  <c r="S113" i="46"/>
  <c r="F9" i="31"/>
  <c r="G9" i="31"/>
  <c r="J9" i="31"/>
  <c r="M23" i="59"/>
  <c r="S53" i="59"/>
  <c r="J8" i="51"/>
  <c r="I8" i="51"/>
  <c r="H8" i="51"/>
  <c r="F127" i="59"/>
  <c r="D127" i="59"/>
  <c r="F69" i="59"/>
  <c r="D69" i="59"/>
  <c r="T26" i="38"/>
  <c r="M88" i="39" s="1"/>
  <c r="S126" i="46"/>
  <c r="G7" i="31"/>
  <c r="F7" i="31"/>
  <c r="E11" i="31"/>
  <c r="J8" i="31" s="1"/>
  <c r="M9" i="59"/>
  <c r="S113" i="59"/>
  <c r="T25" i="33"/>
  <c r="S125" i="46"/>
  <c r="M38" i="59"/>
  <c r="S52" i="59"/>
  <c r="E48" i="2"/>
  <c r="D124" i="2" s="1"/>
  <c r="F124" i="2" s="1"/>
  <c r="D159" i="2"/>
  <c r="T27" i="38"/>
  <c r="M89" i="39" s="1"/>
  <c r="M125" i="59"/>
  <c r="S37" i="59"/>
  <c r="D84" i="59"/>
  <c r="F84" i="59"/>
  <c r="F54" i="59"/>
  <c r="D54" i="59"/>
  <c r="L25" i="33"/>
  <c r="M83" i="59"/>
  <c r="S38" i="59"/>
  <c r="K24" i="33"/>
  <c r="D114" i="48" s="1"/>
  <c r="F8" i="31"/>
  <c r="G8" i="31"/>
  <c r="M112" i="59"/>
  <c r="S68" i="59"/>
  <c r="M98" i="59"/>
  <c r="S112" i="59"/>
  <c r="N67" i="59"/>
  <c r="N112" i="59"/>
  <c r="J7" i="51"/>
  <c r="I7" i="51"/>
  <c r="H7" i="51"/>
  <c r="M113" i="59"/>
  <c r="S125" i="59"/>
  <c r="I8" i="31"/>
  <c r="H9" i="51"/>
  <c r="J9" i="51"/>
  <c r="I9" i="51"/>
  <c r="M126" i="59"/>
  <c r="S82" i="59"/>
  <c r="S98" i="59"/>
  <c r="D31" i="31"/>
  <c r="M67" i="59"/>
  <c r="S83" i="59"/>
  <c r="S23" i="59"/>
  <c r="F99" i="59"/>
  <c r="D99" i="59"/>
  <c r="S9" i="46"/>
  <c r="N120" i="48" s="1"/>
  <c r="T23" i="59"/>
  <c r="T98" i="59"/>
  <c r="T83" i="59"/>
  <c r="T112" i="59"/>
  <c r="T68" i="59"/>
  <c r="T53" i="59"/>
  <c r="T52" i="59"/>
  <c r="T67" i="59"/>
  <c r="T82" i="59"/>
  <c r="T126" i="59"/>
  <c r="T97" i="59"/>
  <c r="T22" i="59"/>
  <c r="T125" i="59"/>
  <c r="M82" i="59"/>
  <c r="S9" i="59"/>
  <c r="F39" i="59"/>
  <c r="D39" i="59"/>
  <c r="L25" i="38"/>
  <c r="E87" i="39" s="1"/>
  <c r="I10" i="31"/>
  <c r="M37" i="59"/>
  <c r="S22" i="59"/>
  <c r="M52" i="59"/>
  <c r="S8" i="59"/>
  <c r="F10" i="31"/>
  <c r="J10" i="31"/>
  <c r="G10" i="31"/>
  <c r="M97" i="59"/>
  <c r="S97" i="59"/>
  <c r="D114" i="59"/>
  <c r="F114" i="59"/>
  <c r="I7" i="31"/>
  <c r="P11" i="31"/>
  <c r="I11" i="31" s="1"/>
  <c r="C18" i="31" s="1"/>
  <c r="M22" i="59"/>
  <c r="N1" i="59"/>
  <c r="N68" i="59" s="1"/>
  <c r="U5" i="59"/>
  <c r="T1" i="59"/>
  <c r="T8" i="59" s="1"/>
  <c r="AN74" i="11"/>
  <c r="AN78" i="11" s="1"/>
  <c r="L53" i="17"/>
  <c r="L21" i="17"/>
  <c r="L52" i="17"/>
  <c r="L28" i="17"/>
  <c r="L51" i="17"/>
  <c r="L75" i="17"/>
  <c r="L80" i="17"/>
  <c r="L26" i="17"/>
  <c r="L83" i="17"/>
  <c r="L50" i="17"/>
  <c r="L24" i="17"/>
  <c r="L27" i="17"/>
  <c r="L81" i="17"/>
  <c r="L78" i="17"/>
  <c r="L79" i="17"/>
  <c r="L82" i="17"/>
  <c r="L22" i="17"/>
  <c r="L77" i="17"/>
  <c r="L76" i="17"/>
  <c r="L23" i="17"/>
  <c r="L25" i="17"/>
  <c r="J10" i="51"/>
  <c r="I10" i="51"/>
  <c r="H10" i="51"/>
  <c r="B11" i="51" a="1"/>
  <c r="B11" i="51" s="1"/>
  <c r="F11" i="51" a="1"/>
  <c r="F11" i="51" s="1"/>
  <c r="G11" i="51" s="1"/>
  <c r="E11" i="51" a="1"/>
  <c r="E11" i="51" s="1"/>
  <c r="G119" i="48"/>
  <c r="D113" i="37"/>
  <c r="C124" i="48"/>
  <c r="F126" i="37"/>
  <c r="E127" i="48"/>
  <c r="G124" i="48"/>
  <c r="AB79" i="11"/>
  <c r="D54" i="46"/>
  <c r="F54" i="46"/>
  <c r="F61" i="38"/>
  <c r="H61" i="38"/>
  <c r="K119" i="37"/>
  <c r="AH79" i="11"/>
  <c r="K101" i="2"/>
  <c r="AL102" i="2"/>
  <c r="I48" i="2"/>
  <c r="D148" i="2" s="1"/>
  <c r="F148" i="2" s="1"/>
  <c r="M123" i="37"/>
  <c r="T27" i="33"/>
  <c r="L9" i="46"/>
  <c r="D160" i="2"/>
  <c r="C123" i="37"/>
  <c r="J27" i="33"/>
  <c r="L88" i="39"/>
  <c r="AE79" i="11"/>
  <c r="K113" i="48"/>
  <c r="K112" i="37"/>
  <c r="K118" i="37" s="1"/>
  <c r="V68" i="33"/>
  <c r="V8" i="33"/>
  <c r="V98" i="33"/>
  <c r="V83" i="33"/>
  <c r="V38" i="33"/>
  <c r="V53" i="33"/>
  <c r="V1" i="33"/>
  <c r="W5" i="33"/>
  <c r="D24" i="46"/>
  <c r="F24" i="46"/>
  <c r="K86" i="39"/>
  <c r="K92" i="39" s="1"/>
  <c r="F93" i="38"/>
  <c r="H93" i="38"/>
  <c r="U102" i="2"/>
  <c r="K48" i="2"/>
  <c r="S23" i="46"/>
  <c r="S52" i="46"/>
  <c r="K127" i="48"/>
  <c r="F120" i="48"/>
  <c r="C128" i="48"/>
  <c r="N102" i="2"/>
  <c r="F123" i="48"/>
  <c r="Y79" i="11"/>
  <c r="M52" i="17"/>
  <c r="M77" i="17"/>
  <c r="M27" i="17"/>
  <c r="M79" i="17"/>
  <c r="M81" i="17"/>
  <c r="M20" i="17"/>
  <c r="M22" i="17"/>
  <c r="M51" i="17"/>
  <c r="M53" i="17"/>
  <c r="M24" i="17"/>
  <c r="M26" i="17"/>
  <c r="M78" i="17"/>
  <c r="M21" i="17"/>
  <c r="M80" i="17"/>
  <c r="M28" i="17"/>
  <c r="M82" i="17"/>
  <c r="M76" i="17"/>
  <c r="M25" i="17"/>
  <c r="M75" i="17"/>
  <c r="M50" i="17"/>
  <c r="M23" i="17"/>
  <c r="M83" i="17"/>
  <c r="C113" i="48"/>
  <c r="C112" i="37"/>
  <c r="C118" i="37" s="1"/>
  <c r="N126" i="37"/>
  <c r="F122" i="2"/>
  <c r="D158" i="2" s="1"/>
  <c r="F39" i="46"/>
  <c r="D39" i="46"/>
  <c r="F45" i="38"/>
  <c r="H45" i="38"/>
  <c r="AD29" i="38"/>
  <c r="M127" i="37"/>
  <c r="D115" i="48"/>
  <c r="D114" i="37"/>
  <c r="E113" i="48"/>
  <c r="E112" i="37"/>
  <c r="E118" i="37" s="1"/>
  <c r="M102" i="33"/>
  <c r="M100" i="33"/>
  <c r="M101" i="33"/>
  <c r="M99" i="33"/>
  <c r="M86" i="33"/>
  <c r="M69" i="33"/>
  <c r="M55" i="33"/>
  <c r="M71" i="33"/>
  <c r="M85" i="33"/>
  <c r="M54" i="33"/>
  <c r="M41" i="33"/>
  <c r="M26" i="33" s="1"/>
  <c r="M84" i="33"/>
  <c r="M70" i="33"/>
  <c r="M87" i="33"/>
  <c r="M42" i="33"/>
  <c r="M57" i="33"/>
  <c r="M11" i="33"/>
  <c r="M72" i="33"/>
  <c r="M56" i="33"/>
  <c r="M40" i="33"/>
  <c r="M9" i="33"/>
  <c r="M12" i="33"/>
  <c r="M10" i="33"/>
  <c r="M39" i="33"/>
  <c r="P88" i="38"/>
  <c r="E88" i="38" s="1"/>
  <c r="P40" i="38"/>
  <c r="P72" i="38"/>
  <c r="P104" i="38"/>
  <c r="P56" i="38"/>
  <c r="E56" i="38" s="1"/>
  <c r="P1" i="38"/>
  <c r="P8" i="38"/>
  <c r="L112" i="46"/>
  <c r="W79" i="11"/>
  <c r="S79" i="11"/>
  <c r="U23" i="33"/>
  <c r="N122" i="37"/>
  <c r="AC79" i="11"/>
  <c r="L123" i="48"/>
  <c r="D114" i="46"/>
  <c r="F114" i="46"/>
  <c r="U107" i="38"/>
  <c r="U92" i="38"/>
  <c r="U89" i="38"/>
  <c r="U42" i="38"/>
  <c r="U11" i="38"/>
  <c r="U108" i="38"/>
  <c r="U90" i="38"/>
  <c r="U41" i="38"/>
  <c r="U91" i="38"/>
  <c r="U10" i="38"/>
  <c r="U105" i="38"/>
  <c r="U76" i="38"/>
  <c r="U60" i="38"/>
  <c r="U12" i="38"/>
  <c r="U74" i="38"/>
  <c r="U106" i="38"/>
  <c r="U75" i="38"/>
  <c r="U73" i="38"/>
  <c r="U57" i="38"/>
  <c r="U44" i="38"/>
  <c r="U9" i="38"/>
  <c r="U59" i="38"/>
  <c r="U43" i="38"/>
  <c r="U58" i="38"/>
  <c r="M97" i="39"/>
  <c r="T28" i="38"/>
  <c r="M101" i="39"/>
  <c r="H109" i="38"/>
  <c r="F109" i="38"/>
  <c r="AJ79" i="11"/>
  <c r="D86" i="39"/>
  <c r="D92" i="39" s="1"/>
  <c r="D93" i="39"/>
  <c r="V79" i="11"/>
  <c r="P51" i="17"/>
  <c r="P79" i="17"/>
  <c r="P22" i="17"/>
  <c r="P81" i="17"/>
  <c r="P53" i="17"/>
  <c r="P78" i="17"/>
  <c r="P24" i="17"/>
  <c r="P80" i="17"/>
  <c r="P52" i="17"/>
  <c r="P82" i="17"/>
  <c r="P27" i="17"/>
  <c r="P26" i="17"/>
  <c r="P21" i="17"/>
  <c r="P77" i="17"/>
  <c r="P20" i="17"/>
  <c r="P28" i="17"/>
  <c r="P76" i="17"/>
  <c r="P25" i="17"/>
  <c r="P50" i="17"/>
  <c r="P75" i="17"/>
  <c r="P23" i="17"/>
  <c r="P83" i="17"/>
  <c r="N98" i="33"/>
  <c r="N1" i="33"/>
  <c r="N53" i="33"/>
  <c r="N83" i="33"/>
  <c r="N68" i="33"/>
  <c r="N8" i="33"/>
  <c r="N38" i="33"/>
  <c r="O5" i="33"/>
  <c r="O108" i="38"/>
  <c r="O75" i="38"/>
  <c r="O73" i="38"/>
  <c r="O44" i="38"/>
  <c r="O42" i="38"/>
  <c r="O91" i="38"/>
  <c r="O12" i="38"/>
  <c r="O107" i="38"/>
  <c r="O90" i="38"/>
  <c r="O106" i="38"/>
  <c r="O57" i="38"/>
  <c r="O43" i="38"/>
  <c r="O89" i="38"/>
  <c r="O41" i="38"/>
  <c r="O11" i="38"/>
  <c r="O105" i="38"/>
  <c r="O92" i="38"/>
  <c r="O60" i="38"/>
  <c r="O74" i="38"/>
  <c r="O59" i="38"/>
  <c r="O76" i="38"/>
  <c r="O10" i="38"/>
  <c r="O9" i="38"/>
  <c r="O58" i="38"/>
  <c r="L52" i="46"/>
  <c r="J93" i="39"/>
  <c r="AO79" i="11"/>
  <c r="F127" i="46"/>
  <c r="D127" i="46"/>
  <c r="L100" i="39"/>
  <c r="C112" i="11"/>
  <c r="F77" i="38"/>
  <c r="H77" i="38"/>
  <c r="S37" i="46"/>
  <c r="N26" i="38"/>
  <c r="G88" i="39" s="1"/>
  <c r="E93" i="39"/>
  <c r="C101" i="39"/>
  <c r="J25" i="33"/>
  <c r="T79" i="11"/>
  <c r="K93" i="39"/>
  <c r="M128" i="48"/>
  <c r="V72" i="38"/>
  <c r="V104" i="38"/>
  <c r="V40" i="38"/>
  <c r="V88" i="38"/>
  <c r="V8" i="38"/>
  <c r="V1" i="38"/>
  <c r="V56" i="38"/>
  <c r="W5" i="38"/>
  <c r="L122" i="37"/>
  <c r="S23" i="33"/>
  <c r="M124" i="48"/>
  <c r="J123" i="37"/>
  <c r="Q27" i="33"/>
  <c r="S82" i="46"/>
  <c r="N127" i="48" s="1"/>
  <c r="D113" i="48"/>
  <c r="D112" i="37"/>
  <c r="D118" i="37" s="1"/>
  <c r="G97" i="39"/>
  <c r="N28" i="38"/>
  <c r="AF79" i="11"/>
  <c r="AL79" i="11"/>
  <c r="AQ79" i="11"/>
  <c r="L126" i="46"/>
  <c r="G86" i="39"/>
  <c r="G92" i="39" s="1"/>
  <c r="P35" i="35"/>
  <c r="S35" i="35" s="1"/>
  <c r="S97" i="46"/>
  <c r="E124" i="48"/>
  <c r="M113" i="48"/>
  <c r="M112" i="37"/>
  <c r="M118" i="37" s="1"/>
  <c r="F122" i="37"/>
  <c r="M23" i="33"/>
  <c r="S81" i="17"/>
  <c r="S79" i="17"/>
  <c r="S76" i="17"/>
  <c r="S78" i="17"/>
  <c r="S80" i="17"/>
  <c r="S77" i="17"/>
  <c r="S82" i="17"/>
  <c r="S24" i="17"/>
  <c r="S28" i="17"/>
  <c r="S52" i="17"/>
  <c r="S83" i="17"/>
  <c r="S23" i="17"/>
  <c r="S75" i="17"/>
  <c r="S50" i="17"/>
  <c r="S51" i="17"/>
  <c r="S20" i="17"/>
  <c r="S25" i="17"/>
  <c r="S26" i="17"/>
  <c r="S22" i="17"/>
  <c r="S53" i="17"/>
  <c r="S27" i="17"/>
  <c r="S21" i="17"/>
  <c r="J128" i="48"/>
  <c r="G127" i="48"/>
  <c r="J96" i="39"/>
  <c r="Q24" i="38"/>
  <c r="D123" i="48"/>
  <c r="L115" i="48"/>
  <c r="L114" i="37"/>
  <c r="N96" i="39"/>
  <c r="U24" i="38"/>
  <c r="K114" i="48"/>
  <c r="K113" i="37"/>
  <c r="AM79" i="11"/>
  <c r="S8" i="46"/>
  <c r="G101" i="39"/>
  <c r="F127" i="48"/>
  <c r="J26" i="38"/>
  <c r="C127" i="48"/>
  <c r="N100" i="39"/>
  <c r="AD28" i="33"/>
  <c r="H43" i="33"/>
  <c r="F43" i="33"/>
  <c r="E123" i="37"/>
  <c r="L27" i="33"/>
  <c r="N123" i="48"/>
  <c r="F96" i="39"/>
  <c r="M24" i="38"/>
  <c r="J24" i="33"/>
  <c r="J26" i="33"/>
  <c r="J100" i="39"/>
  <c r="F119" i="48"/>
  <c r="L116" i="48"/>
  <c r="L115" i="37"/>
  <c r="J127" i="48"/>
  <c r="AP79" i="11"/>
  <c r="F128" i="48"/>
  <c r="D124" i="48"/>
  <c r="K34" i="18"/>
  <c r="T113" i="46"/>
  <c r="T97" i="46"/>
  <c r="T126" i="46"/>
  <c r="T98" i="46"/>
  <c r="T67" i="46"/>
  <c r="T125" i="46"/>
  <c r="T82" i="46"/>
  <c r="U5" i="46"/>
  <c r="U5" i="52" s="1"/>
  <c r="T8" i="46"/>
  <c r="T37" i="46"/>
  <c r="T1" i="46"/>
  <c r="T112" i="46" s="1"/>
  <c r="T9" i="46"/>
  <c r="F93" i="39"/>
  <c r="Q79" i="11"/>
  <c r="M115" i="48"/>
  <c r="M114" i="37"/>
  <c r="AA79" i="11"/>
  <c r="L68" i="46"/>
  <c r="D127" i="48"/>
  <c r="J114" i="48"/>
  <c r="J113" i="37"/>
  <c r="D116" i="48"/>
  <c r="D115" i="37"/>
  <c r="H103" i="33"/>
  <c r="F103" i="33"/>
  <c r="K36" i="8"/>
  <c r="L26" i="33"/>
  <c r="S98" i="46"/>
  <c r="E86" i="39"/>
  <c r="E92" i="39" s="1"/>
  <c r="T26" i="33"/>
  <c r="H100" i="39"/>
  <c r="J124" i="48"/>
  <c r="L93" i="39"/>
  <c r="D119" i="37"/>
  <c r="H96" i="39"/>
  <c r="O24" i="38"/>
  <c r="J116" i="48"/>
  <c r="J115" i="37"/>
  <c r="AN79" i="11"/>
  <c r="F100" i="39"/>
  <c r="J27" i="38"/>
  <c r="J122" i="37"/>
  <c r="Q23" i="33"/>
  <c r="AR79" i="11"/>
  <c r="C123" i="48"/>
  <c r="D11" i="19"/>
  <c r="F7" i="19"/>
  <c r="L119" i="37"/>
  <c r="J123" i="48"/>
  <c r="T25" i="38"/>
  <c r="M87" i="39" s="1"/>
  <c r="AK79" i="11"/>
  <c r="H88" i="33"/>
  <c r="F88" i="33"/>
  <c r="D128" i="48"/>
  <c r="S68" i="46"/>
  <c r="E40" i="38"/>
  <c r="J115" i="48"/>
  <c r="J114" i="37"/>
  <c r="AG79" i="11"/>
  <c r="H21" i="17"/>
  <c r="H24" i="17"/>
  <c r="H52" i="17"/>
  <c r="H80" i="17"/>
  <c r="H77" i="17"/>
  <c r="H82" i="17"/>
  <c r="H51" i="17"/>
  <c r="H79" i="17"/>
  <c r="H26" i="17"/>
  <c r="H81" i="17"/>
  <c r="H53" i="17"/>
  <c r="H20" i="17"/>
  <c r="H28" i="17"/>
  <c r="H27" i="17"/>
  <c r="H22" i="17"/>
  <c r="H78" i="17"/>
  <c r="H50" i="17"/>
  <c r="H75" i="17"/>
  <c r="H76" i="17"/>
  <c r="H23" i="17"/>
  <c r="H25" i="17"/>
  <c r="T24" i="33"/>
  <c r="E123" i="48"/>
  <c r="C127" i="37"/>
  <c r="K102" i="11"/>
  <c r="K66" i="8" s="1"/>
  <c r="J66" i="8"/>
  <c r="L114" i="48"/>
  <c r="L113" i="37"/>
  <c r="H58" i="33"/>
  <c r="F58" i="33"/>
  <c r="E114" i="48"/>
  <c r="E113" i="37"/>
  <c r="S112" i="46"/>
  <c r="E128" i="48"/>
  <c r="X69" i="11"/>
  <c r="X74" i="11"/>
  <c r="X78" i="11" s="1"/>
  <c r="X71" i="11"/>
  <c r="N25" i="38"/>
  <c r="G87" i="39" s="1"/>
  <c r="C86" i="39"/>
  <c r="C92" i="39" s="1"/>
  <c r="K115" i="48"/>
  <c r="K114" i="37"/>
  <c r="J126" i="37"/>
  <c r="AS79" i="11"/>
  <c r="M123" i="48"/>
  <c r="F84" i="46"/>
  <c r="D84" i="46"/>
  <c r="M86" i="39"/>
  <c r="M92" i="39" s="1"/>
  <c r="AK5" i="11"/>
  <c r="E115" i="48"/>
  <c r="E114" i="37"/>
  <c r="K123" i="48"/>
  <c r="F124" i="48"/>
  <c r="G123" i="48"/>
  <c r="J25" i="38"/>
  <c r="L127" i="48"/>
  <c r="F69" i="46"/>
  <c r="D69" i="46"/>
  <c r="L96" i="39"/>
  <c r="S24" i="38"/>
  <c r="E47" i="17"/>
  <c r="L89" i="39"/>
  <c r="M119" i="48"/>
  <c r="AI79" i="11"/>
  <c r="M97" i="46"/>
  <c r="M82" i="46"/>
  <c r="M23" i="46"/>
  <c r="M52" i="46"/>
  <c r="M112" i="46"/>
  <c r="N5" i="46"/>
  <c r="N5" i="52" s="1"/>
  <c r="M38" i="46"/>
  <c r="M8" i="46"/>
  <c r="M37" i="46"/>
  <c r="M1" i="46"/>
  <c r="M67" i="46" s="1"/>
  <c r="C97" i="39"/>
  <c r="J28" i="38"/>
  <c r="U101" i="33"/>
  <c r="U99" i="33"/>
  <c r="U102" i="33"/>
  <c r="U100" i="33"/>
  <c r="U85" i="33"/>
  <c r="U56" i="33"/>
  <c r="U70" i="33"/>
  <c r="U86" i="33"/>
  <c r="U40" i="33"/>
  <c r="U55" i="33"/>
  <c r="U72" i="33"/>
  <c r="U57" i="33"/>
  <c r="U10" i="33"/>
  <c r="U12" i="33"/>
  <c r="U9" i="33"/>
  <c r="U39" i="33"/>
  <c r="U87" i="33"/>
  <c r="U41" i="33"/>
  <c r="U71" i="33"/>
  <c r="U69" i="33"/>
  <c r="U54" i="33"/>
  <c r="U84" i="33"/>
  <c r="U42" i="33"/>
  <c r="U11" i="33"/>
  <c r="L87" i="39"/>
  <c r="F99" i="46"/>
  <c r="D99" i="46"/>
  <c r="L126" i="37"/>
  <c r="Z102" i="2"/>
  <c r="H48" i="2"/>
  <c r="F73" i="33"/>
  <c r="H73" i="33"/>
  <c r="E127" i="37"/>
  <c r="R79" i="11"/>
  <c r="N27" i="38"/>
  <c r="G89" i="39" s="1"/>
  <c r="AH172" i="65" l="1"/>
  <c r="AH174" i="65"/>
  <c r="AF176" i="65"/>
  <c r="AD171" i="65"/>
  <c r="AH173" i="65"/>
  <c r="AE176" i="65"/>
  <c r="AC171" i="65"/>
  <c r="AG174" i="65"/>
  <c r="AD176" i="65"/>
  <c r="AB171" i="65"/>
  <c r="AG173" i="65"/>
  <c r="AA175" i="65"/>
  <c r="AC176" i="65"/>
  <c r="AA171" i="65"/>
  <c r="G258" i="65"/>
  <c r="AF174" i="65"/>
  <c r="Z175" i="65"/>
  <c r="AB176" i="65"/>
  <c r="Z171" i="65"/>
  <c r="AG172" i="65"/>
  <c r="AF173" i="65"/>
  <c r="AB175" i="65"/>
  <c r="AA176" i="65"/>
  <c r="AF171" i="65"/>
  <c r="AF172" i="65"/>
  <c r="AE174" i="65"/>
  <c r="AH170" i="65"/>
  <c r="AD175" i="65"/>
  <c r="Z176" i="65"/>
  <c r="AH171" i="65"/>
  <c r="AE172" i="65"/>
  <c r="AE173" i="65"/>
  <c r="AG170" i="65"/>
  <c r="AH175" i="65"/>
  <c r="AG171" i="65"/>
  <c r="AD172" i="65"/>
  <c r="AD174" i="65"/>
  <c r="AC170" i="65"/>
  <c r="AG175" i="65"/>
  <c r="AC173" i="65"/>
  <c r="AC174" i="65"/>
  <c r="AF170" i="65"/>
  <c r="AF175" i="65"/>
  <c r="AC172" i="65"/>
  <c r="AB174" i="65"/>
  <c r="AE170" i="65"/>
  <c r="AE175" i="65"/>
  <c r="AB173" i="65"/>
  <c r="AA174" i="65"/>
  <c r="AD170" i="65"/>
  <c r="AC175" i="65"/>
  <c r="AB172" i="65"/>
  <c r="AB170" i="65"/>
  <c r="AD173" i="65"/>
  <c r="AA170" i="65"/>
  <c r="Z174" i="65"/>
  <c r="AA172" i="65"/>
  <c r="Z170" i="65"/>
  <c r="AH176" i="65"/>
  <c r="Z173" i="65"/>
  <c r="AA173" i="65"/>
  <c r="AG176" i="65"/>
  <c r="AE171" i="65"/>
  <c r="Z172" i="65"/>
  <c r="AH16" i="65"/>
  <c r="AE16" i="65"/>
  <c r="AA16" i="65"/>
  <c r="AC16" i="65"/>
  <c r="Z16" i="65"/>
  <c r="AB16" i="65"/>
  <c r="AD16" i="65"/>
  <c r="AG16" i="65"/>
  <c r="AF16" i="65"/>
  <c r="AA10" i="65"/>
  <c r="Z10" i="65"/>
  <c r="AG10" i="65"/>
  <c r="AB10" i="65"/>
  <c r="AF10" i="65"/>
  <c r="AE10" i="65"/>
  <c r="AD10" i="65"/>
  <c r="AH10" i="65"/>
  <c r="AC10" i="65"/>
  <c r="AC15" i="65"/>
  <c r="AB15" i="65"/>
  <c r="AA15" i="65"/>
  <c r="AH15" i="65"/>
  <c r="Z15" i="65"/>
  <c r="AG15" i="65"/>
  <c r="AE15" i="65"/>
  <c r="AF15" i="65"/>
  <c r="AD15" i="65"/>
  <c r="AC14" i="65"/>
  <c r="AE14" i="65"/>
  <c r="AB14" i="65"/>
  <c r="AA14" i="65"/>
  <c r="AH14" i="65"/>
  <c r="Z14" i="65"/>
  <c r="AD14" i="65"/>
  <c r="AF14" i="65"/>
  <c r="AG14" i="65"/>
  <c r="AG12" i="65"/>
  <c r="AE12" i="65"/>
  <c r="AF12" i="65"/>
  <c r="AD12" i="65"/>
  <c r="AA12" i="65"/>
  <c r="AH12" i="65"/>
  <c r="AC12" i="65"/>
  <c r="Z12" i="65"/>
  <c r="AB12" i="65"/>
  <c r="AC13" i="65"/>
  <c r="AG13" i="65"/>
  <c r="Z13" i="65"/>
  <c r="AH13" i="65"/>
  <c r="AF13" i="65"/>
  <c r="AE13" i="65"/>
  <c r="AB13" i="65"/>
  <c r="AD13" i="65"/>
  <c r="AA13" i="65"/>
  <c r="AG11" i="65"/>
  <c r="AF11" i="65"/>
  <c r="AE11" i="65"/>
  <c r="AB11" i="65"/>
  <c r="Z11" i="65"/>
  <c r="AA11" i="65"/>
  <c r="AH11" i="65"/>
  <c r="AD11" i="65"/>
  <c r="AC11" i="65"/>
  <c r="C10" i="64"/>
  <c r="E10" i="64" s="1"/>
  <c r="G270" i="65"/>
  <c r="AC90" i="65" s="1"/>
  <c r="AC130" i="65" s="1"/>
  <c r="E43" i="64"/>
  <c r="C47" i="64"/>
  <c r="E47" i="64" s="1"/>
  <c r="C110" i="63"/>
  <c r="C26" i="64"/>
  <c r="C63" i="64"/>
  <c r="E45" i="64"/>
  <c r="C46" i="64"/>
  <c r="E46" i="64" s="1"/>
  <c r="C60" i="64"/>
  <c r="E58" i="64"/>
  <c r="C59" i="64"/>
  <c r="C120" i="64"/>
  <c r="E119" i="64"/>
  <c r="C121" i="64"/>
  <c r="D99" i="64"/>
  <c r="D33" i="64" s="1"/>
  <c r="C127" i="64"/>
  <c r="E127" i="64" s="1"/>
  <c r="D124" i="64"/>
  <c r="D132" i="64" s="1"/>
  <c r="D122" i="64"/>
  <c r="D130" i="64" s="1"/>
  <c r="D128" i="64"/>
  <c r="D123" i="64"/>
  <c r="D131" i="64" s="1"/>
  <c r="D73" i="64"/>
  <c r="C51" i="64"/>
  <c r="C64" i="64" s="1"/>
  <c r="C65" i="64" s="1"/>
  <c r="C66" i="64" s="1"/>
  <c r="C44" i="64"/>
  <c r="E136" i="64"/>
  <c r="E137" i="64"/>
  <c r="D89" i="63"/>
  <c r="C96" i="64" s="1"/>
  <c r="E96" i="64" s="1"/>
  <c r="D138" i="64"/>
  <c r="D49" i="64" s="1"/>
  <c r="D51" i="64" s="1"/>
  <c r="D107" i="64"/>
  <c r="D115" i="64" s="1"/>
  <c r="D147" i="61"/>
  <c r="D146" i="61"/>
  <c r="D145" i="61"/>
  <c r="D32" i="64"/>
  <c r="C94" i="64"/>
  <c r="C72" i="64" s="1"/>
  <c r="C104" i="64"/>
  <c r="E104" i="64" s="1"/>
  <c r="C138" i="63"/>
  <c r="C105" i="64" s="1"/>
  <c r="C113" i="64" s="1"/>
  <c r="C139" i="63"/>
  <c r="C106" i="64" s="1"/>
  <c r="C114" i="64" s="1"/>
  <c r="E95" i="64"/>
  <c r="D85" i="63"/>
  <c r="D232" i="63" s="1"/>
  <c r="D98" i="63" s="1"/>
  <c r="C88" i="64" s="1"/>
  <c r="D147" i="63"/>
  <c r="D149" i="63" s="1"/>
  <c r="C147" i="63"/>
  <c r="C149" i="63" s="1"/>
  <c r="C151" i="63" s="1"/>
  <c r="C141" i="63"/>
  <c r="C132" i="63"/>
  <c r="D128" i="63" s="1"/>
  <c r="C143" i="63"/>
  <c r="D99" i="63"/>
  <c r="C140" i="63" s="1"/>
  <c r="C108" i="64" s="1"/>
  <c r="C116" i="64" s="1"/>
  <c r="C111" i="63"/>
  <c r="C92" i="63"/>
  <c r="C171" i="63" s="1"/>
  <c r="M113" i="46"/>
  <c r="T52" i="46"/>
  <c r="T113" i="59"/>
  <c r="N8" i="59"/>
  <c r="C8" i="59" s="1"/>
  <c r="N125" i="59"/>
  <c r="N83" i="59"/>
  <c r="N23" i="59"/>
  <c r="M22" i="46"/>
  <c r="T22" i="46"/>
  <c r="T37" i="59"/>
  <c r="N98" i="59"/>
  <c r="C98" i="59" s="1"/>
  <c r="T38" i="59"/>
  <c r="N113" i="59"/>
  <c r="C113" i="59" s="1"/>
  <c r="N126" i="59"/>
  <c r="N9" i="59"/>
  <c r="N82" i="59"/>
  <c r="U26" i="33"/>
  <c r="N115" i="37" s="1"/>
  <c r="N37" i="59"/>
  <c r="N52" i="59"/>
  <c r="N97" i="59"/>
  <c r="C97" i="59" s="1"/>
  <c r="T23" i="46"/>
  <c r="T9" i="59"/>
  <c r="N38" i="59"/>
  <c r="N53" i="59"/>
  <c r="G11" i="31"/>
  <c r="C15" i="31" s="1"/>
  <c r="C17" i="31" s="1"/>
  <c r="F11" i="31"/>
  <c r="M53" i="46"/>
  <c r="T38" i="46"/>
  <c r="N22" i="59"/>
  <c r="C22" i="59" s="1"/>
  <c r="J7" i="31"/>
  <c r="J11" i="31" s="1"/>
  <c r="C68" i="59"/>
  <c r="C53" i="59"/>
  <c r="C112" i="59"/>
  <c r="V5" i="59"/>
  <c r="U1" i="59"/>
  <c r="U22" i="59" s="1"/>
  <c r="C37" i="59"/>
  <c r="C38" i="59"/>
  <c r="N66" i="8"/>
  <c r="M66" i="8"/>
  <c r="I11" i="51"/>
  <c r="J11" i="51"/>
  <c r="H11" i="51"/>
  <c r="D13" i="51"/>
  <c r="F12" i="51" a="1"/>
  <c r="F12" i="51" s="1"/>
  <c r="G12" i="51" s="1"/>
  <c r="E12" i="51" a="1"/>
  <c r="E12" i="51" s="1"/>
  <c r="B12" i="51" a="1"/>
  <c r="B12" i="51" s="1"/>
  <c r="D12" i="51"/>
  <c r="H127" i="48"/>
  <c r="U24" i="33"/>
  <c r="N125" i="46"/>
  <c r="N112" i="46"/>
  <c r="N38" i="46"/>
  <c r="C38" i="46" s="1"/>
  <c r="N1" i="46"/>
  <c r="N52" i="46" s="1"/>
  <c r="AL5" i="11"/>
  <c r="J113" i="48"/>
  <c r="J112" i="37"/>
  <c r="J118" i="37" s="1"/>
  <c r="O27" i="38"/>
  <c r="H89" i="39" s="1"/>
  <c r="M9" i="46"/>
  <c r="T53" i="46"/>
  <c r="C88" i="39"/>
  <c r="G126" i="37"/>
  <c r="M93" i="39"/>
  <c r="E8" i="38"/>
  <c r="F123" i="37"/>
  <c r="M27" i="33"/>
  <c r="G128" i="48"/>
  <c r="H123" i="48"/>
  <c r="M125" i="46"/>
  <c r="C89" i="39"/>
  <c r="L113" i="48"/>
  <c r="L112" i="37"/>
  <c r="L118" i="37" s="1"/>
  <c r="N102" i="33"/>
  <c r="N100" i="33"/>
  <c r="N71" i="33"/>
  <c r="N69" i="33"/>
  <c r="N99" i="33"/>
  <c r="N11" i="33"/>
  <c r="N9" i="33"/>
  <c r="N86" i="33"/>
  <c r="N55" i="33"/>
  <c r="N57" i="33"/>
  <c r="N84" i="33"/>
  <c r="N70" i="33"/>
  <c r="N101" i="33"/>
  <c r="N87" i="33"/>
  <c r="N41" i="33"/>
  <c r="N42" i="33"/>
  <c r="N54" i="33"/>
  <c r="N72" i="33"/>
  <c r="N85" i="33"/>
  <c r="N12" i="33"/>
  <c r="N56" i="33"/>
  <c r="N40" i="33"/>
  <c r="N39" i="33"/>
  <c r="N24" i="33" s="1"/>
  <c r="N10" i="33"/>
  <c r="P92" i="38"/>
  <c r="P90" i="38"/>
  <c r="E90" i="38" s="1"/>
  <c r="P108" i="38"/>
  <c r="P75" i="38"/>
  <c r="E75" i="38" s="1"/>
  <c r="P73" i="38"/>
  <c r="E73" i="38" s="1"/>
  <c r="P44" i="38"/>
  <c r="P42" i="38"/>
  <c r="P91" i="38"/>
  <c r="E91" i="38" s="1"/>
  <c r="P76" i="38"/>
  <c r="P74" i="38"/>
  <c r="E74" i="38" s="1"/>
  <c r="P43" i="38"/>
  <c r="P41" i="38"/>
  <c r="P89" i="38"/>
  <c r="E89" i="38" s="1"/>
  <c r="P107" i="38"/>
  <c r="E107" i="38" s="1"/>
  <c r="P57" i="38"/>
  <c r="E57" i="38" s="1"/>
  <c r="P9" i="38"/>
  <c r="E9" i="38" s="1"/>
  <c r="P105" i="38"/>
  <c r="E105" i="38" s="1"/>
  <c r="P60" i="38"/>
  <c r="P58" i="38"/>
  <c r="E58" i="38" s="1"/>
  <c r="P12" i="38"/>
  <c r="P106" i="38"/>
  <c r="E106" i="38" s="1"/>
  <c r="P11" i="38"/>
  <c r="E11" i="38" s="1"/>
  <c r="P10" i="38"/>
  <c r="E10" i="38" s="1"/>
  <c r="P59" i="38"/>
  <c r="E59" i="38" s="1"/>
  <c r="W68" i="33"/>
  <c r="W98" i="33"/>
  <c r="W38" i="33"/>
  <c r="W83" i="33"/>
  <c r="X5" i="33"/>
  <c r="W8" i="33"/>
  <c r="W53" i="33"/>
  <c r="W1" i="33"/>
  <c r="C119" i="37"/>
  <c r="N116" i="48"/>
  <c r="E116" i="48"/>
  <c r="E115" i="37"/>
  <c r="U25" i="38"/>
  <c r="I100" i="39"/>
  <c r="H29" i="38"/>
  <c r="F29" i="38"/>
  <c r="N114" i="2"/>
  <c r="E102" i="2"/>
  <c r="D126" i="2" s="1"/>
  <c r="V101" i="33"/>
  <c r="V99" i="33"/>
  <c r="V72" i="33"/>
  <c r="V70" i="33"/>
  <c r="V85" i="33"/>
  <c r="V10" i="33"/>
  <c r="V56" i="33"/>
  <c r="V54" i="33"/>
  <c r="V102" i="33"/>
  <c r="V84" i="33"/>
  <c r="V100" i="33"/>
  <c r="V87" i="33"/>
  <c r="V39" i="33"/>
  <c r="V57" i="33"/>
  <c r="V42" i="33"/>
  <c r="V55" i="33"/>
  <c r="V41" i="33"/>
  <c r="V86" i="33"/>
  <c r="V12" i="33"/>
  <c r="V9" i="33"/>
  <c r="V71" i="33"/>
  <c r="V69" i="33"/>
  <c r="V11" i="33"/>
  <c r="V40" i="33"/>
  <c r="O119" i="48"/>
  <c r="F28" i="33"/>
  <c r="H28" i="33"/>
  <c r="W72" i="38"/>
  <c r="W88" i="38"/>
  <c r="W104" i="38"/>
  <c r="W40" i="38"/>
  <c r="X5" i="38"/>
  <c r="W56" i="38"/>
  <c r="W8" i="38"/>
  <c r="W1" i="38"/>
  <c r="U27" i="38"/>
  <c r="N124" i="48"/>
  <c r="O126" i="37"/>
  <c r="X79" i="11"/>
  <c r="H124" i="48"/>
  <c r="M114" i="48"/>
  <c r="M113" i="37"/>
  <c r="O123" i="48"/>
  <c r="J86" i="39"/>
  <c r="J92" i="39" s="1"/>
  <c r="O100" i="39"/>
  <c r="N113" i="48"/>
  <c r="N112" i="37"/>
  <c r="N118" i="37" s="1"/>
  <c r="F116" i="48"/>
  <c r="F115" i="37"/>
  <c r="O122" i="37"/>
  <c r="V23" i="33"/>
  <c r="U25" i="33"/>
  <c r="M126" i="46"/>
  <c r="N128" i="48"/>
  <c r="U125" i="46"/>
  <c r="U1" i="46"/>
  <c r="U97" i="46" s="1"/>
  <c r="U52" i="46"/>
  <c r="U38" i="46"/>
  <c r="V5" i="46"/>
  <c r="V5" i="52" s="1"/>
  <c r="U98" i="46"/>
  <c r="V107" i="38"/>
  <c r="V90" i="38"/>
  <c r="V76" i="38"/>
  <c r="V74" i="38"/>
  <c r="V43" i="38"/>
  <c r="V41" i="38"/>
  <c r="V106" i="38"/>
  <c r="V89" i="38"/>
  <c r="V105" i="38"/>
  <c r="V108" i="38"/>
  <c r="V91" i="38"/>
  <c r="V10" i="38"/>
  <c r="V12" i="38"/>
  <c r="V60" i="38"/>
  <c r="V92" i="38"/>
  <c r="V59" i="38"/>
  <c r="V75" i="38"/>
  <c r="V73" i="38"/>
  <c r="V58" i="38"/>
  <c r="V44" i="38"/>
  <c r="V57" i="38"/>
  <c r="V42" i="38"/>
  <c r="V9" i="38"/>
  <c r="V11" i="38"/>
  <c r="I96" i="39"/>
  <c r="P24" i="38"/>
  <c r="K102" i="2"/>
  <c r="U114" i="2"/>
  <c r="N127" i="37"/>
  <c r="C93" i="39"/>
  <c r="M68" i="46"/>
  <c r="F113" i="48"/>
  <c r="F112" i="37"/>
  <c r="F118" i="37" s="1"/>
  <c r="O26" i="38"/>
  <c r="H88" i="39" s="1"/>
  <c r="N97" i="39"/>
  <c r="U28" i="38"/>
  <c r="U26" i="38"/>
  <c r="E104" i="38"/>
  <c r="C87" i="39"/>
  <c r="H97" i="39"/>
  <c r="O28" i="38"/>
  <c r="M24" i="33"/>
  <c r="G120" i="48"/>
  <c r="O127" i="48"/>
  <c r="N86" i="39"/>
  <c r="N92" i="39" s="1"/>
  <c r="O96" i="39"/>
  <c r="V24" i="38"/>
  <c r="Z114" i="2"/>
  <c r="H102" i="2"/>
  <c r="F102" i="2"/>
  <c r="D138" i="2" s="1"/>
  <c r="F138" i="2" s="1"/>
  <c r="M83" i="46"/>
  <c r="M98" i="46"/>
  <c r="N102" i="11"/>
  <c r="M102" i="11"/>
  <c r="T83" i="46"/>
  <c r="J119" i="37"/>
  <c r="H101" i="39"/>
  <c r="C116" i="48"/>
  <c r="C115" i="37"/>
  <c r="E119" i="37"/>
  <c r="N119" i="48"/>
  <c r="M119" i="37"/>
  <c r="L86" i="39"/>
  <c r="L92" i="39" s="1"/>
  <c r="T68" i="46"/>
  <c r="C115" i="48"/>
  <c r="C114" i="37"/>
  <c r="O53" i="33"/>
  <c r="O98" i="33"/>
  <c r="O38" i="33"/>
  <c r="O1" i="33"/>
  <c r="O8" i="33"/>
  <c r="O68" i="33"/>
  <c r="O83" i="33"/>
  <c r="P5" i="33"/>
  <c r="M25" i="33"/>
  <c r="U27" i="33"/>
  <c r="N123" i="37"/>
  <c r="O124" i="48"/>
  <c r="C114" i="48"/>
  <c r="C113" i="37"/>
  <c r="G122" i="37"/>
  <c r="N23" i="33"/>
  <c r="E72" i="38"/>
  <c r="E11" i="19"/>
  <c r="F11" i="19" s="1"/>
  <c r="H86" i="39"/>
  <c r="H92" i="39" s="1"/>
  <c r="O120" i="48"/>
  <c r="K9" i="11"/>
  <c r="C119" i="11"/>
  <c r="O25" i="38"/>
  <c r="H87" i="39" s="1"/>
  <c r="N101" i="39"/>
  <c r="AL114" i="2"/>
  <c r="I102" i="2"/>
  <c r="D150" i="2" s="1"/>
  <c r="F150" i="2" s="1"/>
  <c r="L102" i="2"/>
  <c r="H119" i="48"/>
  <c r="M116" i="48"/>
  <c r="M115" i="37"/>
  <c r="G93" i="39"/>
  <c r="F86" i="39"/>
  <c r="F92" i="39" s="1"/>
  <c r="F127" i="37"/>
  <c r="G143" i="65" l="1"/>
  <c r="AW103" i="65"/>
  <c r="AW116" i="65"/>
  <c r="AW130" i="65"/>
  <c r="AW143" i="65"/>
  <c r="AW156" i="65"/>
  <c r="AW90" i="65"/>
  <c r="AG216" i="65"/>
  <c r="K176" i="65"/>
  <c r="K189" i="65"/>
  <c r="K202" i="65" a="1"/>
  <c r="K202" i="65" s="1"/>
  <c r="K242" i="65" s="1"/>
  <c r="I183" i="65"/>
  <c r="AE210" i="65"/>
  <c r="I170" i="65"/>
  <c r="I196" i="65" a="1"/>
  <c r="I196" i="65" s="1"/>
  <c r="I236" i="65" s="1"/>
  <c r="L171" i="65"/>
  <c r="L184" i="65"/>
  <c r="L197" i="65" a="1"/>
  <c r="L197" i="65" s="1"/>
  <c r="L237" i="65" s="1"/>
  <c r="AH211" i="65"/>
  <c r="E197" i="65" a="1"/>
  <c r="E197" i="65" s="1"/>
  <c r="E237" i="65" s="1"/>
  <c r="E184" i="65"/>
  <c r="AA211" i="65"/>
  <c r="E171" i="65"/>
  <c r="E186" i="65"/>
  <c r="E199" i="65" a="1"/>
  <c r="E199" i="65" s="1"/>
  <c r="E239" i="65" s="1"/>
  <c r="AA213" i="65"/>
  <c r="E173" i="65"/>
  <c r="F200" i="65" a="1"/>
  <c r="F200" i="65" s="1"/>
  <c r="F240" i="65" s="1"/>
  <c r="AB214" i="65"/>
  <c r="F174" i="65"/>
  <c r="F187" i="65"/>
  <c r="Z216" i="65"/>
  <c r="D202" i="65" a="1"/>
  <c r="D202" i="65" s="1"/>
  <c r="D242" i="65" s="1"/>
  <c r="D176" i="65"/>
  <c r="D189" i="65"/>
  <c r="AC216" i="65"/>
  <c r="G176" i="65"/>
  <c r="G189" i="65"/>
  <c r="G202" i="65" a="1"/>
  <c r="G202" i="65" s="1"/>
  <c r="G242" i="65" s="1"/>
  <c r="D186" i="65"/>
  <c r="D173" i="65"/>
  <c r="D199" i="65" a="1"/>
  <c r="D199" i="65" s="1"/>
  <c r="D239" i="65" s="1"/>
  <c r="Z213" i="65"/>
  <c r="G185" i="65"/>
  <c r="G172" i="65"/>
  <c r="AC212" i="65"/>
  <c r="G198" i="65" a="1"/>
  <c r="G198" i="65" s="1"/>
  <c r="G238" i="65" s="1"/>
  <c r="H175" i="65"/>
  <c r="H188" i="65"/>
  <c r="H201" i="65" a="1"/>
  <c r="H201" i="65" s="1"/>
  <c r="H241" i="65" s="1"/>
  <c r="AD215" i="65"/>
  <c r="AA215" i="65"/>
  <c r="E175" i="65"/>
  <c r="E188" i="65"/>
  <c r="E201" i="65" a="1"/>
  <c r="E201" i="65" s="1"/>
  <c r="E241" i="65" s="1"/>
  <c r="AE215" i="65"/>
  <c r="I201" i="65" a="1"/>
  <c r="I201" i="65" s="1"/>
  <c r="I241" i="65" s="1"/>
  <c r="I175" i="65"/>
  <c r="I188" i="65"/>
  <c r="AH216" i="65"/>
  <c r="L176" i="65"/>
  <c r="L189" i="65"/>
  <c r="L202" i="65" a="1"/>
  <c r="L202" i="65" s="1"/>
  <c r="L242" i="65" s="1"/>
  <c r="AF215" i="65"/>
  <c r="J201" i="65" a="1"/>
  <c r="J201" i="65" s="1"/>
  <c r="J241" i="65" s="1"/>
  <c r="J188" i="65"/>
  <c r="J175" i="65"/>
  <c r="L183" i="65"/>
  <c r="AH210" i="65"/>
  <c r="L170" i="65"/>
  <c r="L196" i="65" a="1"/>
  <c r="L196" i="65" s="1"/>
  <c r="L236" i="65" s="1"/>
  <c r="AG213" i="65"/>
  <c r="K173" i="65"/>
  <c r="K186" i="65"/>
  <c r="K199" i="65" a="1"/>
  <c r="K199" i="65" s="1"/>
  <c r="K239" i="65" s="1"/>
  <c r="Z210" i="65"/>
  <c r="D196" i="65" a="1"/>
  <c r="D196" i="65" s="1"/>
  <c r="D236" i="65" s="1"/>
  <c r="D183" i="65"/>
  <c r="D170" i="65"/>
  <c r="J196" i="65" a="1"/>
  <c r="J196" i="65" s="1"/>
  <c r="J236" i="65" s="1"/>
  <c r="AF210" i="65"/>
  <c r="J170" i="65"/>
  <c r="J183" i="65"/>
  <c r="AE214" i="65"/>
  <c r="I174" i="65"/>
  <c r="I187" i="65"/>
  <c r="I200" i="65" a="1"/>
  <c r="I200" i="65" s="1"/>
  <c r="I240" i="65" s="1"/>
  <c r="F197" i="65" a="1"/>
  <c r="F197" i="65" s="1"/>
  <c r="F237" i="65" s="1"/>
  <c r="AB211" i="65"/>
  <c r="F171" i="65"/>
  <c r="F184" i="65"/>
  <c r="D172" i="65"/>
  <c r="D185" i="65"/>
  <c r="D198" i="65" a="1"/>
  <c r="D198" i="65" s="1"/>
  <c r="D238" i="65" s="1"/>
  <c r="Z212" i="65"/>
  <c r="E172" i="65"/>
  <c r="E185" i="65"/>
  <c r="AA212" i="65"/>
  <c r="E198" i="65" a="1"/>
  <c r="E198" i="65" s="1"/>
  <c r="E238" i="65" s="1"/>
  <c r="G187" i="65"/>
  <c r="G200" i="65" a="1"/>
  <c r="G200" i="65" s="1"/>
  <c r="G240" i="65" s="1"/>
  <c r="AC214" i="65"/>
  <c r="G174" i="65"/>
  <c r="J198" i="65" a="1"/>
  <c r="J198" i="65" s="1"/>
  <c r="J238" i="65" s="1"/>
  <c r="AF212" i="65"/>
  <c r="J172" i="65"/>
  <c r="J185" i="65"/>
  <c r="H202" i="65" a="1"/>
  <c r="H202" i="65" s="1"/>
  <c r="H242" i="65" s="1"/>
  <c r="H189" i="65"/>
  <c r="AD216" i="65"/>
  <c r="H176" i="65"/>
  <c r="D187" i="65"/>
  <c r="Z214" i="65"/>
  <c r="D174" i="65"/>
  <c r="D200" i="65" a="1"/>
  <c r="D200" i="65" s="1"/>
  <c r="D240" i="65" s="1"/>
  <c r="AC213" i="65"/>
  <c r="G173" i="65"/>
  <c r="G186" i="65"/>
  <c r="G199" i="65" a="1"/>
  <c r="G199" i="65" s="1"/>
  <c r="G239" i="65" s="1"/>
  <c r="AF211" i="65"/>
  <c r="J171" i="65"/>
  <c r="J184" i="65"/>
  <c r="J197" i="65" a="1"/>
  <c r="J197" i="65" s="1"/>
  <c r="J237" i="65" s="1"/>
  <c r="AG214" i="65"/>
  <c r="K174" i="65"/>
  <c r="K187" i="65"/>
  <c r="K200" i="65" a="1"/>
  <c r="K200" i="65" s="1"/>
  <c r="K240" i="65" s="1"/>
  <c r="AA210" i="65"/>
  <c r="E183" i="65"/>
  <c r="E196" i="65" a="1"/>
  <c r="E196" i="65" s="1"/>
  <c r="E236" i="65" s="1"/>
  <c r="E170" i="65"/>
  <c r="K201" i="65" a="1"/>
  <c r="K201" i="65" s="1"/>
  <c r="K241" i="65" s="1"/>
  <c r="K175" i="65"/>
  <c r="K188" i="65"/>
  <c r="AG215" i="65"/>
  <c r="E189" i="65"/>
  <c r="AA216" i="65"/>
  <c r="E202" i="65" a="1"/>
  <c r="E202" i="65" s="1"/>
  <c r="E242" i="65" s="1"/>
  <c r="E176" i="65"/>
  <c r="G171" i="65"/>
  <c r="G197" i="65" a="1"/>
  <c r="G197" i="65" s="1"/>
  <c r="G237" i="65" s="1"/>
  <c r="G184" i="65"/>
  <c r="AC211" i="65"/>
  <c r="AB213" i="65"/>
  <c r="F173" i="65"/>
  <c r="F186" i="65"/>
  <c r="F199" i="65" a="1"/>
  <c r="F199" i="65" s="1"/>
  <c r="F239" i="65" s="1"/>
  <c r="AD213" i="65"/>
  <c r="H173" i="65"/>
  <c r="H186" i="65"/>
  <c r="H199" i="65" a="1"/>
  <c r="H199" i="65" s="1"/>
  <c r="H239" i="65" s="1"/>
  <c r="G196" i="65" a="1"/>
  <c r="G196" i="65" s="1"/>
  <c r="G236" i="65" s="1"/>
  <c r="G183" i="65"/>
  <c r="G170" i="65"/>
  <c r="AC210" i="65"/>
  <c r="AB215" i="65"/>
  <c r="F175" i="65"/>
  <c r="F188" i="65"/>
  <c r="F201" i="65" a="1"/>
  <c r="F201" i="65" s="1"/>
  <c r="F241" i="65" s="1"/>
  <c r="I202" i="65" a="1"/>
  <c r="I202" i="65" s="1"/>
  <c r="I242" i="65" s="1"/>
  <c r="AE216" i="65"/>
  <c r="I176" i="65"/>
  <c r="I189" i="65"/>
  <c r="AE213" i="65"/>
  <c r="I173" i="65"/>
  <c r="I186" i="65"/>
  <c r="I199" i="65" a="1"/>
  <c r="I199" i="65" s="1"/>
  <c r="I239" i="65" s="1"/>
  <c r="F170" i="65"/>
  <c r="F196" i="65" a="1"/>
  <c r="F196" i="65" s="1"/>
  <c r="F236" i="65" s="1"/>
  <c r="F183" i="65"/>
  <c r="AB210" i="65"/>
  <c r="H187" i="65"/>
  <c r="H200" i="65" a="1"/>
  <c r="H200" i="65" s="1"/>
  <c r="H240" i="65" s="1"/>
  <c r="AD214" i="65"/>
  <c r="H174" i="65"/>
  <c r="J173" i="65"/>
  <c r="J186" i="65"/>
  <c r="AF213" i="65"/>
  <c r="J199" i="65" a="1"/>
  <c r="J199" i="65" s="1"/>
  <c r="J239" i="65" s="1"/>
  <c r="L186" i="65"/>
  <c r="L173" i="65"/>
  <c r="AH213" i="65"/>
  <c r="L199" i="65" a="1"/>
  <c r="L199" i="65" s="1"/>
  <c r="L239" i="65" s="1"/>
  <c r="I185" i="65"/>
  <c r="AE212" i="65"/>
  <c r="I172" i="65"/>
  <c r="I198" i="65" a="1"/>
  <c r="I198" i="65" s="1"/>
  <c r="I238" i="65" s="1"/>
  <c r="F185" i="65"/>
  <c r="F198" i="65" a="1"/>
  <c r="F198" i="65" s="1"/>
  <c r="F238" i="65" s="1"/>
  <c r="AB212" i="65"/>
  <c r="F172" i="65"/>
  <c r="AD212" i="65"/>
  <c r="H198" i="65" a="1"/>
  <c r="H198" i="65" s="1"/>
  <c r="H238" i="65" s="1"/>
  <c r="H172" i="65"/>
  <c r="H185" i="65"/>
  <c r="AG212" i="65"/>
  <c r="K185" i="65"/>
  <c r="K172" i="65"/>
  <c r="K198" i="65" a="1"/>
  <c r="K198" i="65" s="1"/>
  <c r="K238" i="65" s="1"/>
  <c r="AD211" i="65"/>
  <c r="H171" i="65"/>
  <c r="H184" i="65"/>
  <c r="H197" i="65" a="1"/>
  <c r="H197" i="65" s="1"/>
  <c r="H237" i="65" s="1"/>
  <c r="J200" i="65" a="1"/>
  <c r="J200" i="65" s="1"/>
  <c r="J240" i="65" s="1"/>
  <c r="AF214" i="65"/>
  <c r="J174" i="65"/>
  <c r="J187" i="65"/>
  <c r="AE211" i="65"/>
  <c r="I171" i="65"/>
  <c r="I184" i="65"/>
  <c r="I197" i="65" a="1"/>
  <c r="I197" i="65" s="1"/>
  <c r="I237" i="65" s="1"/>
  <c r="AC215" i="65"/>
  <c r="G175" i="65"/>
  <c r="G188" i="65"/>
  <c r="G201" i="65" a="1"/>
  <c r="G201" i="65" s="1"/>
  <c r="G241" i="65" s="1"/>
  <c r="AG211" i="65"/>
  <c r="K171" i="65"/>
  <c r="K184" i="65"/>
  <c r="K197" i="65" a="1"/>
  <c r="K197" i="65" s="1"/>
  <c r="K237" i="65" s="1"/>
  <c r="D184" i="65"/>
  <c r="Z211" i="65"/>
  <c r="D171" i="65"/>
  <c r="D197" i="65" a="1"/>
  <c r="D197" i="65" s="1"/>
  <c r="D237" i="65" s="1"/>
  <c r="AF216" i="65"/>
  <c r="J202" i="65" a="1"/>
  <c r="J202" i="65" s="1"/>
  <c r="J242" i="65" s="1"/>
  <c r="J176" i="65"/>
  <c r="J189" i="65"/>
  <c r="H183" i="65"/>
  <c r="H196" i="65" a="1"/>
  <c r="H196" i="65" s="1"/>
  <c r="H236" i="65" s="1"/>
  <c r="AD210" i="65"/>
  <c r="H170" i="65"/>
  <c r="L188" i="65"/>
  <c r="L175" i="65"/>
  <c r="AH215" i="65"/>
  <c r="L201" i="65" a="1"/>
  <c r="L201" i="65" s="1"/>
  <c r="L241" i="65" s="1"/>
  <c r="F202" i="65" a="1"/>
  <c r="F202" i="65" s="1"/>
  <c r="F242" i="65" s="1"/>
  <c r="AB216" i="65"/>
  <c r="F176" i="65"/>
  <c r="F189" i="65"/>
  <c r="AH214" i="65"/>
  <c r="L174" i="65"/>
  <c r="L187" i="65"/>
  <c r="L200" i="65" a="1"/>
  <c r="L200" i="65" s="1"/>
  <c r="L240" i="65" s="1"/>
  <c r="E187" i="65"/>
  <c r="AA214" i="65"/>
  <c r="E174" i="65"/>
  <c r="E200" i="65" a="1"/>
  <c r="E200" i="65" s="1"/>
  <c r="E240" i="65" s="1"/>
  <c r="K170" i="65"/>
  <c r="AG210" i="65"/>
  <c r="K183" i="65"/>
  <c r="K196" i="65" a="1"/>
  <c r="K196" i="65" s="1"/>
  <c r="K236" i="65" s="1"/>
  <c r="Z215" i="65"/>
  <c r="D175" i="65"/>
  <c r="D188" i="65"/>
  <c r="D201" i="65" a="1"/>
  <c r="D201" i="65" s="1"/>
  <c r="D241" i="65" s="1"/>
  <c r="L198" i="65" a="1"/>
  <c r="L198" i="65" s="1"/>
  <c r="L238" i="65" s="1"/>
  <c r="AH212" i="65"/>
  <c r="L172" i="65"/>
  <c r="L185" i="65"/>
  <c r="AD95" i="65"/>
  <c r="AD135" i="65" s="1"/>
  <c r="AB92" i="65"/>
  <c r="AB132" i="65" s="1"/>
  <c r="G103" i="65"/>
  <c r="G90" i="65"/>
  <c r="G116" i="65" a="1"/>
  <c r="G116" i="65" s="1"/>
  <c r="G156" i="65" s="1"/>
  <c r="AE95" i="65"/>
  <c r="AE135" i="65" s="1"/>
  <c r="AF92" i="65"/>
  <c r="AF132" i="65" s="1"/>
  <c r="AF95" i="65"/>
  <c r="AF135" i="65" s="1"/>
  <c r="AH92" i="65"/>
  <c r="AH132" i="65" s="1"/>
  <c r="AA91" i="65"/>
  <c r="AA131" i="65" s="1"/>
  <c r="AH95" i="65"/>
  <c r="AH135" i="65" s="1"/>
  <c r="AD92" i="65"/>
  <c r="AD132" i="65" s="1"/>
  <c r="AB91" i="65"/>
  <c r="AB131" i="65" s="1"/>
  <c r="AG95" i="65"/>
  <c r="AG135" i="65" s="1"/>
  <c r="AC92" i="65"/>
  <c r="AC132" i="65" s="1"/>
  <c r="Z91" i="65"/>
  <c r="Z131" i="65" s="1"/>
  <c r="AD94" i="65"/>
  <c r="AD134" i="65" s="1"/>
  <c r="AG92" i="65"/>
  <c r="AG132" i="65" s="1"/>
  <c r="AC91" i="65"/>
  <c r="AC131" i="65" s="1"/>
  <c r="AF94" i="65"/>
  <c r="AF134" i="65" s="1"/>
  <c r="Z92" i="65"/>
  <c r="Z132" i="65" s="1"/>
  <c r="AD91" i="65"/>
  <c r="AD131" i="65" s="1"/>
  <c r="AC94" i="65"/>
  <c r="AC134" i="65" s="1"/>
  <c r="AF90" i="65"/>
  <c r="AF130" i="65" s="1"/>
  <c r="AE91" i="65"/>
  <c r="AE131" i="65" s="1"/>
  <c r="AG94" i="65"/>
  <c r="AG134" i="65" s="1"/>
  <c r="Z90" i="65"/>
  <c r="Z130" i="65" s="1"/>
  <c r="AF91" i="65"/>
  <c r="AF131" i="65" s="1"/>
  <c r="AH94" i="65"/>
  <c r="AH134" i="65" s="1"/>
  <c r="AG90" i="65"/>
  <c r="AG130" i="65" s="1"/>
  <c r="AG91" i="65"/>
  <c r="AG131" i="65" s="1"/>
  <c r="AB94" i="65"/>
  <c r="AB134" i="65" s="1"/>
  <c r="AA90" i="65"/>
  <c r="AA130" i="65" s="1"/>
  <c r="AH91" i="65"/>
  <c r="AH131" i="65" s="1"/>
  <c r="AE94" i="65"/>
  <c r="AE134" i="65" s="1"/>
  <c r="AB90" i="65"/>
  <c r="AB130" i="65" s="1"/>
  <c r="Z95" i="65"/>
  <c r="Z135" i="65" s="1"/>
  <c r="AA94" i="65"/>
  <c r="AA134" i="65" s="1"/>
  <c r="G246" i="65"/>
  <c r="G249" i="65" s="1"/>
  <c r="G251" i="65" s="1"/>
  <c r="AH93" i="65"/>
  <c r="AH133" i="65" s="1"/>
  <c r="AB96" i="65"/>
  <c r="AB136" i="65" s="1"/>
  <c r="AG96" i="65"/>
  <c r="AG136" i="65" s="1"/>
  <c r="AH96" i="65"/>
  <c r="AH136" i="65" s="1"/>
  <c r="AD96" i="65"/>
  <c r="AD136" i="65" s="1"/>
  <c r="AE96" i="65"/>
  <c r="AE136" i="65" s="1"/>
  <c r="AA96" i="65"/>
  <c r="AA136" i="65" s="1"/>
  <c r="Z96" i="65"/>
  <c r="Z136" i="65" s="1"/>
  <c r="Z93" i="65"/>
  <c r="Z133" i="65" s="1"/>
  <c r="AC96" i="65"/>
  <c r="AC136" i="65" s="1"/>
  <c r="AB93" i="65"/>
  <c r="AB133" i="65" s="1"/>
  <c r="AF96" i="65"/>
  <c r="AF136" i="65" s="1"/>
  <c r="AC93" i="65"/>
  <c r="AC133" i="65" s="1"/>
  <c r="AD93" i="65"/>
  <c r="AD133" i="65" s="1"/>
  <c r="AA93" i="65"/>
  <c r="AA133" i="65" s="1"/>
  <c r="AE93" i="65"/>
  <c r="AE133" i="65" s="1"/>
  <c r="AF93" i="65"/>
  <c r="AF133" i="65" s="1"/>
  <c r="AG93" i="65"/>
  <c r="AG133" i="65" s="1"/>
  <c r="AA95" i="65"/>
  <c r="AA135" i="65" s="1"/>
  <c r="Z94" i="65"/>
  <c r="Z134" i="65" s="1"/>
  <c r="AD90" i="65"/>
  <c r="AD130" i="65" s="1"/>
  <c r="AB95" i="65"/>
  <c r="AB135" i="65" s="1"/>
  <c r="AE92" i="65"/>
  <c r="AE132" i="65" s="1"/>
  <c r="AH90" i="65"/>
  <c r="AH130" i="65" s="1"/>
  <c r="AC95" i="65"/>
  <c r="AC135" i="65" s="1"/>
  <c r="AA92" i="65"/>
  <c r="AA132" i="65" s="1"/>
  <c r="AE90" i="65"/>
  <c r="AE130" i="65" s="1"/>
  <c r="D13" i="65"/>
  <c r="D26" i="65"/>
  <c r="Z53" i="65"/>
  <c r="D39" i="65" a="1"/>
  <c r="D39" i="65" s="1"/>
  <c r="D79" i="65" s="1"/>
  <c r="I23" i="65"/>
  <c r="AE50" i="65"/>
  <c r="I10" i="65"/>
  <c r="I36" i="65" a="1"/>
  <c r="I36" i="65" s="1"/>
  <c r="I76" i="65" s="1"/>
  <c r="AB52" i="65"/>
  <c r="F25" i="65"/>
  <c r="F12" i="65"/>
  <c r="F38" i="65" a="1"/>
  <c r="F38" i="65" s="1"/>
  <c r="F78" i="65" s="1"/>
  <c r="J28" i="65"/>
  <c r="AF55" i="65"/>
  <c r="J15" i="65"/>
  <c r="J41" i="65" a="1"/>
  <c r="J41" i="65" s="1"/>
  <c r="J81" i="65" s="1"/>
  <c r="E23" i="65"/>
  <c r="E10" i="65"/>
  <c r="AA50" i="65"/>
  <c r="E36" i="65" a="1"/>
  <c r="E36" i="65" s="1"/>
  <c r="E76" i="65" s="1"/>
  <c r="E27" i="65"/>
  <c r="AA54" i="65"/>
  <c r="E14" i="65"/>
  <c r="E40" i="65" a="1"/>
  <c r="E40" i="65" s="1"/>
  <c r="E80" i="65" s="1"/>
  <c r="AG50" i="65"/>
  <c r="K10" i="65"/>
  <c r="K23" i="65"/>
  <c r="K36" i="65" a="1"/>
  <c r="K36" i="65" s="1"/>
  <c r="K76" i="65" s="1"/>
  <c r="I24" i="65"/>
  <c r="AE51" i="65"/>
  <c r="I11" i="65"/>
  <c r="I37" i="65" a="1"/>
  <c r="I37" i="65" s="1"/>
  <c r="I77" i="65" s="1"/>
  <c r="E25" i="65"/>
  <c r="AA52" i="65"/>
  <c r="E12" i="65"/>
  <c r="E38" i="65" a="1"/>
  <c r="E38" i="65" s="1"/>
  <c r="E78" i="65" s="1"/>
  <c r="I28" i="65"/>
  <c r="AE55" i="65"/>
  <c r="I15" i="65"/>
  <c r="I41" i="65" a="1"/>
  <c r="I41" i="65" s="1"/>
  <c r="I81" i="65" s="1"/>
  <c r="J16" i="65"/>
  <c r="J29" i="65"/>
  <c r="AF56" i="65"/>
  <c r="J42" i="65" a="1"/>
  <c r="J42" i="65" s="1"/>
  <c r="J82" i="65" s="1"/>
  <c r="F27" i="65"/>
  <c r="AB54" i="65"/>
  <c r="F14" i="65"/>
  <c r="F40" i="65" a="1"/>
  <c r="F40" i="65" s="1"/>
  <c r="F80" i="65" s="1"/>
  <c r="E11" i="65"/>
  <c r="E24" i="65"/>
  <c r="AA51" i="65"/>
  <c r="E37" i="65" a="1"/>
  <c r="E37" i="65" s="1"/>
  <c r="E77" i="65" s="1"/>
  <c r="AG55" i="65"/>
  <c r="K28" i="65"/>
  <c r="K15" i="65"/>
  <c r="K41" i="65" a="1"/>
  <c r="K41" i="65" s="1"/>
  <c r="K81" i="65" s="1"/>
  <c r="K29" i="65"/>
  <c r="AG56" i="65"/>
  <c r="K16" i="65"/>
  <c r="K42" i="65" a="1"/>
  <c r="K42" i="65" s="1"/>
  <c r="K82" i="65" s="1"/>
  <c r="L14" i="65"/>
  <c r="L27" i="65"/>
  <c r="AH54" i="65"/>
  <c r="L40" i="65" a="1"/>
  <c r="L40" i="65" s="1"/>
  <c r="L80" i="65" s="1"/>
  <c r="AC53" i="65"/>
  <c r="G26" i="65"/>
  <c r="G13" i="65"/>
  <c r="G39" i="65" a="1"/>
  <c r="G39" i="65" s="1"/>
  <c r="G79" i="65" s="1"/>
  <c r="D25" i="65"/>
  <c r="Z52" i="65"/>
  <c r="D12" i="65"/>
  <c r="D38" i="65" a="1"/>
  <c r="D38" i="65" s="1"/>
  <c r="D78" i="65" s="1"/>
  <c r="K24" i="65"/>
  <c r="AG51" i="65"/>
  <c r="K11" i="65"/>
  <c r="K37" i="65" a="1"/>
  <c r="K37" i="65" s="1"/>
  <c r="K77" i="65" s="1"/>
  <c r="AF52" i="65"/>
  <c r="J12" i="65"/>
  <c r="J25" i="65"/>
  <c r="J38" i="65" a="1"/>
  <c r="J38" i="65" s="1"/>
  <c r="J78" i="65" s="1"/>
  <c r="D28" i="65"/>
  <c r="Z55" i="65"/>
  <c r="D15" i="65"/>
  <c r="D41" i="65" a="1"/>
  <c r="D41" i="65" s="1"/>
  <c r="D81" i="65" s="1"/>
  <c r="H16" i="65"/>
  <c r="AD56" i="65"/>
  <c r="H29" i="65"/>
  <c r="H42" i="65" a="1"/>
  <c r="H42" i="65" s="1"/>
  <c r="H82" i="65" s="1"/>
  <c r="K26" i="65"/>
  <c r="AG53" i="65"/>
  <c r="K13" i="65"/>
  <c r="K39" i="65" a="1"/>
  <c r="K39" i="65" s="1"/>
  <c r="K79" i="65" s="1"/>
  <c r="L24" i="65"/>
  <c r="AH51" i="65"/>
  <c r="L11" i="65"/>
  <c r="L37" i="65" a="1"/>
  <c r="L37" i="65" s="1"/>
  <c r="L77" i="65" s="1"/>
  <c r="Z51" i="65"/>
  <c r="D11" i="65"/>
  <c r="D24" i="65"/>
  <c r="D37" i="65" a="1"/>
  <c r="D37" i="65" s="1"/>
  <c r="D77" i="65" s="1"/>
  <c r="I12" i="65"/>
  <c r="AE52" i="65"/>
  <c r="I25" i="65"/>
  <c r="I38" i="65" a="1"/>
  <c r="I38" i="65" s="1"/>
  <c r="I78" i="65" s="1"/>
  <c r="L28" i="65"/>
  <c r="AH55" i="65"/>
  <c r="L15" i="65"/>
  <c r="L41" i="65" a="1"/>
  <c r="L41" i="65" s="1"/>
  <c r="L81" i="65" s="1"/>
  <c r="AB56" i="65"/>
  <c r="F16" i="65"/>
  <c r="F29" i="65"/>
  <c r="F42" i="65" a="1"/>
  <c r="F42" i="65" s="1"/>
  <c r="F82" i="65" s="1"/>
  <c r="D10" i="65"/>
  <c r="Z50" i="65"/>
  <c r="D23" i="65"/>
  <c r="D36" i="65" a="1"/>
  <c r="D36" i="65" s="1"/>
  <c r="D76" i="65" s="1"/>
  <c r="F11" i="65"/>
  <c r="F24" i="65"/>
  <c r="AB51" i="65"/>
  <c r="F37" i="65" a="1"/>
  <c r="F37" i="65" s="1"/>
  <c r="F77" i="65" s="1"/>
  <c r="H25" i="65"/>
  <c r="AD52" i="65"/>
  <c r="H12" i="65"/>
  <c r="H38" i="65" a="1"/>
  <c r="H38" i="65" s="1"/>
  <c r="H78" i="65" s="1"/>
  <c r="H13" i="65"/>
  <c r="AD53" i="65"/>
  <c r="H26" i="65"/>
  <c r="H39" i="65" a="1"/>
  <c r="H39" i="65" s="1"/>
  <c r="H79" i="65" s="1"/>
  <c r="AG52" i="65"/>
  <c r="K25" i="65"/>
  <c r="K12" i="65"/>
  <c r="K38" i="65" a="1"/>
  <c r="K38" i="65" s="1"/>
  <c r="K78" i="65" s="1"/>
  <c r="AA55" i="65"/>
  <c r="E28" i="65"/>
  <c r="E15" i="65"/>
  <c r="E41" i="65" a="1"/>
  <c r="E41" i="65" s="1"/>
  <c r="E81" i="65" s="1"/>
  <c r="D29" i="65"/>
  <c r="Z56" i="65"/>
  <c r="D16" i="65"/>
  <c r="D42" i="65" a="1"/>
  <c r="D42" i="65" s="1"/>
  <c r="D82" i="65" s="1"/>
  <c r="F26" i="65"/>
  <c r="AB53" i="65"/>
  <c r="F13" i="65"/>
  <c r="F39" i="65" a="1"/>
  <c r="F39" i="65" s="1"/>
  <c r="F79" i="65" s="1"/>
  <c r="K14" i="65"/>
  <c r="K27" i="65"/>
  <c r="AG54" i="65"/>
  <c r="K40" i="65" a="1"/>
  <c r="K40" i="65" s="1"/>
  <c r="K80" i="65" s="1"/>
  <c r="F15" i="65"/>
  <c r="AB55" i="65"/>
  <c r="F28" i="65"/>
  <c r="F41" i="65" a="1"/>
  <c r="F41" i="65" s="1"/>
  <c r="F81" i="65" s="1"/>
  <c r="AC56" i="65"/>
  <c r="G29" i="65"/>
  <c r="G16" i="65"/>
  <c r="G42" i="65" a="1"/>
  <c r="G42" i="65" s="1"/>
  <c r="G82" i="65" s="1"/>
  <c r="G11" i="65"/>
  <c r="AC51" i="65"/>
  <c r="G24" i="65"/>
  <c r="G37" i="65" a="1"/>
  <c r="G37" i="65" s="1"/>
  <c r="G77" i="65" s="1"/>
  <c r="J23" i="65"/>
  <c r="AF50" i="65"/>
  <c r="J10" i="65"/>
  <c r="J36" i="65" a="1"/>
  <c r="J36" i="65" s="1"/>
  <c r="J76" i="65" s="1"/>
  <c r="F23" i="65"/>
  <c r="AB50" i="65"/>
  <c r="F10" i="65"/>
  <c r="F36" i="65" a="1"/>
  <c r="F36" i="65" s="1"/>
  <c r="F76" i="65" s="1"/>
  <c r="AC54" i="65"/>
  <c r="G14" i="65"/>
  <c r="G27" i="65"/>
  <c r="G40" i="65" a="1"/>
  <c r="G40" i="65" s="1"/>
  <c r="G80" i="65" s="1"/>
  <c r="H15" i="65"/>
  <c r="H28" i="65"/>
  <c r="AD55" i="65"/>
  <c r="H41" i="65" a="1"/>
  <c r="H41" i="65" s="1"/>
  <c r="H81" i="65" s="1"/>
  <c r="L12" i="65"/>
  <c r="AH52" i="65"/>
  <c r="L25" i="65"/>
  <c r="L38" i="65" a="1"/>
  <c r="L38" i="65" s="1"/>
  <c r="L78" i="65" s="1"/>
  <c r="J24" i="65"/>
  <c r="AF51" i="65"/>
  <c r="J11" i="65"/>
  <c r="J37" i="65" a="1"/>
  <c r="J37" i="65" s="1"/>
  <c r="J77" i="65" s="1"/>
  <c r="E13" i="65"/>
  <c r="E26" i="65"/>
  <c r="AA53" i="65"/>
  <c r="E39" i="65" a="1"/>
  <c r="E39" i="65" s="1"/>
  <c r="E79" i="65" s="1"/>
  <c r="I26" i="65"/>
  <c r="AE53" i="65"/>
  <c r="I13" i="65"/>
  <c r="I39" i="65" a="1"/>
  <c r="I39" i="65" s="1"/>
  <c r="I79" i="65" s="1"/>
  <c r="J14" i="65"/>
  <c r="J27" i="65"/>
  <c r="AF54" i="65"/>
  <c r="J40" i="65" a="1"/>
  <c r="J40" i="65" s="1"/>
  <c r="J80" i="65" s="1"/>
  <c r="G28" i="65"/>
  <c r="AC55" i="65"/>
  <c r="G15" i="65"/>
  <c r="G41" i="65" a="1"/>
  <c r="G41" i="65" s="1"/>
  <c r="G81" i="65" s="1"/>
  <c r="E16" i="65"/>
  <c r="E29" i="65"/>
  <c r="AA56" i="65"/>
  <c r="E42" i="65" a="1"/>
  <c r="E42" i="65" s="1"/>
  <c r="E82" i="65" s="1"/>
  <c r="J13" i="65"/>
  <c r="J26" i="65"/>
  <c r="AF53" i="65"/>
  <c r="J39" i="65" a="1"/>
  <c r="J39" i="65" s="1"/>
  <c r="J79" i="65" s="1"/>
  <c r="AD54" i="65"/>
  <c r="H14" i="65"/>
  <c r="H27" i="65"/>
  <c r="H40" i="65" a="1"/>
  <c r="H40" i="65" s="1"/>
  <c r="H80" i="65" s="1"/>
  <c r="G23" i="65"/>
  <c r="AC50" i="65"/>
  <c r="G10" i="65"/>
  <c r="G36" i="65" a="1"/>
  <c r="G36" i="65" s="1"/>
  <c r="G76" i="65" s="1"/>
  <c r="I16" i="65"/>
  <c r="I29" i="65"/>
  <c r="AE56" i="65"/>
  <c r="I42" i="65" a="1"/>
  <c r="I42" i="65" s="1"/>
  <c r="I82" i="65" s="1"/>
  <c r="H23" i="65"/>
  <c r="AD50" i="65"/>
  <c r="H10" i="65"/>
  <c r="H36" i="65" a="1"/>
  <c r="H36" i="65" s="1"/>
  <c r="H76" i="65" s="1"/>
  <c r="H24" i="65"/>
  <c r="AD51" i="65"/>
  <c r="H11" i="65"/>
  <c r="H37" i="65" a="1"/>
  <c r="H37" i="65" s="1"/>
  <c r="H77" i="65" s="1"/>
  <c r="AE54" i="65"/>
  <c r="I14" i="65"/>
  <c r="I27" i="65"/>
  <c r="I40" i="65" a="1"/>
  <c r="I40" i="65" s="1"/>
  <c r="I80" i="65" s="1"/>
  <c r="G25" i="65"/>
  <c r="AC52" i="65"/>
  <c r="G12" i="65"/>
  <c r="G38" i="65" a="1"/>
  <c r="G38" i="65" s="1"/>
  <c r="G78" i="65" s="1"/>
  <c r="L26" i="65"/>
  <c r="AH53" i="65"/>
  <c r="L13" i="65"/>
  <c r="L39" i="65" a="1"/>
  <c r="L39" i="65" s="1"/>
  <c r="L79" i="65" s="1"/>
  <c r="D27" i="65"/>
  <c r="Z54" i="65"/>
  <c r="D14" i="65"/>
  <c r="D40" i="65" a="1"/>
  <c r="D40" i="65" s="1"/>
  <c r="D80" i="65" s="1"/>
  <c r="AH50" i="65"/>
  <c r="L10" i="65"/>
  <c r="L23" i="65"/>
  <c r="L36" i="65" a="1"/>
  <c r="L36" i="65" s="1"/>
  <c r="L76" i="65" s="1"/>
  <c r="AH56" i="65"/>
  <c r="L29" i="65"/>
  <c r="L16" i="65"/>
  <c r="L42" i="65" a="1"/>
  <c r="L42" i="65" s="1"/>
  <c r="L82" i="65" s="1"/>
  <c r="E59" i="64"/>
  <c r="E60" i="64"/>
  <c r="E62" i="64"/>
  <c r="C27" i="64"/>
  <c r="E44" i="64"/>
  <c r="C48" i="64"/>
  <c r="E48" i="64" s="1"/>
  <c r="D35" i="64"/>
  <c r="D31" i="64"/>
  <c r="D52" i="64"/>
  <c r="D53" i="64" s="1"/>
  <c r="D64" i="64"/>
  <c r="C129" i="64"/>
  <c r="E129" i="64" s="1"/>
  <c r="E121" i="64"/>
  <c r="D34" i="64"/>
  <c r="C124" i="64"/>
  <c r="C122" i="64"/>
  <c r="C123" i="64"/>
  <c r="E120" i="64"/>
  <c r="C128" i="64"/>
  <c r="E128" i="64" s="1"/>
  <c r="Q70" i="64"/>
  <c r="D74" i="64"/>
  <c r="P70" i="64"/>
  <c r="O70" i="64"/>
  <c r="N70" i="64"/>
  <c r="M70" i="64"/>
  <c r="L70" i="64"/>
  <c r="E72" i="64"/>
  <c r="C73" i="64"/>
  <c r="E73" i="64" s="1"/>
  <c r="E49" i="64"/>
  <c r="C52" i="64"/>
  <c r="E51" i="64"/>
  <c r="D92" i="63"/>
  <c r="E138" i="64"/>
  <c r="C112" i="64"/>
  <c r="E112" i="64" s="1"/>
  <c r="C197" i="63"/>
  <c r="C95" i="63"/>
  <c r="C90" i="64"/>
  <c r="D153" i="63"/>
  <c r="C107" i="64"/>
  <c r="D131" i="63"/>
  <c r="D130" i="63"/>
  <c r="C99" i="64"/>
  <c r="C31" i="64" s="1"/>
  <c r="E94" i="64"/>
  <c r="D152" i="63"/>
  <c r="D151" i="63"/>
  <c r="D129" i="63"/>
  <c r="N8" i="46"/>
  <c r="U82" i="59"/>
  <c r="N22" i="46"/>
  <c r="C22" i="46" s="1"/>
  <c r="U97" i="59"/>
  <c r="N68" i="46"/>
  <c r="U53" i="59"/>
  <c r="U68" i="59"/>
  <c r="U112" i="59"/>
  <c r="N98" i="46"/>
  <c r="U83" i="59"/>
  <c r="N23" i="46"/>
  <c r="C23" i="46" s="1"/>
  <c r="U52" i="59"/>
  <c r="U98" i="59"/>
  <c r="U37" i="59"/>
  <c r="U23" i="59"/>
  <c r="N97" i="46"/>
  <c r="U8" i="59"/>
  <c r="U67" i="59"/>
  <c r="U125" i="59"/>
  <c r="U38" i="59"/>
  <c r="N37" i="46"/>
  <c r="C37" i="46" s="1"/>
  <c r="U9" i="59"/>
  <c r="U113" i="59"/>
  <c r="N67" i="46"/>
  <c r="I127" i="48" s="1"/>
  <c r="U126" i="59"/>
  <c r="N82" i="46"/>
  <c r="C82" i="46" s="1"/>
  <c r="C9" i="59"/>
  <c r="C52" i="59"/>
  <c r="C82" i="59"/>
  <c r="C125" i="59"/>
  <c r="C83" i="59"/>
  <c r="C126" i="59"/>
  <c r="C67" i="59"/>
  <c r="C23" i="59"/>
  <c r="W5" i="59"/>
  <c r="V1" i="59"/>
  <c r="V125" i="59" s="1"/>
  <c r="H12" i="51"/>
  <c r="I12" i="51"/>
  <c r="J12" i="51"/>
  <c r="F13" i="51" a="1"/>
  <c r="F13" i="51" s="1"/>
  <c r="G13" i="51" s="1"/>
  <c r="B13" i="51" a="1"/>
  <c r="B13" i="51" s="1"/>
  <c r="E13" i="51" a="1"/>
  <c r="E13" i="51" s="1"/>
  <c r="C52" i="46"/>
  <c r="H128" i="48"/>
  <c r="U23" i="46"/>
  <c r="U113" i="46"/>
  <c r="G127" i="37"/>
  <c r="H126" i="37"/>
  <c r="N93" i="39"/>
  <c r="G112" i="37"/>
  <c r="G118" i="37" s="1"/>
  <c r="G113" i="48"/>
  <c r="U9" i="46"/>
  <c r="U126" i="46"/>
  <c r="X83" i="33"/>
  <c r="X98" i="33"/>
  <c r="X68" i="33"/>
  <c r="X38" i="33"/>
  <c r="X53" i="33"/>
  <c r="X8" i="33"/>
  <c r="X1" i="33"/>
  <c r="Y5" i="33"/>
  <c r="I119" i="48"/>
  <c r="N119" i="37"/>
  <c r="H114" i="2"/>
  <c r="F114" i="2"/>
  <c r="D142" i="2" s="1"/>
  <c r="F142" i="2" s="1"/>
  <c r="AB71" i="11"/>
  <c r="O86" i="39"/>
  <c r="O92" i="39" s="1"/>
  <c r="P122" i="37"/>
  <c r="W23" i="33"/>
  <c r="G114" i="48"/>
  <c r="G113" i="37"/>
  <c r="I123" i="48"/>
  <c r="C98" i="46"/>
  <c r="N88" i="39"/>
  <c r="I86" i="39"/>
  <c r="I92" i="39" s="1"/>
  <c r="P25" i="38"/>
  <c r="I87" i="39" s="1"/>
  <c r="E41" i="38"/>
  <c r="N25" i="33"/>
  <c r="C125" i="46"/>
  <c r="I114" i="2"/>
  <c r="D154" i="2" s="1"/>
  <c r="F154" i="2" s="1"/>
  <c r="AN71" i="11"/>
  <c r="L114" i="2"/>
  <c r="F114" i="48"/>
  <c r="F113" i="37"/>
  <c r="P27" i="38"/>
  <c r="E43" i="38"/>
  <c r="F115" i="48"/>
  <c r="F114" i="37"/>
  <c r="H93" i="39"/>
  <c r="V27" i="38"/>
  <c r="U112" i="46"/>
  <c r="N115" i="48"/>
  <c r="N114" i="37"/>
  <c r="O127" i="37"/>
  <c r="F126" i="2"/>
  <c r="D162" i="2" s="1"/>
  <c r="E24" i="38"/>
  <c r="V27" i="33"/>
  <c r="O123" i="37"/>
  <c r="O97" i="39"/>
  <c r="V28" i="38"/>
  <c r="U37" i="46"/>
  <c r="V24" i="33"/>
  <c r="E114" i="2"/>
  <c r="D130" i="2" s="1"/>
  <c r="F130" i="2" s="1"/>
  <c r="D166" i="2" s="1"/>
  <c r="P71" i="11"/>
  <c r="E76" i="38"/>
  <c r="E26" i="38"/>
  <c r="H122" i="37"/>
  <c r="O23" i="33"/>
  <c r="O128" i="48"/>
  <c r="U8" i="46"/>
  <c r="N89" i="39"/>
  <c r="AM5" i="11"/>
  <c r="I124" i="48"/>
  <c r="V26" i="33"/>
  <c r="V26" i="38"/>
  <c r="P26" i="38"/>
  <c r="I88" i="39" s="1"/>
  <c r="E42" i="38"/>
  <c r="C112" i="46"/>
  <c r="U53" i="46"/>
  <c r="U22" i="46"/>
  <c r="W107" i="38"/>
  <c r="W90" i="38"/>
  <c r="W76" i="38"/>
  <c r="W74" i="38"/>
  <c r="W43" i="38"/>
  <c r="W41" i="38"/>
  <c r="W108" i="38"/>
  <c r="W91" i="38"/>
  <c r="W105" i="38"/>
  <c r="W60" i="38"/>
  <c r="W12" i="38"/>
  <c r="W92" i="38"/>
  <c r="W59" i="38"/>
  <c r="W75" i="38"/>
  <c r="W106" i="38"/>
  <c r="W73" i="38"/>
  <c r="W58" i="38"/>
  <c r="W44" i="38"/>
  <c r="W57" i="38"/>
  <c r="W42" i="38"/>
  <c r="W9" i="38"/>
  <c r="W89" i="38"/>
  <c r="W10" i="38"/>
  <c r="W11" i="38"/>
  <c r="G123" i="37"/>
  <c r="N27" i="33"/>
  <c r="V25" i="38"/>
  <c r="U82" i="46"/>
  <c r="I97" i="39"/>
  <c r="P28" i="38"/>
  <c r="E44" i="38"/>
  <c r="N26" i="33"/>
  <c r="N9" i="46"/>
  <c r="N126" i="46"/>
  <c r="C181" i="11"/>
  <c r="E10" i="9"/>
  <c r="K10" i="8"/>
  <c r="K10" i="18"/>
  <c r="K15" i="11"/>
  <c r="P10" i="35"/>
  <c r="Q10" i="35"/>
  <c r="K10" i="35"/>
  <c r="P98" i="33"/>
  <c r="P83" i="33"/>
  <c r="P8" i="33"/>
  <c r="E8" i="33" s="1"/>
  <c r="P68" i="33"/>
  <c r="P38" i="33"/>
  <c r="P53" i="33"/>
  <c r="P1" i="33"/>
  <c r="U68" i="46"/>
  <c r="O113" i="48"/>
  <c r="O112" i="37"/>
  <c r="O118" i="37" s="1"/>
  <c r="C68" i="46"/>
  <c r="U83" i="46"/>
  <c r="P100" i="39"/>
  <c r="V25" i="33"/>
  <c r="E12" i="38"/>
  <c r="F119" i="37"/>
  <c r="N83" i="46"/>
  <c r="C83" i="46" s="1"/>
  <c r="N113" i="46"/>
  <c r="C8" i="46"/>
  <c r="K114" i="2"/>
  <c r="W71" i="11"/>
  <c r="O86" i="33"/>
  <c r="O55" i="33"/>
  <c r="O69" i="33"/>
  <c r="O57" i="33"/>
  <c r="O71" i="33"/>
  <c r="O42" i="33"/>
  <c r="O40" i="33"/>
  <c r="O85" i="33"/>
  <c r="O99" i="33"/>
  <c r="O54" i="33"/>
  <c r="O41" i="33"/>
  <c r="O72" i="33"/>
  <c r="O101" i="33"/>
  <c r="O87" i="33"/>
  <c r="O11" i="33"/>
  <c r="O84" i="33"/>
  <c r="O70" i="33"/>
  <c r="O10" i="33"/>
  <c r="O100" i="33"/>
  <c r="O56" i="33"/>
  <c r="O39" i="33"/>
  <c r="O102" i="33"/>
  <c r="O12" i="33"/>
  <c r="O9" i="33"/>
  <c r="O101" i="39"/>
  <c r="U67" i="46"/>
  <c r="X72" i="38"/>
  <c r="X40" i="38"/>
  <c r="X104" i="38"/>
  <c r="X8" i="38"/>
  <c r="X1" i="38"/>
  <c r="X56" i="38"/>
  <c r="Y5" i="38"/>
  <c r="X88" i="38"/>
  <c r="E108" i="38"/>
  <c r="N53" i="46"/>
  <c r="N114" i="48"/>
  <c r="N113" i="37"/>
  <c r="C126" i="46"/>
  <c r="P96" i="39"/>
  <c r="W24" i="38"/>
  <c r="N87" i="39"/>
  <c r="W56" i="33"/>
  <c r="W54" i="33"/>
  <c r="W41" i="33"/>
  <c r="W39" i="33"/>
  <c r="W101" i="33"/>
  <c r="W84" i="33"/>
  <c r="W87" i="33"/>
  <c r="W102" i="33"/>
  <c r="W99" i="33"/>
  <c r="W57" i="33"/>
  <c r="W10" i="33"/>
  <c r="W70" i="33"/>
  <c r="W55" i="33"/>
  <c r="W12" i="33"/>
  <c r="W9" i="33"/>
  <c r="W100" i="33"/>
  <c r="W40" i="33"/>
  <c r="W85" i="33"/>
  <c r="W71" i="33"/>
  <c r="W69" i="33"/>
  <c r="W42" i="33"/>
  <c r="W72" i="33"/>
  <c r="W11" i="33"/>
  <c r="W86" i="33"/>
  <c r="I101" i="39"/>
  <c r="E60" i="38"/>
  <c r="H120" i="48"/>
  <c r="C9" i="46"/>
  <c r="C97" i="46"/>
  <c r="V1" i="46"/>
  <c r="V125" i="46" s="1"/>
  <c r="V97" i="46"/>
  <c r="W5" i="46"/>
  <c r="W5" i="52" s="1"/>
  <c r="P126" i="37"/>
  <c r="E92" i="38"/>
  <c r="AZ242" i="65" l="1"/>
  <c r="AZ189" i="65"/>
  <c r="AY211" i="65"/>
  <c r="AY224" i="65"/>
  <c r="AY237" i="65"/>
  <c r="AY171" i="65"/>
  <c r="AV213" i="65"/>
  <c r="AV226" i="65"/>
  <c r="AV239" i="65"/>
  <c r="AV173" i="65"/>
  <c r="AV186" i="65"/>
  <c r="AV199" i="65"/>
  <c r="AU236" i="65"/>
  <c r="AU170" i="65"/>
  <c r="AU223" i="65"/>
  <c r="AU183" i="65"/>
  <c r="AU196" i="65"/>
  <c r="AU210" i="65"/>
  <c r="AT189" i="65"/>
  <c r="AT176" i="65"/>
  <c r="AT202" i="65"/>
  <c r="AT216" i="65"/>
  <c r="AT229" i="65"/>
  <c r="AT242" i="65"/>
  <c r="AW197" i="65"/>
  <c r="AW211" i="65"/>
  <c r="AW224" i="65"/>
  <c r="AW237" i="65"/>
  <c r="AW171" i="65"/>
  <c r="AW184" i="65"/>
  <c r="AT238" i="65"/>
  <c r="AT172" i="65"/>
  <c r="AT198" i="65"/>
  <c r="AT185" i="65"/>
  <c r="AT212" i="65"/>
  <c r="AT225" i="65"/>
  <c r="AV172" i="65"/>
  <c r="AV185" i="65"/>
  <c r="AV225" i="65"/>
  <c r="AV198" i="65"/>
  <c r="AV212" i="65"/>
  <c r="AV238" i="65"/>
  <c r="AX189" i="65"/>
  <c r="AX216" i="65"/>
  <c r="AX202" i="65"/>
  <c r="AX229" i="65"/>
  <c r="AX242" i="65"/>
  <c r="AX176" i="65"/>
  <c r="AW172" i="65"/>
  <c r="AW185" i="65"/>
  <c r="AV229" i="65"/>
  <c r="AV242" i="65"/>
  <c r="AT184" i="65"/>
  <c r="AT197" i="65"/>
  <c r="AT211" i="65"/>
  <c r="AT224" i="65"/>
  <c r="AT237" i="65"/>
  <c r="AT171" i="65"/>
  <c r="AV200" i="65"/>
  <c r="AV214" i="65"/>
  <c r="AV227" i="65"/>
  <c r="AV240" i="65"/>
  <c r="AY170" i="65"/>
  <c r="AY183" i="65"/>
  <c r="AY196" i="65"/>
  <c r="AY210" i="65"/>
  <c r="AT228" i="65"/>
  <c r="AT215" i="65"/>
  <c r="AT201" i="65"/>
  <c r="AT241" i="65"/>
  <c r="AT175" i="65"/>
  <c r="AT188" i="65"/>
  <c r="AV228" i="65"/>
  <c r="AV241" i="65"/>
  <c r="AV215" i="65"/>
  <c r="AV188" i="65"/>
  <c r="AV175" i="65"/>
  <c r="AV201" i="65"/>
  <c r="BA200" i="65"/>
  <c r="BA214" i="65"/>
  <c r="AT183" i="65"/>
  <c r="AT170" i="65"/>
  <c r="AT236" i="65"/>
  <c r="G297" i="65"/>
  <c r="BB200" i="65" s="1"/>
  <c r="AT196" i="65"/>
  <c r="AT223" i="65"/>
  <c r="AT210" i="65"/>
  <c r="BB216" i="65"/>
  <c r="BB229" i="65"/>
  <c r="BB242" i="65"/>
  <c r="BB176" i="65"/>
  <c r="BB189" i="65"/>
  <c r="AV236" i="65"/>
  <c r="AV210" i="65"/>
  <c r="AV170" i="65"/>
  <c r="AV183" i="65"/>
  <c r="AV196" i="65"/>
  <c r="AV223" i="65"/>
  <c r="AW170" i="65"/>
  <c r="AW183" i="65"/>
  <c r="AW236" i="65"/>
  <c r="AW196" i="65"/>
  <c r="AW210" i="65"/>
  <c r="AW223" i="65"/>
  <c r="AT213" i="65"/>
  <c r="AT199" i="65"/>
  <c r="AT226" i="65"/>
  <c r="AT239" i="65"/>
  <c r="AT173" i="65"/>
  <c r="AT186" i="65"/>
  <c r="BB201" i="65"/>
  <c r="BB215" i="65"/>
  <c r="BB228" i="65"/>
  <c r="BB241" i="65"/>
  <c r="AU199" i="65"/>
  <c r="AU213" i="65"/>
  <c r="AU226" i="65"/>
  <c r="AU239" i="65"/>
  <c r="AU173" i="65"/>
  <c r="AU186" i="65"/>
  <c r="BA183" i="65"/>
  <c r="AU176" i="65"/>
  <c r="AU189" i="65"/>
  <c r="AU202" i="65"/>
  <c r="AU216" i="65"/>
  <c r="AU229" i="65"/>
  <c r="AU242" i="65"/>
  <c r="AZ172" i="65"/>
  <c r="AZ185" i="65"/>
  <c r="AZ198" i="65"/>
  <c r="AZ212" i="65"/>
  <c r="AZ225" i="65"/>
  <c r="AV197" i="65"/>
  <c r="AV211" i="65"/>
  <c r="AV224" i="65"/>
  <c r="AV237" i="65"/>
  <c r="AV171" i="65"/>
  <c r="AV184" i="65"/>
  <c r="AY172" i="65"/>
  <c r="AY185" i="65"/>
  <c r="AY198" i="65"/>
  <c r="AY212" i="65"/>
  <c r="AY225" i="65"/>
  <c r="AY238" i="65"/>
  <c r="BA224" i="65"/>
  <c r="BA237" i="65"/>
  <c r="BA171" i="65"/>
  <c r="AX224" i="65"/>
  <c r="AX237" i="65"/>
  <c r="AX171" i="65"/>
  <c r="AX184" i="65"/>
  <c r="AZ237" i="65"/>
  <c r="AZ224" i="65"/>
  <c r="AZ171" i="65"/>
  <c r="AZ184" i="65"/>
  <c r="AZ197" i="65"/>
  <c r="AZ211" i="65"/>
  <c r="BA239" i="65"/>
  <c r="AY241" i="65"/>
  <c r="AY175" i="65"/>
  <c r="AY188" i="65"/>
  <c r="AY201" i="65"/>
  <c r="AY215" i="65"/>
  <c r="AY228" i="65"/>
  <c r="BA229" i="65"/>
  <c r="BA216" i="65"/>
  <c r="BA242" i="65"/>
  <c r="BA176" i="65"/>
  <c r="BA189" i="65"/>
  <c r="BA215" i="65"/>
  <c r="BA241" i="65"/>
  <c r="AX170" i="65"/>
  <c r="AX183" i="65"/>
  <c r="AX196" i="65"/>
  <c r="AX210" i="65"/>
  <c r="AX223" i="65"/>
  <c r="AX236" i="65"/>
  <c r="BB239" i="65"/>
  <c r="BB173" i="65"/>
  <c r="BB186" i="65"/>
  <c r="AW174" i="65"/>
  <c r="AW200" i="65"/>
  <c r="AW214" i="65"/>
  <c r="AW227" i="65"/>
  <c r="AW240" i="65"/>
  <c r="AU184" i="65"/>
  <c r="AU197" i="65"/>
  <c r="AU211" i="65"/>
  <c r="AU224" i="65"/>
  <c r="AU237" i="65"/>
  <c r="AU171" i="65"/>
  <c r="AU174" i="65"/>
  <c r="AU187" i="65"/>
  <c r="AU200" i="65"/>
  <c r="AU214" i="65"/>
  <c r="AU227" i="65"/>
  <c r="AU240" i="65"/>
  <c r="BB170" i="65"/>
  <c r="BB183" i="65"/>
  <c r="BB196" i="65"/>
  <c r="BB210" i="65"/>
  <c r="BB236" i="65"/>
  <c r="BB223" i="65"/>
  <c r="AW228" i="65"/>
  <c r="AW241" i="65"/>
  <c r="AW201" i="65"/>
  <c r="AW175" i="65"/>
  <c r="AW188" i="65"/>
  <c r="BA212" i="65"/>
  <c r="BA225" i="65"/>
  <c r="BA238" i="65"/>
  <c r="BA172" i="65"/>
  <c r="AY226" i="65"/>
  <c r="AY239" i="65"/>
  <c r="AY173" i="65"/>
  <c r="AY186" i="65"/>
  <c r="AY199" i="65"/>
  <c r="AY213" i="65"/>
  <c r="AX226" i="65"/>
  <c r="AX239" i="65"/>
  <c r="AX173" i="65"/>
  <c r="AW213" i="65"/>
  <c r="AW226" i="65"/>
  <c r="AW239" i="65"/>
  <c r="AW186" i="65"/>
  <c r="AW173" i="65"/>
  <c r="AW199" i="65"/>
  <c r="AY187" i="65"/>
  <c r="AY200" i="65"/>
  <c r="AY214" i="65"/>
  <c r="AY227" i="65"/>
  <c r="AY240" i="65"/>
  <c r="AY174" i="65"/>
  <c r="AU215" i="65"/>
  <c r="AU228" i="65"/>
  <c r="AU188" i="65"/>
  <c r="AU241" i="65"/>
  <c r="AU175" i="65"/>
  <c r="AU201" i="65"/>
  <c r="AW202" i="65"/>
  <c r="AW189" i="65"/>
  <c r="AW216" i="65"/>
  <c r="AW229" i="65"/>
  <c r="AW242" i="65"/>
  <c r="AW176" i="65"/>
  <c r="AX241" i="65"/>
  <c r="AX201" i="65"/>
  <c r="AX228" i="65"/>
  <c r="AX175" i="65"/>
  <c r="AX188" i="65"/>
  <c r="BB171" i="65"/>
  <c r="BB197" i="65"/>
  <c r="BB184" i="65"/>
  <c r="BB224" i="65"/>
  <c r="BB211" i="65"/>
  <c r="AZ239" i="65"/>
  <c r="AZ173" i="65"/>
  <c r="AZ186" i="65"/>
  <c r="AZ199" i="65"/>
  <c r="AZ213" i="65"/>
  <c r="AZ226" i="65"/>
  <c r="AU172" i="65"/>
  <c r="AU185" i="65"/>
  <c r="AU212" i="65"/>
  <c r="AU198" i="65"/>
  <c r="AU225" i="65"/>
  <c r="AU238" i="65"/>
  <c r="BB185" i="65"/>
  <c r="BB198" i="65"/>
  <c r="BB212" i="65"/>
  <c r="BB225" i="65"/>
  <c r="BB238" i="65"/>
  <c r="BB172" i="65"/>
  <c r="AY216" i="65"/>
  <c r="AY202" i="65"/>
  <c r="AY189" i="65"/>
  <c r="AY229" i="65"/>
  <c r="AY242" i="65"/>
  <c r="AY176" i="65"/>
  <c r="AT174" i="65"/>
  <c r="AT187" i="65"/>
  <c r="AT200" i="65"/>
  <c r="AT214" i="65"/>
  <c r="AT227" i="65"/>
  <c r="AT240" i="65"/>
  <c r="AZ170" i="65"/>
  <c r="AZ183" i="65"/>
  <c r="AZ236" i="65"/>
  <c r="AZ196" i="65"/>
  <c r="AZ210" i="65"/>
  <c r="AZ223" i="65"/>
  <c r="H143" i="65"/>
  <c r="AX116" i="65"/>
  <c r="AX130" i="65"/>
  <c r="AX103" i="65"/>
  <c r="AX143" i="65"/>
  <c r="AX156" i="65"/>
  <c r="AX90" i="65"/>
  <c r="H149" i="65"/>
  <c r="AX162" i="65"/>
  <c r="AX96" i="65"/>
  <c r="AX109" i="65"/>
  <c r="AX122" i="65"/>
  <c r="AX136" i="65"/>
  <c r="AX149" i="65"/>
  <c r="J144" i="65"/>
  <c r="AZ91" i="65"/>
  <c r="AZ157" i="65"/>
  <c r="H145" i="65"/>
  <c r="AX132" i="65"/>
  <c r="AX145" i="65"/>
  <c r="AX158" i="65"/>
  <c r="AX118" i="65"/>
  <c r="AX92" i="65"/>
  <c r="AX105" i="65"/>
  <c r="I149" i="65"/>
  <c r="AY162" i="65"/>
  <c r="AY96" i="65"/>
  <c r="AY109" i="65"/>
  <c r="D147" i="65"/>
  <c r="AT120" i="65"/>
  <c r="AT107" i="65"/>
  <c r="AT134" i="65"/>
  <c r="AT147" i="65"/>
  <c r="AT160" i="65"/>
  <c r="AT94" i="65"/>
  <c r="L149" i="65"/>
  <c r="BB96" i="65"/>
  <c r="BB109" i="65"/>
  <c r="BB122" i="65"/>
  <c r="BB136" i="65"/>
  <c r="BB149" i="65"/>
  <c r="AT90" i="65"/>
  <c r="G296" i="65"/>
  <c r="AZ104" i="65" s="1"/>
  <c r="AT156" i="65"/>
  <c r="AT143" i="65"/>
  <c r="AT130" i="65"/>
  <c r="AT116" i="65"/>
  <c r="AT103" i="65"/>
  <c r="L148" i="65"/>
  <c r="BB121" i="65"/>
  <c r="BB135" i="65"/>
  <c r="BB148" i="65"/>
  <c r="BB161" i="65"/>
  <c r="BB95" i="65"/>
  <c r="BB108" i="65"/>
  <c r="F144" i="65"/>
  <c r="AV157" i="65"/>
  <c r="AV91" i="65"/>
  <c r="AV104" i="65"/>
  <c r="AV117" i="65"/>
  <c r="AV131" i="65"/>
  <c r="AV144" i="65"/>
  <c r="E148" i="65"/>
  <c r="AU95" i="65"/>
  <c r="AU108" i="65"/>
  <c r="AU121" i="65"/>
  <c r="AU135" i="65"/>
  <c r="AU148" i="65"/>
  <c r="AU161" i="65"/>
  <c r="K149" i="65"/>
  <c r="BA96" i="65"/>
  <c r="BA109" i="65"/>
  <c r="BA136" i="65"/>
  <c r="BA149" i="65"/>
  <c r="BA162" i="65"/>
  <c r="K147" i="65"/>
  <c r="BA160" i="65"/>
  <c r="BA94" i="65"/>
  <c r="BA107" i="65"/>
  <c r="BA120" i="65"/>
  <c r="BA134" i="65"/>
  <c r="BA147" i="65"/>
  <c r="E144" i="65"/>
  <c r="AU157" i="65"/>
  <c r="AU91" i="65"/>
  <c r="AU104" i="65"/>
  <c r="AU117" i="65"/>
  <c r="AU131" i="65"/>
  <c r="AU144" i="65"/>
  <c r="K146" i="65"/>
  <c r="BA106" i="65"/>
  <c r="BA119" i="65"/>
  <c r="BA133" i="65"/>
  <c r="BA146" i="65"/>
  <c r="BA159" i="65"/>
  <c r="BA93" i="65"/>
  <c r="F149" i="65"/>
  <c r="AV149" i="65"/>
  <c r="AV162" i="65"/>
  <c r="AV136" i="65"/>
  <c r="AV96" i="65"/>
  <c r="AV109" i="65"/>
  <c r="AV122" i="65"/>
  <c r="I144" i="65"/>
  <c r="AY91" i="65"/>
  <c r="AY104" i="65"/>
  <c r="AY117" i="65"/>
  <c r="AY131" i="65"/>
  <c r="AY144" i="65"/>
  <c r="AY157" i="65"/>
  <c r="L145" i="65"/>
  <c r="BB158" i="65"/>
  <c r="BB145" i="65"/>
  <c r="BB92" i="65"/>
  <c r="BB105" i="65"/>
  <c r="BB118" i="65"/>
  <c r="BB132" i="65"/>
  <c r="L147" i="65"/>
  <c r="BB94" i="65"/>
  <c r="BB120" i="65"/>
  <c r="BB134" i="65"/>
  <c r="BB147" i="65"/>
  <c r="BB160" i="65"/>
  <c r="J146" i="65"/>
  <c r="AZ93" i="65"/>
  <c r="AZ106" i="65"/>
  <c r="AZ119" i="65"/>
  <c r="AZ133" i="65"/>
  <c r="AZ146" i="65"/>
  <c r="AZ159" i="65"/>
  <c r="L146" i="65"/>
  <c r="BB106" i="65"/>
  <c r="BB119" i="65"/>
  <c r="BB133" i="65"/>
  <c r="BB159" i="65"/>
  <c r="BB93" i="65"/>
  <c r="J143" i="65"/>
  <c r="AZ130" i="65"/>
  <c r="AZ143" i="65"/>
  <c r="AZ156" i="65"/>
  <c r="AZ116" i="65"/>
  <c r="AZ90" i="65"/>
  <c r="AZ103" i="65"/>
  <c r="J148" i="65"/>
  <c r="AZ108" i="65"/>
  <c r="AZ121" i="65"/>
  <c r="AZ135" i="65"/>
  <c r="AZ148" i="65"/>
  <c r="AZ161" i="65"/>
  <c r="I146" i="65"/>
  <c r="AY93" i="65"/>
  <c r="AY106" i="65"/>
  <c r="AY119" i="65"/>
  <c r="AY133" i="65"/>
  <c r="AY146" i="65"/>
  <c r="AY159" i="65"/>
  <c r="G147" i="65"/>
  <c r="AW134" i="65"/>
  <c r="AW147" i="65"/>
  <c r="AW160" i="65"/>
  <c r="AW94" i="65"/>
  <c r="AW107" i="65"/>
  <c r="AW120" i="65"/>
  <c r="J145" i="65"/>
  <c r="AZ132" i="65"/>
  <c r="AZ145" i="65"/>
  <c r="AZ158" i="65"/>
  <c r="AZ92" i="65"/>
  <c r="AZ105" i="65"/>
  <c r="AZ118" i="65"/>
  <c r="E146" i="65"/>
  <c r="AU93" i="65"/>
  <c r="AU159" i="65"/>
  <c r="AU106" i="65"/>
  <c r="AU119" i="65"/>
  <c r="AU133" i="65"/>
  <c r="AU146" i="65"/>
  <c r="E147" i="65"/>
  <c r="AU120" i="65"/>
  <c r="AU134" i="65"/>
  <c r="AU147" i="65"/>
  <c r="AU160" i="65"/>
  <c r="AU94" i="65"/>
  <c r="AU107" i="65"/>
  <c r="H144" i="65"/>
  <c r="AX91" i="65"/>
  <c r="AX104" i="65"/>
  <c r="AX117" i="65"/>
  <c r="AX131" i="65"/>
  <c r="AX144" i="65"/>
  <c r="AX157" i="65"/>
  <c r="I148" i="65"/>
  <c r="AY108" i="65"/>
  <c r="AY121" i="65"/>
  <c r="AY135" i="65"/>
  <c r="AY148" i="65"/>
  <c r="AY161" i="65"/>
  <c r="AY95" i="65"/>
  <c r="H146" i="65"/>
  <c r="AX93" i="65"/>
  <c r="AX106" i="65"/>
  <c r="AX119" i="65"/>
  <c r="AX133" i="65"/>
  <c r="AX146" i="65"/>
  <c r="AX159" i="65"/>
  <c r="D148" i="65"/>
  <c r="AT95" i="65"/>
  <c r="AT108" i="65"/>
  <c r="AT121" i="65"/>
  <c r="AT135" i="65"/>
  <c r="AT148" i="65"/>
  <c r="AT161" i="65"/>
  <c r="D145" i="65"/>
  <c r="AT105" i="65"/>
  <c r="AT118" i="65"/>
  <c r="AT132" i="65"/>
  <c r="AT92" i="65"/>
  <c r="AT145" i="65"/>
  <c r="AT158" i="65"/>
  <c r="F148" i="65"/>
  <c r="AV95" i="65"/>
  <c r="AV108" i="65"/>
  <c r="AV121" i="65"/>
  <c r="AV135" i="65"/>
  <c r="AV148" i="65"/>
  <c r="AV161" i="65"/>
  <c r="G146" i="65"/>
  <c r="AW93" i="65"/>
  <c r="AW106" i="65"/>
  <c r="AW119" i="65"/>
  <c r="AW133" i="65"/>
  <c r="AW146" i="65"/>
  <c r="AW159" i="65"/>
  <c r="F143" i="65"/>
  <c r="AV103" i="65"/>
  <c r="AV116" i="65"/>
  <c r="AV130" i="65"/>
  <c r="AV143" i="65"/>
  <c r="AV156" i="65"/>
  <c r="AV90" i="65"/>
  <c r="J147" i="65"/>
  <c r="AZ160" i="65"/>
  <c r="AZ94" i="65"/>
  <c r="AZ107" i="65"/>
  <c r="AZ120" i="65"/>
  <c r="AZ134" i="65"/>
  <c r="AZ147" i="65"/>
  <c r="J149" i="65"/>
  <c r="AZ96" i="65"/>
  <c r="AZ109" i="65"/>
  <c r="AZ122" i="65"/>
  <c r="AZ136" i="65"/>
  <c r="AZ149" i="65"/>
  <c r="AZ162" i="65"/>
  <c r="I147" i="65"/>
  <c r="AY147" i="65"/>
  <c r="AY160" i="65"/>
  <c r="AY94" i="65"/>
  <c r="AY107" i="65"/>
  <c r="AY120" i="65"/>
  <c r="AY134" i="65"/>
  <c r="G144" i="65"/>
  <c r="AW91" i="65"/>
  <c r="AW104" i="65"/>
  <c r="AW117" i="65"/>
  <c r="AW131" i="65"/>
  <c r="AW144" i="65"/>
  <c r="AW157" i="65"/>
  <c r="I143" i="65"/>
  <c r="AY116" i="65"/>
  <c r="AY130" i="65"/>
  <c r="AY143" i="65"/>
  <c r="AY156" i="65"/>
  <c r="AY90" i="65"/>
  <c r="AY103" i="65"/>
  <c r="F146" i="65"/>
  <c r="AV93" i="65"/>
  <c r="AV106" i="65"/>
  <c r="AV119" i="65"/>
  <c r="AV133" i="65"/>
  <c r="AV146" i="65"/>
  <c r="AV159" i="65"/>
  <c r="L144" i="65"/>
  <c r="BB91" i="65"/>
  <c r="BB104" i="65"/>
  <c r="BB117" i="65"/>
  <c r="BB131" i="65"/>
  <c r="BB144" i="65"/>
  <c r="BB157" i="65"/>
  <c r="K145" i="65"/>
  <c r="BA145" i="65"/>
  <c r="BA158" i="65"/>
  <c r="BA92" i="65"/>
  <c r="BA105" i="65"/>
  <c r="BA118" i="65"/>
  <c r="BA132" i="65"/>
  <c r="F145" i="65"/>
  <c r="AV118" i="65"/>
  <c r="AV132" i="65"/>
  <c r="AV145" i="65"/>
  <c r="AV105" i="65"/>
  <c r="AV158" i="65"/>
  <c r="AV92" i="65"/>
  <c r="E145" i="65"/>
  <c r="AU105" i="65"/>
  <c r="AU118" i="65"/>
  <c r="AU132" i="65"/>
  <c r="AU145" i="65"/>
  <c r="AU158" i="65"/>
  <c r="AU92" i="65"/>
  <c r="G149" i="65"/>
  <c r="AW149" i="65"/>
  <c r="AW162" i="65"/>
  <c r="AW96" i="65"/>
  <c r="AW109" i="65"/>
  <c r="AW122" i="65"/>
  <c r="AW136" i="65"/>
  <c r="E143" i="65"/>
  <c r="AU90" i="65"/>
  <c r="AU103" i="65"/>
  <c r="AU116" i="65"/>
  <c r="AU130" i="65"/>
  <c r="AU143" i="65"/>
  <c r="AU156" i="65"/>
  <c r="H147" i="65"/>
  <c r="AX147" i="65"/>
  <c r="AX160" i="65"/>
  <c r="AX134" i="65"/>
  <c r="AX94" i="65"/>
  <c r="AX107" i="65"/>
  <c r="AX120" i="65"/>
  <c r="H148" i="65"/>
  <c r="AX95" i="65"/>
  <c r="AX108" i="65"/>
  <c r="AX121" i="65"/>
  <c r="AX135" i="65"/>
  <c r="AX148" i="65"/>
  <c r="AX161" i="65"/>
  <c r="G148" i="65"/>
  <c r="AW95" i="65"/>
  <c r="AW108" i="65"/>
  <c r="AW121" i="65"/>
  <c r="AW135" i="65"/>
  <c r="AW148" i="65"/>
  <c r="AW161" i="65"/>
  <c r="D146" i="65"/>
  <c r="AT159" i="65"/>
  <c r="AT93" i="65"/>
  <c r="AT106" i="65"/>
  <c r="AT119" i="65"/>
  <c r="AT133" i="65"/>
  <c r="AT146" i="65"/>
  <c r="F147" i="65"/>
  <c r="AV134" i="65"/>
  <c r="AV147" i="65"/>
  <c r="AV160" i="65"/>
  <c r="AV120" i="65"/>
  <c r="AV94" i="65"/>
  <c r="AV107" i="65"/>
  <c r="D144" i="65"/>
  <c r="AT144" i="65"/>
  <c r="AT157" i="65"/>
  <c r="AT91" i="65"/>
  <c r="AT104" i="65"/>
  <c r="AT117" i="65"/>
  <c r="AT131" i="65"/>
  <c r="L143" i="65"/>
  <c r="BB143" i="65"/>
  <c r="BB156" i="65"/>
  <c r="BB90" i="65"/>
  <c r="BB103" i="65"/>
  <c r="BB116" i="65"/>
  <c r="BB130" i="65"/>
  <c r="D149" i="65"/>
  <c r="AT136" i="65"/>
  <c r="AT122" i="65"/>
  <c r="AT149" i="65"/>
  <c r="AT162" i="65"/>
  <c r="AT96" i="65"/>
  <c r="AT109" i="65"/>
  <c r="K144" i="65"/>
  <c r="BA91" i="65"/>
  <c r="BA104" i="65"/>
  <c r="BA117" i="65"/>
  <c r="BA131" i="65"/>
  <c r="BA144" i="65"/>
  <c r="BA157" i="65"/>
  <c r="G145" i="65"/>
  <c r="AW118" i="65"/>
  <c r="AW132" i="65"/>
  <c r="AW145" i="65"/>
  <c r="AW158" i="65"/>
  <c r="AW92" i="65"/>
  <c r="AW105" i="65"/>
  <c r="I145" i="65"/>
  <c r="AY132" i="65"/>
  <c r="AY145" i="65"/>
  <c r="AY158" i="65"/>
  <c r="AY92" i="65"/>
  <c r="AY105" i="65"/>
  <c r="AY118" i="65"/>
  <c r="E149" i="65"/>
  <c r="AU136" i="65"/>
  <c r="AU149" i="65"/>
  <c r="AU162" i="65"/>
  <c r="AU96" i="65"/>
  <c r="AU109" i="65"/>
  <c r="AU122" i="65"/>
  <c r="K143" i="65"/>
  <c r="BA130" i="65"/>
  <c r="BA143" i="65"/>
  <c r="BA156" i="65"/>
  <c r="BA90" i="65"/>
  <c r="BA103" i="65"/>
  <c r="BA116" i="65"/>
  <c r="K148" i="65"/>
  <c r="BA121" i="65"/>
  <c r="BA135" i="65"/>
  <c r="BA148" i="65"/>
  <c r="BA161" i="65"/>
  <c r="BA95" i="65"/>
  <c r="BA108" i="65"/>
  <c r="H121" i="65" a="1"/>
  <c r="H121" i="65" s="1"/>
  <c r="H161" i="65" s="1"/>
  <c r="H108" i="65"/>
  <c r="H95" i="65"/>
  <c r="F118" i="65" a="1"/>
  <c r="F118" i="65" s="1"/>
  <c r="F158" i="65" s="1"/>
  <c r="H210" i="65"/>
  <c r="H223" i="65"/>
  <c r="L213" i="65"/>
  <c r="L226" i="65"/>
  <c r="G214" i="65"/>
  <c r="G227" i="65"/>
  <c r="E211" i="65"/>
  <c r="E224" i="65"/>
  <c r="E214" i="65"/>
  <c r="E227" i="65"/>
  <c r="L210" i="65"/>
  <c r="L223" i="65"/>
  <c r="K215" i="65"/>
  <c r="K228" i="65"/>
  <c r="G215" i="65"/>
  <c r="G228" i="65"/>
  <c r="K225" i="65"/>
  <c r="K212" i="65"/>
  <c r="I213" i="65"/>
  <c r="I226" i="65"/>
  <c r="H213" i="65"/>
  <c r="H226" i="65"/>
  <c r="G213" i="65"/>
  <c r="G226" i="65"/>
  <c r="I214" i="65"/>
  <c r="I227" i="65"/>
  <c r="E215" i="65"/>
  <c r="E228" i="65"/>
  <c r="G216" i="65"/>
  <c r="G229" i="65"/>
  <c r="H215" i="65"/>
  <c r="H228" i="65"/>
  <c r="L211" i="65"/>
  <c r="L224" i="65"/>
  <c r="J213" i="65"/>
  <c r="J226" i="65"/>
  <c r="E212" i="65"/>
  <c r="E225" i="65"/>
  <c r="L212" i="65"/>
  <c r="L225" i="65"/>
  <c r="I229" i="65"/>
  <c r="I216" i="65"/>
  <c r="D214" i="65"/>
  <c r="D227" i="65"/>
  <c r="J210" i="65"/>
  <c r="J223" i="65"/>
  <c r="L227" i="65"/>
  <c r="L214" i="65"/>
  <c r="J216" i="65"/>
  <c r="J229" i="65"/>
  <c r="I224" i="65"/>
  <c r="I211" i="65"/>
  <c r="H212" i="65"/>
  <c r="H225" i="65"/>
  <c r="F213" i="65"/>
  <c r="F226" i="65"/>
  <c r="E210" i="65"/>
  <c r="E223" i="65"/>
  <c r="J215" i="65"/>
  <c r="J228" i="65"/>
  <c r="D216" i="65"/>
  <c r="D229" i="65"/>
  <c r="G224" i="65"/>
  <c r="G211" i="65"/>
  <c r="D212" i="65"/>
  <c r="D225" i="65"/>
  <c r="F105" i="65"/>
  <c r="F212" i="65"/>
  <c r="F225" i="65"/>
  <c r="H214" i="65"/>
  <c r="H227" i="65"/>
  <c r="H216" i="65"/>
  <c r="H229" i="65"/>
  <c r="G212" i="65"/>
  <c r="G225" i="65"/>
  <c r="F92" i="65"/>
  <c r="F216" i="65"/>
  <c r="F229" i="65"/>
  <c r="D211" i="65"/>
  <c r="D224" i="65"/>
  <c r="J214" i="65"/>
  <c r="J227" i="65"/>
  <c r="F214" i="65"/>
  <c r="F227" i="65"/>
  <c r="I223" i="65"/>
  <c r="I210" i="65"/>
  <c r="D215" i="65"/>
  <c r="D228" i="65"/>
  <c r="F215" i="65"/>
  <c r="F228" i="65"/>
  <c r="K227" i="65"/>
  <c r="K214" i="65"/>
  <c r="D223" i="65"/>
  <c r="D210" i="65"/>
  <c r="L216" i="65"/>
  <c r="L229" i="65"/>
  <c r="F210" i="65"/>
  <c r="F223" i="65"/>
  <c r="G210" i="65"/>
  <c r="G223" i="65"/>
  <c r="D226" i="65"/>
  <c r="D213" i="65"/>
  <c r="L215" i="65"/>
  <c r="L228" i="65"/>
  <c r="E226" i="65"/>
  <c r="E213" i="65"/>
  <c r="K210" i="65"/>
  <c r="K223" i="65"/>
  <c r="I212" i="65"/>
  <c r="I225" i="65"/>
  <c r="E216" i="65"/>
  <c r="E229" i="65"/>
  <c r="J212" i="65"/>
  <c r="J225" i="65"/>
  <c r="F224" i="65"/>
  <c r="F211" i="65"/>
  <c r="K211" i="65"/>
  <c r="K224" i="65"/>
  <c r="H224" i="65"/>
  <c r="H211" i="65"/>
  <c r="J211" i="65"/>
  <c r="J224" i="65"/>
  <c r="K213" i="65"/>
  <c r="K226" i="65"/>
  <c r="I215" i="65"/>
  <c r="I228" i="65"/>
  <c r="K216" i="65"/>
  <c r="K229" i="65"/>
  <c r="D143" i="65"/>
  <c r="I96" i="65"/>
  <c r="I109" i="65"/>
  <c r="I122" i="65" a="1"/>
  <c r="I122" i="65" s="1"/>
  <c r="I162" i="65" s="1"/>
  <c r="L94" i="65"/>
  <c r="L107" i="65"/>
  <c r="L120" i="65" a="1"/>
  <c r="L120" i="65" s="1"/>
  <c r="L160" i="65" s="1"/>
  <c r="F91" i="65"/>
  <c r="F104" i="65"/>
  <c r="F117" i="65" a="1"/>
  <c r="F117" i="65" s="1"/>
  <c r="F157" i="65" s="1"/>
  <c r="H90" i="65"/>
  <c r="H103" i="65"/>
  <c r="H116" i="65" a="1"/>
  <c r="H116" i="65" s="1"/>
  <c r="H156" i="65" s="1"/>
  <c r="H96" i="65"/>
  <c r="H109" i="65"/>
  <c r="H122" i="65" a="1"/>
  <c r="H122" i="65" s="1"/>
  <c r="H162" i="65" s="1"/>
  <c r="J91" i="65"/>
  <c r="J104" i="65"/>
  <c r="J117" i="65" a="1"/>
  <c r="J117" i="65" s="1"/>
  <c r="J157" i="65" s="1"/>
  <c r="H92" i="65"/>
  <c r="H105" i="65"/>
  <c r="H118" i="65" a="1"/>
  <c r="H118" i="65" s="1"/>
  <c r="H158" i="65" s="1"/>
  <c r="D94" i="65"/>
  <c r="D107" i="65"/>
  <c r="D120" i="65" a="1"/>
  <c r="D120" i="65" s="1"/>
  <c r="D160" i="65" s="1"/>
  <c r="L96" i="65"/>
  <c r="L109" i="65"/>
  <c r="L122" i="65" a="1"/>
  <c r="L122" i="65" s="1"/>
  <c r="L162" i="65" s="1"/>
  <c r="D90" i="65"/>
  <c r="D103" i="65"/>
  <c r="D116" i="65" a="1"/>
  <c r="D116" i="65" s="1"/>
  <c r="D156" i="65" s="1"/>
  <c r="L95" i="65"/>
  <c r="L108" i="65"/>
  <c r="L121" i="65" a="1"/>
  <c r="L121" i="65" s="1"/>
  <c r="L161" i="65" s="1"/>
  <c r="E95" i="65"/>
  <c r="E108" i="65"/>
  <c r="E121" i="65" a="1"/>
  <c r="E121" i="65" s="1"/>
  <c r="E161" i="65" s="1"/>
  <c r="K96" i="65"/>
  <c r="K109" i="65"/>
  <c r="K122" i="65" a="1"/>
  <c r="K122" i="65" s="1"/>
  <c r="K162" i="65" s="1"/>
  <c r="K94" i="65"/>
  <c r="K107" i="65"/>
  <c r="K120" i="65" a="1"/>
  <c r="K120" i="65" s="1"/>
  <c r="K160" i="65" s="1"/>
  <c r="E91" i="65"/>
  <c r="E104" i="65"/>
  <c r="E117" i="65" a="1"/>
  <c r="E117" i="65" s="1"/>
  <c r="E157" i="65" s="1"/>
  <c r="F96" i="65"/>
  <c r="F109" i="65"/>
  <c r="F122" i="65" a="1"/>
  <c r="F122" i="65" s="1"/>
  <c r="F162" i="65" s="1"/>
  <c r="I91" i="65"/>
  <c r="I104" i="65"/>
  <c r="I117" i="65" a="1"/>
  <c r="I117" i="65" s="1"/>
  <c r="I157" i="65" s="1"/>
  <c r="J106" i="65"/>
  <c r="J93" i="65"/>
  <c r="J119" i="65" a="1"/>
  <c r="J119" i="65" s="1"/>
  <c r="J159" i="65" s="1"/>
  <c r="L106" i="65"/>
  <c r="L93" i="65"/>
  <c r="L119" i="65" a="1"/>
  <c r="L119" i="65" s="1"/>
  <c r="L159" i="65" s="1"/>
  <c r="J103" i="65"/>
  <c r="J90" i="65"/>
  <c r="J116" i="65" a="1"/>
  <c r="J116" i="65" s="1"/>
  <c r="J156" i="65" s="1"/>
  <c r="K106" i="65"/>
  <c r="K93" i="65"/>
  <c r="K119" i="65" a="1"/>
  <c r="K119" i="65" s="1"/>
  <c r="K159" i="65" s="1"/>
  <c r="I93" i="65"/>
  <c r="I106" i="65"/>
  <c r="I119" i="65" a="1"/>
  <c r="I119" i="65" s="1"/>
  <c r="I159" i="65" s="1"/>
  <c r="G94" i="65"/>
  <c r="G107" i="65"/>
  <c r="G120" i="65" a="1"/>
  <c r="G120" i="65" s="1"/>
  <c r="G160" i="65" s="1"/>
  <c r="F132" i="65"/>
  <c r="I103" i="65"/>
  <c r="I90" i="65"/>
  <c r="I116" i="65" a="1"/>
  <c r="I116" i="65" s="1"/>
  <c r="I156" i="65" s="1"/>
  <c r="E93" i="65"/>
  <c r="E106" i="65"/>
  <c r="E119" i="65" a="1"/>
  <c r="E119" i="65" s="1"/>
  <c r="E159" i="65" s="1"/>
  <c r="E94" i="65"/>
  <c r="E107" i="65"/>
  <c r="E120" i="65" a="1"/>
  <c r="E120" i="65" s="1"/>
  <c r="E160" i="65" s="1"/>
  <c r="H91" i="65"/>
  <c r="H104" i="65"/>
  <c r="H117" i="65" a="1"/>
  <c r="H117" i="65" s="1"/>
  <c r="H157" i="65" s="1"/>
  <c r="E92" i="65"/>
  <c r="E105" i="65"/>
  <c r="E118" i="65" a="1"/>
  <c r="E118" i="65" s="1"/>
  <c r="E158" i="65" s="1"/>
  <c r="H93" i="65"/>
  <c r="H106" i="65"/>
  <c r="H119" i="65" a="1"/>
  <c r="H119" i="65" s="1"/>
  <c r="H159" i="65" s="1"/>
  <c r="D95" i="65"/>
  <c r="D108" i="65"/>
  <c r="D121" i="65" a="1"/>
  <c r="D121" i="65" s="1"/>
  <c r="D161" i="65" s="1"/>
  <c r="D92" i="65"/>
  <c r="D105" i="65"/>
  <c r="D118" i="65" a="1"/>
  <c r="D118" i="65" s="1"/>
  <c r="D158" i="65" s="1"/>
  <c r="L92" i="65"/>
  <c r="L105" i="65"/>
  <c r="L118" i="65" a="1"/>
  <c r="L118" i="65" s="1"/>
  <c r="L158" i="65" s="1"/>
  <c r="G95" i="65"/>
  <c r="G108" i="65"/>
  <c r="G121" i="65" a="1"/>
  <c r="G121" i="65" s="1"/>
  <c r="G161" i="65" s="1"/>
  <c r="G93" i="65"/>
  <c r="G106" i="65"/>
  <c r="G119" i="65" a="1"/>
  <c r="G119" i="65" s="1"/>
  <c r="G159" i="65" s="1"/>
  <c r="F90" i="65"/>
  <c r="F103" i="65"/>
  <c r="F116" i="65" a="1"/>
  <c r="F116" i="65" s="1"/>
  <c r="F156" i="65" s="1"/>
  <c r="J94" i="65"/>
  <c r="J107" i="65"/>
  <c r="J120" i="65" a="1"/>
  <c r="J120" i="65" s="1"/>
  <c r="J160" i="65" s="1"/>
  <c r="J95" i="65"/>
  <c r="J108" i="65"/>
  <c r="J121" i="65" a="1"/>
  <c r="J121" i="65" s="1"/>
  <c r="J161" i="65" s="1"/>
  <c r="L90" i="65"/>
  <c r="L103" i="65"/>
  <c r="L116" i="65" a="1"/>
  <c r="L116" i="65" s="1"/>
  <c r="L156" i="65" s="1"/>
  <c r="J96" i="65"/>
  <c r="J109" i="65"/>
  <c r="J122" i="65" a="1"/>
  <c r="J122" i="65" s="1"/>
  <c r="J162" i="65" s="1"/>
  <c r="I94" i="65"/>
  <c r="I107" i="65"/>
  <c r="I120" i="65" a="1"/>
  <c r="I120" i="65" s="1"/>
  <c r="I160" i="65" s="1"/>
  <c r="G104" i="65"/>
  <c r="G91" i="65"/>
  <c r="G117" i="65" a="1"/>
  <c r="G117" i="65" s="1"/>
  <c r="G157" i="65" s="1"/>
  <c r="J92" i="65"/>
  <c r="J105" i="65"/>
  <c r="J118" i="65" a="1"/>
  <c r="J118" i="65" s="1"/>
  <c r="J158" i="65" s="1"/>
  <c r="I92" i="65"/>
  <c r="I105" i="65"/>
  <c r="I118" i="65" a="1"/>
  <c r="I118" i="65" s="1"/>
  <c r="I158" i="65" s="1"/>
  <c r="F93" i="65"/>
  <c r="F106" i="65"/>
  <c r="F119" i="65" a="1"/>
  <c r="F119" i="65" s="1"/>
  <c r="F159" i="65" s="1"/>
  <c r="L91" i="65"/>
  <c r="L104" i="65"/>
  <c r="L117" i="65" a="1"/>
  <c r="L117" i="65" s="1"/>
  <c r="L157" i="65" s="1"/>
  <c r="K92" i="65"/>
  <c r="K105" i="65"/>
  <c r="K118" i="65" a="1"/>
  <c r="K118" i="65" s="1"/>
  <c r="K158" i="65" s="1"/>
  <c r="I108" i="65"/>
  <c r="I95" i="65"/>
  <c r="I121" i="65" a="1"/>
  <c r="I121" i="65" s="1"/>
  <c r="I161" i="65" s="1"/>
  <c r="F95" i="65"/>
  <c r="F108" i="65"/>
  <c r="F121" i="65" a="1"/>
  <c r="F121" i="65" s="1"/>
  <c r="F161" i="65" s="1"/>
  <c r="G96" i="65"/>
  <c r="G109" i="65"/>
  <c r="G122" i="65" a="1"/>
  <c r="G122" i="65" s="1"/>
  <c r="G162" i="65" s="1"/>
  <c r="E90" i="65"/>
  <c r="E103" i="65"/>
  <c r="E116" i="65" a="1"/>
  <c r="E116" i="65" s="1"/>
  <c r="E156" i="65" s="1"/>
  <c r="H94" i="65"/>
  <c r="H107" i="65"/>
  <c r="H120" i="65" a="1"/>
  <c r="H120" i="65" s="1"/>
  <c r="H160" i="65" s="1"/>
  <c r="D93" i="65"/>
  <c r="D106" i="65"/>
  <c r="D119" i="65" a="1"/>
  <c r="D119" i="65" s="1"/>
  <c r="D159" i="65" s="1"/>
  <c r="F94" i="65"/>
  <c r="F107" i="65"/>
  <c r="F120" i="65" a="1"/>
  <c r="F120" i="65" s="1"/>
  <c r="F160" i="65" s="1"/>
  <c r="D91" i="65"/>
  <c r="D104" i="65"/>
  <c r="D117" i="65" a="1"/>
  <c r="D117" i="65" s="1"/>
  <c r="D157" i="65" s="1"/>
  <c r="G130" i="65"/>
  <c r="D96" i="65"/>
  <c r="D109" i="65"/>
  <c r="D122" i="65" a="1"/>
  <c r="D122" i="65" s="1"/>
  <c r="D162" i="65" s="1"/>
  <c r="K91" i="65"/>
  <c r="K104" i="65"/>
  <c r="K117" i="65" a="1"/>
  <c r="K117" i="65" s="1"/>
  <c r="K157" i="65" s="1"/>
  <c r="G92" i="65"/>
  <c r="G105" i="65"/>
  <c r="G118" i="65" a="1"/>
  <c r="G118" i="65" s="1"/>
  <c r="G158" i="65" s="1"/>
  <c r="H135" i="65"/>
  <c r="E96" i="65"/>
  <c r="E109" i="65"/>
  <c r="E122" i="65" a="1"/>
  <c r="E122" i="65" s="1"/>
  <c r="E162" i="65" s="1"/>
  <c r="K90" i="65"/>
  <c r="K103" i="65"/>
  <c r="K116" i="65" a="1"/>
  <c r="K116" i="65" s="1"/>
  <c r="K156" i="65" s="1"/>
  <c r="K95" i="65"/>
  <c r="K108" i="65"/>
  <c r="K121" i="65" a="1"/>
  <c r="K121" i="65" s="1"/>
  <c r="K161" i="65" s="1"/>
  <c r="J53" i="65"/>
  <c r="J66" i="65"/>
  <c r="H55" i="65"/>
  <c r="H68" i="65"/>
  <c r="L54" i="65"/>
  <c r="L67" i="65"/>
  <c r="L53" i="65"/>
  <c r="L66" i="65"/>
  <c r="H63" i="65"/>
  <c r="H50" i="65"/>
  <c r="I66" i="65"/>
  <c r="I53" i="65"/>
  <c r="G51" i="65"/>
  <c r="G64" i="65"/>
  <c r="F53" i="65"/>
  <c r="F66" i="65"/>
  <c r="H66" i="65"/>
  <c r="H53" i="65"/>
  <c r="L51" i="65"/>
  <c r="L64" i="65"/>
  <c r="F67" i="65"/>
  <c r="F54" i="65"/>
  <c r="I51" i="65"/>
  <c r="I64" i="65"/>
  <c r="J68" i="65"/>
  <c r="J55" i="65"/>
  <c r="F69" i="65"/>
  <c r="F56" i="65"/>
  <c r="J65" i="65"/>
  <c r="J52" i="65"/>
  <c r="I56" i="65"/>
  <c r="I69" i="65"/>
  <c r="E69" i="65"/>
  <c r="E56" i="65"/>
  <c r="E53" i="65"/>
  <c r="E66" i="65"/>
  <c r="J56" i="65"/>
  <c r="J69" i="65"/>
  <c r="G65" i="65"/>
  <c r="G52" i="65"/>
  <c r="D69" i="65"/>
  <c r="D56" i="65"/>
  <c r="H65" i="65"/>
  <c r="H52" i="65"/>
  <c r="L68" i="65"/>
  <c r="L55" i="65"/>
  <c r="K66" i="65"/>
  <c r="K53" i="65"/>
  <c r="K64" i="65"/>
  <c r="K51" i="65"/>
  <c r="K56" i="65"/>
  <c r="K69" i="65"/>
  <c r="L56" i="65"/>
  <c r="L69" i="65"/>
  <c r="G67" i="65"/>
  <c r="G54" i="65"/>
  <c r="G69" i="65"/>
  <c r="G56" i="65"/>
  <c r="K63" i="65"/>
  <c r="K50" i="65"/>
  <c r="F65" i="65"/>
  <c r="F52" i="65"/>
  <c r="F51" i="65"/>
  <c r="F64" i="65"/>
  <c r="G63" i="65"/>
  <c r="G50" i="65"/>
  <c r="G68" i="65"/>
  <c r="G55" i="65"/>
  <c r="J64" i="65"/>
  <c r="J51" i="65"/>
  <c r="F63" i="65"/>
  <c r="F50" i="65"/>
  <c r="F68" i="65"/>
  <c r="F55" i="65"/>
  <c r="I65" i="65"/>
  <c r="I52" i="65"/>
  <c r="H69" i="65"/>
  <c r="H56" i="65"/>
  <c r="D65" i="65"/>
  <c r="D52" i="65"/>
  <c r="I68" i="65"/>
  <c r="I55" i="65"/>
  <c r="E67" i="65"/>
  <c r="E54" i="65"/>
  <c r="I63" i="65"/>
  <c r="I50" i="65"/>
  <c r="L63" i="65"/>
  <c r="L50" i="65"/>
  <c r="I67" i="65"/>
  <c r="I54" i="65"/>
  <c r="E55" i="65"/>
  <c r="E68" i="65"/>
  <c r="K68" i="65"/>
  <c r="K55" i="65"/>
  <c r="J67" i="65"/>
  <c r="J54" i="65"/>
  <c r="K67" i="65"/>
  <c r="K54" i="65"/>
  <c r="E64" i="65"/>
  <c r="E51" i="65"/>
  <c r="E63" i="65"/>
  <c r="E50" i="65"/>
  <c r="D53" i="65"/>
  <c r="D66" i="65"/>
  <c r="D67" i="65"/>
  <c r="D54" i="65"/>
  <c r="H51" i="65"/>
  <c r="H64" i="65"/>
  <c r="L65" i="65"/>
  <c r="L52" i="65"/>
  <c r="J63" i="65"/>
  <c r="J50" i="65"/>
  <c r="D50" i="65"/>
  <c r="D63" i="65"/>
  <c r="D55" i="65"/>
  <c r="D68" i="65"/>
  <c r="E52" i="65"/>
  <c r="E65" i="65"/>
  <c r="H67" i="65"/>
  <c r="H54" i="65"/>
  <c r="K65" i="65"/>
  <c r="K52" i="65"/>
  <c r="D51" i="65"/>
  <c r="D64" i="65"/>
  <c r="G53" i="65"/>
  <c r="G66" i="65"/>
  <c r="D154" i="63"/>
  <c r="G247" i="65"/>
  <c r="E64" i="64"/>
  <c r="E65" i="64" s="1"/>
  <c r="E66" i="64" s="1"/>
  <c r="D65" i="64"/>
  <c r="D66" i="64" s="1"/>
  <c r="C131" i="64"/>
  <c r="E131" i="64" s="1"/>
  <c r="E123" i="64"/>
  <c r="E124" i="64"/>
  <c r="C132" i="64"/>
  <c r="E132" i="64" s="1"/>
  <c r="C130" i="64"/>
  <c r="E130" i="64" s="1"/>
  <c r="E122" i="64"/>
  <c r="D97" i="63"/>
  <c r="C85" i="64" s="1"/>
  <c r="L69" i="64"/>
  <c r="P69" i="64"/>
  <c r="C81" i="64"/>
  <c r="C100" i="64" s="1"/>
  <c r="D171" i="63"/>
  <c r="O69" i="64"/>
  <c r="Q69" i="64"/>
  <c r="C74" i="64"/>
  <c r="M69" i="64"/>
  <c r="N69" i="64"/>
  <c r="D158" i="63"/>
  <c r="D78" i="64"/>
  <c r="D75" i="64"/>
  <c r="D76" i="64"/>
  <c r="D95" i="63"/>
  <c r="D96" i="63"/>
  <c r="E52" i="64"/>
  <c r="C53" i="64"/>
  <c r="E53" i="64" s="1"/>
  <c r="E107" i="64"/>
  <c r="C115" i="64"/>
  <c r="E115" i="64" s="1"/>
  <c r="D132" i="63"/>
  <c r="C87" i="64"/>
  <c r="E31" i="64"/>
  <c r="E99" i="64"/>
  <c r="C35" i="64"/>
  <c r="E35" i="64" s="1"/>
  <c r="C34" i="64"/>
  <c r="E34" i="64" s="1"/>
  <c r="C33" i="64"/>
  <c r="E33" i="64" s="1"/>
  <c r="C32" i="64"/>
  <c r="E32" i="64" s="1"/>
  <c r="U82" i="11"/>
  <c r="U84" i="11" s="1"/>
  <c r="U85" i="11" s="1"/>
  <c r="V8" i="46"/>
  <c r="V113" i="46"/>
  <c r="V8" i="59"/>
  <c r="V9" i="46"/>
  <c r="V112" i="46"/>
  <c r="C67" i="46"/>
  <c r="V53" i="46"/>
  <c r="V113" i="59"/>
  <c r="V68" i="46"/>
  <c r="Q128" i="48" s="1"/>
  <c r="V38" i="46"/>
  <c r="V126" i="59"/>
  <c r="V52" i="46"/>
  <c r="Y82" i="11"/>
  <c r="Y84" i="11" s="1"/>
  <c r="Y85" i="11" s="1"/>
  <c r="V22" i="59"/>
  <c r="AM82" i="11"/>
  <c r="AM84" i="11" s="1"/>
  <c r="AM85" i="11" s="1"/>
  <c r="V82" i="59"/>
  <c r="AO82" i="11"/>
  <c r="AO84" i="11" s="1"/>
  <c r="AO85" i="11" s="1"/>
  <c r="V9" i="59"/>
  <c r="C183" i="11"/>
  <c r="C185" i="11" s="1"/>
  <c r="C8" i="56"/>
  <c r="P82" i="11"/>
  <c r="V52" i="59"/>
  <c r="Z82" i="11"/>
  <c r="Z84" i="11" s="1"/>
  <c r="Z85" i="11" s="1"/>
  <c r="V97" i="59"/>
  <c r="V67" i="46"/>
  <c r="AQ82" i="11"/>
  <c r="AQ84" i="11" s="1"/>
  <c r="AQ85" i="11" s="1"/>
  <c r="V53" i="59"/>
  <c r="AC82" i="11"/>
  <c r="AC84" i="11" s="1"/>
  <c r="AC85" i="11" s="1"/>
  <c r="V68" i="59"/>
  <c r="V82" i="46"/>
  <c r="V37" i="46"/>
  <c r="V83" i="46"/>
  <c r="AJ82" i="11"/>
  <c r="AJ84" i="11" s="1"/>
  <c r="AJ85" i="11" s="1"/>
  <c r="V38" i="59"/>
  <c r="AS82" i="11"/>
  <c r="AS84" i="11" s="1"/>
  <c r="AS85" i="11" s="1"/>
  <c r="V112" i="59"/>
  <c r="V83" i="59"/>
  <c r="V22" i="46"/>
  <c r="V98" i="46"/>
  <c r="AD82" i="11"/>
  <c r="AD84" i="11" s="1"/>
  <c r="AD85" i="11" s="1"/>
  <c r="W113" i="59"/>
  <c r="W98" i="59"/>
  <c r="W83" i="59"/>
  <c r="W112" i="59"/>
  <c r="W97" i="59"/>
  <c r="W67" i="59"/>
  <c r="W52" i="59"/>
  <c r="W82" i="59"/>
  <c r="W126" i="59"/>
  <c r="W125" i="59"/>
  <c r="W8" i="59"/>
  <c r="W9" i="59"/>
  <c r="W68" i="59"/>
  <c r="V37" i="59"/>
  <c r="V98" i="59"/>
  <c r="V126" i="46"/>
  <c r="E98" i="33"/>
  <c r="W82" i="11"/>
  <c r="V67" i="59"/>
  <c r="V23" i="59"/>
  <c r="W26" i="33"/>
  <c r="P116" i="48" s="1"/>
  <c r="V23" i="46"/>
  <c r="Q124" i="48" s="1"/>
  <c r="W1" i="59"/>
  <c r="W23" i="59" s="1"/>
  <c r="X5" i="59"/>
  <c r="D14" i="51"/>
  <c r="B14" i="51" a="1"/>
  <c r="B14" i="51" s="1"/>
  <c r="E14" i="51" a="1"/>
  <c r="E14" i="51" s="1"/>
  <c r="F14" i="51" a="1"/>
  <c r="F14" i="51" s="1"/>
  <c r="G14" i="51" s="1"/>
  <c r="J13" i="51"/>
  <c r="I13" i="51"/>
  <c r="H13" i="51"/>
  <c r="D15" i="51"/>
  <c r="W26" i="38"/>
  <c r="P123" i="37"/>
  <c r="W27" i="33"/>
  <c r="P69" i="33"/>
  <c r="E69" i="33" s="1"/>
  <c r="P57" i="33"/>
  <c r="P85" i="33"/>
  <c r="E85" i="33" s="1"/>
  <c r="P99" i="33"/>
  <c r="E99" i="33" s="1"/>
  <c r="P84" i="33"/>
  <c r="E84" i="33" s="1"/>
  <c r="P70" i="33"/>
  <c r="E70" i="33" s="1"/>
  <c r="P72" i="33"/>
  <c r="P100" i="33"/>
  <c r="E100" i="33" s="1"/>
  <c r="P101" i="33"/>
  <c r="E101" i="33" s="1"/>
  <c r="P56" i="33"/>
  <c r="E56" i="33" s="1"/>
  <c r="P102" i="33"/>
  <c r="P42" i="33"/>
  <c r="E42" i="33" s="1"/>
  <c r="P54" i="33"/>
  <c r="E54" i="33" s="1"/>
  <c r="P11" i="33"/>
  <c r="E11" i="33" s="1"/>
  <c r="P86" i="33"/>
  <c r="E86" i="33" s="1"/>
  <c r="P10" i="33"/>
  <c r="E10" i="33" s="1"/>
  <c r="P55" i="33"/>
  <c r="E55" i="33" s="1"/>
  <c r="P87" i="33"/>
  <c r="P40" i="33"/>
  <c r="P39" i="33"/>
  <c r="P71" i="33"/>
  <c r="E71" i="33" s="1"/>
  <c r="P12" i="33"/>
  <c r="P9" i="33"/>
  <c r="E9" i="33" s="1"/>
  <c r="P41" i="33"/>
  <c r="P26" i="33" s="1"/>
  <c r="E16" i="9"/>
  <c r="O87" i="39"/>
  <c r="H113" i="48"/>
  <c r="H112" i="37"/>
  <c r="H118" i="37" s="1"/>
  <c r="C53" i="46"/>
  <c r="I126" i="37"/>
  <c r="P97" i="39"/>
  <c r="W28" i="38"/>
  <c r="P84" i="11"/>
  <c r="P85" i="11" s="1"/>
  <c r="P124" i="48"/>
  <c r="O25" i="33"/>
  <c r="I122" i="37"/>
  <c r="P23" i="33"/>
  <c r="E23" i="33" s="1"/>
  <c r="E38" i="33"/>
  <c r="P113" i="48"/>
  <c r="P112" i="37"/>
  <c r="P118" i="37" s="1"/>
  <c r="H123" i="37"/>
  <c r="O27" i="33"/>
  <c r="C113" i="46"/>
  <c r="P123" i="48"/>
  <c r="AF82" i="11"/>
  <c r="AF84" i="11" s="1"/>
  <c r="AF85" i="11" s="1"/>
  <c r="AK82" i="11"/>
  <c r="AK84" i="11" s="1"/>
  <c r="AK85" i="11" s="1"/>
  <c r="O89" i="39"/>
  <c r="E53" i="33"/>
  <c r="W25" i="33"/>
  <c r="Y104" i="38"/>
  <c r="Y40" i="38"/>
  <c r="Y8" i="38"/>
  <c r="Y72" i="38"/>
  <c r="Z5" i="38"/>
  <c r="Y56" i="38"/>
  <c r="Y88" i="38"/>
  <c r="Y1" i="38"/>
  <c r="O24" i="33"/>
  <c r="AP82" i="11"/>
  <c r="AP84" i="11" s="1"/>
  <c r="AP85" i="11" s="1"/>
  <c r="AT82" i="11"/>
  <c r="AT84" i="11" s="1"/>
  <c r="AT85" i="11" s="1"/>
  <c r="W24" i="33"/>
  <c r="Q100" i="39"/>
  <c r="H127" i="37"/>
  <c r="P119" i="48"/>
  <c r="O119" i="37"/>
  <c r="Q82" i="11"/>
  <c r="Q84" i="11" s="1"/>
  <c r="Q85" i="11" s="1"/>
  <c r="V82" i="11"/>
  <c r="V84" i="11" s="1"/>
  <c r="V85" i="11" s="1"/>
  <c r="G116" i="48"/>
  <c r="G115" i="37"/>
  <c r="AA82" i="11"/>
  <c r="AA84" i="11" s="1"/>
  <c r="AA85" i="11" s="1"/>
  <c r="S82" i="11"/>
  <c r="S84" i="11" s="1"/>
  <c r="S85" i="11" s="1"/>
  <c r="I120" i="48"/>
  <c r="G119" i="37"/>
  <c r="AG82" i="11"/>
  <c r="AG84" i="11" s="1"/>
  <c r="AG85" i="11" s="1"/>
  <c r="AL82" i="11"/>
  <c r="AL84" i="11" s="1"/>
  <c r="AL85" i="11" s="1"/>
  <c r="Q119" i="48"/>
  <c r="O114" i="48"/>
  <c r="O113" i="37"/>
  <c r="W84" i="11"/>
  <c r="W85" i="11" s="1"/>
  <c r="P120" i="48"/>
  <c r="Q123" i="48"/>
  <c r="Q120" i="48"/>
  <c r="P86" i="39"/>
  <c r="P92" i="39" s="1"/>
  <c r="Q96" i="39"/>
  <c r="X24" i="38"/>
  <c r="O115" i="48"/>
  <c r="O114" i="37"/>
  <c r="P101" i="39"/>
  <c r="O88" i="39"/>
  <c r="R82" i="11"/>
  <c r="R84" i="11" s="1"/>
  <c r="R85" i="11" s="1"/>
  <c r="X82" i="11"/>
  <c r="X84" i="11" s="1"/>
  <c r="X85" i="11" s="1"/>
  <c r="Z5" i="33"/>
  <c r="Y83" i="33"/>
  <c r="Y68" i="33"/>
  <c r="Y38" i="33"/>
  <c r="Y53" i="33"/>
  <c r="Y8" i="33"/>
  <c r="Y98" i="33"/>
  <c r="Y1" i="33"/>
  <c r="AB82" i="11"/>
  <c r="X87" i="33"/>
  <c r="X102" i="33"/>
  <c r="X70" i="33"/>
  <c r="X101" i="33"/>
  <c r="X84" i="33"/>
  <c r="X72" i="33"/>
  <c r="X100" i="33"/>
  <c r="X9" i="33"/>
  <c r="X39" i="33"/>
  <c r="X56" i="33"/>
  <c r="X55" i="33"/>
  <c r="X41" i="33"/>
  <c r="X99" i="33"/>
  <c r="X69" i="33"/>
  <c r="X54" i="33"/>
  <c r="X12" i="33"/>
  <c r="X40" i="33"/>
  <c r="X85" i="33"/>
  <c r="X71" i="33"/>
  <c r="X42" i="33"/>
  <c r="X86" i="33"/>
  <c r="X57" i="33"/>
  <c r="X10" i="33"/>
  <c r="X11" i="33"/>
  <c r="X91" i="38"/>
  <c r="X89" i="38"/>
  <c r="X90" i="38"/>
  <c r="X76" i="38"/>
  <c r="X74" i="38"/>
  <c r="X43" i="38"/>
  <c r="X41" i="38"/>
  <c r="X106" i="38"/>
  <c r="X75" i="38"/>
  <c r="X73" i="38"/>
  <c r="X44" i="38"/>
  <c r="X42" i="38"/>
  <c r="X10" i="38"/>
  <c r="X105" i="38"/>
  <c r="X60" i="38"/>
  <c r="X92" i="38"/>
  <c r="X59" i="38"/>
  <c r="X57" i="38"/>
  <c r="X9" i="38"/>
  <c r="X11" i="38"/>
  <c r="X58" i="38"/>
  <c r="X107" i="38"/>
  <c r="X12" i="38"/>
  <c r="X108" i="38"/>
  <c r="P127" i="37"/>
  <c r="P127" i="48"/>
  <c r="I93" i="39"/>
  <c r="E28" i="38"/>
  <c r="AE82" i="11"/>
  <c r="AE84" i="11" s="1"/>
  <c r="AE85" i="11" s="1"/>
  <c r="AH82" i="11"/>
  <c r="AH84" i="11" s="1"/>
  <c r="AH85" i="11" s="1"/>
  <c r="E25" i="38"/>
  <c r="Q127" i="48"/>
  <c r="P128" i="48"/>
  <c r="O116" i="48"/>
  <c r="O115" i="37"/>
  <c r="O93" i="39"/>
  <c r="AN82" i="11"/>
  <c r="AN84" i="11" s="1"/>
  <c r="AN85" i="11" s="1"/>
  <c r="AR82" i="11"/>
  <c r="AR84" i="11" s="1"/>
  <c r="AR85" i="11" s="1"/>
  <c r="I89" i="39"/>
  <c r="E27" i="38"/>
  <c r="I128" i="48"/>
  <c r="Q126" i="37"/>
  <c r="W1" i="46"/>
  <c r="W22" i="46" s="1"/>
  <c r="W82" i="46"/>
  <c r="W52" i="46"/>
  <c r="X5" i="46"/>
  <c r="X5" i="52" s="1"/>
  <c r="E83" i="33"/>
  <c r="W25" i="38"/>
  <c r="AI82" i="11"/>
  <c r="T82" i="11"/>
  <c r="T84" i="11" s="1"/>
  <c r="T85" i="11" s="1"/>
  <c r="E40" i="33"/>
  <c r="Q122" i="37"/>
  <c r="X23" i="33"/>
  <c r="O26" i="33"/>
  <c r="E41" i="33"/>
  <c r="E68" i="33"/>
  <c r="W27" i="38"/>
  <c r="AN5" i="11"/>
  <c r="G115" i="48"/>
  <c r="G114" i="37"/>
  <c r="AZ241" i="65" l="1"/>
  <c r="AZ176" i="65"/>
  <c r="AZ228" i="65"/>
  <c r="AZ229" i="65"/>
  <c r="AV187" i="65"/>
  <c r="AV216" i="65"/>
  <c r="AX227" i="65"/>
  <c r="AZ215" i="65"/>
  <c r="AX225" i="65"/>
  <c r="AZ216" i="65"/>
  <c r="AV174" i="65"/>
  <c r="AV202" i="65"/>
  <c r="AX214" i="65"/>
  <c r="AZ201" i="65"/>
  <c r="AX238" i="65"/>
  <c r="AZ202" i="65"/>
  <c r="AZ174" i="65"/>
  <c r="AV189" i="65"/>
  <c r="AX240" i="65"/>
  <c r="AZ188" i="65"/>
  <c r="AX212" i="65"/>
  <c r="BB187" i="65"/>
  <c r="BA201" i="65"/>
  <c r="BA226" i="65"/>
  <c r="AX211" i="65"/>
  <c r="BA236" i="65"/>
  <c r="BB188" i="65"/>
  <c r="AZ240" i="65"/>
  <c r="AV176" i="65"/>
  <c r="AX200" i="65"/>
  <c r="AZ175" i="65"/>
  <c r="AX198" i="65"/>
  <c r="BB174" i="65"/>
  <c r="AW187" i="65"/>
  <c r="BA228" i="65"/>
  <c r="BA213" i="65"/>
  <c r="AX197" i="65"/>
  <c r="BA223" i="65"/>
  <c r="BB175" i="65"/>
  <c r="BA187" i="65"/>
  <c r="AZ227" i="65"/>
  <c r="AW238" i="65"/>
  <c r="AX187" i="65"/>
  <c r="AX185" i="65"/>
  <c r="BB240" i="65"/>
  <c r="AX213" i="65"/>
  <c r="BA185" i="65"/>
  <c r="BB226" i="65"/>
  <c r="BA188" i="65"/>
  <c r="BA199" i="65"/>
  <c r="BA211" i="65"/>
  <c r="BA210" i="65"/>
  <c r="BA174" i="65"/>
  <c r="AZ214" i="65"/>
  <c r="AW225" i="65"/>
  <c r="AX174" i="65"/>
  <c r="AX172" i="65"/>
  <c r="BB227" i="65"/>
  <c r="BB237" i="65"/>
  <c r="AX199" i="65"/>
  <c r="BA198" i="65"/>
  <c r="BB213" i="65"/>
  <c r="BA175" i="65"/>
  <c r="BA186" i="65"/>
  <c r="BA197" i="65"/>
  <c r="BA196" i="65"/>
  <c r="BA240" i="65"/>
  <c r="AY236" i="65"/>
  <c r="AZ200" i="65"/>
  <c r="AW212" i="65"/>
  <c r="AY197" i="65"/>
  <c r="BB214" i="65"/>
  <c r="AX215" i="65"/>
  <c r="AX186" i="65"/>
  <c r="AW215" i="65"/>
  <c r="BB199" i="65"/>
  <c r="BA202" i="65"/>
  <c r="BA173" i="65"/>
  <c r="BA184" i="65"/>
  <c r="AZ238" i="65"/>
  <c r="BA170" i="65"/>
  <c r="BB202" i="65"/>
  <c r="BA227" i="65"/>
  <c r="AY223" i="65"/>
  <c r="AZ187" i="65"/>
  <c r="AW198" i="65"/>
  <c r="AY184" i="65"/>
  <c r="AZ144" i="65"/>
  <c r="AY149" i="65"/>
  <c r="AZ131" i="65"/>
  <c r="AY136" i="65"/>
  <c r="AZ117" i="65"/>
  <c r="AZ95" i="65"/>
  <c r="BB146" i="65"/>
  <c r="BB107" i="65"/>
  <c r="BA122" i="65"/>
  <c r="BB162" i="65"/>
  <c r="AY122" i="65"/>
  <c r="G248" i="65"/>
  <c r="G259" i="65"/>
  <c r="G260" i="65" s="1"/>
  <c r="K130" i="65"/>
  <c r="F133" i="65"/>
  <c r="I134" i="65"/>
  <c r="J134" i="65"/>
  <c r="L132" i="65"/>
  <c r="E132" i="65"/>
  <c r="H130" i="65"/>
  <c r="J130" i="65"/>
  <c r="F136" i="65"/>
  <c r="E135" i="65"/>
  <c r="D134" i="65"/>
  <c r="I135" i="65"/>
  <c r="F130" i="65"/>
  <c r="E136" i="65"/>
  <c r="H134" i="65"/>
  <c r="I132" i="65"/>
  <c r="J136" i="65"/>
  <c r="D132" i="65"/>
  <c r="H131" i="65"/>
  <c r="L133" i="65"/>
  <c r="D136" i="65"/>
  <c r="G134" i="65"/>
  <c r="E131" i="65"/>
  <c r="F131" i="65"/>
  <c r="L135" i="65"/>
  <c r="H132" i="65"/>
  <c r="D131" i="65"/>
  <c r="L130" i="65"/>
  <c r="G133" i="65"/>
  <c r="E134" i="65"/>
  <c r="K132" i="65"/>
  <c r="J132" i="65"/>
  <c r="D135" i="65"/>
  <c r="J133" i="65"/>
  <c r="G132" i="65"/>
  <c r="I133" i="65"/>
  <c r="J131" i="65"/>
  <c r="K134" i="65"/>
  <c r="D130" i="65"/>
  <c r="L134" i="65"/>
  <c r="E130" i="65"/>
  <c r="L131" i="65"/>
  <c r="G135" i="65"/>
  <c r="H133" i="65"/>
  <c r="E133" i="65"/>
  <c r="D133" i="65"/>
  <c r="F135" i="65"/>
  <c r="K135" i="65"/>
  <c r="F134" i="65"/>
  <c r="G136" i="65"/>
  <c r="G131" i="65"/>
  <c r="J135" i="65"/>
  <c r="K133" i="65"/>
  <c r="K131" i="65"/>
  <c r="I131" i="65"/>
  <c r="H136" i="65"/>
  <c r="I130" i="65"/>
  <c r="K136" i="65"/>
  <c r="L136" i="65"/>
  <c r="I136" i="65"/>
  <c r="C84" i="64"/>
  <c r="C83" i="64"/>
  <c r="C76" i="64"/>
  <c r="E76" i="64" s="1"/>
  <c r="E74" i="64"/>
  <c r="C75" i="64"/>
  <c r="E75" i="64" s="1"/>
  <c r="C78" i="64"/>
  <c r="E78" i="64" s="1"/>
  <c r="C91" i="64"/>
  <c r="E87" i="33"/>
  <c r="W68" i="46"/>
  <c r="W22" i="59"/>
  <c r="W125" i="46"/>
  <c r="W23" i="46"/>
  <c r="R124" i="48" s="1"/>
  <c r="W9" i="46"/>
  <c r="W38" i="46"/>
  <c r="E102" i="33"/>
  <c r="E57" i="33"/>
  <c r="W37" i="46"/>
  <c r="P115" i="37"/>
  <c r="P24" i="33"/>
  <c r="W53" i="59"/>
  <c r="W53" i="46"/>
  <c r="W67" i="46"/>
  <c r="W83" i="46"/>
  <c r="P25" i="33"/>
  <c r="E25" i="33" s="1"/>
  <c r="W38" i="59"/>
  <c r="W112" i="46"/>
  <c r="W8" i="46"/>
  <c r="W113" i="46"/>
  <c r="X97" i="59"/>
  <c r="X22" i="59"/>
  <c r="X37" i="59"/>
  <c r="X23" i="59"/>
  <c r="W98" i="46"/>
  <c r="W126" i="46"/>
  <c r="W37" i="59"/>
  <c r="K101" i="11"/>
  <c r="C7" i="56"/>
  <c r="W97" i="46"/>
  <c r="Y5" i="59"/>
  <c r="X1" i="59"/>
  <c r="X52" i="59" s="1"/>
  <c r="B15" i="51" a="1"/>
  <c r="B15" i="51" s="1"/>
  <c r="F15" i="51" a="1"/>
  <c r="F15" i="51" s="1"/>
  <c r="G15" i="51" s="1"/>
  <c r="E15" i="51" a="1"/>
  <c r="E15" i="51" s="1"/>
  <c r="I14" i="51"/>
  <c r="J14" i="51"/>
  <c r="H14" i="51"/>
  <c r="D16" i="51"/>
  <c r="R123" i="48"/>
  <c r="R119" i="48"/>
  <c r="I113" i="48"/>
  <c r="I112" i="37"/>
  <c r="I118" i="37" s="1"/>
  <c r="AI84" i="11"/>
  <c r="AI85" i="11" s="1"/>
  <c r="X26" i="38"/>
  <c r="H119" i="37"/>
  <c r="P93" i="39"/>
  <c r="E39" i="33"/>
  <c r="H114" i="48"/>
  <c r="H113" i="37"/>
  <c r="E24" i="33"/>
  <c r="P119" i="37"/>
  <c r="Q113" i="48"/>
  <c r="Q112" i="37"/>
  <c r="Q118" i="37" s="1"/>
  <c r="Y92" i="38"/>
  <c r="Y11" i="38"/>
  <c r="Y9" i="38"/>
  <c r="Y108" i="38"/>
  <c r="Y107" i="38"/>
  <c r="Y90" i="38"/>
  <c r="Y41" i="38"/>
  <c r="Y91" i="38"/>
  <c r="Y105" i="38"/>
  <c r="Y60" i="38"/>
  <c r="Y12" i="38"/>
  <c r="Y59" i="38"/>
  <c r="Y76" i="38"/>
  <c r="Y75" i="38"/>
  <c r="Y106" i="38"/>
  <c r="Y74" i="38"/>
  <c r="Y73" i="38"/>
  <c r="Y58" i="38"/>
  <c r="Y89" i="38"/>
  <c r="Y57" i="38"/>
  <c r="Y42" i="38"/>
  <c r="Y44" i="38"/>
  <c r="Y10" i="38"/>
  <c r="Y43" i="38"/>
  <c r="X27" i="33"/>
  <c r="Q123" i="37"/>
  <c r="P87" i="39"/>
  <c r="X25" i="38"/>
  <c r="Q87" i="39" s="1"/>
  <c r="X25" i="33"/>
  <c r="X27" i="38"/>
  <c r="Q89" i="39" s="1"/>
  <c r="AB84" i="11"/>
  <c r="AB85" i="11" s="1"/>
  <c r="H115" i="48"/>
  <c r="H114" i="37"/>
  <c r="R120" i="48"/>
  <c r="Q97" i="39"/>
  <c r="X28" i="38"/>
  <c r="P89" i="39"/>
  <c r="R100" i="39"/>
  <c r="P27" i="33"/>
  <c r="I123" i="37"/>
  <c r="AO5" i="11"/>
  <c r="H116" i="48"/>
  <c r="H115" i="37"/>
  <c r="Y86" i="33"/>
  <c r="Y87" i="33"/>
  <c r="Y102" i="33"/>
  <c r="Y70" i="33"/>
  <c r="Y72" i="33"/>
  <c r="Y100" i="33"/>
  <c r="Y101" i="33"/>
  <c r="Y57" i="33"/>
  <c r="Y42" i="33"/>
  <c r="Y99" i="33"/>
  <c r="Y69" i="33"/>
  <c r="Y54" i="33"/>
  <c r="Y84" i="33"/>
  <c r="Y55" i="33"/>
  <c r="Y12" i="33"/>
  <c r="Y9" i="33"/>
  <c r="Y40" i="33"/>
  <c r="Y39" i="33"/>
  <c r="Y85" i="33"/>
  <c r="Y71" i="33"/>
  <c r="Y10" i="33"/>
  <c r="Y56" i="33"/>
  <c r="Y41" i="33"/>
  <c r="Y11" i="33"/>
  <c r="Z104" i="38"/>
  <c r="Z72" i="38"/>
  <c r="Z40" i="38"/>
  <c r="Z8" i="38"/>
  <c r="Z88" i="38"/>
  <c r="Z56" i="38"/>
  <c r="AA5" i="38"/>
  <c r="Z1" i="38"/>
  <c r="E85" i="17"/>
  <c r="E32" i="9"/>
  <c r="E29" i="9"/>
  <c r="E35" i="9"/>
  <c r="E34" i="9"/>
  <c r="E33" i="9"/>
  <c r="E31" i="9"/>
  <c r="E28" i="9"/>
  <c r="E30" i="9"/>
  <c r="P88" i="39"/>
  <c r="R128" i="48"/>
  <c r="R127" i="48"/>
  <c r="X26" i="33"/>
  <c r="R126" i="37"/>
  <c r="R96" i="39"/>
  <c r="Y24" i="38"/>
  <c r="I116" i="48"/>
  <c r="I115" i="37"/>
  <c r="R122" i="37"/>
  <c r="Y23" i="33"/>
  <c r="P114" i="48"/>
  <c r="P113" i="37"/>
  <c r="E72" i="33"/>
  <c r="X83" i="46"/>
  <c r="X1" i="46"/>
  <c r="X113" i="46" s="1"/>
  <c r="X52" i="46"/>
  <c r="X38" i="46"/>
  <c r="X9" i="46"/>
  <c r="Y5" i="46"/>
  <c r="Y5" i="52" s="1"/>
  <c r="Q101" i="39"/>
  <c r="X24" i="33"/>
  <c r="E12" i="33"/>
  <c r="E26" i="33"/>
  <c r="P115" i="48"/>
  <c r="P114" i="37"/>
  <c r="Z98" i="33"/>
  <c r="Z68" i="33"/>
  <c r="Z38" i="33"/>
  <c r="AA5" i="33"/>
  <c r="Z83" i="33"/>
  <c r="Z53" i="33"/>
  <c r="Z1" i="33"/>
  <c r="Z8" i="33"/>
  <c r="I114" i="48"/>
  <c r="I113" i="37"/>
  <c r="Q127" i="37"/>
  <c r="Q86" i="39"/>
  <c r="Q92" i="39" s="1"/>
  <c r="I115" i="48"/>
  <c r="I114" i="37"/>
  <c r="I127" i="37"/>
  <c r="X53" i="59" l="1"/>
  <c r="X112" i="59"/>
  <c r="X9" i="59"/>
  <c r="X125" i="59"/>
  <c r="X83" i="59"/>
  <c r="X113" i="59"/>
  <c r="Y24" i="33"/>
  <c r="X68" i="59"/>
  <c r="X98" i="59"/>
  <c r="X38" i="59"/>
  <c r="X67" i="59"/>
  <c r="X23" i="46"/>
  <c r="Y112" i="59"/>
  <c r="Y53" i="59"/>
  <c r="Y97" i="59"/>
  <c r="Y52" i="59"/>
  <c r="Y9" i="59"/>
  <c r="Y8" i="59"/>
  <c r="X8" i="59"/>
  <c r="X126" i="59"/>
  <c r="N101" i="11"/>
  <c r="K65" i="8"/>
  <c r="M101" i="11"/>
  <c r="K104" i="11"/>
  <c r="X82" i="59"/>
  <c r="Z5" i="59"/>
  <c r="Y1" i="59"/>
  <c r="Y68" i="59" s="1"/>
  <c r="E16" i="51" a="1"/>
  <c r="E16" i="51" s="1"/>
  <c r="F16" i="51" a="1"/>
  <c r="F16" i="51" s="1"/>
  <c r="G16" i="51" s="1"/>
  <c r="B16" i="51" a="1"/>
  <c r="B16" i="51" s="1"/>
  <c r="D17" i="51"/>
  <c r="J15" i="51"/>
  <c r="I15" i="51"/>
  <c r="H15" i="51"/>
  <c r="S122" i="37"/>
  <c r="Z23" i="33"/>
  <c r="X8" i="46"/>
  <c r="S96" i="39"/>
  <c r="Z24" i="38"/>
  <c r="X68" i="46"/>
  <c r="I119" i="37"/>
  <c r="E27" i="33"/>
  <c r="S120" i="48"/>
  <c r="Q116" i="48"/>
  <c r="Q115" i="37"/>
  <c r="Y27" i="33"/>
  <c r="R123" i="37"/>
  <c r="R127" i="37"/>
  <c r="Y26" i="33"/>
  <c r="S124" i="48"/>
  <c r="Q93" i="39"/>
  <c r="Q119" i="37"/>
  <c r="R101" i="39"/>
  <c r="R114" i="48"/>
  <c r="R113" i="37"/>
  <c r="AP5" i="11"/>
  <c r="R86" i="39"/>
  <c r="R92" i="39" s="1"/>
  <c r="X82" i="46"/>
  <c r="X53" i="46"/>
  <c r="X98" i="46"/>
  <c r="X112" i="46"/>
  <c r="Z92" i="38"/>
  <c r="Z59" i="38"/>
  <c r="Z57" i="38"/>
  <c r="Z91" i="38"/>
  <c r="Z105" i="38"/>
  <c r="Z90" i="38"/>
  <c r="Z76" i="38"/>
  <c r="Z74" i="38"/>
  <c r="Z10" i="38"/>
  <c r="Z60" i="38"/>
  <c r="Z75" i="38"/>
  <c r="Z106" i="38"/>
  <c r="Z73" i="38"/>
  <c r="Z58" i="38"/>
  <c r="Z44" i="38"/>
  <c r="Z107" i="38"/>
  <c r="Z43" i="38"/>
  <c r="Z108" i="38"/>
  <c r="Z9" i="38"/>
  <c r="Z11" i="38"/>
  <c r="Z89" i="38"/>
  <c r="Z41" i="38"/>
  <c r="Z12" i="38"/>
  <c r="Z42" i="38"/>
  <c r="Y27" i="38"/>
  <c r="AA53" i="33"/>
  <c r="AA98" i="33"/>
  <c r="AA83" i="33"/>
  <c r="AA68" i="33"/>
  <c r="AA38" i="33"/>
  <c r="AB5" i="33"/>
  <c r="AA8" i="33"/>
  <c r="AA1" i="33"/>
  <c r="Y25" i="33"/>
  <c r="Z86" i="33"/>
  <c r="Z84" i="33"/>
  <c r="Z57" i="33"/>
  <c r="Z102" i="33"/>
  <c r="Z70" i="33"/>
  <c r="Z101" i="33"/>
  <c r="Z100" i="33"/>
  <c r="Z87" i="33"/>
  <c r="Z99" i="33"/>
  <c r="Z39" i="33"/>
  <c r="Z24" i="33" s="1"/>
  <c r="Z42" i="33"/>
  <c r="Z41" i="33"/>
  <c r="Z69" i="33"/>
  <c r="Z54" i="33"/>
  <c r="Z71" i="33"/>
  <c r="Z55" i="33"/>
  <c r="Z12" i="33"/>
  <c r="Z9" i="33"/>
  <c r="Z40" i="33"/>
  <c r="Z85" i="33"/>
  <c r="Z56" i="33"/>
  <c r="Z10" i="33"/>
  <c r="Z72" i="33"/>
  <c r="Z11" i="33"/>
  <c r="X22" i="46"/>
  <c r="X125" i="46"/>
  <c r="R113" i="48"/>
  <c r="R112" i="37"/>
  <c r="R118" i="37" s="1"/>
  <c r="AA104" i="38"/>
  <c r="AA88" i="38"/>
  <c r="AB5" i="38"/>
  <c r="AA72" i="38"/>
  <c r="AA56" i="38"/>
  <c r="AA8" i="38"/>
  <c r="AA1" i="38"/>
  <c r="AA40" i="38"/>
  <c r="Y25" i="38"/>
  <c r="R87" i="39" s="1"/>
  <c r="Q114" i="48"/>
  <c r="Q113" i="37"/>
  <c r="X97" i="46"/>
  <c r="X37" i="46"/>
  <c r="S126" i="37"/>
  <c r="Y1" i="46"/>
  <c r="Y67" i="46" s="1"/>
  <c r="Y52" i="46"/>
  <c r="Z5" i="46"/>
  <c r="Z5" i="52" s="1"/>
  <c r="X67" i="46"/>
  <c r="S100" i="39"/>
  <c r="R97" i="39"/>
  <c r="Y28" i="38"/>
  <c r="Q88" i="39"/>
  <c r="X126" i="46"/>
  <c r="Y26" i="38"/>
  <c r="Q115" i="48"/>
  <c r="Q114" i="37"/>
  <c r="Y83" i="59" l="1"/>
  <c r="Y37" i="59"/>
  <c r="Y98" i="59"/>
  <c r="Y22" i="59"/>
  <c r="Y125" i="59"/>
  <c r="Y38" i="59"/>
  <c r="Y113" i="59"/>
  <c r="Y23" i="59"/>
  <c r="Y126" i="59"/>
  <c r="Z38" i="59"/>
  <c r="Z53" i="59"/>
  <c r="Z97" i="59"/>
  <c r="Z8" i="59"/>
  <c r="Z23" i="59"/>
  <c r="Z68" i="59"/>
  <c r="Y82" i="59"/>
  <c r="K70" i="8"/>
  <c r="M65" i="8"/>
  <c r="N65" i="8"/>
  <c r="Y67" i="59"/>
  <c r="Z1" i="59"/>
  <c r="Z83" i="59" s="1"/>
  <c r="AA5" i="59"/>
  <c r="D18" i="51"/>
  <c r="F17" i="51" a="1"/>
  <c r="F17" i="51" s="1"/>
  <c r="G17" i="51" s="1"/>
  <c r="B17" i="51" a="1"/>
  <c r="B17" i="51" s="1"/>
  <c r="E17" i="51" a="1"/>
  <c r="E17" i="51" s="1"/>
  <c r="J16" i="51"/>
  <c r="I16" i="51"/>
  <c r="H16" i="51"/>
  <c r="Y37" i="46"/>
  <c r="AA41" i="33"/>
  <c r="AA39" i="33"/>
  <c r="AA101" i="33"/>
  <c r="AA84" i="33"/>
  <c r="AA72" i="33"/>
  <c r="AA87" i="33"/>
  <c r="AA55" i="33"/>
  <c r="AA99" i="33"/>
  <c r="AA69" i="33"/>
  <c r="AA86" i="33"/>
  <c r="AA11" i="33"/>
  <c r="AA57" i="33"/>
  <c r="AA56" i="33"/>
  <c r="AA102" i="33"/>
  <c r="AA71" i="33"/>
  <c r="AA70" i="33"/>
  <c r="AA12" i="33"/>
  <c r="AA9" i="33"/>
  <c r="AA40" i="33"/>
  <c r="AA100" i="33"/>
  <c r="AA85" i="33"/>
  <c r="AA54" i="33"/>
  <c r="AA42" i="33"/>
  <c r="AA10" i="33"/>
  <c r="Y38" i="46"/>
  <c r="Z26" i="33"/>
  <c r="Z27" i="38"/>
  <c r="S89" i="39" s="1"/>
  <c r="S123" i="37"/>
  <c r="Z27" i="33"/>
  <c r="AB98" i="33"/>
  <c r="AB38" i="33"/>
  <c r="AB68" i="33"/>
  <c r="AB53" i="33"/>
  <c r="AC5" i="33"/>
  <c r="AB1" i="33"/>
  <c r="AB83" i="33"/>
  <c r="AB8" i="33"/>
  <c r="S114" i="48"/>
  <c r="S113" i="37"/>
  <c r="T122" i="37"/>
  <c r="AA23" i="33"/>
  <c r="S97" i="39"/>
  <c r="Z28" i="38"/>
  <c r="AQ5" i="11"/>
  <c r="R119" i="37"/>
  <c r="S128" i="48"/>
  <c r="T126" i="37"/>
  <c r="S123" i="48"/>
  <c r="Y113" i="46"/>
  <c r="T96" i="39"/>
  <c r="AA24" i="38"/>
  <c r="Y22" i="46"/>
  <c r="Y83" i="46"/>
  <c r="AA92" i="38"/>
  <c r="AA59" i="38"/>
  <c r="AA57" i="38"/>
  <c r="AA108" i="38"/>
  <c r="AA10" i="38"/>
  <c r="AA91" i="38"/>
  <c r="AA60" i="38"/>
  <c r="AA12" i="38"/>
  <c r="AA105" i="38"/>
  <c r="AA75" i="38"/>
  <c r="AA106" i="38"/>
  <c r="AA76" i="38"/>
  <c r="AA73" i="38"/>
  <c r="AA58" i="38"/>
  <c r="AA74" i="38"/>
  <c r="AA44" i="38"/>
  <c r="AA107" i="38"/>
  <c r="AA43" i="38"/>
  <c r="AA42" i="38"/>
  <c r="AA9" i="38"/>
  <c r="AA90" i="38"/>
  <c r="AA89" i="38"/>
  <c r="AA41" i="38"/>
  <c r="AA11" i="38"/>
  <c r="S101" i="39"/>
  <c r="S86" i="39"/>
  <c r="S92" i="39" s="1"/>
  <c r="Y8" i="46"/>
  <c r="Y98" i="46"/>
  <c r="R88" i="39"/>
  <c r="Y53" i="46"/>
  <c r="S127" i="37"/>
  <c r="Z26" i="38"/>
  <c r="S88" i="39" s="1"/>
  <c r="S119" i="48"/>
  <c r="S127" i="48"/>
  <c r="R116" i="48"/>
  <c r="R115" i="37"/>
  <c r="S113" i="48"/>
  <c r="S112" i="37"/>
  <c r="S118" i="37" s="1"/>
  <c r="Y82" i="46"/>
  <c r="R89" i="39"/>
  <c r="Y126" i="46"/>
  <c r="Y112" i="46"/>
  <c r="T100" i="39"/>
  <c r="Y23" i="46"/>
  <c r="AB56" i="38"/>
  <c r="AB104" i="38"/>
  <c r="AC5" i="38"/>
  <c r="AB1" i="38"/>
  <c r="AB72" i="38"/>
  <c r="AB88" i="38"/>
  <c r="AB8" i="38"/>
  <c r="AB40" i="38"/>
  <c r="Z25" i="38"/>
  <c r="S87" i="39" s="1"/>
  <c r="Z25" i="33"/>
  <c r="AA5" i="46"/>
  <c r="AA5" i="52" s="1"/>
  <c r="Z1" i="46"/>
  <c r="Z82" i="46" s="1"/>
  <c r="Y125" i="46"/>
  <c r="Y68" i="46"/>
  <c r="Y97" i="46"/>
  <c r="R115" i="48"/>
  <c r="R114" i="37"/>
  <c r="R93" i="39"/>
  <c r="Y9" i="46"/>
  <c r="Z82" i="59" l="1"/>
  <c r="Z22" i="59"/>
  <c r="Z126" i="59"/>
  <c r="AA26" i="33"/>
  <c r="Z52" i="59"/>
  <c r="Z67" i="59"/>
  <c r="Z112" i="59"/>
  <c r="Z37" i="46"/>
  <c r="Z67" i="46"/>
  <c r="Z98" i="59"/>
  <c r="Z9" i="59"/>
  <c r="Z125" i="59"/>
  <c r="Z53" i="46"/>
  <c r="Z37" i="59"/>
  <c r="Z113" i="59"/>
  <c r="AA126" i="59"/>
  <c r="AA98" i="59"/>
  <c r="AA68" i="59"/>
  <c r="AA38" i="59"/>
  <c r="AA112" i="59"/>
  <c r="AA82" i="59"/>
  <c r="AA52" i="59"/>
  <c r="AA9" i="59"/>
  <c r="AA97" i="59"/>
  <c r="AA37" i="59"/>
  <c r="AA8" i="59"/>
  <c r="AA22" i="59"/>
  <c r="AA53" i="59"/>
  <c r="AA1" i="59"/>
  <c r="AA125" i="59" s="1"/>
  <c r="AB5" i="59"/>
  <c r="D19" i="51"/>
  <c r="J17" i="51"/>
  <c r="H17" i="51"/>
  <c r="I17" i="51"/>
  <c r="F18" i="51" a="1"/>
  <c r="F18" i="51" s="1"/>
  <c r="G18" i="51" s="1"/>
  <c r="E18" i="51" a="1"/>
  <c r="E18" i="51" s="1"/>
  <c r="B18" i="51" a="1"/>
  <c r="B18" i="51" s="1"/>
  <c r="Z22" i="46"/>
  <c r="U100" i="39"/>
  <c r="Z126" i="46"/>
  <c r="T86" i="39"/>
  <c r="T92" i="39" s="1"/>
  <c r="T113" i="48"/>
  <c r="T112" i="37"/>
  <c r="T118" i="37" s="1"/>
  <c r="S119" i="37"/>
  <c r="AB107" i="38"/>
  <c r="AB105" i="38"/>
  <c r="AB59" i="38"/>
  <c r="AB57" i="38"/>
  <c r="AB106" i="38"/>
  <c r="AB91" i="38"/>
  <c r="AB60" i="38"/>
  <c r="AB58" i="38"/>
  <c r="AB10" i="38"/>
  <c r="AB12" i="38"/>
  <c r="AB75" i="38"/>
  <c r="AB92" i="38"/>
  <c r="AB76" i="38"/>
  <c r="AB73" i="38"/>
  <c r="AB74" i="38"/>
  <c r="AB44" i="38"/>
  <c r="AB9" i="38"/>
  <c r="AB42" i="38"/>
  <c r="AB11" i="38"/>
  <c r="AB89" i="38"/>
  <c r="AB90" i="38"/>
  <c r="AB41" i="38"/>
  <c r="AB43" i="38"/>
  <c r="AB108" i="38"/>
  <c r="AA112" i="46"/>
  <c r="AA83" i="46"/>
  <c r="AA68" i="46"/>
  <c r="AA37" i="46"/>
  <c r="AA125" i="46"/>
  <c r="AB5" i="46"/>
  <c r="AB5" i="52" s="1"/>
  <c r="AA1" i="46"/>
  <c r="AA126" i="46" s="1"/>
  <c r="Z98" i="46"/>
  <c r="AA25" i="33"/>
  <c r="T124" i="48"/>
  <c r="Z83" i="46"/>
  <c r="S115" i="48"/>
  <c r="S114" i="37"/>
  <c r="Z68" i="46"/>
  <c r="AA24" i="33"/>
  <c r="AC88" i="38"/>
  <c r="AC104" i="38"/>
  <c r="AC72" i="38"/>
  <c r="AD5" i="38"/>
  <c r="AC56" i="38"/>
  <c r="AC1" i="38"/>
  <c r="AC40" i="38"/>
  <c r="AC8" i="38"/>
  <c r="T116" i="48"/>
  <c r="T115" i="37"/>
  <c r="T128" i="48"/>
  <c r="Z9" i="46"/>
  <c r="Z38" i="46"/>
  <c r="U127" i="48"/>
  <c r="Z97" i="46"/>
  <c r="T97" i="39"/>
  <c r="AA28" i="38"/>
  <c r="Z112" i="46"/>
  <c r="T123" i="48"/>
  <c r="S93" i="39"/>
  <c r="Z8" i="46"/>
  <c r="Z125" i="46"/>
  <c r="Z52" i="46"/>
  <c r="Z113" i="46"/>
  <c r="AA25" i="38"/>
  <c r="T87" i="39" s="1"/>
  <c r="T101" i="39"/>
  <c r="Z23" i="46"/>
  <c r="S116" i="48"/>
  <c r="S115" i="37"/>
  <c r="T127" i="37"/>
  <c r="T120" i="48"/>
  <c r="U96" i="39"/>
  <c r="AB24" i="38"/>
  <c r="AB101" i="33"/>
  <c r="AB99" i="33"/>
  <c r="AB84" i="33"/>
  <c r="AB72" i="33"/>
  <c r="AB100" i="33"/>
  <c r="AB69" i="33"/>
  <c r="AB86" i="33"/>
  <c r="AB57" i="33"/>
  <c r="AB42" i="33"/>
  <c r="AB87" i="33"/>
  <c r="AB56" i="33"/>
  <c r="AB55" i="33"/>
  <c r="AB54" i="33"/>
  <c r="AB102" i="33"/>
  <c r="AB71" i="33"/>
  <c r="AB40" i="33"/>
  <c r="AB85" i="33"/>
  <c r="AB70" i="33"/>
  <c r="AB9" i="33"/>
  <c r="AB39" i="33"/>
  <c r="AB11" i="33"/>
  <c r="AB41" i="33"/>
  <c r="AB10" i="33"/>
  <c r="AB12" i="33"/>
  <c r="T119" i="48"/>
  <c r="AA26" i="38"/>
  <c r="T88" i="39" s="1"/>
  <c r="AR5" i="11"/>
  <c r="AC98" i="33"/>
  <c r="AC83" i="33"/>
  <c r="AC38" i="33"/>
  <c r="AC53" i="33"/>
  <c r="AC68" i="33"/>
  <c r="AD5" i="33"/>
  <c r="AC1" i="33"/>
  <c r="AC8" i="33"/>
  <c r="AA27" i="38"/>
  <c r="T89" i="39" s="1"/>
  <c r="U126" i="37"/>
  <c r="T127" i="48"/>
  <c r="U122" i="37"/>
  <c r="AB23" i="33"/>
  <c r="T123" i="37"/>
  <c r="AA27" i="33"/>
  <c r="AA97" i="46" l="1"/>
  <c r="AA23" i="59"/>
  <c r="AA113" i="59"/>
  <c r="AA67" i="46"/>
  <c r="V127" i="48" s="1"/>
  <c r="AA98" i="46"/>
  <c r="AA38" i="46"/>
  <c r="AA8" i="46"/>
  <c r="AB27" i="38"/>
  <c r="U89" i="39" s="1"/>
  <c r="AA67" i="59"/>
  <c r="AA23" i="46"/>
  <c r="V124" i="48" s="1"/>
  <c r="AA9" i="46"/>
  <c r="AA83" i="59"/>
  <c r="AA82" i="46"/>
  <c r="AB112" i="59"/>
  <c r="AB67" i="59"/>
  <c r="AB125" i="59"/>
  <c r="AB23" i="59"/>
  <c r="AA52" i="46"/>
  <c r="AB1" i="59"/>
  <c r="AB68" i="59" s="1"/>
  <c r="J18" i="51"/>
  <c r="I18" i="51"/>
  <c r="H18" i="51"/>
  <c r="E19" i="51" a="1"/>
  <c r="E19" i="51" s="1"/>
  <c r="F19" i="51" a="1"/>
  <c r="F19" i="51" s="1"/>
  <c r="G19" i="51" s="1"/>
  <c r="B19" i="51" a="1"/>
  <c r="B19" i="51" s="1"/>
  <c r="D20" i="51"/>
  <c r="U123" i="37"/>
  <c r="AB27" i="33"/>
  <c r="T114" i="48"/>
  <c r="T113" i="37"/>
  <c r="U101" i="39"/>
  <c r="U127" i="37"/>
  <c r="V120" i="48"/>
  <c r="AB25" i="38"/>
  <c r="U87" i="39" s="1"/>
  <c r="U128" i="48"/>
  <c r="T93" i="39"/>
  <c r="AB24" i="33"/>
  <c r="AB26" i="38"/>
  <c r="U88" i="39" s="1"/>
  <c r="V126" i="37"/>
  <c r="V96" i="39"/>
  <c r="AC24" i="38"/>
  <c r="U97" i="39"/>
  <c r="AB28" i="38"/>
  <c r="U123" i="48"/>
  <c r="U113" i="48"/>
  <c r="U112" i="37"/>
  <c r="U118" i="37" s="1"/>
  <c r="AC106" i="38"/>
  <c r="AC89" i="38"/>
  <c r="AC105" i="38"/>
  <c r="AC92" i="38"/>
  <c r="AC12" i="38"/>
  <c r="AC91" i="38"/>
  <c r="AC60" i="38"/>
  <c r="AC75" i="38"/>
  <c r="AC76" i="38"/>
  <c r="AC73" i="38"/>
  <c r="AC59" i="38"/>
  <c r="AC74" i="38"/>
  <c r="AC58" i="38"/>
  <c r="AC9" i="38"/>
  <c r="AC57" i="38"/>
  <c r="AC43" i="38"/>
  <c r="AC107" i="38"/>
  <c r="AC44" i="38"/>
  <c r="AC90" i="38"/>
  <c r="AC41" i="38"/>
  <c r="AC10" i="38"/>
  <c r="AC11" i="38"/>
  <c r="AC108" i="38"/>
  <c r="AC42" i="38"/>
  <c r="V128" i="48"/>
  <c r="AC102" i="33"/>
  <c r="AC100" i="33"/>
  <c r="AC101" i="33"/>
  <c r="AC99" i="33"/>
  <c r="AC84" i="33"/>
  <c r="AC72" i="33"/>
  <c r="AC87" i="33"/>
  <c r="AC55" i="33"/>
  <c r="AC86" i="33"/>
  <c r="AC57" i="33"/>
  <c r="AC40" i="33"/>
  <c r="AC85" i="33"/>
  <c r="AC70" i="33"/>
  <c r="AC39" i="33"/>
  <c r="AC11" i="33"/>
  <c r="AC71" i="33"/>
  <c r="AC56" i="33"/>
  <c r="AC41" i="33"/>
  <c r="AC69" i="33"/>
  <c r="AC54" i="33"/>
  <c r="AC42" i="33"/>
  <c r="AC10" i="33"/>
  <c r="AC9" i="33"/>
  <c r="AC12" i="33"/>
  <c r="AD98" i="33"/>
  <c r="AD1" i="33"/>
  <c r="AD53" i="33"/>
  <c r="AD83" i="33"/>
  <c r="AD68" i="33"/>
  <c r="AD38" i="33"/>
  <c r="AD8" i="33"/>
  <c r="F8" i="33" s="1"/>
  <c r="AB25" i="33"/>
  <c r="V100" i="39"/>
  <c r="T115" i="48"/>
  <c r="T114" i="37"/>
  <c r="AA53" i="46"/>
  <c r="V122" i="37"/>
  <c r="AC23" i="33"/>
  <c r="U119" i="48"/>
  <c r="AS5" i="11"/>
  <c r="AT5" i="11" s="1"/>
  <c r="D82" i="11" s="1"/>
  <c r="U120" i="48"/>
  <c r="U86" i="39"/>
  <c r="U92" i="39" s="1"/>
  <c r="AA113" i="46"/>
  <c r="AB26" i="33"/>
  <c r="T119" i="37"/>
  <c r="AD40" i="38"/>
  <c r="AD72" i="38"/>
  <c r="AD56" i="38"/>
  <c r="AD88" i="38"/>
  <c r="AD1" i="38"/>
  <c r="AD104" i="38"/>
  <c r="AD8" i="38"/>
  <c r="AA22" i="46"/>
  <c r="U124" i="48"/>
  <c r="V119" i="48"/>
  <c r="AB68" i="46"/>
  <c r="AB23" i="46"/>
  <c r="AB38" i="46"/>
  <c r="AB1" i="46"/>
  <c r="AB113" i="46" s="1"/>
  <c r="AC25" i="33" l="1"/>
  <c r="AC25" i="38"/>
  <c r="V87" i="39" s="1"/>
  <c r="AB83" i="59"/>
  <c r="AB53" i="46"/>
  <c r="AB83" i="46"/>
  <c r="AB98" i="59"/>
  <c r="AB37" i="59"/>
  <c r="AB125" i="46"/>
  <c r="D125" i="46" s="1"/>
  <c r="AB113" i="59"/>
  <c r="AC27" i="38"/>
  <c r="V89" i="39" s="1"/>
  <c r="AB38" i="59"/>
  <c r="AB126" i="59"/>
  <c r="AB82" i="46"/>
  <c r="AB97" i="46"/>
  <c r="F97" i="46" s="1"/>
  <c r="AB9" i="59"/>
  <c r="AB82" i="59"/>
  <c r="AB22" i="59"/>
  <c r="AC26" i="33"/>
  <c r="AB8" i="59"/>
  <c r="AB52" i="59"/>
  <c r="AB8" i="46"/>
  <c r="D8" i="46" s="1"/>
  <c r="AB97" i="59"/>
  <c r="AB53" i="59"/>
  <c r="F23" i="59"/>
  <c r="D23" i="59"/>
  <c r="C82" i="11"/>
  <c r="D21" i="51"/>
  <c r="J19" i="51"/>
  <c r="I19" i="51"/>
  <c r="H19" i="51"/>
  <c r="E20" i="51" a="1"/>
  <c r="E20" i="51" s="1"/>
  <c r="F20" i="51" a="1"/>
  <c r="F20" i="51" s="1"/>
  <c r="G20" i="51" s="1"/>
  <c r="B20" i="51" a="1"/>
  <c r="B20" i="51" s="1"/>
  <c r="F113" i="46"/>
  <c r="D113" i="46"/>
  <c r="H72" i="38"/>
  <c r="F72" i="38"/>
  <c r="AB98" i="46"/>
  <c r="AB96" i="46" s="1"/>
  <c r="W96" i="39"/>
  <c r="AD24" i="38"/>
  <c r="H40" i="38"/>
  <c r="F40" i="38"/>
  <c r="V115" i="48"/>
  <c r="V114" i="37"/>
  <c r="W126" i="37"/>
  <c r="F53" i="33"/>
  <c r="AB52" i="46"/>
  <c r="AB112" i="46"/>
  <c r="AD102" i="33"/>
  <c r="AD100" i="33"/>
  <c r="AD71" i="33"/>
  <c r="AD69" i="33"/>
  <c r="AD101" i="33"/>
  <c r="AD11" i="33"/>
  <c r="AD9" i="33"/>
  <c r="AD87" i="33"/>
  <c r="AD55" i="33"/>
  <c r="AD99" i="33"/>
  <c r="AD56" i="33"/>
  <c r="AD41" i="33"/>
  <c r="AD85" i="33"/>
  <c r="AD70" i="33"/>
  <c r="AD84" i="33"/>
  <c r="AD72" i="33"/>
  <c r="AD40" i="33"/>
  <c r="AD39" i="33"/>
  <c r="AD54" i="33"/>
  <c r="AD42" i="33"/>
  <c r="AD86" i="33"/>
  <c r="AD12" i="33"/>
  <c r="AD57" i="33"/>
  <c r="AD10" i="33"/>
  <c r="V127" i="37"/>
  <c r="U114" i="48"/>
  <c r="U113" i="37"/>
  <c r="F38" i="46"/>
  <c r="D38" i="46"/>
  <c r="F98" i="33"/>
  <c r="H98" i="33"/>
  <c r="V86" i="39"/>
  <c r="V92" i="39" s="1"/>
  <c r="AB22" i="46"/>
  <c r="V97" i="39"/>
  <c r="AC28" i="38"/>
  <c r="W119" i="48"/>
  <c r="F8" i="46"/>
  <c r="U116" i="48"/>
  <c r="U115" i="37"/>
  <c r="H53" i="33"/>
  <c r="F125" i="46"/>
  <c r="V123" i="37"/>
  <c r="AC27" i="33"/>
  <c r="W124" i="48"/>
  <c r="F23" i="46"/>
  <c r="D23" i="46"/>
  <c r="AB67" i="46"/>
  <c r="W128" i="48"/>
  <c r="F68" i="46"/>
  <c r="D68" i="46"/>
  <c r="V113" i="48"/>
  <c r="V112" i="37"/>
  <c r="V118" i="37" s="1"/>
  <c r="V116" i="48"/>
  <c r="V115" i="37"/>
  <c r="F53" i="46"/>
  <c r="D53" i="46"/>
  <c r="U119" i="37"/>
  <c r="F83" i="46"/>
  <c r="D83" i="46"/>
  <c r="AB9" i="46"/>
  <c r="AB7" i="46" s="1"/>
  <c r="AB37" i="46"/>
  <c r="H104" i="38"/>
  <c r="F104" i="38"/>
  <c r="U115" i="48"/>
  <c r="U114" i="37"/>
  <c r="V123" i="48"/>
  <c r="H8" i="38"/>
  <c r="F8" i="38"/>
  <c r="AB126" i="46"/>
  <c r="AB124" i="46" s="1"/>
  <c r="AD106" i="38"/>
  <c r="AD89" i="38"/>
  <c r="AD75" i="38"/>
  <c r="AD73" i="38"/>
  <c r="AD44" i="38"/>
  <c r="AD42" i="38"/>
  <c r="AD107" i="38"/>
  <c r="AD90" i="38"/>
  <c r="AD91" i="38"/>
  <c r="AD60" i="38"/>
  <c r="AD105" i="38"/>
  <c r="AD59" i="38"/>
  <c r="AD76" i="38"/>
  <c r="AD92" i="38"/>
  <c r="AD74" i="38"/>
  <c r="AD58" i="38"/>
  <c r="AD57" i="38"/>
  <c r="AD43" i="38"/>
  <c r="AD11" i="38"/>
  <c r="AD108" i="38"/>
  <c r="AD41" i="38"/>
  <c r="F41" i="38" s="1"/>
  <c r="AD9" i="38"/>
  <c r="AD10" i="38"/>
  <c r="AD12" i="38"/>
  <c r="AD7" i="33"/>
  <c r="H8" i="33"/>
  <c r="AD87" i="38"/>
  <c r="H88" i="38"/>
  <c r="F88" i="38"/>
  <c r="W122" i="37"/>
  <c r="AD23" i="33"/>
  <c r="H38" i="33"/>
  <c r="F38" i="33"/>
  <c r="AC24" i="33"/>
  <c r="AC26" i="38"/>
  <c r="V88" i="39" s="1"/>
  <c r="U93" i="39"/>
  <c r="AB81" i="46"/>
  <c r="F82" i="46"/>
  <c r="D82" i="46"/>
  <c r="W100" i="39"/>
  <c r="AD55" i="38"/>
  <c r="H56" i="38"/>
  <c r="F56" i="38"/>
  <c r="I65" i="11"/>
  <c r="C65" i="11"/>
  <c r="I63" i="11"/>
  <c r="I60" i="11"/>
  <c r="G9" i="11"/>
  <c r="J13" i="11"/>
  <c r="C13" i="11"/>
  <c r="D65" i="11"/>
  <c r="J59" i="11"/>
  <c r="C159" i="11" s="1"/>
  <c r="K59" i="11" s="1"/>
  <c r="C32" i="11"/>
  <c r="C44" i="11"/>
  <c r="J63" i="11"/>
  <c r="C162" i="11" s="1"/>
  <c r="K63" i="11" s="1"/>
  <c r="C59" i="11"/>
  <c r="C63" i="11"/>
  <c r="G82" i="11"/>
  <c r="C33" i="11"/>
  <c r="F65" i="11"/>
  <c r="G11" i="11"/>
  <c r="C62" i="11"/>
  <c r="C77" i="11" s="1"/>
  <c r="F63" i="11"/>
  <c r="C37" i="11"/>
  <c r="G17" i="11"/>
  <c r="J61" i="11"/>
  <c r="G37" i="11"/>
  <c r="J55" i="11"/>
  <c r="C60" i="11"/>
  <c r="G42" i="11"/>
  <c r="G51" i="11"/>
  <c r="D43" i="11"/>
  <c r="I33" i="11"/>
  <c r="I52" i="11"/>
  <c r="C45" i="11"/>
  <c r="J44" i="11"/>
  <c r="D35" i="11"/>
  <c r="D13" i="11"/>
  <c r="C38" i="11"/>
  <c r="I59" i="11"/>
  <c r="D19" i="11"/>
  <c r="C52" i="11"/>
  <c r="J34" i="11"/>
  <c r="D33" i="11"/>
  <c r="J11" i="11"/>
  <c r="J8" i="11"/>
  <c r="C36" i="11"/>
  <c r="D17" i="11"/>
  <c r="I39" i="11"/>
  <c r="J54" i="11"/>
  <c r="J48" i="11"/>
  <c r="C8" i="11"/>
  <c r="I50" i="11"/>
  <c r="D49" i="11"/>
  <c r="J9" i="11"/>
  <c r="G14" i="11"/>
  <c r="F43" i="11"/>
  <c r="D54" i="11"/>
  <c r="F59" i="11"/>
  <c r="F14" i="11"/>
  <c r="F42" i="11"/>
  <c r="G8" i="11"/>
  <c r="G19" i="11"/>
  <c r="J18" i="11"/>
  <c r="D56" i="11"/>
  <c r="D75" i="11" s="1"/>
  <c r="I34" i="11"/>
  <c r="F61" i="11"/>
  <c r="F83" i="11" s="1"/>
  <c r="I13" i="11"/>
  <c r="G52" i="11"/>
  <c r="G35" i="11"/>
  <c r="J10" i="11"/>
  <c r="G49" i="11"/>
  <c r="D59" i="11"/>
  <c r="C21" i="11"/>
  <c r="F58" i="11"/>
  <c r="F76" i="11" s="1"/>
  <c r="I49" i="11"/>
  <c r="G62" i="11"/>
  <c r="G77" i="11" s="1"/>
  <c r="C35" i="11"/>
  <c r="I48" i="11"/>
  <c r="C64" i="11"/>
  <c r="F60" i="11"/>
  <c r="J50" i="11"/>
  <c r="I57" i="11"/>
  <c r="D60" i="11"/>
  <c r="I11" i="11"/>
  <c r="F21" i="11"/>
  <c r="G50" i="11"/>
  <c r="G34" i="11"/>
  <c r="G61" i="11"/>
  <c r="G83" i="11" s="1"/>
  <c r="J7" i="11"/>
  <c r="F52" i="11"/>
  <c r="J52" i="11"/>
  <c r="I32" i="11"/>
  <c r="C51" i="11"/>
  <c r="C55" i="11"/>
  <c r="J42" i="11"/>
  <c r="J56" i="11"/>
  <c r="D57" i="11"/>
  <c r="F51" i="11"/>
  <c r="F10" i="11"/>
  <c r="C39" i="11"/>
  <c r="J60" i="11"/>
  <c r="C53" i="11"/>
  <c r="C50" i="11"/>
  <c r="D61" i="11"/>
  <c r="D83" i="11" s="1"/>
  <c r="D57" i="8" s="1"/>
  <c r="D63" i="11"/>
  <c r="J39" i="11"/>
  <c r="C12" i="11"/>
  <c r="D55" i="11"/>
  <c r="C31" i="11"/>
  <c r="I58" i="11"/>
  <c r="I76" i="11" s="1"/>
  <c r="D53" i="11"/>
  <c r="I38" i="11"/>
  <c r="C42" i="11"/>
  <c r="D8" i="11"/>
  <c r="F7" i="11"/>
  <c r="C20" i="11"/>
  <c r="F45" i="11"/>
  <c r="J37" i="11"/>
  <c r="G53" i="11"/>
  <c r="D37" i="11"/>
  <c r="D11" i="11"/>
  <c r="F9" i="11"/>
  <c r="J35" i="11"/>
  <c r="D45" i="11"/>
  <c r="J21" i="11"/>
  <c r="J65" i="11"/>
  <c r="C165" i="11" s="1"/>
  <c r="K65" i="11" s="1"/>
  <c r="F13" i="11"/>
  <c r="F57" i="11"/>
  <c r="J51" i="11"/>
  <c r="C10" i="11"/>
  <c r="I55" i="11"/>
  <c r="J49" i="11"/>
  <c r="F18" i="11"/>
  <c r="I18" i="11"/>
  <c r="C19" i="9" s="1"/>
  <c r="I61" i="11"/>
  <c r="I83" i="11" s="1"/>
  <c r="J57" i="11"/>
  <c r="C157" i="11" s="1"/>
  <c r="K57" i="11" s="1"/>
  <c r="G64" i="11"/>
  <c r="I8" i="11"/>
  <c r="I31" i="11"/>
  <c r="I12" i="11"/>
  <c r="D42" i="11"/>
  <c r="G60" i="11"/>
  <c r="C18" i="11"/>
  <c r="I37" i="11"/>
  <c r="D50" i="11"/>
  <c r="I14" i="11"/>
  <c r="C15" i="9" s="1"/>
  <c r="G43" i="11"/>
  <c r="D21" i="11"/>
  <c r="C34" i="11"/>
  <c r="J14" i="11"/>
  <c r="C57" i="11"/>
  <c r="I7" i="11"/>
  <c r="G10" i="11"/>
  <c r="F32" i="11"/>
  <c r="F19" i="11"/>
  <c r="D44" i="11"/>
  <c r="F38" i="11"/>
  <c r="G55" i="11"/>
  <c r="F49" i="11"/>
  <c r="D62" i="11"/>
  <c r="D77" i="11" s="1"/>
  <c r="F50" i="11"/>
  <c r="D51" i="11"/>
  <c r="F44" i="11"/>
  <c r="G44" i="11"/>
  <c r="F55" i="11"/>
  <c r="I53" i="11"/>
  <c r="G36" i="11"/>
  <c r="J62" i="11"/>
  <c r="J17" i="11"/>
  <c r="F11" i="11"/>
  <c r="I44" i="11"/>
  <c r="C48" i="11"/>
  <c r="D36" i="11"/>
  <c r="J43" i="11"/>
  <c r="J32" i="11"/>
  <c r="J36" i="11"/>
  <c r="J31" i="11"/>
  <c r="D38" i="11"/>
  <c r="C17" i="11"/>
  <c r="F64" i="11"/>
  <c r="D12" i="11"/>
  <c r="J19" i="11"/>
  <c r="G45" i="11"/>
  <c r="C56" i="11"/>
  <c r="C75" i="11" s="1"/>
  <c r="I51" i="11"/>
  <c r="G63" i="11"/>
  <c r="F17" i="11"/>
  <c r="F53" i="11"/>
  <c r="C54" i="11"/>
  <c r="G38" i="11"/>
  <c r="D34" i="11"/>
  <c r="G7" i="11"/>
  <c r="D48" i="11"/>
  <c r="C14" i="11"/>
  <c r="J20" i="11"/>
  <c r="F34" i="11"/>
  <c r="C7" i="11"/>
  <c r="I17" i="11"/>
  <c r="G39" i="11"/>
  <c r="I19" i="11"/>
  <c r="C20" i="9" s="1"/>
  <c r="F62" i="11"/>
  <c r="F77" i="11" s="1"/>
  <c r="I36" i="11"/>
  <c r="I42" i="11"/>
  <c r="I35" i="11"/>
  <c r="J53" i="11"/>
  <c r="J38" i="11"/>
  <c r="F12" i="11"/>
  <c r="G32" i="11"/>
  <c r="F36" i="11"/>
  <c r="G33" i="11"/>
  <c r="J12" i="11"/>
  <c r="G18" i="11"/>
  <c r="I21" i="11"/>
  <c r="C22" i="9" s="1"/>
  <c r="G13" i="11"/>
  <c r="D20" i="11"/>
  <c r="F31" i="11"/>
  <c r="D39" i="11"/>
  <c r="D31" i="11"/>
  <c r="G58" i="11"/>
  <c r="G76" i="11" s="1"/>
  <c r="D14" i="11"/>
  <c r="C9" i="11"/>
  <c r="J64" i="11"/>
  <c r="C164" i="11" s="1"/>
  <c r="K64" i="11" s="1"/>
  <c r="I62" i="11"/>
  <c r="I77" i="11" s="1"/>
  <c r="C61" i="11"/>
  <c r="C83" i="11" s="1"/>
  <c r="C57" i="8" s="1"/>
  <c r="D64" i="11"/>
  <c r="F33" i="11"/>
  <c r="G56" i="11"/>
  <c r="G75" i="11" s="1"/>
  <c r="F37" i="11"/>
  <c r="I9" i="11"/>
  <c r="F20" i="11"/>
  <c r="G54" i="11"/>
  <c r="I43" i="11"/>
  <c r="I56" i="11"/>
  <c r="I75" i="11" s="1"/>
  <c r="D10" i="11"/>
  <c r="I45" i="11"/>
  <c r="D7" i="11"/>
  <c r="G20" i="11"/>
  <c r="C58" i="11"/>
  <c r="C76" i="11" s="1"/>
  <c r="I10" i="11"/>
  <c r="F48" i="11"/>
  <c r="I64" i="11"/>
  <c r="F35" i="11"/>
  <c r="G65" i="11"/>
  <c r="D32" i="11"/>
  <c r="G59" i="11"/>
  <c r="G57" i="11"/>
  <c r="J58" i="11"/>
  <c r="D58" i="11"/>
  <c r="D76" i="11" s="1"/>
  <c r="C49" i="11"/>
  <c r="G48" i="11"/>
  <c r="F39" i="11"/>
  <c r="F54" i="11"/>
  <c r="G12" i="11"/>
  <c r="I20" i="11"/>
  <c r="C21" i="9" s="1"/>
  <c r="I54" i="11"/>
  <c r="F8" i="11"/>
  <c r="C19" i="11"/>
  <c r="D18" i="11"/>
  <c r="D9" i="11"/>
  <c r="G21" i="11"/>
  <c r="C11" i="11"/>
  <c r="D52" i="11"/>
  <c r="C43" i="11"/>
  <c r="G31" i="11"/>
  <c r="J33" i="11"/>
  <c r="F56" i="11"/>
  <c r="F75" i="11" s="1"/>
  <c r="F56" i="8" s="1"/>
  <c r="J45" i="11"/>
  <c r="F82" i="11"/>
  <c r="I82" i="11"/>
  <c r="J82" i="11"/>
  <c r="F68" i="33"/>
  <c r="H68" i="33"/>
  <c r="V101" i="39"/>
  <c r="AD82" i="33"/>
  <c r="AD92" i="33" s="1"/>
  <c r="H83" i="33"/>
  <c r="F83" i="33"/>
  <c r="AD67" i="33" l="1"/>
  <c r="F44" i="38"/>
  <c r="AD97" i="33"/>
  <c r="AB19" i="59" s="1"/>
  <c r="I57" i="8"/>
  <c r="F57" i="8"/>
  <c r="AD103" i="38"/>
  <c r="AD111" i="38" s="1"/>
  <c r="AD93" i="33"/>
  <c r="AD52" i="33"/>
  <c r="AC58" i="33" s="1"/>
  <c r="AC52" i="33" s="1"/>
  <c r="F92" i="38"/>
  <c r="G56" i="8"/>
  <c r="AD71" i="38"/>
  <c r="AD83" i="38"/>
  <c r="AD7" i="38"/>
  <c r="AD37" i="33"/>
  <c r="D97" i="46"/>
  <c r="AD17" i="33"/>
  <c r="AB96" i="59"/>
  <c r="AB104" i="59" s="1"/>
  <c r="F97" i="59"/>
  <c r="D97" i="59"/>
  <c r="AB21" i="59"/>
  <c r="F22" i="59"/>
  <c r="D22" i="59"/>
  <c r="AB124" i="59"/>
  <c r="F125" i="59"/>
  <c r="D125" i="59"/>
  <c r="F113" i="59"/>
  <c r="D113" i="59"/>
  <c r="F53" i="59"/>
  <c r="D53" i="59"/>
  <c r="AB81" i="59"/>
  <c r="D82" i="59"/>
  <c r="F82" i="59"/>
  <c r="AB7" i="59"/>
  <c r="F8" i="59"/>
  <c r="D8" i="59"/>
  <c r="F68" i="59"/>
  <c r="D68" i="59"/>
  <c r="AB51" i="59"/>
  <c r="F52" i="59"/>
  <c r="D52" i="59"/>
  <c r="F126" i="59"/>
  <c r="D126" i="59"/>
  <c r="AB66" i="59"/>
  <c r="F67" i="59"/>
  <c r="D67" i="59"/>
  <c r="D83" i="59"/>
  <c r="F83" i="59"/>
  <c r="F98" i="59"/>
  <c r="D98" i="59"/>
  <c r="F9" i="59"/>
  <c r="D9" i="59"/>
  <c r="AB36" i="59"/>
  <c r="F37" i="59"/>
  <c r="D37" i="59"/>
  <c r="AB111" i="59"/>
  <c r="F112" i="59"/>
  <c r="D112" i="59"/>
  <c r="D38" i="59"/>
  <c r="F38" i="59"/>
  <c r="G57" i="8"/>
  <c r="D56" i="8"/>
  <c r="I56" i="8"/>
  <c r="C56" i="8"/>
  <c r="D22" i="11"/>
  <c r="F22" i="11"/>
  <c r="H20" i="51"/>
  <c r="J20" i="51"/>
  <c r="I20" i="51"/>
  <c r="D22" i="51"/>
  <c r="E21" i="51" a="1"/>
  <c r="E21" i="51" s="1"/>
  <c r="F21" i="51" a="1"/>
  <c r="F21" i="51" s="1"/>
  <c r="G21" i="51" s="1"/>
  <c r="B21" i="51" a="1"/>
  <c r="B21" i="51" s="1"/>
  <c r="AA127" i="46"/>
  <c r="AA124" i="46" s="1"/>
  <c r="AB129" i="46"/>
  <c r="AB131" i="46"/>
  <c r="AD62" i="33"/>
  <c r="AB101" i="46"/>
  <c r="AA99" i="46"/>
  <c r="AA96" i="46" s="1"/>
  <c r="AB104" i="46"/>
  <c r="AA10" i="46"/>
  <c r="AA7" i="46" s="1"/>
  <c r="AB12" i="46"/>
  <c r="AB14" i="46"/>
  <c r="AC77" i="38"/>
  <c r="AC71" i="38" s="1"/>
  <c r="AD79" i="38"/>
  <c r="AD82" i="38"/>
  <c r="AC109" i="38"/>
  <c r="AC103" i="38" s="1"/>
  <c r="AD45" i="33"/>
  <c r="AD48" i="33" s="1"/>
  <c r="AC43" i="33"/>
  <c r="AD47" i="33"/>
  <c r="AD105" i="33"/>
  <c r="AD108" i="33" s="1"/>
  <c r="AC103" i="33"/>
  <c r="AC97" i="33" s="1"/>
  <c r="AD107" i="33"/>
  <c r="AD75" i="33"/>
  <c r="AD78" i="33" s="1"/>
  <c r="AC73" i="33"/>
  <c r="AC67" i="33" s="1"/>
  <c r="AD77" i="33"/>
  <c r="F24" i="18"/>
  <c r="F26" i="8"/>
  <c r="D66" i="11"/>
  <c r="D90" i="11"/>
  <c r="D54" i="8" s="1"/>
  <c r="D36" i="18"/>
  <c r="D38" i="8"/>
  <c r="J28" i="35"/>
  <c r="D8" i="17"/>
  <c r="J40" i="11"/>
  <c r="J21" i="8"/>
  <c r="J19" i="18"/>
  <c r="N31" i="11"/>
  <c r="M31" i="11"/>
  <c r="F38" i="18"/>
  <c r="F40" i="8"/>
  <c r="D38" i="18"/>
  <c r="D40" i="8"/>
  <c r="C151" i="11"/>
  <c r="K51" i="11" s="1"/>
  <c r="J41" i="8"/>
  <c r="D66" i="17" s="1"/>
  <c r="J39" i="18"/>
  <c r="C30" i="18"/>
  <c r="C32" i="8"/>
  <c r="C46" i="11"/>
  <c r="C150" i="11"/>
  <c r="K50" i="11" s="1"/>
  <c r="J38" i="18"/>
  <c r="J40" i="8"/>
  <c r="D65" i="17" s="1"/>
  <c r="I15" i="35"/>
  <c r="I16" i="35" s="1"/>
  <c r="C11" i="17"/>
  <c r="I67" i="8"/>
  <c r="I24" i="8"/>
  <c r="I22" i="18"/>
  <c r="J42" i="18"/>
  <c r="J44" i="8"/>
  <c r="D69" i="17" s="1"/>
  <c r="I40" i="18"/>
  <c r="I42" i="8"/>
  <c r="C67" i="17" s="1"/>
  <c r="H11" i="38"/>
  <c r="F11" i="38"/>
  <c r="H75" i="38"/>
  <c r="F75" i="38"/>
  <c r="F9" i="18"/>
  <c r="F9" i="8"/>
  <c r="F90" i="11"/>
  <c r="F54" i="8" s="1"/>
  <c r="F66" i="11"/>
  <c r="F36" i="18"/>
  <c r="F38" i="8"/>
  <c r="G22" i="8"/>
  <c r="G20" i="18"/>
  <c r="G15" i="11"/>
  <c r="G8" i="8"/>
  <c r="G8" i="18"/>
  <c r="J20" i="35"/>
  <c r="D13" i="17"/>
  <c r="J24" i="18"/>
  <c r="J26" i="8"/>
  <c r="N36" i="11"/>
  <c r="M36" i="11"/>
  <c r="I19" i="35"/>
  <c r="C14" i="17"/>
  <c r="I27" i="8"/>
  <c r="I25" i="18"/>
  <c r="C15" i="17"/>
  <c r="I26" i="18"/>
  <c r="I28" i="8"/>
  <c r="C156" i="11"/>
  <c r="K56" i="11" s="1"/>
  <c r="J75" i="11"/>
  <c r="I35" i="35"/>
  <c r="C16" i="17"/>
  <c r="I27" i="18"/>
  <c r="I29" i="8"/>
  <c r="I8" i="35"/>
  <c r="C10" i="17"/>
  <c r="I21" i="18"/>
  <c r="I23" i="8"/>
  <c r="AC61" i="38"/>
  <c r="AC55" i="38" s="1"/>
  <c r="AD63" i="38"/>
  <c r="AD67" i="38" s="1"/>
  <c r="AD27" i="38"/>
  <c r="F43" i="38"/>
  <c r="H43" i="38"/>
  <c r="H89" i="38"/>
  <c r="F89" i="38"/>
  <c r="AB111" i="46"/>
  <c r="F112" i="46"/>
  <c r="D112" i="46"/>
  <c r="H72" i="33"/>
  <c r="F72" i="33"/>
  <c r="D40" i="18"/>
  <c r="D42" i="8"/>
  <c r="G14" i="8"/>
  <c r="G14" i="18"/>
  <c r="C18" i="9"/>
  <c r="C23" i="9" s="1"/>
  <c r="I22" i="11"/>
  <c r="D20" i="9"/>
  <c r="N19" i="11"/>
  <c r="M19" i="11"/>
  <c r="I41" i="18"/>
  <c r="I43" i="8"/>
  <c r="C68" i="17" s="1"/>
  <c r="D15" i="9"/>
  <c r="N14" i="11"/>
  <c r="M14" i="11"/>
  <c r="J19" i="35"/>
  <c r="D14" i="17"/>
  <c r="J25" i="18"/>
  <c r="J27" i="8"/>
  <c r="N37" i="11"/>
  <c r="M37" i="11"/>
  <c r="C41" i="18"/>
  <c r="C43" i="8"/>
  <c r="G38" i="18"/>
  <c r="G40" i="8"/>
  <c r="D11" i="9"/>
  <c r="J11" i="8"/>
  <c r="J11" i="18"/>
  <c r="N10" i="11"/>
  <c r="M10" i="11"/>
  <c r="D10" i="9"/>
  <c r="J10" i="18"/>
  <c r="J10" i="8"/>
  <c r="M9" i="11"/>
  <c r="N9" i="11"/>
  <c r="C28" i="8"/>
  <c r="C26" i="18"/>
  <c r="V114" i="48"/>
  <c r="V113" i="37"/>
  <c r="H12" i="38"/>
  <c r="F12" i="38"/>
  <c r="H90" i="38"/>
  <c r="F90" i="38"/>
  <c r="AB51" i="46"/>
  <c r="D52" i="46"/>
  <c r="F52" i="46"/>
  <c r="AD25" i="33"/>
  <c r="H40" i="33"/>
  <c r="F40" i="33"/>
  <c r="AC88" i="33"/>
  <c r="AC82" i="33" s="1"/>
  <c r="AD90" i="33"/>
  <c r="C31" i="18"/>
  <c r="C33" i="8"/>
  <c r="J76" i="11"/>
  <c r="C158" i="11"/>
  <c r="K58" i="11" s="1"/>
  <c r="G42" i="18"/>
  <c r="G44" i="8"/>
  <c r="G27" i="18"/>
  <c r="G29" i="8"/>
  <c r="G33" i="18"/>
  <c r="G35" i="8"/>
  <c r="G24" i="18"/>
  <c r="G26" i="8"/>
  <c r="G43" i="8"/>
  <c r="G41" i="18"/>
  <c r="C40" i="8"/>
  <c r="C38" i="18"/>
  <c r="G67" i="8"/>
  <c r="G22" i="18"/>
  <c r="G24" i="8"/>
  <c r="G37" i="18"/>
  <c r="G39" i="8"/>
  <c r="F19" i="35"/>
  <c r="C25" i="18"/>
  <c r="C27" i="8"/>
  <c r="G10" i="18"/>
  <c r="G10" i="8"/>
  <c r="AB19" i="46"/>
  <c r="AB7" i="52" s="1"/>
  <c r="AC13" i="33"/>
  <c r="AC7" i="33" s="1"/>
  <c r="AD15" i="33"/>
  <c r="C52" i="55" s="1"/>
  <c r="H91" i="38"/>
  <c r="F91" i="38"/>
  <c r="H70" i="33"/>
  <c r="F70" i="33"/>
  <c r="H84" i="33"/>
  <c r="F84" i="33"/>
  <c r="C12" i="8"/>
  <c r="C12" i="18"/>
  <c r="C10" i="9"/>
  <c r="I10" i="8"/>
  <c r="I10" i="18"/>
  <c r="C15" i="11"/>
  <c r="C8" i="8"/>
  <c r="C8" i="18"/>
  <c r="D13" i="18"/>
  <c r="D13" i="8"/>
  <c r="F45" i="8"/>
  <c r="F43" i="18"/>
  <c r="F15" i="35"/>
  <c r="F16" i="35" s="1"/>
  <c r="C67" i="8"/>
  <c r="C22" i="18"/>
  <c r="C24" i="8"/>
  <c r="F33" i="18"/>
  <c r="F35" i="8"/>
  <c r="M60" i="11"/>
  <c r="N60" i="11"/>
  <c r="G25" i="8"/>
  <c r="G23" i="18"/>
  <c r="G88" i="11"/>
  <c r="D39" i="8"/>
  <c r="D37" i="18"/>
  <c r="D14" i="8"/>
  <c r="D14" i="18"/>
  <c r="H10" i="38"/>
  <c r="F10" i="38"/>
  <c r="H107" i="38"/>
  <c r="F107" i="38"/>
  <c r="V119" i="37"/>
  <c r="G7" i="35"/>
  <c r="D22" i="8"/>
  <c r="D20" i="18"/>
  <c r="F25" i="18"/>
  <c r="F27" i="8"/>
  <c r="F67" i="8"/>
  <c r="F22" i="18"/>
  <c r="F24" i="8"/>
  <c r="G32" i="18"/>
  <c r="G34" i="8"/>
  <c r="C149" i="11"/>
  <c r="K49" i="11" s="1"/>
  <c r="J37" i="18"/>
  <c r="J39" i="8"/>
  <c r="D64" i="17" s="1"/>
  <c r="F35" i="35"/>
  <c r="C27" i="18"/>
  <c r="C29" i="8"/>
  <c r="C12" i="9"/>
  <c r="I12" i="18"/>
  <c r="I12" i="8"/>
  <c r="G40" i="18"/>
  <c r="G42" i="8"/>
  <c r="I40" i="8"/>
  <c r="C65" i="17" s="1"/>
  <c r="I38" i="18"/>
  <c r="G21" i="35"/>
  <c r="G33" i="35" s="1"/>
  <c r="D25" i="8"/>
  <c r="D23" i="18"/>
  <c r="D88" i="11"/>
  <c r="G12" i="18"/>
  <c r="G12" i="8"/>
  <c r="H9" i="38"/>
  <c r="F9" i="38"/>
  <c r="AD26" i="38"/>
  <c r="H42" i="38"/>
  <c r="F42" i="38"/>
  <c r="H85" i="33"/>
  <c r="F85" i="33"/>
  <c r="W127" i="48"/>
  <c r="AB66" i="46"/>
  <c r="F67" i="46"/>
  <c r="D67" i="46"/>
  <c r="D46" i="17"/>
  <c r="J35" i="8"/>
  <c r="J33" i="18"/>
  <c r="N45" i="11"/>
  <c r="M45" i="11"/>
  <c r="C46" i="17"/>
  <c r="I33" i="18"/>
  <c r="I35" i="8"/>
  <c r="C43" i="17"/>
  <c r="I46" i="11"/>
  <c r="I32" i="8"/>
  <c r="I30" i="18"/>
  <c r="C45" i="17"/>
  <c r="I32" i="18"/>
  <c r="I34" i="8"/>
  <c r="I28" i="35"/>
  <c r="C8" i="17"/>
  <c r="I19" i="18"/>
  <c r="I40" i="11"/>
  <c r="I21" i="8"/>
  <c r="C13" i="18"/>
  <c r="C13" i="8"/>
  <c r="H76" i="38"/>
  <c r="F76" i="38"/>
  <c r="D11" i="8"/>
  <c r="D11" i="18"/>
  <c r="I20" i="35"/>
  <c r="I36" i="35" s="1"/>
  <c r="C13" i="17"/>
  <c r="I24" i="18"/>
  <c r="I26" i="8"/>
  <c r="F12" i="8"/>
  <c r="F12" i="18"/>
  <c r="C9" i="9"/>
  <c r="I9" i="18"/>
  <c r="I9" i="8"/>
  <c r="J35" i="35"/>
  <c r="M35" i="35" s="1"/>
  <c r="D16" i="17"/>
  <c r="J29" i="8"/>
  <c r="J27" i="18"/>
  <c r="M39" i="11"/>
  <c r="N39" i="11"/>
  <c r="H59" i="38"/>
  <c r="F59" i="38"/>
  <c r="J8" i="35"/>
  <c r="M8" i="35" s="1"/>
  <c r="N8" i="35" s="1"/>
  <c r="D10" i="17"/>
  <c r="J21" i="18"/>
  <c r="J23" i="8"/>
  <c r="N33" i="11"/>
  <c r="M33" i="11"/>
  <c r="D18" i="9"/>
  <c r="J22" i="11"/>
  <c r="N17" i="11"/>
  <c r="M17" i="11"/>
  <c r="D42" i="18"/>
  <c r="D44" i="8"/>
  <c r="H105" i="38"/>
  <c r="F105" i="38"/>
  <c r="F40" i="11"/>
  <c r="F19" i="18"/>
  <c r="F21" i="8"/>
  <c r="C163" i="11"/>
  <c r="K62" i="11" s="1"/>
  <c r="J77" i="11"/>
  <c r="N57" i="11"/>
  <c r="M57" i="11"/>
  <c r="G22" i="11"/>
  <c r="D14" i="9"/>
  <c r="J14" i="8"/>
  <c r="J14" i="18"/>
  <c r="M13" i="11"/>
  <c r="N13" i="11"/>
  <c r="D10" i="8"/>
  <c r="D10" i="18"/>
  <c r="C22" i="11"/>
  <c r="F34" i="8"/>
  <c r="F32" i="18"/>
  <c r="G33" i="8"/>
  <c r="G31" i="18"/>
  <c r="I43" i="18"/>
  <c r="I45" i="8"/>
  <c r="C70" i="17" s="1"/>
  <c r="F8" i="8"/>
  <c r="F8" i="18"/>
  <c r="F15" i="11"/>
  <c r="F11" i="18"/>
  <c r="F11" i="8"/>
  <c r="C14" i="9"/>
  <c r="I14" i="8"/>
  <c r="I14" i="18"/>
  <c r="C9" i="8"/>
  <c r="C9" i="18"/>
  <c r="D45" i="17"/>
  <c r="J34" i="8"/>
  <c r="J32" i="18"/>
  <c r="N44" i="11"/>
  <c r="M44" i="11"/>
  <c r="AD25" i="38"/>
  <c r="H41" i="38"/>
  <c r="W97" i="39"/>
  <c r="AD28" i="38"/>
  <c r="H44" i="38"/>
  <c r="V93" i="39"/>
  <c r="AD26" i="33"/>
  <c r="H41" i="33"/>
  <c r="F41" i="33"/>
  <c r="W120" i="48"/>
  <c r="AB15" i="46"/>
  <c r="F9" i="46"/>
  <c r="F7" i="46" s="1"/>
  <c r="F12" i="46" s="1"/>
  <c r="D9" i="46"/>
  <c r="I42" i="18"/>
  <c r="I44" i="8"/>
  <c r="C69" i="17" s="1"/>
  <c r="C11" i="9"/>
  <c r="I11" i="18"/>
  <c r="I11" i="8"/>
  <c r="F13" i="18"/>
  <c r="F13" i="8"/>
  <c r="G15" i="35"/>
  <c r="G16" i="35" s="1"/>
  <c r="D67" i="8"/>
  <c r="D22" i="18"/>
  <c r="D24" i="8"/>
  <c r="J7" i="35"/>
  <c r="D9" i="17"/>
  <c r="J20" i="18"/>
  <c r="M32" i="11"/>
  <c r="J22" i="8"/>
  <c r="N32" i="11"/>
  <c r="F39" i="8"/>
  <c r="F37" i="18"/>
  <c r="F14" i="18"/>
  <c r="F14" i="8"/>
  <c r="D41" i="18"/>
  <c r="D43" i="8"/>
  <c r="D43" i="17"/>
  <c r="J46" i="11"/>
  <c r="N46" i="11" s="1"/>
  <c r="J32" i="8"/>
  <c r="J30" i="18"/>
  <c r="N42" i="11"/>
  <c r="M42" i="11"/>
  <c r="D19" i="9"/>
  <c r="C121" i="11"/>
  <c r="D31" i="18"/>
  <c r="D33" i="8"/>
  <c r="AD66" i="38"/>
  <c r="H57" i="38"/>
  <c r="F57" i="38"/>
  <c r="H106" i="38"/>
  <c r="F106" i="38"/>
  <c r="K82" i="11"/>
  <c r="N64" i="11"/>
  <c r="M64" i="11"/>
  <c r="D15" i="17"/>
  <c r="J26" i="18"/>
  <c r="J28" i="8"/>
  <c r="N38" i="11"/>
  <c r="M38" i="11"/>
  <c r="G28" i="8"/>
  <c r="G26" i="18"/>
  <c r="D44" i="17"/>
  <c r="J33" i="8"/>
  <c r="J31" i="18"/>
  <c r="M43" i="11"/>
  <c r="N43" i="11"/>
  <c r="G43" i="18"/>
  <c r="G45" i="8"/>
  <c r="N65" i="11"/>
  <c r="M65" i="11"/>
  <c r="C43" i="18"/>
  <c r="C45" i="8"/>
  <c r="I90" i="11"/>
  <c r="I54" i="8" s="1"/>
  <c r="I66" i="11"/>
  <c r="I36" i="18"/>
  <c r="I38" i="8"/>
  <c r="C63" i="17" s="1"/>
  <c r="F20" i="35"/>
  <c r="C24" i="18"/>
  <c r="C26" i="8"/>
  <c r="G39" i="18"/>
  <c r="G41" i="8"/>
  <c r="N63" i="11"/>
  <c r="M63" i="11"/>
  <c r="F87" i="38"/>
  <c r="H58" i="38"/>
  <c r="F58" i="38"/>
  <c r="F42" i="18"/>
  <c r="F44" i="8"/>
  <c r="D15" i="11"/>
  <c r="D24" i="11" s="1"/>
  <c r="D28" i="11" s="1"/>
  <c r="D18" i="8" s="1"/>
  <c r="D8" i="8"/>
  <c r="D8" i="18"/>
  <c r="I21" i="35"/>
  <c r="I33" i="35" s="1"/>
  <c r="C12" i="17"/>
  <c r="I23" i="18"/>
  <c r="I25" i="8"/>
  <c r="I88" i="11"/>
  <c r="F43" i="8"/>
  <c r="F41" i="18"/>
  <c r="C66" i="11"/>
  <c r="C90" i="11"/>
  <c r="C54" i="8" s="1"/>
  <c r="C38" i="8"/>
  <c r="C36" i="18"/>
  <c r="D32" i="18"/>
  <c r="D34" i="8"/>
  <c r="C13" i="9"/>
  <c r="I13" i="8"/>
  <c r="I13" i="18"/>
  <c r="D35" i="8"/>
  <c r="D33" i="18"/>
  <c r="D43" i="18"/>
  <c r="D45" i="8"/>
  <c r="I7" i="35"/>
  <c r="C9" i="17"/>
  <c r="I20" i="18"/>
  <c r="I22" i="8"/>
  <c r="F46" i="11"/>
  <c r="F32" i="8"/>
  <c r="F30" i="18"/>
  <c r="D12" i="9"/>
  <c r="J12" i="8"/>
  <c r="J12" i="18"/>
  <c r="N11" i="11"/>
  <c r="M11" i="11"/>
  <c r="F7" i="35"/>
  <c r="C22" i="8"/>
  <c r="C20" i="18"/>
  <c r="F81" i="46"/>
  <c r="F86" i="46" s="1"/>
  <c r="F90" i="46" s="1"/>
  <c r="AD95" i="38"/>
  <c r="AD96" i="38" s="1"/>
  <c r="AC93" i="38"/>
  <c r="AC87" i="38" s="1"/>
  <c r="H92" i="38"/>
  <c r="H18" i="38"/>
  <c r="H7" i="38"/>
  <c r="H15" i="38" s="1"/>
  <c r="F27" i="18"/>
  <c r="F29" i="8"/>
  <c r="F24" i="11"/>
  <c r="F28" i="11" s="1"/>
  <c r="F18" i="8" s="1"/>
  <c r="J21" i="35"/>
  <c r="D12" i="17"/>
  <c r="C131" i="11"/>
  <c r="J25" i="8"/>
  <c r="J23" i="18"/>
  <c r="J88" i="11"/>
  <c r="C152" i="11"/>
  <c r="K52" i="11" s="1"/>
  <c r="J42" i="8"/>
  <c r="D67" i="17" s="1"/>
  <c r="J40" i="18"/>
  <c r="I37" i="18"/>
  <c r="I39" i="8"/>
  <c r="C64" i="17" s="1"/>
  <c r="G8" i="35"/>
  <c r="D21" i="18"/>
  <c r="D23" i="8"/>
  <c r="C155" i="11"/>
  <c r="K55" i="11" s="1"/>
  <c r="J43" i="18"/>
  <c r="J45" i="8"/>
  <c r="D70" i="17" s="1"/>
  <c r="N59" i="11"/>
  <c r="M59" i="11"/>
  <c r="AB86" i="46"/>
  <c r="AB90" i="46" s="1"/>
  <c r="AA84" i="46"/>
  <c r="AA81" i="46" s="1"/>
  <c r="AD98" i="38"/>
  <c r="AC13" i="38"/>
  <c r="AC7" i="38" s="1"/>
  <c r="AD15" i="38"/>
  <c r="AD19" i="38" s="1"/>
  <c r="G90" i="11"/>
  <c r="G54" i="8" s="1"/>
  <c r="G66" i="11"/>
  <c r="G36" i="18"/>
  <c r="G38" i="8"/>
  <c r="G28" i="35"/>
  <c r="D40" i="11"/>
  <c r="D19" i="18"/>
  <c r="D21" i="8"/>
  <c r="F22" i="8"/>
  <c r="F20" i="18"/>
  <c r="F10" i="18"/>
  <c r="F10" i="8"/>
  <c r="F40" i="18"/>
  <c r="F42" i="8"/>
  <c r="J15" i="35"/>
  <c r="D11" i="17"/>
  <c r="J67" i="8"/>
  <c r="J22" i="18"/>
  <c r="J24" i="8"/>
  <c r="N34" i="11"/>
  <c r="M34" i="11"/>
  <c r="G25" i="18"/>
  <c r="G27" i="8"/>
  <c r="AB89" i="46"/>
  <c r="AD18" i="38"/>
  <c r="C37" i="18"/>
  <c r="C39" i="8"/>
  <c r="G35" i="35"/>
  <c r="D27" i="18"/>
  <c r="D29" i="8"/>
  <c r="I41" i="8"/>
  <c r="C66" i="17" s="1"/>
  <c r="I39" i="18"/>
  <c r="G11" i="18"/>
  <c r="G11" i="8"/>
  <c r="D12" i="8"/>
  <c r="D12" i="18"/>
  <c r="D8" i="9"/>
  <c r="J8" i="8"/>
  <c r="J15" i="11"/>
  <c r="N15" i="11" s="1"/>
  <c r="J8" i="18"/>
  <c r="M7" i="11"/>
  <c r="N7" i="11"/>
  <c r="C40" i="18"/>
  <c r="C42" i="8"/>
  <c r="C161" i="11"/>
  <c r="K61" i="11" s="1"/>
  <c r="J83" i="11"/>
  <c r="K83" i="11" s="1"/>
  <c r="C14" i="18"/>
  <c r="C14" i="8"/>
  <c r="G40" i="11"/>
  <c r="G19" i="18"/>
  <c r="G21" i="8"/>
  <c r="C44" i="17"/>
  <c r="I31" i="18"/>
  <c r="I33" i="8"/>
  <c r="C8" i="9"/>
  <c r="I8" i="18"/>
  <c r="I15" i="11"/>
  <c r="I8" i="8"/>
  <c r="G19" i="35"/>
  <c r="D27" i="8"/>
  <c r="D25" i="18"/>
  <c r="F33" i="8"/>
  <c r="F31" i="18"/>
  <c r="W101" i="39"/>
  <c r="H60" i="38"/>
  <c r="F60" i="38"/>
  <c r="F55" i="38" s="1"/>
  <c r="F66" i="38" s="1"/>
  <c r="D13" i="9"/>
  <c r="J13" i="18"/>
  <c r="J13" i="8"/>
  <c r="N12" i="11"/>
  <c r="M12" i="11"/>
  <c r="D21" i="9"/>
  <c r="N20" i="11"/>
  <c r="M20" i="11"/>
  <c r="H67" i="33"/>
  <c r="H75" i="33" s="1"/>
  <c r="F88" i="11"/>
  <c r="F23" i="18"/>
  <c r="F25" i="8"/>
  <c r="F21" i="18"/>
  <c r="F23" i="8"/>
  <c r="G21" i="18"/>
  <c r="G23" i="8"/>
  <c r="D26" i="18"/>
  <c r="D28" i="8"/>
  <c r="D39" i="18"/>
  <c r="D41" i="8"/>
  <c r="C11" i="8"/>
  <c r="C11" i="18"/>
  <c r="D9" i="8"/>
  <c r="D9" i="18"/>
  <c r="F39" i="18"/>
  <c r="F41" i="8"/>
  <c r="C148" i="11"/>
  <c r="J90" i="11"/>
  <c r="J54" i="8" s="1"/>
  <c r="J66" i="11"/>
  <c r="J36" i="18"/>
  <c r="J38" i="8"/>
  <c r="D63" i="17" s="1"/>
  <c r="C35" i="8"/>
  <c r="C33" i="18"/>
  <c r="F8" i="35"/>
  <c r="C21" i="18"/>
  <c r="C23" i="8"/>
  <c r="W113" i="48"/>
  <c r="W112" i="37"/>
  <c r="W118" i="37" s="1"/>
  <c r="H23" i="33"/>
  <c r="F23" i="33"/>
  <c r="H108" i="38"/>
  <c r="F108" i="38"/>
  <c r="H73" i="38"/>
  <c r="F73" i="38"/>
  <c r="D124" i="46"/>
  <c r="H56" i="33"/>
  <c r="F56" i="33"/>
  <c r="AB36" i="46"/>
  <c r="AB44" i="46" s="1"/>
  <c r="F37" i="46"/>
  <c r="D37" i="46"/>
  <c r="H99" i="33"/>
  <c r="F99" i="33"/>
  <c r="W123" i="48"/>
  <c r="AB21" i="46"/>
  <c r="AB29" i="46" s="1"/>
  <c r="F22" i="46"/>
  <c r="D22" i="46"/>
  <c r="H55" i="33"/>
  <c r="F55" i="33"/>
  <c r="H10" i="33"/>
  <c r="F10" i="33"/>
  <c r="H87" i="33"/>
  <c r="F87" i="33"/>
  <c r="W127" i="37"/>
  <c r="H57" i="33"/>
  <c r="F57" i="33"/>
  <c r="H9" i="33"/>
  <c r="F9" i="33"/>
  <c r="F39" i="38"/>
  <c r="F50" i="38" s="1"/>
  <c r="AB132" i="46"/>
  <c r="F126" i="46"/>
  <c r="F124" i="46" s="1"/>
  <c r="F129" i="46" s="1"/>
  <c r="D126" i="46"/>
  <c r="G13" i="8"/>
  <c r="G13" i="18"/>
  <c r="C10" i="18"/>
  <c r="C10" i="8"/>
  <c r="C153" i="11"/>
  <c r="K53" i="11" s="1"/>
  <c r="J41" i="18"/>
  <c r="J43" i="8"/>
  <c r="D68" i="17" s="1"/>
  <c r="C42" i="18"/>
  <c r="C44" i="8"/>
  <c r="G20" i="35"/>
  <c r="D24" i="18"/>
  <c r="D26" i="8"/>
  <c r="F28" i="8"/>
  <c r="F26" i="18"/>
  <c r="D46" i="11"/>
  <c r="D30" i="18"/>
  <c r="D32" i="8"/>
  <c r="D22" i="9"/>
  <c r="M21" i="11"/>
  <c r="N21" i="11"/>
  <c r="F28" i="35"/>
  <c r="C40" i="11"/>
  <c r="C19" i="18"/>
  <c r="C21" i="8"/>
  <c r="C39" i="18"/>
  <c r="C41" i="8"/>
  <c r="F21" i="35"/>
  <c r="F33" i="35" s="1"/>
  <c r="F37" i="35" s="1"/>
  <c r="C23" i="18"/>
  <c r="C25" i="8"/>
  <c r="C88" i="11"/>
  <c r="G9" i="8"/>
  <c r="G9" i="18"/>
  <c r="D9" i="9"/>
  <c r="J9" i="18"/>
  <c r="J9" i="8"/>
  <c r="N8" i="11"/>
  <c r="M8" i="11"/>
  <c r="G46" i="11"/>
  <c r="G30" i="18"/>
  <c r="G32" i="8"/>
  <c r="C32" i="18"/>
  <c r="C34" i="8"/>
  <c r="D89" i="46"/>
  <c r="D81" i="46"/>
  <c r="H87" i="38"/>
  <c r="H95" i="38" s="1"/>
  <c r="H74" i="38"/>
  <c r="F74" i="38"/>
  <c r="F7" i="38"/>
  <c r="F18" i="38" s="1"/>
  <c r="H12" i="33"/>
  <c r="F12" i="33"/>
  <c r="H11" i="33"/>
  <c r="F11" i="33"/>
  <c r="H39" i="38"/>
  <c r="H47" i="38" s="1"/>
  <c r="H86" i="33"/>
  <c r="F86" i="33"/>
  <c r="H101" i="33"/>
  <c r="F101" i="33"/>
  <c r="AD39" i="38"/>
  <c r="W123" i="37"/>
  <c r="AD27" i="33"/>
  <c r="H42" i="33"/>
  <c r="F42" i="33"/>
  <c r="H69" i="33"/>
  <c r="F69" i="33"/>
  <c r="W86" i="39"/>
  <c r="W92" i="39" s="1"/>
  <c r="AD23" i="38"/>
  <c r="AD31" i="38" s="1"/>
  <c r="H24" i="38"/>
  <c r="F24" i="38"/>
  <c r="H54" i="33"/>
  <c r="F54" i="33"/>
  <c r="H71" i="33"/>
  <c r="F71" i="33"/>
  <c r="AD24" i="33"/>
  <c r="H39" i="33"/>
  <c r="F39" i="33"/>
  <c r="H100" i="33"/>
  <c r="F100" i="33"/>
  <c r="H102" i="33"/>
  <c r="F102" i="33"/>
  <c r="AB105" i="46"/>
  <c r="F98" i="46"/>
  <c r="D98" i="46"/>
  <c r="AD112" i="38" l="1"/>
  <c r="AD115" i="38"/>
  <c r="AB64" i="59"/>
  <c r="AB79" i="59"/>
  <c r="AB94" i="59"/>
  <c r="AB49" i="59"/>
  <c r="AB109" i="59"/>
  <c r="AB34" i="59"/>
  <c r="F37" i="33"/>
  <c r="H97" i="33"/>
  <c r="H108" i="33"/>
  <c r="AD22" i="33"/>
  <c r="H77" i="33"/>
  <c r="H19" i="38"/>
  <c r="F71" i="38"/>
  <c r="AD60" i="33"/>
  <c r="AD63" i="33" s="1"/>
  <c r="H51" i="38"/>
  <c r="AD35" i="38"/>
  <c r="AD114" i="38"/>
  <c r="H82" i="33"/>
  <c r="H99" i="38"/>
  <c r="AA19" i="59"/>
  <c r="H78" i="33"/>
  <c r="AB8" i="52"/>
  <c r="H71" i="38"/>
  <c r="H79" i="38" s="1"/>
  <c r="H80" i="38" s="1"/>
  <c r="AD80" i="38"/>
  <c r="AD18" i="33"/>
  <c r="H7" i="33"/>
  <c r="F19" i="59" s="1"/>
  <c r="AD99" i="38"/>
  <c r="AD16" i="38"/>
  <c r="D46" i="55" s="1"/>
  <c r="C54" i="55"/>
  <c r="F103" i="38"/>
  <c r="F67" i="33"/>
  <c r="F51" i="59"/>
  <c r="F56" i="59" s="1"/>
  <c r="AA54" i="59"/>
  <c r="AA51" i="59" s="1"/>
  <c r="AB56" i="59"/>
  <c r="AB59" i="59"/>
  <c r="D124" i="59"/>
  <c r="D131" i="59" s="1"/>
  <c r="D111" i="59"/>
  <c r="F124" i="59"/>
  <c r="F129" i="59" s="1"/>
  <c r="F132" i="59" s="1"/>
  <c r="F111" i="59"/>
  <c r="F116" i="59" s="1"/>
  <c r="D7" i="59"/>
  <c r="AA127" i="59"/>
  <c r="AA124" i="59" s="1"/>
  <c r="AB129" i="59"/>
  <c r="AB132" i="59" s="1"/>
  <c r="AB116" i="59"/>
  <c r="AA114" i="59"/>
  <c r="AA111" i="59" s="1"/>
  <c r="F7" i="59"/>
  <c r="F12" i="59" s="1"/>
  <c r="F15" i="59" s="1"/>
  <c r="AB131" i="59"/>
  <c r="AB119" i="59"/>
  <c r="D66" i="59"/>
  <c r="AA10" i="59"/>
  <c r="AA7" i="59" s="1"/>
  <c r="AB12" i="59"/>
  <c r="AB15" i="59" s="1"/>
  <c r="D21" i="59"/>
  <c r="D29" i="59" s="1"/>
  <c r="F66" i="59"/>
  <c r="F71" i="59" s="1"/>
  <c r="AB14" i="59"/>
  <c r="F21" i="59"/>
  <c r="F26" i="59" s="1"/>
  <c r="D36" i="59"/>
  <c r="AB71" i="59"/>
  <c r="AA69" i="59"/>
  <c r="AA66" i="59" s="1"/>
  <c r="F81" i="59"/>
  <c r="F86" i="59" s="1"/>
  <c r="AA24" i="59"/>
  <c r="AA21" i="59" s="1"/>
  <c r="AB26" i="59"/>
  <c r="F36" i="59"/>
  <c r="F41" i="59" s="1"/>
  <c r="AB74" i="59"/>
  <c r="D81" i="59"/>
  <c r="AB29" i="59"/>
  <c r="AB41" i="59"/>
  <c r="AA39" i="59"/>
  <c r="AA36" i="59" s="1"/>
  <c r="AB86" i="59"/>
  <c r="AA84" i="59"/>
  <c r="AA81" i="59" s="1"/>
  <c r="D96" i="59"/>
  <c r="D104" i="59" s="1"/>
  <c r="AB44" i="59"/>
  <c r="AB89" i="59"/>
  <c r="F96" i="59"/>
  <c r="F101" i="59" s="1"/>
  <c r="D51" i="59"/>
  <c r="AA99" i="59"/>
  <c r="AA96" i="59" s="1"/>
  <c r="AB101" i="59"/>
  <c r="J69" i="8"/>
  <c r="J104" i="11"/>
  <c r="C69" i="8"/>
  <c r="C104" i="11"/>
  <c r="D69" i="8"/>
  <c r="D104" i="11"/>
  <c r="G69" i="8"/>
  <c r="G70" i="8" s="1"/>
  <c r="G104" i="11"/>
  <c r="D70" i="8"/>
  <c r="I69" i="8"/>
  <c r="I70" i="8" s="1"/>
  <c r="I104" i="11"/>
  <c r="C70" i="8"/>
  <c r="J70" i="8"/>
  <c r="N70" i="8" s="1"/>
  <c r="F69" i="8"/>
  <c r="F70" i="8" s="1"/>
  <c r="F104" i="11"/>
  <c r="D59" i="8"/>
  <c r="I59" i="8"/>
  <c r="J59" i="8"/>
  <c r="G59" i="8"/>
  <c r="C59" i="8"/>
  <c r="F59" i="8"/>
  <c r="J56" i="8"/>
  <c r="M46" i="11"/>
  <c r="N69" i="8"/>
  <c r="M69" i="8"/>
  <c r="C28" i="18"/>
  <c r="N67" i="8"/>
  <c r="M67" i="8"/>
  <c r="K57" i="8"/>
  <c r="J57" i="8"/>
  <c r="C24" i="11"/>
  <c r="C28" i="11" s="1"/>
  <c r="C18" i="8" s="1"/>
  <c r="G36" i="8"/>
  <c r="G24" i="11"/>
  <c r="G28" i="11" s="1"/>
  <c r="G18" i="8" s="1"/>
  <c r="D34" i="18"/>
  <c r="G34" i="18"/>
  <c r="F34" i="18"/>
  <c r="I9" i="35"/>
  <c r="I10" i="35" s="1"/>
  <c r="F9" i="35"/>
  <c r="F10" i="35" s="1"/>
  <c r="I37" i="35"/>
  <c r="I21" i="51"/>
  <c r="H21" i="51"/>
  <c r="J21" i="51"/>
  <c r="F22" i="51" a="1"/>
  <c r="F22" i="51" s="1"/>
  <c r="G22" i="51" s="1"/>
  <c r="E22" i="51" a="1"/>
  <c r="E22" i="51" s="1"/>
  <c r="B22" i="51" a="1"/>
  <c r="B22" i="51" s="1"/>
  <c r="D23" i="51"/>
  <c r="F79" i="38"/>
  <c r="F83" i="38" s="1"/>
  <c r="E77" i="38"/>
  <c r="E71" i="38" s="1"/>
  <c r="F82" i="38"/>
  <c r="H90" i="33"/>
  <c r="H93" i="33" s="1"/>
  <c r="H92" i="33"/>
  <c r="F19" i="46"/>
  <c r="F7" i="52" s="1"/>
  <c r="E43" i="33"/>
  <c r="E37" i="33" s="1"/>
  <c r="F45" i="33"/>
  <c r="F48" i="33" s="1"/>
  <c r="F47" i="33"/>
  <c r="AD30" i="33"/>
  <c r="AD33" i="33" s="1"/>
  <c r="AD32" i="33"/>
  <c r="H105" i="33"/>
  <c r="H107" i="33"/>
  <c r="E109" i="38"/>
  <c r="E103" i="38" s="1"/>
  <c r="F111" i="38"/>
  <c r="F115" i="38" s="1"/>
  <c r="F114" i="38"/>
  <c r="E61" i="38"/>
  <c r="E55" i="38" s="1"/>
  <c r="F63" i="38"/>
  <c r="F67" i="38" s="1"/>
  <c r="D28" i="18"/>
  <c r="D35" i="17"/>
  <c r="D57" i="17"/>
  <c r="E57" i="17"/>
  <c r="W116" i="48"/>
  <c r="W115" i="37"/>
  <c r="H26" i="33"/>
  <c r="F26" i="33"/>
  <c r="M21" i="18"/>
  <c r="N21" i="18"/>
  <c r="C17" i="17"/>
  <c r="D59" i="17"/>
  <c r="E59" i="17"/>
  <c r="AA19" i="46"/>
  <c r="AA7" i="52" s="1"/>
  <c r="AC15" i="33"/>
  <c r="AC18" i="33" s="1"/>
  <c r="AB13" i="33"/>
  <c r="AB7" i="33" s="1"/>
  <c r="AC17" i="33"/>
  <c r="J33" i="35"/>
  <c r="K21" i="35"/>
  <c r="D33" i="17"/>
  <c r="E33" i="17"/>
  <c r="D66" i="46"/>
  <c r="AB109" i="46"/>
  <c r="AB94" i="46"/>
  <c r="AB102" i="46" s="1"/>
  <c r="AB49" i="46"/>
  <c r="AB79" i="46"/>
  <c r="AB87" i="46" s="1"/>
  <c r="AB34" i="46"/>
  <c r="AB64" i="46"/>
  <c r="W115" i="48"/>
  <c r="W114" i="37"/>
  <c r="F25" i="33"/>
  <c r="H25" i="33"/>
  <c r="W89" i="39"/>
  <c r="F27" i="38"/>
  <c r="H27" i="38"/>
  <c r="E73" i="33"/>
  <c r="E67" i="33" s="1"/>
  <c r="F75" i="33"/>
  <c r="F78" i="33" s="1"/>
  <c r="N55" i="11"/>
  <c r="M55" i="11"/>
  <c r="K45" i="8"/>
  <c r="K43" i="18"/>
  <c r="F68" i="11"/>
  <c r="F16" i="18"/>
  <c r="F16" i="8"/>
  <c r="F66" i="46"/>
  <c r="F71" i="46" s="1"/>
  <c r="F75" i="46" s="1"/>
  <c r="N27" i="8"/>
  <c r="M27" i="8"/>
  <c r="F77" i="33"/>
  <c r="H50" i="38"/>
  <c r="C30" i="8"/>
  <c r="F21" i="46"/>
  <c r="F26" i="46" s="1"/>
  <c r="D129" i="46"/>
  <c r="C127" i="46"/>
  <c r="C124" i="46" s="1"/>
  <c r="G22" i="35"/>
  <c r="F14" i="46"/>
  <c r="AB71" i="46"/>
  <c r="AB75" i="46" s="1"/>
  <c r="AA69" i="46"/>
  <c r="AA66" i="46" s="1"/>
  <c r="H82" i="38"/>
  <c r="M10" i="8"/>
  <c r="N10" i="8"/>
  <c r="N25" i="18"/>
  <c r="M25" i="18"/>
  <c r="AB61" i="38"/>
  <c r="AB55" i="38" s="1"/>
  <c r="AC63" i="38"/>
  <c r="AC67" i="38" s="1"/>
  <c r="AC66" i="38"/>
  <c r="AB77" i="38"/>
  <c r="AB71" i="38" s="1"/>
  <c r="AC79" i="38"/>
  <c r="AC82" i="38"/>
  <c r="E45" i="38"/>
  <c r="E39" i="38" s="1"/>
  <c r="F47" i="38"/>
  <c r="F48" i="38" s="1"/>
  <c r="AB26" i="46"/>
  <c r="AB27" i="46" s="1"/>
  <c r="AB21" i="52" s="1"/>
  <c r="AA24" i="46"/>
  <c r="AA21" i="46" s="1"/>
  <c r="D131" i="46"/>
  <c r="M83" i="11"/>
  <c r="N83" i="11"/>
  <c r="M24" i="8"/>
  <c r="N24" i="8"/>
  <c r="M12" i="18"/>
  <c r="N12" i="18"/>
  <c r="I47" i="8"/>
  <c r="I46" i="8" s="1"/>
  <c r="C71" i="17" s="1"/>
  <c r="I45" i="18"/>
  <c r="I44" i="18" s="1"/>
  <c r="W93" i="39"/>
  <c r="H28" i="38"/>
  <c r="H23" i="38" s="1"/>
  <c r="H31" i="38" s="1"/>
  <c r="F28" i="38"/>
  <c r="AB74" i="46"/>
  <c r="N49" i="11"/>
  <c r="M49" i="11"/>
  <c r="K39" i="8"/>
  <c r="K37" i="18"/>
  <c r="F51" i="46"/>
  <c r="F56" i="46" s="1"/>
  <c r="N10" i="18"/>
  <c r="M10" i="18"/>
  <c r="D37" i="17"/>
  <c r="E37" i="17"/>
  <c r="F47" i="8"/>
  <c r="F46" i="8" s="1"/>
  <c r="F45" i="18"/>
  <c r="F44" i="18" s="1"/>
  <c r="AB73" i="33"/>
  <c r="AB67" i="33" s="1"/>
  <c r="AC75" i="33"/>
  <c r="AC78" i="33" s="1"/>
  <c r="AC77" i="33"/>
  <c r="N61" i="11"/>
  <c r="M61" i="11"/>
  <c r="N22" i="18"/>
  <c r="M22" i="18"/>
  <c r="G47" i="8"/>
  <c r="G46" i="8" s="1"/>
  <c r="G45" i="18"/>
  <c r="G44" i="18" s="1"/>
  <c r="M12" i="8"/>
  <c r="N12" i="8"/>
  <c r="N28" i="8"/>
  <c r="M28" i="8"/>
  <c r="D68" i="11"/>
  <c r="D16" i="18"/>
  <c r="D16" i="8"/>
  <c r="N14" i="18"/>
  <c r="M14" i="18"/>
  <c r="I34" i="18"/>
  <c r="D51" i="46"/>
  <c r="D59" i="46" s="1"/>
  <c r="D40" i="9"/>
  <c r="E40" i="9"/>
  <c r="J22" i="35"/>
  <c r="M19" i="35"/>
  <c r="N19" i="35" s="1"/>
  <c r="I22" i="35"/>
  <c r="I30" i="35" s="1"/>
  <c r="AD32" i="38"/>
  <c r="F7" i="33"/>
  <c r="D19" i="59" s="1"/>
  <c r="N53" i="11"/>
  <c r="M53" i="11"/>
  <c r="K41" i="18"/>
  <c r="K43" i="8"/>
  <c r="N13" i="8"/>
  <c r="M13" i="8"/>
  <c r="N100" i="11"/>
  <c r="M100" i="11"/>
  <c r="D42" i="9"/>
  <c r="E42" i="9"/>
  <c r="N26" i="18"/>
  <c r="M26" i="18"/>
  <c r="C154" i="11"/>
  <c r="K54" i="11" s="1"/>
  <c r="C126" i="11"/>
  <c r="K18" i="11"/>
  <c r="M22" i="8"/>
  <c r="N22" i="8"/>
  <c r="N14" i="8"/>
  <c r="M14" i="8"/>
  <c r="I36" i="8"/>
  <c r="G37" i="35"/>
  <c r="F22" i="35"/>
  <c r="F30" i="35" s="1"/>
  <c r="F39" i="35" s="1"/>
  <c r="AA54" i="46"/>
  <c r="AA51" i="46" s="1"/>
  <c r="AB56" i="46"/>
  <c r="J28" i="18"/>
  <c r="N19" i="18"/>
  <c r="M19" i="18"/>
  <c r="AA12" i="46"/>
  <c r="AA15" i="46" s="1"/>
  <c r="Z10" i="46"/>
  <c r="Z7" i="46" s="1"/>
  <c r="AA14" i="46"/>
  <c r="M13" i="18"/>
  <c r="N13" i="18"/>
  <c r="C16" i="9"/>
  <c r="C33" i="9" s="1"/>
  <c r="D34" i="17"/>
  <c r="E34" i="17"/>
  <c r="F97" i="33"/>
  <c r="D38" i="17"/>
  <c r="E38" i="17"/>
  <c r="D44" i="9"/>
  <c r="E44" i="9"/>
  <c r="N27" i="18"/>
  <c r="M27" i="18"/>
  <c r="F52" i="33"/>
  <c r="AB59" i="46"/>
  <c r="J30" i="8"/>
  <c r="N21" i="8"/>
  <c r="M21" i="8"/>
  <c r="AC105" i="33"/>
  <c r="AC108" i="33" s="1"/>
  <c r="AB103" i="33"/>
  <c r="AB97" i="33" s="1"/>
  <c r="AC107" i="33"/>
  <c r="J16" i="35"/>
  <c r="M15" i="35"/>
  <c r="N15" i="35" s="1"/>
  <c r="F36" i="8"/>
  <c r="M20" i="18"/>
  <c r="N20" i="18"/>
  <c r="D7" i="46"/>
  <c r="W87" i="39"/>
  <c r="H25" i="38"/>
  <c r="F25" i="38"/>
  <c r="G16" i="8"/>
  <c r="G16" i="18"/>
  <c r="M29" i="8"/>
  <c r="N29" i="8"/>
  <c r="C47" i="17"/>
  <c r="H103" i="38"/>
  <c r="M11" i="18"/>
  <c r="N11" i="18"/>
  <c r="D45" i="9"/>
  <c r="E45" i="9"/>
  <c r="M26" i="8"/>
  <c r="N26" i="8"/>
  <c r="AA101" i="46"/>
  <c r="AA105" i="46" s="1"/>
  <c r="Z99" i="46"/>
  <c r="Z96" i="46" s="1"/>
  <c r="AA104" i="46"/>
  <c r="J47" i="8"/>
  <c r="J46" i="8" s="1"/>
  <c r="D71" i="17" s="1"/>
  <c r="J45" i="18"/>
  <c r="J44" i="18" s="1"/>
  <c r="M15" i="11"/>
  <c r="E93" i="38"/>
  <c r="E87" i="38" s="1"/>
  <c r="F95" i="38"/>
  <c r="F99" i="38" s="1"/>
  <c r="D32" i="17"/>
  <c r="E32" i="17"/>
  <c r="F15" i="46"/>
  <c r="D39" i="17"/>
  <c r="E39" i="17"/>
  <c r="K76" i="11"/>
  <c r="N58" i="11"/>
  <c r="M58" i="11"/>
  <c r="M11" i="8"/>
  <c r="N11" i="8"/>
  <c r="D111" i="46"/>
  <c r="M24" i="18"/>
  <c r="N24" i="18"/>
  <c r="N50" i="11"/>
  <c r="M50" i="11"/>
  <c r="K40" i="8"/>
  <c r="K38" i="18"/>
  <c r="D31" i="17"/>
  <c r="D17" i="17"/>
  <c r="E31" i="17"/>
  <c r="D36" i="8"/>
  <c r="M8" i="18"/>
  <c r="N8" i="18"/>
  <c r="AC15" i="38"/>
  <c r="AB13" i="38"/>
  <c r="AB7" i="38" s="1"/>
  <c r="AC18" i="38"/>
  <c r="C47" i="8"/>
  <c r="C46" i="8" s="1"/>
  <c r="C45" i="18"/>
  <c r="C44" i="18" s="1"/>
  <c r="F98" i="38"/>
  <c r="J34" i="18"/>
  <c r="N34" i="18" s="1"/>
  <c r="N30" i="18"/>
  <c r="M30" i="18"/>
  <c r="J9" i="35"/>
  <c r="M7" i="35"/>
  <c r="N7" i="35" s="1"/>
  <c r="J24" i="11"/>
  <c r="J28" i="11" s="1"/>
  <c r="J18" i="8" s="1"/>
  <c r="N99" i="11"/>
  <c r="M99" i="11"/>
  <c r="F111" i="46"/>
  <c r="F116" i="46" s="1"/>
  <c r="F120" i="46" s="1"/>
  <c r="D36" i="17"/>
  <c r="E36" i="17"/>
  <c r="M28" i="35"/>
  <c r="H52" i="33"/>
  <c r="D44" i="46"/>
  <c r="D36" i="46"/>
  <c r="C169" i="11"/>
  <c r="K48" i="11"/>
  <c r="F82" i="33"/>
  <c r="K40" i="18"/>
  <c r="K42" i="8"/>
  <c r="N52" i="11"/>
  <c r="M52" i="11"/>
  <c r="AC95" i="38"/>
  <c r="AB93" i="38"/>
  <c r="AB87" i="38" s="1"/>
  <c r="AC98" i="38"/>
  <c r="M82" i="11"/>
  <c r="N82" i="11"/>
  <c r="J36" i="8"/>
  <c r="N36" i="8" s="1"/>
  <c r="N32" i="8"/>
  <c r="M32" i="8"/>
  <c r="M32" i="18"/>
  <c r="N32" i="18"/>
  <c r="D23" i="9"/>
  <c r="D41" i="9"/>
  <c r="E41" i="9"/>
  <c r="AB116" i="46"/>
  <c r="AB120" i="46" s="1"/>
  <c r="AA114" i="46"/>
  <c r="AA111" i="46" s="1"/>
  <c r="P20" i="35"/>
  <c r="M20" i="35"/>
  <c r="C36" i="8"/>
  <c r="AD34" i="38"/>
  <c r="D43" i="9"/>
  <c r="E43" i="9"/>
  <c r="M9" i="18"/>
  <c r="N9" i="18"/>
  <c r="D39" i="9"/>
  <c r="E39" i="9"/>
  <c r="F36" i="46"/>
  <c r="F41" i="46" s="1"/>
  <c r="G30" i="8"/>
  <c r="N8" i="8"/>
  <c r="M8" i="8"/>
  <c r="AA86" i="46"/>
  <c r="AA90" i="46" s="1"/>
  <c r="Z84" i="46"/>
  <c r="Z81" i="46" s="1"/>
  <c r="AA89" i="46"/>
  <c r="D96" i="46"/>
  <c r="N34" i="8"/>
  <c r="M34" i="8"/>
  <c r="N62" i="11"/>
  <c r="M62" i="11"/>
  <c r="K77" i="11"/>
  <c r="W88" i="39"/>
  <c r="H26" i="38"/>
  <c r="F26" i="38"/>
  <c r="AB119" i="46"/>
  <c r="J36" i="35"/>
  <c r="M36" i="35" s="1"/>
  <c r="H55" i="38"/>
  <c r="C34" i="18"/>
  <c r="AC37" i="33"/>
  <c r="AC28" i="33"/>
  <c r="AC22" i="33" s="1"/>
  <c r="AC60" i="33"/>
  <c r="AC63" i="33" s="1"/>
  <c r="AB58" i="33"/>
  <c r="AB52" i="33" s="1"/>
  <c r="AC62" i="33"/>
  <c r="M9" i="8"/>
  <c r="N9" i="8"/>
  <c r="G28" i="18"/>
  <c r="D16" i="9"/>
  <c r="D30" i="9" s="1"/>
  <c r="D38" i="9"/>
  <c r="E38" i="9"/>
  <c r="D47" i="17"/>
  <c r="D56" i="17"/>
  <c r="E56" i="17"/>
  <c r="D58" i="17"/>
  <c r="E58" i="17"/>
  <c r="F30" i="8"/>
  <c r="I30" i="8"/>
  <c r="D21" i="46"/>
  <c r="W114" i="48"/>
  <c r="W113" i="37"/>
  <c r="H24" i="33"/>
  <c r="F24" i="33"/>
  <c r="H98" i="38"/>
  <c r="F89" i="46"/>
  <c r="N31" i="18"/>
  <c r="M31" i="18"/>
  <c r="F28" i="18"/>
  <c r="N33" i="18"/>
  <c r="M33" i="18"/>
  <c r="G9" i="35"/>
  <c r="G10" i="35" s="1"/>
  <c r="AB88" i="33"/>
  <c r="AB82" i="33" s="1"/>
  <c r="AC90" i="33"/>
  <c r="AC93" i="33" s="1"/>
  <c r="AC92" i="33"/>
  <c r="I24" i="11"/>
  <c r="I28" i="11" s="1"/>
  <c r="I18" i="8" s="1"/>
  <c r="K75" i="11"/>
  <c r="N56" i="11"/>
  <c r="M56" i="11"/>
  <c r="D45" i="18"/>
  <c r="D44" i="18" s="1"/>
  <c r="D47" i="8"/>
  <c r="D46" i="8" s="1"/>
  <c r="F23" i="38"/>
  <c r="E13" i="38"/>
  <c r="E7" i="38" s="1"/>
  <c r="F15" i="38"/>
  <c r="F19" i="38" s="1"/>
  <c r="W119" i="37"/>
  <c r="H27" i="33"/>
  <c r="F27" i="33"/>
  <c r="F131" i="46"/>
  <c r="AD47" i="38"/>
  <c r="AC45" i="38"/>
  <c r="AD50" i="38"/>
  <c r="AA39" i="46"/>
  <c r="AA36" i="46" s="1"/>
  <c r="AB41" i="46"/>
  <c r="D132" i="46"/>
  <c r="C84" i="46"/>
  <c r="C81" i="46" s="1"/>
  <c r="D86" i="46"/>
  <c r="D90" i="46" s="1"/>
  <c r="F132" i="46"/>
  <c r="F96" i="46"/>
  <c r="D30" i="8"/>
  <c r="K35" i="11"/>
  <c r="C138" i="11"/>
  <c r="N33" i="8"/>
  <c r="M33" i="8"/>
  <c r="C68" i="11"/>
  <c r="C16" i="8"/>
  <c r="C16" i="18"/>
  <c r="M23" i="8"/>
  <c r="N23" i="8"/>
  <c r="I28" i="18"/>
  <c r="M35" i="8"/>
  <c r="N35" i="8"/>
  <c r="H37" i="33"/>
  <c r="N51" i="11"/>
  <c r="M51" i="11"/>
  <c r="K41" i="8"/>
  <c r="K39" i="18"/>
  <c r="AB109" i="38"/>
  <c r="AB103" i="38" s="1"/>
  <c r="AC111" i="38"/>
  <c r="AC114" i="38"/>
  <c r="AA129" i="46"/>
  <c r="AA132" i="46" s="1"/>
  <c r="Z127" i="46"/>
  <c r="Z124" i="46" s="1"/>
  <c r="AA131" i="46"/>
  <c r="C36" i="56" l="1"/>
  <c r="AB26" i="52"/>
  <c r="F102" i="59"/>
  <c r="Z19" i="59"/>
  <c r="F117" i="59"/>
  <c r="D79" i="59"/>
  <c r="D64" i="59"/>
  <c r="D94" i="59"/>
  <c r="D49" i="59"/>
  <c r="D34" i="59"/>
  <c r="D109" i="59"/>
  <c r="AA8" i="52"/>
  <c r="F79" i="59"/>
  <c r="F94" i="59"/>
  <c r="F49" i="59"/>
  <c r="F34" i="59"/>
  <c r="F109" i="59"/>
  <c r="F64" i="59"/>
  <c r="F60" i="46"/>
  <c r="F13" i="52"/>
  <c r="F72" i="59"/>
  <c r="F45" i="46"/>
  <c r="F12" i="52"/>
  <c r="F59" i="46"/>
  <c r="AC112" i="38"/>
  <c r="AC115" i="38"/>
  <c r="AB30" i="46"/>
  <c r="AB11" i="52"/>
  <c r="F57" i="59"/>
  <c r="H83" i="38"/>
  <c r="F51" i="38"/>
  <c r="AD64" i="38"/>
  <c r="H96" i="38"/>
  <c r="AC16" i="38"/>
  <c r="AC19" i="38"/>
  <c r="AB60" i="46"/>
  <c r="AB13" i="52"/>
  <c r="F42" i="59"/>
  <c r="AA109" i="59"/>
  <c r="AA34" i="59"/>
  <c r="AA49" i="59"/>
  <c r="AA94" i="59"/>
  <c r="AA79" i="59"/>
  <c r="AA64" i="59"/>
  <c r="F40" i="35"/>
  <c r="H35" i="38"/>
  <c r="AC80" i="38"/>
  <c r="AC83" i="38"/>
  <c r="F30" i="46"/>
  <c r="F11" i="52"/>
  <c r="AD48" i="38"/>
  <c r="AD51" i="38"/>
  <c r="H17" i="33"/>
  <c r="F60" i="59"/>
  <c r="AB45" i="46"/>
  <c r="AB12" i="52"/>
  <c r="AC96" i="38"/>
  <c r="AC99" i="38"/>
  <c r="H15" i="33"/>
  <c r="F87" i="59"/>
  <c r="C46" i="55"/>
  <c r="C47" i="55" s="1"/>
  <c r="D47" i="55"/>
  <c r="D48" i="55" s="1"/>
  <c r="F120" i="59"/>
  <c r="F105" i="59"/>
  <c r="F75" i="59"/>
  <c r="F14" i="59"/>
  <c r="AA86" i="59"/>
  <c r="Z84" i="59"/>
  <c r="Z81" i="59" s="1"/>
  <c r="AA89" i="59"/>
  <c r="AB72" i="59"/>
  <c r="AB75" i="59"/>
  <c r="D129" i="59"/>
  <c r="D132" i="59" s="1"/>
  <c r="C127" i="59"/>
  <c r="C124" i="59" s="1"/>
  <c r="AB87" i="59"/>
  <c r="AB90" i="59"/>
  <c r="C39" i="59"/>
  <c r="C36" i="59" s="1"/>
  <c r="D41" i="59"/>
  <c r="AB102" i="59"/>
  <c r="AB105" i="59"/>
  <c r="D44" i="59"/>
  <c r="Z114" i="59"/>
  <c r="Z111" i="59" s="1"/>
  <c r="AA116" i="59"/>
  <c r="AA119" i="59"/>
  <c r="AA41" i="59"/>
  <c r="Z39" i="59"/>
  <c r="Z36" i="59" s="1"/>
  <c r="AA44" i="59"/>
  <c r="F27" i="59"/>
  <c r="F30" i="59"/>
  <c r="AB117" i="59"/>
  <c r="AB120" i="59"/>
  <c r="D56" i="59"/>
  <c r="C54" i="59"/>
  <c r="C51" i="59" s="1"/>
  <c r="AA129" i="59"/>
  <c r="AA132" i="59" s="1"/>
  <c r="Z127" i="59"/>
  <c r="Z124" i="59" s="1"/>
  <c r="AA131" i="59"/>
  <c r="AB42" i="59"/>
  <c r="AB45" i="59"/>
  <c r="D59" i="59"/>
  <c r="C84" i="59"/>
  <c r="C81" i="59" s="1"/>
  <c r="D86" i="59"/>
  <c r="D12" i="59"/>
  <c r="D15" i="59" s="1"/>
  <c r="C10" i="59"/>
  <c r="C7" i="59" s="1"/>
  <c r="D89" i="59"/>
  <c r="F74" i="59"/>
  <c r="D14" i="59"/>
  <c r="C24" i="59"/>
  <c r="C21" i="59" s="1"/>
  <c r="D26" i="59"/>
  <c r="F45" i="59"/>
  <c r="F104" i="59"/>
  <c r="F44" i="59"/>
  <c r="F119" i="59"/>
  <c r="AB27" i="59"/>
  <c r="AB30" i="59"/>
  <c r="AA12" i="59"/>
  <c r="AA15" i="59" s="1"/>
  <c r="Z10" i="59"/>
  <c r="Z7" i="59" s="1"/>
  <c r="AA14" i="59"/>
  <c r="AB57" i="59"/>
  <c r="AB60" i="59"/>
  <c r="AA26" i="59"/>
  <c r="Z24" i="59"/>
  <c r="Z21" i="59" s="1"/>
  <c r="AA29" i="59"/>
  <c r="D71" i="59"/>
  <c r="C69" i="59"/>
  <c r="C66" i="59" s="1"/>
  <c r="F131" i="59"/>
  <c r="Z54" i="59"/>
  <c r="Z51" i="59" s="1"/>
  <c r="AA56" i="59"/>
  <c r="AA59" i="59"/>
  <c r="F29" i="59"/>
  <c r="D74" i="59"/>
  <c r="F90" i="59"/>
  <c r="F89" i="59"/>
  <c r="C114" i="59"/>
  <c r="C111" i="59" s="1"/>
  <c r="D116" i="59"/>
  <c r="F59" i="59"/>
  <c r="AA101" i="59"/>
  <c r="Z99" i="59"/>
  <c r="Z96" i="59" s="1"/>
  <c r="AA104" i="59"/>
  <c r="C99" i="59"/>
  <c r="C96" i="59" s="1"/>
  <c r="D101" i="59"/>
  <c r="AA71" i="59"/>
  <c r="Z69" i="59"/>
  <c r="Z66" i="59" s="1"/>
  <c r="AA74" i="59"/>
  <c r="D119" i="59"/>
  <c r="M70" i="8"/>
  <c r="G68" i="11"/>
  <c r="G74" i="11" s="1"/>
  <c r="G78" i="11" s="1"/>
  <c r="M57" i="8"/>
  <c r="I39" i="35"/>
  <c r="I40" i="35" s="1"/>
  <c r="K56" i="8"/>
  <c r="N57" i="8"/>
  <c r="D28" i="9"/>
  <c r="D31" i="9"/>
  <c r="D29" i="9"/>
  <c r="D25" i="9"/>
  <c r="D86" i="17" s="1"/>
  <c r="D50" i="17" s="1"/>
  <c r="D40" i="17"/>
  <c r="D32" i="9"/>
  <c r="D35" i="9"/>
  <c r="C29" i="9"/>
  <c r="C25" i="9"/>
  <c r="C86" i="17" s="1"/>
  <c r="C51" i="17" s="1"/>
  <c r="D33" i="9"/>
  <c r="D24" i="51"/>
  <c r="F23" i="51" a="1"/>
  <c r="F23" i="51" s="1"/>
  <c r="G23" i="51" s="1"/>
  <c r="B23" i="51" a="1"/>
  <c r="B23" i="51" s="1"/>
  <c r="E23" i="51" a="1"/>
  <c r="E23" i="51" s="1"/>
  <c r="I22" i="51"/>
  <c r="H22" i="51"/>
  <c r="J22" i="51"/>
  <c r="S20" i="35"/>
  <c r="P36" i="35"/>
  <c r="S36" i="35" s="1"/>
  <c r="D41" i="46"/>
  <c r="C39" i="46"/>
  <c r="C36" i="46" s="1"/>
  <c r="AB15" i="38"/>
  <c r="AB19" i="38" s="1"/>
  <c r="AA13" i="38"/>
  <c r="AA7" i="38" s="1"/>
  <c r="AB18" i="38"/>
  <c r="G69" i="11"/>
  <c r="N54" i="11"/>
  <c r="M54" i="11"/>
  <c r="K42" i="18"/>
  <c r="K44" i="8"/>
  <c r="G30" i="35"/>
  <c r="G39" i="35" s="1"/>
  <c r="G40" i="35" s="1"/>
  <c r="D21" i="35"/>
  <c r="K33" i="35"/>
  <c r="K22" i="35"/>
  <c r="M21" i="35"/>
  <c r="E111" i="38"/>
  <c r="E115" i="38" s="1"/>
  <c r="E114" i="38"/>
  <c r="E103" i="33"/>
  <c r="E97" i="33" s="1"/>
  <c r="E107" i="33" s="1"/>
  <c r="F105" i="33"/>
  <c r="F108" i="33" s="1"/>
  <c r="F107" i="33"/>
  <c r="D26" i="17"/>
  <c r="C31" i="9"/>
  <c r="E47" i="38"/>
  <c r="E51" i="38" s="1"/>
  <c r="E50" i="38"/>
  <c r="AA71" i="46"/>
  <c r="AA75" i="46" s="1"/>
  <c r="Z69" i="46"/>
  <c r="Z66" i="46" s="1"/>
  <c r="AA74" i="46"/>
  <c r="AB72" i="46"/>
  <c r="J37" i="35"/>
  <c r="C30" i="9"/>
  <c r="AB42" i="46"/>
  <c r="AB22" i="52" s="1"/>
  <c r="AB27" i="52" s="1"/>
  <c r="AB33" i="52" s="1"/>
  <c r="D81" i="17"/>
  <c r="AA116" i="46"/>
  <c r="AA120" i="46" s="1"/>
  <c r="Z114" i="46"/>
  <c r="Z111" i="46" s="1"/>
  <c r="AA119" i="46"/>
  <c r="H60" i="33"/>
  <c r="H63" i="33" s="1"/>
  <c r="H62" i="33"/>
  <c r="J68" i="11"/>
  <c r="J16" i="8"/>
  <c r="J16" i="18"/>
  <c r="D116" i="46"/>
  <c r="D120" i="46" s="1"/>
  <c r="C114" i="46"/>
  <c r="C111" i="46" s="1"/>
  <c r="D19" i="46"/>
  <c r="D7" i="52" s="1"/>
  <c r="D8" i="52" s="1"/>
  <c r="F15" i="33"/>
  <c r="E13" i="33"/>
  <c r="E7" i="33" s="1"/>
  <c r="F17" i="33"/>
  <c r="D119" i="46"/>
  <c r="D12" i="46"/>
  <c r="D15" i="46" s="1"/>
  <c r="C10" i="46"/>
  <c r="C7" i="46" s="1"/>
  <c r="D14" i="46"/>
  <c r="F74" i="46"/>
  <c r="AB95" i="38"/>
  <c r="AA93" i="38"/>
  <c r="AA87" i="38" s="1"/>
  <c r="AB98" i="38"/>
  <c r="J10" i="35"/>
  <c r="M9" i="35"/>
  <c r="N9" i="35" s="1"/>
  <c r="E95" i="38"/>
  <c r="E99" i="38" s="1"/>
  <c r="E98" i="38"/>
  <c r="E58" i="33"/>
  <c r="E52" i="33" s="1"/>
  <c r="F60" i="33"/>
  <c r="F63" i="33" s="1"/>
  <c r="F62" i="33"/>
  <c r="C85" i="17"/>
  <c r="C35" i="9"/>
  <c r="AB79" i="38"/>
  <c r="AB83" i="38" s="1"/>
  <c r="AA77" i="38"/>
  <c r="AA71" i="38" s="1"/>
  <c r="AB82" i="38"/>
  <c r="AB57" i="46"/>
  <c r="AB23" i="52" s="1"/>
  <c r="AB28" i="52" s="1"/>
  <c r="AB34" i="52" s="1"/>
  <c r="Z19" i="46"/>
  <c r="Z7" i="52" s="1"/>
  <c r="AA13" i="33"/>
  <c r="AA7" i="33" s="1"/>
  <c r="AB15" i="33"/>
  <c r="AB18" i="33" s="1"/>
  <c r="AB17" i="33"/>
  <c r="C47" i="18"/>
  <c r="C48" i="18" s="1"/>
  <c r="C15" i="18"/>
  <c r="P21" i="35"/>
  <c r="Q21" i="35" s="1"/>
  <c r="E12" i="17"/>
  <c r="N35" i="11"/>
  <c r="M35" i="11"/>
  <c r="M40" i="11" s="1"/>
  <c r="K25" i="8"/>
  <c r="K23" i="18"/>
  <c r="K88" i="11"/>
  <c r="K40" i="11"/>
  <c r="N40" i="11" s="1"/>
  <c r="N28" i="35"/>
  <c r="M34" i="18"/>
  <c r="C28" i="9"/>
  <c r="AA56" i="46"/>
  <c r="Z54" i="46"/>
  <c r="Z51" i="46" s="1"/>
  <c r="AA59" i="46"/>
  <c r="N37" i="18"/>
  <c r="M37" i="18"/>
  <c r="C34" i="9"/>
  <c r="H34" i="38"/>
  <c r="C15" i="8"/>
  <c r="C49" i="8"/>
  <c r="AB60" i="33"/>
  <c r="AB63" i="33" s="1"/>
  <c r="AA58" i="33"/>
  <c r="AA52" i="33" s="1"/>
  <c r="AB62" i="33"/>
  <c r="C99" i="46"/>
  <c r="C96" i="46" s="1"/>
  <c r="D101" i="46"/>
  <c r="D105" i="46" s="1"/>
  <c r="D104" i="46"/>
  <c r="E67" i="17"/>
  <c r="N42" i="8"/>
  <c r="M42" i="8"/>
  <c r="J30" i="35"/>
  <c r="H111" i="38"/>
  <c r="H114" i="38"/>
  <c r="D49" i="8"/>
  <c r="D15" i="8"/>
  <c r="E64" i="17"/>
  <c r="N39" i="8"/>
  <c r="M39" i="8"/>
  <c r="AB117" i="46"/>
  <c r="AA94" i="46"/>
  <c r="AA102" i="46" s="1"/>
  <c r="AA79" i="46"/>
  <c r="AA87" i="46" s="1"/>
  <c r="AA34" i="46"/>
  <c r="AA109" i="46"/>
  <c r="AA49" i="46"/>
  <c r="AA64" i="46"/>
  <c r="E45" i="33"/>
  <c r="E48" i="33" s="1"/>
  <c r="E47" i="33"/>
  <c r="N77" i="11"/>
  <c r="M77" i="11"/>
  <c r="M40" i="18"/>
  <c r="N40" i="18"/>
  <c r="D47" i="18"/>
  <c r="D48" i="18" s="1"/>
  <c r="D15" i="18"/>
  <c r="AC64" i="38"/>
  <c r="C129" i="46"/>
  <c r="C132" i="46" s="1"/>
  <c r="C131" i="46"/>
  <c r="C72" i="17"/>
  <c r="E75" i="33"/>
  <c r="E78" i="33" s="1"/>
  <c r="E77" i="33"/>
  <c r="C69" i="11"/>
  <c r="C74" i="11"/>
  <c r="C78" i="11" s="1"/>
  <c r="C71" i="11"/>
  <c r="AB111" i="38"/>
  <c r="AA109" i="38"/>
  <c r="AA103" i="38" s="1"/>
  <c r="AB114" i="38"/>
  <c r="F22" i="33"/>
  <c r="D60" i="17"/>
  <c r="E60" i="17"/>
  <c r="AC30" i="33"/>
  <c r="AC33" i="33" s="1"/>
  <c r="AC32" i="33"/>
  <c r="F90" i="33"/>
  <c r="E88" i="33"/>
  <c r="E82" i="33" s="1"/>
  <c r="F92" i="33"/>
  <c r="D69" i="11"/>
  <c r="D74" i="11"/>
  <c r="D78" i="11" s="1"/>
  <c r="D71" i="11"/>
  <c r="AB75" i="33"/>
  <c r="AB78" i="33" s="1"/>
  <c r="AA73" i="33"/>
  <c r="AA67" i="33" s="1"/>
  <c r="AB77" i="33"/>
  <c r="AA61" i="38"/>
  <c r="AA55" i="38" s="1"/>
  <c r="AB63" i="38"/>
  <c r="AB67" i="38" s="1"/>
  <c r="AB66" i="38"/>
  <c r="F15" i="8"/>
  <c r="F49" i="8"/>
  <c r="C69" i="46"/>
  <c r="C66" i="46" s="1"/>
  <c r="D71" i="46"/>
  <c r="D75" i="46" s="1"/>
  <c r="D82" i="17"/>
  <c r="E15" i="38"/>
  <c r="E19" i="38" s="1"/>
  <c r="D13" i="38"/>
  <c r="D7" i="38" s="1"/>
  <c r="E18" i="38"/>
  <c r="AC45" i="33"/>
  <c r="AC48" i="33" s="1"/>
  <c r="AB43" i="33"/>
  <c r="AC47" i="33"/>
  <c r="N76" i="11"/>
  <c r="M76" i="11"/>
  <c r="D72" i="17"/>
  <c r="M104" i="11"/>
  <c r="N104" i="11"/>
  <c r="F15" i="18"/>
  <c r="F47" i="18"/>
  <c r="F48" i="18" s="1"/>
  <c r="D74" i="46"/>
  <c r="F94" i="46"/>
  <c r="F109" i="46"/>
  <c r="F117" i="46" s="1"/>
  <c r="F34" i="46"/>
  <c r="F42" i="46" s="1"/>
  <c r="F22" i="52" s="1"/>
  <c r="F27" i="52" s="1"/>
  <c r="F64" i="46"/>
  <c r="F72" i="46" s="1"/>
  <c r="F27" i="46"/>
  <c r="F21" i="52" s="1"/>
  <c r="F79" i="46"/>
  <c r="F87" i="46" s="1"/>
  <c r="F49" i="46"/>
  <c r="F57" i="46" s="1"/>
  <c r="F23" i="52" s="1"/>
  <c r="F28" i="52" s="1"/>
  <c r="F44" i="46"/>
  <c r="I68" i="11"/>
  <c r="I16" i="8"/>
  <c r="I16" i="18"/>
  <c r="C24" i="46"/>
  <c r="C21" i="46" s="1"/>
  <c r="D26" i="46"/>
  <c r="M36" i="8"/>
  <c r="F29" i="46"/>
  <c r="F74" i="11"/>
  <c r="F78" i="11" s="1"/>
  <c r="F71" i="11"/>
  <c r="F69" i="11"/>
  <c r="F64" i="38"/>
  <c r="H45" i="33"/>
  <c r="H47" i="33"/>
  <c r="D29" i="46"/>
  <c r="H63" i="38"/>
  <c r="H66" i="38"/>
  <c r="Y84" i="46"/>
  <c r="Y81" i="46" s="1"/>
  <c r="Z86" i="46"/>
  <c r="Z90" i="46" s="1"/>
  <c r="Z89" i="46"/>
  <c r="K66" i="11"/>
  <c r="K36" i="18"/>
  <c r="K38" i="8"/>
  <c r="N48" i="11"/>
  <c r="M48" i="11"/>
  <c r="D34" i="9"/>
  <c r="N43" i="18"/>
  <c r="M43" i="18"/>
  <c r="E63" i="38"/>
  <c r="E67" i="38" s="1"/>
  <c r="E66" i="38"/>
  <c r="N75" i="11"/>
  <c r="M75" i="11"/>
  <c r="E66" i="17"/>
  <c r="N41" i="8"/>
  <c r="M41" i="8"/>
  <c r="E29" i="38"/>
  <c r="E23" i="38" s="1"/>
  <c r="F31" i="38"/>
  <c r="F35" i="38" s="1"/>
  <c r="K90" i="11"/>
  <c r="K54" i="8" s="1"/>
  <c r="AM90" i="11"/>
  <c r="AM93" i="11" s="1"/>
  <c r="AM95" i="11" s="1"/>
  <c r="AN90" i="11"/>
  <c r="AN93" i="11" s="1"/>
  <c r="AN95" i="11" s="1"/>
  <c r="AT90" i="11"/>
  <c r="AT93" i="11" s="1"/>
  <c r="AT95" i="11" s="1"/>
  <c r="Y90" i="11"/>
  <c r="Y93" i="11" s="1"/>
  <c r="Y95" i="11" s="1"/>
  <c r="AE90" i="11"/>
  <c r="AE93" i="11" s="1"/>
  <c r="AE95" i="11" s="1"/>
  <c r="AO90" i="11"/>
  <c r="AO93" i="11" s="1"/>
  <c r="AO95" i="11" s="1"/>
  <c r="T90" i="11"/>
  <c r="T93" i="11" s="1"/>
  <c r="T95" i="11" s="1"/>
  <c r="Z90" i="11"/>
  <c r="Z93" i="11" s="1"/>
  <c r="Z95" i="11" s="1"/>
  <c r="AL90" i="11"/>
  <c r="AL93" i="11" s="1"/>
  <c r="AL95" i="11" s="1"/>
  <c r="P90" i="11"/>
  <c r="P93" i="11" s="1"/>
  <c r="P95" i="11" s="1"/>
  <c r="R90" i="11"/>
  <c r="R93" i="11" s="1"/>
  <c r="R95" i="11" s="1"/>
  <c r="AA90" i="11"/>
  <c r="AA93" i="11" s="1"/>
  <c r="AA95" i="11" s="1"/>
  <c r="AF90" i="11"/>
  <c r="AF93" i="11" s="1"/>
  <c r="AF95" i="11" s="1"/>
  <c r="AJ90" i="11"/>
  <c r="AJ93" i="11" s="1"/>
  <c r="AJ95" i="11" s="1"/>
  <c r="U90" i="11"/>
  <c r="U93" i="11" s="1"/>
  <c r="U95" i="11" s="1"/>
  <c r="V90" i="11"/>
  <c r="V93" i="11" s="1"/>
  <c r="V95" i="11" s="1"/>
  <c r="Q90" i="11"/>
  <c r="Q93" i="11" s="1"/>
  <c r="Q95" i="11" s="1"/>
  <c r="AH90" i="11"/>
  <c r="AH93" i="11" s="1"/>
  <c r="AH95" i="11" s="1"/>
  <c r="AQ90" i="11"/>
  <c r="AQ93" i="11" s="1"/>
  <c r="AQ95" i="11" s="1"/>
  <c r="AG90" i="11"/>
  <c r="AG93" i="11" s="1"/>
  <c r="AG95" i="11" s="1"/>
  <c r="AP90" i="11"/>
  <c r="AP93" i="11" s="1"/>
  <c r="AP95" i="11" s="1"/>
  <c r="S90" i="11"/>
  <c r="S93" i="11" s="1"/>
  <c r="S95" i="11" s="1"/>
  <c r="AK90" i="11"/>
  <c r="AK93" i="11" s="1"/>
  <c r="AK95" i="11" s="1"/>
  <c r="AB90" i="11"/>
  <c r="AB93" i="11" s="1"/>
  <c r="AB95" i="11" s="1"/>
  <c r="AC90" i="11"/>
  <c r="AC93" i="11" s="1"/>
  <c r="AC95" i="11" s="1"/>
  <c r="W90" i="11"/>
  <c r="W93" i="11" s="1"/>
  <c r="W95" i="11" s="1"/>
  <c r="X90" i="11"/>
  <c r="X93" i="11" s="1"/>
  <c r="X95" i="11" s="1"/>
  <c r="AD90" i="11"/>
  <c r="AD93" i="11" s="1"/>
  <c r="AD95" i="11" s="1"/>
  <c r="AI90" i="11"/>
  <c r="AI93" i="11" s="1"/>
  <c r="AI95" i="11" s="1"/>
  <c r="AR90" i="11"/>
  <c r="AR93" i="11" s="1"/>
  <c r="AR95" i="11" s="1"/>
  <c r="AS90" i="11"/>
  <c r="AS93" i="11" s="1"/>
  <c r="AS95" i="11" s="1"/>
  <c r="F119" i="46"/>
  <c r="N38" i="18"/>
  <c r="M38" i="18"/>
  <c r="D28" i="17"/>
  <c r="Z101" i="46"/>
  <c r="Z105" i="46" s="1"/>
  <c r="Y99" i="46"/>
  <c r="Y96" i="46" s="1"/>
  <c r="Z104" i="46"/>
  <c r="AA26" i="46"/>
  <c r="Z24" i="46"/>
  <c r="Z21" i="46" s="1"/>
  <c r="AA29" i="46"/>
  <c r="E70" i="17"/>
  <c r="N45" i="8"/>
  <c r="M45" i="8"/>
  <c r="N39" i="18"/>
  <c r="M39" i="18"/>
  <c r="F101" i="46"/>
  <c r="F105" i="46" s="1"/>
  <c r="F104" i="46"/>
  <c r="F34" i="38"/>
  <c r="Z39" i="46"/>
  <c r="Z36" i="46" s="1"/>
  <c r="AA41" i="46"/>
  <c r="AA44" i="46"/>
  <c r="H22" i="33"/>
  <c r="E65" i="17"/>
  <c r="M40" i="8"/>
  <c r="N40" i="8"/>
  <c r="G15" i="18"/>
  <c r="G47" i="18"/>
  <c r="G48" i="18" s="1"/>
  <c r="AB105" i="33"/>
  <c r="AB108" i="33" s="1"/>
  <c r="AA103" i="33"/>
  <c r="AA97" i="33" s="1"/>
  <c r="AB107" i="33"/>
  <c r="E19" i="9"/>
  <c r="E23" i="9" s="1"/>
  <c r="E25" i="9" s="1"/>
  <c r="E86" i="17" s="1"/>
  <c r="N18" i="11"/>
  <c r="M18" i="11"/>
  <c r="M22" i="11" s="1"/>
  <c r="M24" i="11" s="1"/>
  <c r="K22" i="11"/>
  <c r="E68" i="17"/>
  <c r="M43" i="8"/>
  <c r="N43" i="8"/>
  <c r="E79" i="38"/>
  <c r="E82" i="38"/>
  <c r="AC39" i="38"/>
  <c r="AC29" i="38"/>
  <c r="AC23" i="38" s="1"/>
  <c r="AA88" i="33"/>
  <c r="AA82" i="33" s="1"/>
  <c r="AB90" i="33"/>
  <c r="AB93" i="33" s="1"/>
  <c r="AB92" i="33"/>
  <c r="C86" i="46"/>
  <c r="C90" i="46" s="1"/>
  <c r="C89" i="46"/>
  <c r="Y127" i="46"/>
  <c r="Y124" i="46" s="1"/>
  <c r="Z129" i="46"/>
  <c r="Z132" i="46" s="1"/>
  <c r="Z131" i="46"/>
  <c r="D78" i="17"/>
  <c r="C32" i="9"/>
  <c r="D85" i="17"/>
  <c r="D46" i="9"/>
  <c r="E46" i="9"/>
  <c r="G49" i="8"/>
  <c r="G15" i="8"/>
  <c r="D27" i="17"/>
  <c r="Z12" i="46"/>
  <c r="Z15" i="46" s="1"/>
  <c r="Y10" i="46"/>
  <c r="Y7" i="46" s="1"/>
  <c r="Z14" i="46"/>
  <c r="M41" i="18"/>
  <c r="N41" i="18"/>
  <c r="C54" i="46"/>
  <c r="C51" i="46" s="1"/>
  <c r="D56" i="46"/>
  <c r="F112" i="38"/>
  <c r="F80" i="38"/>
  <c r="F16" i="38" l="1"/>
  <c r="F18" i="33"/>
  <c r="H112" i="38"/>
  <c r="H115" i="38"/>
  <c r="D30" i="46"/>
  <c r="D11" i="52"/>
  <c r="AB112" i="38"/>
  <c r="AB115" i="38"/>
  <c r="D60" i="46"/>
  <c r="D13" i="52"/>
  <c r="AA72" i="46"/>
  <c r="AA60" i="46"/>
  <c r="AA13" i="52"/>
  <c r="Y19" i="59"/>
  <c r="G71" i="11"/>
  <c r="N54" i="8"/>
  <c r="M54" i="8"/>
  <c r="H64" i="38"/>
  <c r="H67" i="38"/>
  <c r="Z8" i="52"/>
  <c r="AB96" i="38"/>
  <c r="AB99" i="38"/>
  <c r="F26" i="52"/>
  <c r="C34" i="56"/>
  <c r="Z34" i="59"/>
  <c r="Z64" i="59"/>
  <c r="Z79" i="59"/>
  <c r="Z94" i="59"/>
  <c r="Z49" i="59"/>
  <c r="Z109" i="59"/>
  <c r="AA30" i="46"/>
  <c r="AA11" i="52"/>
  <c r="H48" i="38"/>
  <c r="H48" i="33"/>
  <c r="H16" i="38"/>
  <c r="H18" i="33"/>
  <c r="F96" i="38"/>
  <c r="F93" i="33"/>
  <c r="D45" i="46"/>
  <c r="D12" i="52"/>
  <c r="F8" i="52"/>
  <c r="F34" i="52" s="1"/>
  <c r="F102" i="46"/>
  <c r="AB32" i="52"/>
  <c r="AB29" i="52"/>
  <c r="AB35" i="52" s="1"/>
  <c r="C176" i="11" s="1"/>
  <c r="E80" i="38"/>
  <c r="E83" i="38"/>
  <c r="AA45" i="46"/>
  <c r="AA12" i="52"/>
  <c r="C19" i="59"/>
  <c r="AA117" i="59"/>
  <c r="AA120" i="59"/>
  <c r="Z116" i="59"/>
  <c r="Y114" i="59"/>
  <c r="Y111" i="59" s="1"/>
  <c r="Z119" i="59"/>
  <c r="Z129" i="59"/>
  <c r="Z132" i="59" s="1"/>
  <c r="Y127" i="59"/>
  <c r="Y124" i="59" s="1"/>
  <c r="Z131" i="59"/>
  <c r="Z56" i="59"/>
  <c r="Y54" i="59"/>
  <c r="Y51" i="59" s="1"/>
  <c r="Z59" i="59"/>
  <c r="D42" i="59"/>
  <c r="D45" i="59"/>
  <c r="AA72" i="59"/>
  <c r="AA75" i="59"/>
  <c r="C56" i="59"/>
  <c r="C59" i="59"/>
  <c r="C41" i="59"/>
  <c r="C44" i="59"/>
  <c r="D102" i="59"/>
  <c r="D105" i="59"/>
  <c r="C71" i="59"/>
  <c r="C74" i="59"/>
  <c r="D27" i="59"/>
  <c r="D30" i="59"/>
  <c r="D57" i="59"/>
  <c r="D60" i="59"/>
  <c r="C101" i="59"/>
  <c r="C104" i="59"/>
  <c r="D72" i="59"/>
  <c r="D75" i="59"/>
  <c r="C26" i="59"/>
  <c r="C29" i="59"/>
  <c r="C129" i="59"/>
  <c r="C132" i="59" s="1"/>
  <c r="C131" i="59"/>
  <c r="Y99" i="59"/>
  <c r="Y96" i="59" s="1"/>
  <c r="Z101" i="59"/>
  <c r="Z104" i="59"/>
  <c r="Z26" i="59"/>
  <c r="Y24" i="59"/>
  <c r="Y21" i="59" s="1"/>
  <c r="Z29" i="59"/>
  <c r="AA102" i="59"/>
  <c r="AA105" i="59"/>
  <c r="AA27" i="59"/>
  <c r="AA30" i="59"/>
  <c r="C12" i="59"/>
  <c r="C15" i="59" s="1"/>
  <c r="C14" i="59"/>
  <c r="Z71" i="59"/>
  <c r="Y69" i="59"/>
  <c r="Y66" i="59" s="1"/>
  <c r="Z74" i="59"/>
  <c r="D117" i="59"/>
  <c r="D120" i="59"/>
  <c r="Z41" i="59"/>
  <c r="Y39" i="59"/>
  <c r="Y36" i="59" s="1"/>
  <c r="Z44" i="59"/>
  <c r="C116" i="59"/>
  <c r="C119" i="59"/>
  <c r="D87" i="59"/>
  <c r="D90" i="59"/>
  <c r="AA42" i="59"/>
  <c r="AA45" i="59"/>
  <c r="Z86" i="59"/>
  <c r="Y84" i="59"/>
  <c r="Y81" i="59" s="1"/>
  <c r="Z89" i="59"/>
  <c r="AA57" i="59"/>
  <c r="AA60" i="59"/>
  <c r="Y10" i="59"/>
  <c r="Y7" i="59" s="1"/>
  <c r="Z12" i="59"/>
  <c r="Z15" i="59" s="1"/>
  <c r="Z14" i="59"/>
  <c r="C86" i="59"/>
  <c r="C89" i="59"/>
  <c r="AA87" i="59"/>
  <c r="AA90" i="59"/>
  <c r="K59" i="8"/>
  <c r="M59" i="8" s="1"/>
  <c r="C22" i="17"/>
  <c r="D79" i="17"/>
  <c r="D22" i="17"/>
  <c r="C28" i="17"/>
  <c r="D83" i="17"/>
  <c r="M56" i="8"/>
  <c r="N56" i="8"/>
  <c r="E80" i="17"/>
  <c r="C26" i="17"/>
  <c r="D23" i="17"/>
  <c r="D25" i="17"/>
  <c r="D20" i="17"/>
  <c r="C24" i="17"/>
  <c r="C83" i="17"/>
  <c r="C21" i="17"/>
  <c r="D76" i="17"/>
  <c r="D77" i="17"/>
  <c r="D75" i="17"/>
  <c r="D24" i="17"/>
  <c r="C50" i="17"/>
  <c r="D53" i="17"/>
  <c r="C81" i="17"/>
  <c r="C27" i="17"/>
  <c r="C53" i="17"/>
  <c r="C23" i="17"/>
  <c r="C76" i="17"/>
  <c r="C52" i="17"/>
  <c r="C20" i="17"/>
  <c r="C75" i="17"/>
  <c r="D51" i="17"/>
  <c r="C82" i="17"/>
  <c r="C79" i="17"/>
  <c r="C80" i="17"/>
  <c r="J39" i="35"/>
  <c r="J40" i="35" s="1"/>
  <c r="M66" i="11"/>
  <c r="M68" i="11" s="1"/>
  <c r="M74" i="11" s="1"/>
  <c r="M78" i="11" s="1"/>
  <c r="M84" i="11" s="1"/>
  <c r="C78" i="17"/>
  <c r="D80" i="17"/>
  <c r="D52" i="17"/>
  <c r="D21" i="17"/>
  <c r="C77" i="17"/>
  <c r="E77" i="17"/>
  <c r="E82" i="17"/>
  <c r="C25" i="17"/>
  <c r="H23" i="51"/>
  <c r="I23" i="51"/>
  <c r="J23" i="51"/>
  <c r="D25" i="51"/>
  <c r="E24" i="51" a="1"/>
  <c r="E24" i="51" s="1"/>
  <c r="F24" i="51" a="1"/>
  <c r="F24" i="51" s="1"/>
  <c r="G24" i="51" s="1"/>
  <c r="B24" i="51" a="1"/>
  <c r="B24" i="51" s="1"/>
  <c r="AG106" i="11"/>
  <c r="AG107" i="11" s="1"/>
  <c r="AG96" i="11"/>
  <c r="I15" i="8"/>
  <c r="I49" i="8"/>
  <c r="C13" i="38"/>
  <c r="C7" i="38" s="1"/>
  <c r="D15" i="38"/>
  <c r="D19" i="38" s="1"/>
  <c r="D18" i="38"/>
  <c r="F30" i="33"/>
  <c r="F33" i="33" s="1"/>
  <c r="E28" i="33"/>
  <c r="E22" i="33" s="1"/>
  <c r="F32" i="33"/>
  <c r="AA75" i="33"/>
  <c r="AA78" i="33" s="1"/>
  <c r="Z73" i="33"/>
  <c r="Z67" i="33" s="1"/>
  <c r="AA77" i="33"/>
  <c r="E35" i="17"/>
  <c r="E24" i="17"/>
  <c r="E17" i="17"/>
  <c r="E40" i="17" s="1"/>
  <c r="AA79" i="38"/>
  <c r="AA83" i="38" s="1"/>
  <c r="Z77" i="38"/>
  <c r="Z71" i="38" s="1"/>
  <c r="AA82" i="38"/>
  <c r="Z93" i="38"/>
  <c r="Z87" i="38" s="1"/>
  <c r="AA95" i="38"/>
  <c r="AA99" i="38" s="1"/>
  <c r="AA98" i="38"/>
  <c r="C19" i="46"/>
  <c r="C7" i="52" s="1"/>
  <c r="C8" i="52" s="1"/>
  <c r="E15" i="33"/>
  <c r="D13" i="33"/>
  <c r="D7" i="33" s="1"/>
  <c r="E17" i="33"/>
  <c r="C101" i="46"/>
  <c r="C105" i="46" s="1"/>
  <c r="C104" i="46"/>
  <c r="S21" i="35"/>
  <c r="Q22" i="35"/>
  <c r="AB80" i="38"/>
  <c r="E105" i="33"/>
  <c r="E108" i="33" s="1"/>
  <c r="Z56" i="46"/>
  <c r="Y54" i="46"/>
  <c r="Y51" i="46" s="1"/>
  <c r="Z59" i="46"/>
  <c r="D94" i="46"/>
  <c r="D102" i="46" s="1"/>
  <c r="D27" i="46"/>
  <c r="D21" i="52" s="1"/>
  <c r="D34" i="46"/>
  <c r="D42" i="46" s="1"/>
  <c r="D22" i="52" s="1"/>
  <c r="D27" i="52" s="1"/>
  <c r="D33" i="52" s="1"/>
  <c r="D79" i="46"/>
  <c r="D87" i="46" s="1"/>
  <c r="D64" i="46"/>
  <c r="D72" i="46" s="1"/>
  <c r="D109" i="46"/>
  <c r="D117" i="46" s="1"/>
  <c r="D49" i="46"/>
  <c r="D57" i="46" s="1"/>
  <c r="D23" i="52" s="1"/>
  <c r="D28" i="52" s="1"/>
  <c r="D34" i="52" s="1"/>
  <c r="G84" i="11"/>
  <c r="G79" i="11"/>
  <c r="AH106" i="11"/>
  <c r="AH107" i="11" s="1"/>
  <c r="AH96" i="11"/>
  <c r="D84" i="11"/>
  <c r="D79" i="11"/>
  <c r="F32" i="38"/>
  <c r="Z58" i="33"/>
  <c r="Z52" i="33" s="1"/>
  <c r="AA60" i="33"/>
  <c r="AA63" i="33" s="1"/>
  <c r="AA62" i="33"/>
  <c r="M90" i="11"/>
  <c r="E31" i="38"/>
  <c r="E35" i="38" s="1"/>
  <c r="E34" i="38"/>
  <c r="C71" i="46"/>
  <c r="C75" i="46" s="1"/>
  <c r="C74" i="46"/>
  <c r="C79" i="11"/>
  <c r="C84" i="11"/>
  <c r="E76" i="17"/>
  <c r="C116" i="46"/>
  <c r="C120" i="46" s="1"/>
  <c r="C119" i="46"/>
  <c r="AA15" i="38"/>
  <c r="AA19" i="38" s="1"/>
  <c r="Z13" i="38"/>
  <c r="Z7" i="38" s="1"/>
  <c r="AA18" i="38"/>
  <c r="I74" i="11"/>
  <c r="I78" i="11" s="1"/>
  <c r="I69" i="11"/>
  <c r="I71" i="11"/>
  <c r="AI106" i="11"/>
  <c r="AI107" i="11" s="1"/>
  <c r="AI96" i="11"/>
  <c r="AF106" i="11"/>
  <c r="AF107" i="11" s="1"/>
  <c r="AF96" i="11"/>
  <c r="F84" i="11"/>
  <c r="F79" i="11"/>
  <c r="M22" i="35"/>
  <c r="M30" i="35" s="1"/>
  <c r="D22" i="35"/>
  <c r="K30" i="35"/>
  <c r="D30" i="35" s="1"/>
  <c r="AB16" i="38"/>
  <c r="Z26" i="46"/>
  <c r="Y24" i="46"/>
  <c r="Y21" i="46" s="1"/>
  <c r="Z29" i="46"/>
  <c r="F50" i="8"/>
  <c r="D50" i="8"/>
  <c r="C50" i="8"/>
  <c r="E60" i="33"/>
  <c r="E63" i="33" s="1"/>
  <c r="E62" i="33"/>
  <c r="Z71" i="46"/>
  <c r="Z75" i="46" s="1"/>
  <c r="Y69" i="46"/>
  <c r="Y66" i="46" s="1"/>
  <c r="Z74" i="46"/>
  <c r="Q33" i="35"/>
  <c r="K37" i="35"/>
  <c r="M33" i="35"/>
  <c r="M37" i="35" s="1"/>
  <c r="X106" i="11"/>
  <c r="X107" i="11" s="1"/>
  <c r="X96" i="11"/>
  <c r="R106" i="11"/>
  <c r="R107" i="11" s="1"/>
  <c r="R96" i="11"/>
  <c r="E78" i="17"/>
  <c r="N36" i="18"/>
  <c r="M36" i="18"/>
  <c r="E90" i="33"/>
  <c r="E93" i="33" s="1"/>
  <c r="E92" i="33"/>
  <c r="Y19" i="46"/>
  <c r="Y7" i="52" s="1"/>
  <c r="Z13" i="33"/>
  <c r="Z7" i="33" s="1"/>
  <c r="AA15" i="33"/>
  <c r="AA18" i="33" s="1"/>
  <c r="AA17" i="33"/>
  <c r="J47" i="18"/>
  <c r="J48" i="18" s="1"/>
  <c r="J15" i="18"/>
  <c r="AT96" i="11"/>
  <c r="AT106" i="11"/>
  <c r="AT107" i="11" s="1"/>
  <c r="AS106" i="11"/>
  <c r="AS107" i="11" s="1"/>
  <c r="AS96" i="11"/>
  <c r="W106" i="11"/>
  <c r="W107" i="11" s="1"/>
  <c r="W96" i="11"/>
  <c r="P106" i="11"/>
  <c r="P107" i="11" s="1"/>
  <c r="P96" i="11"/>
  <c r="N66" i="11"/>
  <c r="K45" i="18"/>
  <c r="K47" i="8"/>
  <c r="Z109" i="46"/>
  <c r="Z117" i="46" s="1"/>
  <c r="Z34" i="46"/>
  <c r="Z42" i="46" s="1"/>
  <c r="Z22" i="52" s="1"/>
  <c r="Z27" i="52" s="1"/>
  <c r="Z33" i="52" s="1"/>
  <c r="Z94" i="46"/>
  <c r="Z102" i="46" s="1"/>
  <c r="Z79" i="46"/>
  <c r="Z87" i="46" s="1"/>
  <c r="Z49" i="46"/>
  <c r="Z64" i="46"/>
  <c r="C12" i="46"/>
  <c r="C15" i="46" s="1"/>
  <c r="C14" i="46"/>
  <c r="J49" i="8"/>
  <c r="J15" i="8"/>
  <c r="Z109" i="38"/>
  <c r="Z103" i="38" s="1"/>
  <c r="AA111" i="38"/>
  <c r="AA114" i="38"/>
  <c r="H30" i="33"/>
  <c r="H32" i="33"/>
  <c r="K24" i="11"/>
  <c r="N22" i="11"/>
  <c r="AD96" i="11"/>
  <c r="AD106" i="11"/>
  <c r="AD107" i="11" s="1"/>
  <c r="AL106" i="11"/>
  <c r="AL107" i="11" s="1"/>
  <c r="AL96" i="11"/>
  <c r="AA27" i="46"/>
  <c r="AA21" i="52" s="1"/>
  <c r="AA26" i="52" s="1"/>
  <c r="E96" i="38"/>
  <c r="J74" i="11"/>
  <c r="J78" i="11" s="1"/>
  <c r="J71" i="11"/>
  <c r="J69" i="11"/>
  <c r="C41" i="46"/>
  <c r="C44" i="46"/>
  <c r="AN106" i="11"/>
  <c r="AN107" i="11" s="1"/>
  <c r="AN96" i="11"/>
  <c r="AM106" i="11"/>
  <c r="AM107" i="11" s="1"/>
  <c r="AM96" i="11"/>
  <c r="X127" i="46"/>
  <c r="X124" i="46" s="1"/>
  <c r="Y129" i="46"/>
  <c r="Y132" i="46" s="1"/>
  <c r="Y131" i="46"/>
  <c r="AJ106" i="11"/>
  <c r="AJ107" i="11" s="1"/>
  <c r="AJ96" i="11"/>
  <c r="AA96" i="11"/>
  <c r="AA106" i="11"/>
  <c r="AA107" i="11" s="1"/>
  <c r="AB106" i="11"/>
  <c r="AB107" i="11" s="1"/>
  <c r="AB96" i="11"/>
  <c r="Z96" i="11"/>
  <c r="Z106" i="11"/>
  <c r="Z107" i="11" s="1"/>
  <c r="AB37" i="33"/>
  <c r="AB28" i="33"/>
  <c r="AB22" i="33" s="1"/>
  <c r="AB64" i="38"/>
  <c r="N88" i="11"/>
  <c r="M88" i="11"/>
  <c r="E48" i="38"/>
  <c r="E69" i="17"/>
  <c r="E81" i="17" s="1"/>
  <c r="M44" i="8"/>
  <c r="N44" i="8"/>
  <c r="AQ96" i="11"/>
  <c r="AQ106" i="11"/>
  <c r="AQ107" i="11" s="1"/>
  <c r="U106" i="11"/>
  <c r="U107" i="11" s="1"/>
  <c r="U96" i="11"/>
  <c r="E63" i="17"/>
  <c r="M38" i="8"/>
  <c r="N38" i="8"/>
  <c r="E21" i="17"/>
  <c r="E28" i="17"/>
  <c r="E25" i="17"/>
  <c r="E51" i="17"/>
  <c r="E23" i="17"/>
  <c r="E22" i="17"/>
  <c r="E52" i="17"/>
  <c r="E27" i="17"/>
  <c r="E53" i="17"/>
  <c r="E26" i="17"/>
  <c r="E50" i="17"/>
  <c r="E20" i="17"/>
  <c r="Y39" i="46"/>
  <c r="Y36" i="46" s="1"/>
  <c r="Z41" i="46"/>
  <c r="Z44" i="46"/>
  <c r="Z88" i="33"/>
  <c r="Z82" i="33" s="1"/>
  <c r="AA90" i="33"/>
  <c r="AA93" i="33" s="1"/>
  <c r="AA92" i="33"/>
  <c r="AK106" i="11"/>
  <c r="AK107" i="11" s="1"/>
  <c r="AK96" i="11"/>
  <c r="T106" i="11"/>
  <c r="T107" i="11" s="1"/>
  <c r="T96" i="11"/>
  <c r="Y86" i="46"/>
  <c r="Y90" i="46" s="1"/>
  <c r="X84" i="46"/>
  <c r="X81" i="46" s="1"/>
  <c r="Y89" i="46"/>
  <c r="Z61" i="38"/>
  <c r="Z55" i="38" s="1"/>
  <c r="AA63" i="38"/>
  <c r="AA67" i="38" s="1"/>
  <c r="AA66" i="38"/>
  <c r="AA57" i="46"/>
  <c r="AA23" i="52" s="1"/>
  <c r="AA28" i="52" s="1"/>
  <c r="AA34" i="52" s="1"/>
  <c r="M23" i="18"/>
  <c r="M28" i="18" s="1"/>
  <c r="N23" i="18"/>
  <c r="K28" i="18"/>
  <c r="N28" i="18" s="1"/>
  <c r="N30" i="35"/>
  <c r="N39" i="35" s="1"/>
  <c r="M42" i="18"/>
  <c r="N42" i="18"/>
  <c r="Y106" i="11"/>
  <c r="Y107" i="11" s="1"/>
  <c r="Y96" i="11"/>
  <c r="Q106" i="11"/>
  <c r="Q107" i="11" s="1"/>
  <c r="Q96" i="11"/>
  <c r="C56" i="46"/>
  <c r="C59" i="46"/>
  <c r="AR106" i="11"/>
  <c r="AR107" i="11" s="1"/>
  <c r="AR96" i="11"/>
  <c r="Y12" i="46"/>
  <c r="Y15" i="46" s="1"/>
  <c r="X10" i="46"/>
  <c r="X7" i="46" s="1"/>
  <c r="Y14" i="46"/>
  <c r="AC31" i="38"/>
  <c r="AC34" i="38"/>
  <c r="Y101" i="46"/>
  <c r="Y105" i="46" s="1"/>
  <c r="X99" i="46"/>
  <c r="X96" i="46" s="1"/>
  <c r="Y104" i="46"/>
  <c r="S106" i="11"/>
  <c r="S107" i="11" s="1"/>
  <c r="S96" i="11"/>
  <c r="AO106" i="11"/>
  <c r="AO107" i="11" s="1"/>
  <c r="AO96" i="11"/>
  <c r="C26" i="46"/>
  <c r="C29" i="46"/>
  <c r="AA117" i="46"/>
  <c r="E79" i="17"/>
  <c r="M25" i="8"/>
  <c r="M30" i="8" s="1"/>
  <c r="N25" i="8"/>
  <c r="K30" i="8"/>
  <c r="P25" i="8" s="1"/>
  <c r="P22" i="35"/>
  <c r="P30" i="35" s="1"/>
  <c r="V106" i="11"/>
  <c r="V107" i="11" s="1"/>
  <c r="V96" i="11"/>
  <c r="AC106" i="11"/>
  <c r="AC107" i="11" s="1"/>
  <c r="AC96" i="11"/>
  <c r="G50" i="8"/>
  <c r="AA105" i="33"/>
  <c r="AA108" i="33" s="1"/>
  <c r="Z103" i="33"/>
  <c r="Z97" i="33" s="1"/>
  <c r="AA107" i="33"/>
  <c r="AC47" i="38"/>
  <c r="AB45" i="38"/>
  <c r="AC50" i="38"/>
  <c r="AP96" i="11"/>
  <c r="AP106" i="11"/>
  <c r="AP107" i="11" s="1"/>
  <c r="AE106" i="11"/>
  <c r="AE107" i="11" s="1"/>
  <c r="AE96" i="11"/>
  <c r="E64" i="38"/>
  <c r="I15" i="18"/>
  <c r="I47" i="18"/>
  <c r="I48" i="18" s="1"/>
  <c r="AA42" i="46"/>
  <c r="AA22" i="52" s="1"/>
  <c r="AA27" i="52" s="1"/>
  <c r="AA33" i="52" s="1"/>
  <c r="Z116" i="46"/>
  <c r="Z120" i="46" s="1"/>
  <c r="Y114" i="46"/>
  <c r="Y111" i="46" s="1"/>
  <c r="Z119" i="46"/>
  <c r="Z60" i="46" l="1"/>
  <c r="Z13" i="52"/>
  <c r="J92" i="11"/>
  <c r="J55" i="8" s="1"/>
  <c r="I92" i="11"/>
  <c r="G92" i="11"/>
  <c r="F92" i="11"/>
  <c r="D92" i="11"/>
  <c r="J89" i="11"/>
  <c r="J91" i="11"/>
  <c r="C92" i="11"/>
  <c r="Y94" i="59"/>
  <c r="Y109" i="59"/>
  <c r="Y49" i="59"/>
  <c r="Y34" i="59"/>
  <c r="Y64" i="59"/>
  <c r="Y79" i="59"/>
  <c r="AC48" i="38"/>
  <c r="AC51" i="38"/>
  <c r="Z30" i="46"/>
  <c r="Z11" i="52"/>
  <c r="C60" i="46"/>
  <c r="C13" i="52"/>
  <c r="C30" i="46"/>
  <c r="C11" i="52"/>
  <c r="Y8" i="52"/>
  <c r="F29" i="52"/>
  <c r="F35" i="52" s="1"/>
  <c r="F32" i="52"/>
  <c r="H32" i="38"/>
  <c r="H33" i="33"/>
  <c r="E16" i="38"/>
  <c r="E18" i="33"/>
  <c r="X19" i="59"/>
  <c r="AA112" i="38"/>
  <c r="AA115" i="38"/>
  <c r="C45" i="46"/>
  <c r="C12" i="52"/>
  <c r="E112" i="38"/>
  <c r="C33" i="56"/>
  <c r="D26" i="52"/>
  <c r="F33" i="52"/>
  <c r="C49" i="59"/>
  <c r="C109" i="59"/>
  <c r="C117" i="59" s="1"/>
  <c r="C34" i="59"/>
  <c r="C42" i="59" s="1"/>
  <c r="C79" i="59"/>
  <c r="C64" i="59"/>
  <c r="C72" i="59" s="1"/>
  <c r="C94" i="59"/>
  <c r="AA29" i="52"/>
  <c r="AA35" i="52" s="1"/>
  <c r="AA32" i="52"/>
  <c r="AC32" i="38"/>
  <c r="AC35" i="38"/>
  <c r="Z45" i="46"/>
  <c r="Z12" i="52"/>
  <c r="Z72" i="59"/>
  <c r="Z75" i="59"/>
  <c r="C27" i="59"/>
  <c r="C30" i="59"/>
  <c r="C57" i="59"/>
  <c r="C60" i="59"/>
  <c r="Y56" i="59"/>
  <c r="X54" i="59"/>
  <c r="X51" i="59" s="1"/>
  <c r="Y59" i="59"/>
  <c r="Z57" i="59"/>
  <c r="Z60" i="59"/>
  <c r="X84" i="59"/>
  <c r="X81" i="59" s="1"/>
  <c r="Y86" i="59"/>
  <c r="Y89" i="59"/>
  <c r="C120" i="59"/>
  <c r="X24" i="59"/>
  <c r="X21" i="59" s="1"/>
  <c r="Y26" i="59"/>
  <c r="Y29" i="59"/>
  <c r="Z27" i="59"/>
  <c r="Z30" i="59"/>
  <c r="Y129" i="59"/>
  <c r="Y132" i="59" s="1"/>
  <c r="X127" i="59"/>
  <c r="X124" i="59" s="1"/>
  <c r="Y131" i="59"/>
  <c r="C87" i="59"/>
  <c r="C90" i="59"/>
  <c r="X39" i="59"/>
  <c r="X36" i="59" s="1"/>
  <c r="Y41" i="59"/>
  <c r="Y44" i="59"/>
  <c r="C75" i="59"/>
  <c r="Z42" i="59"/>
  <c r="Z45" i="59"/>
  <c r="Z102" i="59"/>
  <c r="Z105" i="59"/>
  <c r="X99" i="59"/>
  <c r="X96" i="59" s="1"/>
  <c r="Y101" i="59"/>
  <c r="Y104" i="59"/>
  <c r="Y116" i="59"/>
  <c r="X114" i="59"/>
  <c r="X111" i="59" s="1"/>
  <c r="Y119" i="59"/>
  <c r="C102" i="59"/>
  <c r="C105" i="59"/>
  <c r="X10" i="59"/>
  <c r="X7" i="59" s="1"/>
  <c r="Y12" i="59"/>
  <c r="Y15" i="59" s="1"/>
  <c r="Y14" i="59"/>
  <c r="Z117" i="59"/>
  <c r="Z120" i="59"/>
  <c r="Z87" i="59"/>
  <c r="Z90" i="59"/>
  <c r="C45" i="59"/>
  <c r="Y71" i="59"/>
  <c r="X69" i="59"/>
  <c r="X66" i="59" s="1"/>
  <c r="Y74" i="59"/>
  <c r="N59" i="8"/>
  <c r="K26" i="11"/>
  <c r="M39" i="35"/>
  <c r="K39" i="35"/>
  <c r="D39" i="35" s="1"/>
  <c r="D26" i="51"/>
  <c r="D27" i="51" s="1"/>
  <c r="D28" i="51" s="1"/>
  <c r="C27" i="51"/>
  <c r="B26" i="51" a="1"/>
  <c r="B26" i="51" s="1"/>
  <c r="F26" i="51" a="1"/>
  <c r="F26" i="51" s="1"/>
  <c r="G26" i="51" s="1"/>
  <c r="E26" i="51" a="1"/>
  <c r="E26" i="51" s="1"/>
  <c r="E25" i="51" a="1"/>
  <c r="E25" i="51" s="1"/>
  <c r="F25" i="51" a="1"/>
  <c r="F25" i="51" s="1"/>
  <c r="G25" i="51" s="1"/>
  <c r="B25" i="51" a="1"/>
  <c r="B25" i="51" s="1"/>
  <c r="J24" i="51"/>
  <c r="I24" i="51"/>
  <c r="H24" i="51"/>
  <c r="I84" i="11"/>
  <c r="I79" i="11"/>
  <c r="Y26" i="46"/>
  <c r="Y27" i="46" s="1"/>
  <c r="Y21" i="52" s="1"/>
  <c r="Y26" i="52" s="1"/>
  <c r="X24" i="46"/>
  <c r="X21" i="46" s="1"/>
  <c r="Y29" i="46"/>
  <c r="D15" i="33"/>
  <c r="D18" i="33" s="1"/>
  <c r="C13" i="33"/>
  <c r="C7" i="33" s="1"/>
  <c r="D17" i="33"/>
  <c r="Z75" i="33"/>
  <c r="Z78" i="33" s="1"/>
  <c r="Y73" i="33"/>
  <c r="Y67" i="33" s="1"/>
  <c r="Z77" i="33"/>
  <c r="Z15" i="38"/>
  <c r="Y13" i="38"/>
  <c r="Y7" i="38" s="1"/>
  <c r="Z18" i="38"/>
  <c r="N45" i="18"/>
  <c r="K44" i="18"/>
  <c r="Q37" i="35"/>
  <c r="P33" i="35"/>
  <c r="P37" i="35" s="1"/>
  <c r="P39" i="35" s="1"/>
  <c r="P40" i="35" s="1"/>
  <c r="AA16" i="38"/>
  <c r="C94" i="46"/>
  <c r="C102" i="46" s="1"/>
  <c r="C64" i="46"/>
  <c r="C72" i="46" s="1"/>
  <c r="C109" i="46"/>
  <c r="C117" i="46" s="1"/>
  <c r="C27" i="46"/>
  <c r="C21" i="52" s="1"/>
  <c r="C79" i="46"/>
  <c r="C87" i="46" s="1"/>
  <c r="C49" i="46"/>
  <c r="C57" i="46" s="1"/>
  <c r="C23" i="52" s="1"/>
  <c r="C28" i="52" s="1"/>
  <c r="C34" i="52" s="1"/>
  <c r="C34" i="46"/>
  <c r="C42" i="46" s="1"/>
  <c r="C22" i="52" s="1"/>
  <c r="C27" i="52" s="1"/>
  <c r="C33" i="52" s="1"/>
  <c r="E75" i="17"/>
  <c r="X19" i="46"/>
  <c r="X7" i="52" s="1"/>
  <c r="Z15" i="33"/>
  <c r="Z18" i="33" s="1"/>
  <c r="Y13" i="33"/>
  <c r="Y7" i="33" s="1"/>
  <c r="Z17" i="33"/>
  <c r="Z60" i="33"/>
  <c r="Z63" i="33" s="1"/>
  <c r="Y58" i="33"/>
  <c r="Y52" i="33" s="1"/>
  <c r="Z62" i="33"/>
  <c r="X39" i="46"/>
  <c r="X36" i="46" s="1"/>
  <c r="Y41" i="46"/>
  <c r="Y44" i="46"/>
  <c r="Y109" i="46"/>
  <c r="Y94" i="46"/>
  <c r="Y102" i="46" s="1"/>
  <c r="Y79" i="46"/>
  <c r="Y87" i="46" s="1"/>
  <c r="Y49" i="46"/>
  <c r="Y34" i="46"/>
  <c r="Y64" i="46"/>
  <c r="X69" i="46"/>
  <c r="X66" i="46" s="1"/>
  <c r="Y71" i="46"/>
  <c r="Y75" i="46" s="1"/>
  <c r="Y74" i="46"/>
  <c r="X54" i="46"/>
  <c r="X51" i="46" s="1"/>
  <c r="Y56" i="46"/>
  <c r="Y59" i="46"/>
  <c r="E30" i="33"/>
  <c r="E32" i="33"/>
  <c r="X12" i="46"/>
  <c r="X15" i="46" s="1"/>
  <c r="W10" i="46"/>
  <c r="W7" i="46" s="1"/>
  <c r="X14" i="46"/>
  <c r="AA96" i="38"/>
  <c r="AA43" i="33"/>
  <c r="AA37" i="33" s="1"/>
  <c r="AB45" i="33"/>
  <c r="AB48" i="33" s="1"/>
  <c r="AB47" i="33"/>
  <c r="C85" i="11"/>
  <c r="D85" i="11"/>
  <c r="Y93" i="38"/>
  <c r="Y87" i="38" s="1"/>
  <c r="Z95" i="38"/>
  <c r="Z98" i="38"/>
  <c r="K68" i="11"/>
  <c r="K16" i="18"/>
  <c r="N24" i="11"/>
  <c r="K16" i="8"/>
  <c r="Y88" i="33"/>
  <c r="Y82" i="33" s="1"/>
  <c r="Z90" i="33"/>
  <c r="Z93" i="33" s="1"/>
  <c r="Z92" i="33"/>
  <c r="J50" i="8"/>
  <c r="F85" i="11"/>
  <c r="D16" i="38"/>
  <c r="K46" i="8"/>
  <c r="N47" i="8"/>
  <c r="Z105" i="33"/>
  <c r="Z108" i="33" s="1"/>
  <c r="Y103" i="33"/>
  <c r="Y97" i="33" s="1"/>
  <c r="Z107" i="33"/>
  <c r="J84" i="11"/>
  <c r="J79" i="11"/>
  <c r="Z79" i="38"/>
  <c r="Y77" i="38"/>
  <c r="Y71" i="38" s="1"/>
  <c r="Z82" i="38"/>
  <c r="C15" i="38"/>
  <c r="C19" i="38" s="1"/>
  <c r="C18" i="38"/>
  <c r="Y109" i="38"/>
  <c r="Y103" i="38" s="1"/>
  <c r="Z111" i="38"/>
  <c r="Z115" i="38" s="1"/>
  <c r="Z114" i="38"/>
  <c r="Y61" i="38"/>
  <c r="Y55" i="38" s="1"/>
  <c r="Z63" i="38"/>
  <c r="Z67" i="38" s="1"/>
  <c r="Z66" i="38"/>
  <c r="Z72" i="46"/>
  <c r="G85" i="11"/>
  <c r="S22" i="35"/>
  <c r="S30" i="35" s="1"/>
  <c r="Q30" i="35"/>
  <c r="AA80" i="38"/>
  <c r="I50" i="8"/>
  <c r="AB29" i="38"/>
  <c r="AB23" i="38" s="1"/>
  <c r="AB39" i="38"/>
  <c r="AB30" i="33"/>
  <c r="AB33" i="33" s="1"/>
  <c r="AA28" i="33"/>
  <c r="AA22" i="33" s="1"/>
  <c r="AB32" i="33"/>
  <c r="AA64" i="38"/>
  <c r="X86" i="46"/>
  <c r="X90" i="46" s="1"/>
  <c r="W84" i="46"/>
  <c r="W81" i="46" s="1"/>
  <c r="X89" i="46"/>
  <c r="Z57" i="46"/>
  <c r="Z23" i="52" s="1"/>
  <c r="Z28" i="52" s="1"/>
  <c r="Z34" i="52" s="1"/>
  <c r="Y116" i="46"/>
  <c r="Y120" i="46" s="1"/>
  <c r="X114" i="46"/>
  <c r="X111" i="46" s="1"/>
  <c r="Y119" i="46"/>
  <c r="W99" i="46"/>
  <c r="W96" i="46" s="1"/>
  <c r="X101" i="46"/>
  <c r="X105" i="46" s="1"/>
  <c r="X104" i="46"/>
  <c r="N30" i="8"/>
  <c r="P22" i="8"/>
  <c r="P27" i="8"/>
  <c r="P26" i="8"/>
  <c r="P23" i="8"/>
  <c r="P28" i="8"/>
  <c r="P29" i="8"/>
  <c r="P24" i="8"/>
  <c r="P21" i="8"/>
  <c r="X129" i="46"/>
  <c r="X132" i="46" s="1"/>
  <c r="W127" i="46"/>
  <c r="W124" i="46" s="1"/>
  <c r="X131" i="46"/>
  <c r="Z27" i="46"/>
  <c r="Z21" i="52" s="1"/>
  <c r="Z26" i="52" s="1"/>
  <c r="Y32" i="52" l="1"/>
  <c r="X79" i="59"/>
  <c r="X64" i="59"/>
  <c r="X109" i="59"/>
  <c r="X49" i="59"/>
  <c r="X34" i="59"/>
  <c r="X94" i="59"/>
  <c r="Y45" i="46"/>
  <c r="Y12" i="52"/>
  <c r="K92" i="11"/>
  <c r="K55" i="8" s="1"/>
  <c r="C55" i="8"/>
  <c r="C60" i="8" s="1"/>
  <c r="C62" i="8" s="1"/>
  <c r="C93" i="11"/>
  <c r="C95" i="11" s="1"/>
  <c r="C96" i="11" s="1"/>
  <c r="Z96" i="38"/>
  <c r="Z99" i="38"/>
  <c r="W19" i="59"/>
  <c r="J53" i="8"/>
  <c r="M91" i="11"/>
  <c r="N91" i="11"/>
  <c r="J58" i="8"/>
  <c r="N89" i="11"/>
  <c r="M89" i="11"/>
  <c r="M93" i="11" s="1"/>
  <c r="M95" i="11" s="1"/>
  <c r="M106" i="11" s="1"/>
  <c r="J93" i="11"/>
  <c r="X8" i="52"/>
  <c r="Z16" i="38"/>
  <c r="Z19" i="38"/>
  <c r="D29" i="52"/>
  <c r="D35" i="52" s="1"/>
  <c r="D32" i="52"/>
  <c r="D55" i="8"/>
  <c r="D60" i="8" s="1"/>
  <c r="D62" i="8" s="1"/>
  <c r="D93" i="11"/>
  <c r="D95" i="11" s="1"/>
  <c r="D96" i="11" s="1"/>
  <c r="F55" i="8"/>
  <c r="F60" i="8" s="1"/>
  <c r="F62" i="8" s="1"/>
  <c r="F93" i="11"/>
  <c r="F95" i="11" s="1"/>
  <c r="F96" i="11" s="1"/>
  <c r="Y30" i="46"/>
  <c r="Y11" i="52"/>
  <c r="Z29" i="52"/>
  <c r="Z35" i="52" s="1"/>
  <c r="Z32" i="52"/>
  <c r="G55" i="8"/>
  <c r="G60" i="8" s="1"/>
  <c r="G62" i="8" s="1"/>
  <c r="G93" i="11"/>
  <c r="G95" i="11" s="1"/>
  <c r="G96" i="11" s="1"/>
  <c r="G27" i="51"/>
  <c r="I55" i="8"/>
  <c r="I60" i="8" s="1"/>
  <c r="I62" i="8" s="1"/>
  <c r="I63" i="8" s="1"/>
  <c r="I93" i="11"/>
  <c r="Y60" i="46"/>
  <c r="Y13" i="52"/>
  <c r="K40" i="35"/>
  <c r="Z80" i="38"/>
  <c r="Z83" i="38"/>
  <c r="C32" i="56"/>
  <c r="C26" i="52"/>
  <c r="E32" i="38"/>
  <c r="E33" i="33"/>
  <c r="X116" i="59"/>
  <c r="W114" i="59"/>
  <c r="W111" i="59" s="1"/>
  <c r="X119" i="59"/>
  <c r="X56" i="59"/>
  <c r="W54" i="59"/>
  <c r="W51" i="59" s="1"/>
  <c r="X59" i="59"/>
  <c r="W84" i="59"/>
  <c r="W81" i="59" s="1"/>
  <c r="X86" i="59"/>
  <c r="X89" i="59"/>
  <c r="Y42" i="59"/>
  <c r="Y45" i="59"/>
  <c r="X12" i="59"/>
  <c r="X15" i="59" s="1"/>
  <c r="W10" i="59"/>
  <c r="W7" i="59" s="1"/>
  <c r="X14" i="59"/>
  <c r="Y87" i="59"/>
  <c r="Y90" i="59"/>
  <c r="W39" i="59"/>
  <c r="W36" i="59" s="1"/>
  <c r="X41" i="59"/>
  <c r="X44" i="59"/>
  <c r="Y57" i="59"/>
  <c r="Y60" i="59"/>
  <c r="Y102" i="59"/>
  <c r="Y105" i="59"/>
  <c r="X129" i="59"/>
  <c r="X132" i="59" s="1"/>
  <c r="W127" i="59"/>
  <c r="W124" i="59" s="1"/>
  <c r="X131" i="59"/>
  <c r="Y27" i="59"/>
  <c r="Y30" i="59"/>
  <c r="Y117" i="59"/>
  <c r="Y120" i="59"/>
  <c r="W69" i="59"/>
  <c r="W66" i="59" s="1"/>
  <c r="X71" i="59"/>
  <c r="X74" i="59"/>
  <c r="Y72" i="59"/>
  <c r="Y75" i="59"/>
  <c r="X101" i="59"/>
  <c r="W99" i="59"/>
  <c r="W96" i="59" s="1"/>
  <c r="X104" i="59"/>
  <c r="X26" i="59"/>
  <c r="W24" i="59"/>
  <c r="W21" i="59" s="1"/>
  <c r="X29" i="59"/>
  <c r="K17" i="8"/>
  <c r="N26" i="11"/>
  <c r="M26" i="11"/>
  <c r="M28" i="11" s="1"/>
  <c r="K28" i="11"/>
  <c r="C28" i="51"/>
  <c r="C35" i="51" s="1"/>
  <c r="E27" i="51"/>
  <c r="E28" i="51" s="1"/>
  <c r="H26" i="51"/>
  <c r="I26" i="51"/>
  <c r="J26" i="51"/>
  <c r="H25" i="51"/>
  <c r="J25" i="51"/>
  <c r="I25" i="51"/>
  <c r="G106" i="11"/>
  <c r="G107" i="11" s="1"/>
  <c r="X73" i="33"/>
  <c r="X67" i="33" s="1"/>
  <c r="Y75" i="33"/>
  <c r="Y78" i="33" s="1"/>
  <c r="Y77" i="33"/>
  <c r="X109" i="38"/>
  <c r="X103" i="38" s="1"/>
  <c r="Y111" i="38"/>
  <c r="Y114" i="38"/>
  <c r="W86" i="46"/>
  <c r="W90" i="46" s="1"/>
  <c r="V84" i="46"/>
  <c r="V81" i="46" s="1"/>
  <c r="W89" i="46"/>
  <c r="W12" i="46"/>
  <c r="W15" i="46" s="1"/>
  <c r="V10" i="46"/>
  <c r="V7" i="46" s="1"/>
  <c r="W14" i="46"/>
  <c r="X58" i="33"/>
  <c r="X52" i="33" s="1"/>
  <c r="Y60" i="33"/>
  <c r="Y63" i="33" s="1"/>
  <c r="Y62" i="33"/>
  <c r="N68" i="11"/>
  <c r="K69" i="11"/>
  <c r="K74" i="11"/>
  <c r="X13" i="38"/>
  <c r="X7" i="38" s="1"/>
  <c r="Y15" i="38"/>
  <c r="Y18" i="38"/>
  <c r="W39" i="46"/>
  <c r="W36" i="46" s="1"/>
  <c r="X41" i="46"/>
  <c r="X44" i="46"/>
  <c r="S33" i="35"/>
  <c r="S37" i="35" s="1"/>
  <c r="S39" i="35" s="1"/>
  <c r="C15" i="33"/>
  <c r="C17" i="33"/>
  <c r="X93" i="38"/>
  <c r="X87" i="38" s="1"/>
  <c r="Y95" i="38"/>
  <c r="Y99" i="38" s="1"/>
  <c r="Y98" i="38"/>
  <c r="X71" i="46"/>
  <c r="X75" i="46" s="1"/>
  <c r="W69" i="46"/>
  <c r="W66" i="46" s="1"/>
  <c r="X74" i="46"/>
  <c r="Q39" i="35"/>
  <c r="Q40" i="35" s="1"/>
  <c r="X77" i="38"/>
  <c r="X71" i="38" s="1"/>
  <c r="Y79" i="38"/>
  <c r="Y82" i="38"/>
  <c r="X56" i="46"/>
  <c r="W54" i="46"/>
  <c r="W51" i="46" s="1"/>
  <c r="X59" i="46"/>
  <c r="Y72" i="46"/>
  <c r="W19" i="46"/>
  <c r="W7" i="52" s="1"/>
  <c r="Y15" i="33"/>
  <c r="Y18" i="33" s="1"/>
  <c r="X13" i="33"/>
  <c r="X7" i="33" s="1"/>
  <c r="Y17" i="33"/>
  <c r="N44" i="18"/>
  <c r="M44" i="18"/>
  <c r="M45" i="18" s="1"/>
  <c r="E71" i="17"/>
  <c r="M46" i="8"/>
  <c r="M47" i="8" s="1"/>
  <c r="N46" i="8"/>
  <c r="V127" i="46"/>
  <c r="V124" i="46" s="1"/>
  <c r="W129" i="46"/>
  <c r="W132" i="46" s="1"/>
  <c r="W131" i="46"/>
  <c r="X103" i="33"/>
  <c r="X97" i="33" s="1"/>
  <c r="Y105" i="33"/>
  <c r="Y108" i="33" s="1"/>
  <c r="Y107" i="33"/>
  <c r="X26" i="46"/>
  <c r="W24" i="46"/>
  <c r="W21" i="46" s="1"/>
  <c r="X29" i="46"/>
  <c r="X116" i="46"/>
  <c r="X120" i="46" s="1"/>
  <c r="W114" i="46"/>
  <c r="W111" i="46" s="1"/>
  <c r="X119" i="46"/>
  <c r="Z64" i="38"/>
  <c r="AB47" i="38"/>
  <c r="AA45" i="38"/>
  <c r="AA39" i="38" s="1"/>
  <c r="AB50" i="38"/>
  <c r="Z43" i="33"/>
  <c r="Z37" i="33" s="1"/>
  <c r="AA45" i="33"/>
  <c r="AA48" i="33" s="1"/>
  <c r="AA47" i="33"/>
  <c r="Y42" i="46"/>
  <c r="Y22" i="52" s="1"/>
  <c r="Y27" i="52" s="1"/>
  <c r="Y33" i="52" s="1"/>
  <c r="X64" i="46"/>
  <c r="X94" i="46"/>
  <c r="X102" i="46" s="1"/>
  <c r="X109" i="46"/>
  <c r="X34" i="46"/>
  <c r="X79" i="46"/>
  <c r="X87" i="46" s="1"/>
  <c r="X49" i="46"/>
  <c r="X27" i="46"/>
  <c r="X21" i="52" s="1"/>
  <c r="X26" i="52" s="1"/>
  <c r="Y117" i="46"/>
  <c r="Y63" i="38"/>
  <c r="X61" i="38"/>
  <c r="X55" i="38" s="1"/>
  <c r="Y66" i="38"/>
  <c r="Y57" i="46"/>
  <c r="Y23" i="52" s="1"/>
  <c r="Y28" i="52" s="1"/>
  <c r="Y34" i="52" s="1"/>
  <c r="K47" i="18"/>
  <c r="N16" i="18"/>
  <c r="K15" i="18"/>
  <c r="F106" i="11"/>
  <c r="F107" i="11" s="1"/>
  <c r="J85" i="11"/>
  <c r="J95" i="11"/>
  <c r="J96" i="11" s="1"/>
  <c r="AA30" i="33"/>
  <c r="AA33" i="33" s="1"/>
  <c r="Z28" i="33"/>
  <c r="Z22" i="33" s="1"/>
  <c r="AA32" i="33"/>
  <c r="Y90" i="33"/>
  <c r="Y93" i="33" s="1"/>
  <c r="X88" i="33"/>
  <c r="X82" i="33" s="1"/>
  <c r="Y92" i="33"/>
  <c r="V99" i="46"/>
  <c r="V96" i="46" s="1"/>
  <c r="W101" i="46"/>
  <c r="W105" i="46" s="1"/>
  <c r="W104" i="46"/>
  <c r="AB31" i="38"/>
  <c r="AA29" i="38"/>
  <c r="AA23" i="38" s="1"/>
  <c r="AB34" i="38"/>
  <c r="K49" i="8"/>
  <c r="N16" i="8"/>
  <c r="K15" i="8"/>
  <c r="I72" i="8"/>
  <c r="I73" i="8" s="1"/>
  <c r="Z112" i="38"/>
  <c r="I85" i="11"/>
  <c r="I95" i="11"/>
  <c r="I96" i="11" s="1"/>
  <c r="X60" i="46" l="1"/>
  <c r="X13" i="52"/>
  <c r="X45" i="46"/>
  <c r="X12" i="52"/>
  <c r="F63" i="8"/>
  <c r="F72" i="8"/>
  <c r="F73" i="8" s="1"/>
  <c r="D63" i="8"/>
  <c r="D72" i="8"/>
  <c r="D73" i="8" s="1"/>
  <c r="C63" i="8"/>
  <c r="C72" i="8"/>
  <c r="C73" i="8" s="1"/>
  <c r="N55" i="8"/>
  <c r="M55" i="8"/>
  <c r="M60" i="8" s="1"/>
  <c r="Y80" i="38"/>
  <c r="Y83" i="38"/>
  <c r="K93" i="11"/>
  <c r="N93" i="11" s="1"/>
  <c r="AB32" i="38"/>
  <c r="AB35" i="38"/>
  <c r="Y16" i="38"/>
  <c r="Y19" i="38"/>
  <c r="Y112" i="38"/>
  <c r="Y115" i="38"/>
  <c r="X57" i="46"/>
  <c r="X23" i="52" s="1"/>
  <c r="X28" i="52" s="1"/>
  <c r="X34" i="52" s="1"/>
  <c r="Y64" i="38"/>
  <c r="Y67" i="38"/>
  <c r="G63" i="8"/>
  <c r="G72" i="8"/>
  <c r="G73" i="8" s="1"/>
  <c r="X32" i="52"/>
  <c r="V19" i="59"/>
  <c r="M58" i="8"/>
  <c r="N58" i="8"/>
  <c r="W8" i="52"/>
  <c r="AB48" i="38"/>
  <c r="AB51" i="38"/>
  <c r="N53" i="8"/>
  <c r="M53" i="8"/>
  <c r="J60" i="8"/>
  <c r="J62" i="8" s="1"/>
  <c r="D106" i="11"/>
  <c r="D107" i="11" s="1"/>
  <c r="X117" i="46"/>
  <c r="X30" i="46"/>
  <c r="X11" i="52"/>
  <c r="C16" i="38"/>
  <c r="C18" i="33"/>
  <c r="C106" i="11"/>
  <c r="C107" i="11" s="1"/>
  <c r="C29" i="52"/>
  <c r="C35" i="52" s="1"/>
  <c r="C32" i="52"/>
  <c r="W109" i="59"/>
  <c r="W64" i="59"/>
  <c r="W79" i="59"/>
  <c r="W94" i="59"/>
  <c r="W49" i="59"/>
  <c r="W34" i="59"/>
  <c r="Y29" i="52"/>
  <c r="Y35" i="52" s="1"/>
  <c r="X72" i="59"/>
  <c r="X75" i="59"/>
  <c r="V69" i="59"/>
  <c r="V66" i="59" s="1"/>
  <c r="W71" i="59"/>
  <c r="W74" i="59"/>
  <c r="V10" i="59"/>
  <c r="V7" i="59" s="1"/>
  <c r="W12" i="59"/>
  <c r="W15" i="59" s="1"/>
  <c r="W14" i="59"/>
  <c r="W56" i="59"/>
  <c r="V54" i="59"/>
  <c r="V51" i="59" s="1"/>
  <c r="W59" i="59"/>
  <c r="X57" i="59"/>
  <c r="X60" i="59"/>
  <c r="W129" i="59"/>
  <c r="W132" i="59" s="1"/>
  <c r="V127" i="59"/>
  <c r="V124" i="59" s="1"/>
  <c r="W131" i="59"/>
  <c r="V84" i="59"/>
  <c r="V81" i="59" s="1"/>
  <c r="W86" i="59"/>
  <c r="W89" i="59"/>
  <c r="X87" i="59"/>
  <c r="X90" i="59"/>
  <c r="W101" i="59"/>
  <c r="V99" i="59"/>
  <c r="V96" i="59" s="1"/>
  <c r="W104" i="59"/>
  <c r="X42" i="59"/>
  <c r="X45" i="59"/>
  <c r="W116" i="59"/>
  <c r="V114" i="59"/>
  <c r="V111" i="59" s="1"/>
  <c r="W119" i="59"/>
  <c r="W26" i="59"/>
  <c r="V24" i="59"/>
  <c r="V21" i="59" s="1"/>
  <c r="W29" i="59"/>
  <c r="X27" i="59"/>
  <c r="X30" i="59"/>
  <c r="X102" i="59"/>
  <c r="X105" i="59"/>
  <c r="W41" i="59"/>
  <c r="V39" i="59"/>
  <c r="V36" i="59" s="1"/>
  <c r="W44" i="59"/>
  <c r="X117" i="59"/>
  <c r="X120" i="59"/>
  <c r="N28" i="11"/>
  <c r="K18" i="8"/>
  <c r="N18" i="8" s="1"/>
  <c r="N17" i="8"/>
  <c r="M17" i="8"/>
  <c r="K60" i="8"/>
  <c r="N60" i="8" s="1"/>
  <c r="V39" i="46"/>
  <c r="V36" i="46" s="1"/>
  <c r="W41" i="46"/>
  <c r="W44" i="46"/>
  <c r="Z30" i="33"/>
  <c r="Z33" i="33" s="1"/>
  <c r="Y28" i="33"/>
  <c r="Y22" i="33" s="1"/>
  <c r="Z32" i="33"/>
  <c r="U99" i="46"/>
  <c r="U96" i="46" s="1"/>
  <c r="V101" i="46"/>
  <c r="V105" i="46" s="1"/>
  <c r="V104" i="46"/>
  <c r="N74" i="11"/>
  <c r="K78" i="11"/>
  <c r="W109" i="38"/>
  <c r="W103" i="38" s="1"/>
  <c r="X111" i="38"/>
  <c r="X114" i="38"/>
  <c r="J106" i="11"/>
  <c r="J107" i="11" s="1"/>
  <c r="V86" i="46"/>
  <c r="V90" i="46" s="1"/>
  <c r="U84" i="46"/>
  <c r="U81" i="46" s="1"/>
  <c r="V89" i="46"/>
  <c r="N47" i="18"/>
  <c r="K48" i="18"/>
  <c r="N15" i="8"/>
  <c r="M15" i="8"/>
  <c r="M16" i="8" s="1"/>
  <c r="M49" i="8" s="1"/>
  <c r="X42" i="46"/>
  <c r="X22" i="52" s="1"/>
  <c r="X27" i="52" s="1"/>
  <c r="X33" i="52" s="1"/>
  <c r="Z29" i="38"/>
  <c r="Z23" i="38" s="1"/>
  <c r="AA31" i="38"/>
  <c r="AA34" i="38"/>
  <c r="W34" i="46"/>
  <c r="W42" i="46" s="1"/>
  <c r="W22" i="52" s="1"/>
  <c r="W27" i="52" s="1"/>
  <c r="W33" i="52" s="1"/>
  <c r="W109" i="46"/>
  <c r="W117" i="46" s="1"/>
  <c r="W94" i="46"/>
  <c r="W102" i="46" s="1"/>
  <c r="W49" i="46"/>
  <c r="W79" i="46"/>
  <c r="W87" i="46" s="1"/>
  <c r="W64" i="46"/>
  <c r="V12" i="46"/>
  <c r="V15" i="46" s="1"/>
  <c r="U10" i="46"/>
  <c r="U7" i="46" s="1"/>
  <c r="V14" i="46"/>
  <c r="X15" i="38"/>
  <c r="X19" i="38" s="1"/>
  <c r="W13" i="38"/>
  <c r="W7" i="38" s="1"/>
  <c r="X18" i="38"/>
  <c r="V19" i="46"/>
  <c r="V7" i="52" s="1"/>
  <c r="V8" i="52" s="1"/>
  <c r="X15" i="33"/>
  <c r="X18" i="33" s="1"/>
  <c r="W13" i="33"/>
  <c r="W7" i="33" s="1"/>
  <c r="U19" i="59" s="1"/>
  <c r="X17" i="33"/>
  <c r="Y43" i="33"/>
  <c r="Y37" i="33" s="1"/>
  <c r="Z45" i="33"/>
  <c r="Z48" i="33" s="1"/>
  <c r="Z47" i="33"/>
  <c r="Y96" i="38"/>
  <c r="M15" i="18"/>
  <c r="M16" i="18" s="1"/>
  <c r="M47" i="18" s="1"/>
  <c r="M48" i="18" s="1"/>
  <c r="N15" i="18"/>
  <c r="V24" i="46"/>
  <c r="V21" i="46" s="1"/>
  <c r="W26" i="46"/>
  <c r="W29" i="46"/>
  <c r="W103" i="33"/>
  <c r="W97" i="33" s="1"/>
  <c r="X105" i="33"/>
  <c r="X108" i="33" s="1"/>
  <c r="X107" i="33"/>
  <c r="X95" i="38"/>
  <c r="W93" i="38"/>
  <c r="W87" i="38" s="1"/>
  <c r="X98" i="38"/>
  <c r="W73" i="33"/>
  <c r="W67" i="33" s="1"/>
  <c r="X75" i="33"/>
  <c r="X78" i="33" s="1"/>
  <c r="X77" i="33"/>
  <c r="E83" i="17"/>
  <c r="E72" i="17"/>
  <c r="V114" i="46"/>
  <c r="V111" i="46" s="1"/>
  <c r="W116" i="46"/>
  <c r="W120" i="46" s="1"/>
  <c r="W119" i="46"/>
  <c r="W71" i="46"/>
  <c r="W75" i="46" s="1"/>
  <c r="V69" i="46"/>
  <c r="V66" i="46" s="1"/>
  <c r="W74" i="46"/>
  <c r="X72" i="46"/>
  <c r="I106" i="11"/>
  <c r="I107" i="11" s="1"/>
  <c r="X90" i="33"/>
  <c r="X93" i="33" s="1"/>
  <c r="W88" i="33"/>
  <c r="W82" i="33" s="1"/>
  <c r="X92" i="33"/>
  <c r="W56" i="46"/>
  <c r="V54" i="46"/>
  <c r="V51" i="46" s="1"/>
  <c r="W59" i="46"/>
  <c r="U127" i="46"/>
  <c r="U124" i="46" s="1"/>
  <c r="V129" i="46"/>
  <c r="V132" i="46" s="1"/>
  <c r="V131" i="46"/>
  <c r="K50" i="8"/>
  <c r="N49" i="8"/>
  <c r="X79" i="38"/>
  <c r="W77" i="38"/>
  <c r="W71" i="38" s="1"/>
  <c r="X82" i="38"/>
  <c r="X63" i="38"/>
  <c r="X67" i="38" s="1"/>
  <c r="W61" i="38"/>
  <c r="W55" i="38" s="1"/>
  <c r="X66" i="38"/>
  <c r="AA47" i="38"/>
  <c r="Z45" i="38"/>
  <c r="Z39" i="38" s="1"/>
  <c r="AA50" i="38"/>
  <c r="X60" i="33"/>
  <c r="X63" i="33" s="1"/>
  <c r="W58" i="33"/>
  <c r="W52" i="33" s="1"/>
  <c r="X62" i="33"/>
  <c r="V34" i="59" l="1"/>
  <c r="V79" i="59"/>
  <c r="V109" i="59"/>
  <c r="V94" i="59"/>
  <c r="V49" i="59"/>
  <c r="V64" i="59"/>
  <c r="X29" i="52"/>
  <c r="X35" i="52" s="1"/>
  <c r="U79" i="59"/>
  <c r="U49" i="59"/>
  <c r="U94" i="59"/>
  <c r="U64" i="59"/>
  <c r="U109" i="59"/>
  <c r="U34" i="59"/>
  <c r="AA32" i="38"/>
  <c r="AA35" i="38"/>
  <c r="W30" i="46"/>
  <c r="W11" i="52"/>
  <c r="X80" i="38"/>
  <c r="X83" i="38"/>
  <c r="J63" i="8"/>
  <c r="J72" i="8"/>
  <c r="J73" i="8" s="1"/>
  <c r="W60" i="46"/>
  <c r="W13" i="52"/>
  <c r="AA48" i="38"/>
  <c r="AA51" i="38"/>
  <c r="X96" i="38"/>
  <c r="X99" i="38"/>
  <c r="W45" i="46"/>
  <c r="W12" i="52"/>
  <c r="X112" i="38"/>
  <c r="X115" i="38"/>
  <c r="U24" i="59"/>
  <c r="U21" i="59" s="1"/>
  <c r="V26" i="59"/>
  <c r="V29" i="59"/>
  <c r="W27" i="59"/>
  <c r="W30" i="59"/>
  <c r="W72" i="59"/>
  <c r="W75" i="59"/>
  <c r="V56" i="59"/>
  <c r="U54" i="59"/>
  <c r="U51" i="59" s="1"/>
  <c r="V59" i="59"/>
  <c r="V101" i="59"/>
  <c r="U99" i="59"/>
  <c r="U96" i="59" s="1"/>
  <c r="V104" i="59"/>
  <c r="V12" i="59"/>
  <c r="V15" i="59" s="1"/>
  <c r="U10" i="59"/>
  <c r="U7" i="59" s="1"/>
  <c r="V14" i="59"/>
  <c r="U69" i="59"/>
  <c r="U66" i="59" s="1"/>
  <c r="V71" i="59"/>
  <c r="V74" i="59"/>
  <c r="V129" i="59"/>
  <c r="V132" i="59" s="1"/>
  <c r="U127" i="59"/>
  <c r="U124" i="59" s="1"/>
  <c r="V131" i="59"/>
  <c r="W117" i="59"/>
  <c r="W120" i="59"/>
  <c r="W57" i="59"/>
  <c r="W60" i="59"/>
  <c r="W102" i="59"/>
  <c r="W105" i="59"/>
  <c r="W87" i="59"/>
  <c r="W90" i="59"/>
  <c r="U114" i="59"/>
  <c r="U111" i="59" s="1"/>
  <c r="V116" i="59"/>
  <c r="V119" i="59"/>
  <c r="U39" i="59"/>
  <c r="U36" i="59" s="1"/>
  <c r="V41" i="59"/>
  <c r="V44" i="59"/>
  <c r="W42" i="59"/>
  <c r="W45" i="59"/>
  <c r="U84" i="59"/>
  <c r="U81" i="59" s="1"/>
  <c r="V86" i="59"/>
  <c r="V89" i="59"/>
  <c r="K62" i="8"/>
  <c r="K63" i="8" s="1"/>
  <c r="M18" i="8"/>
  <c r="U54" i="46"/>
  <c r="U51" i="46" s="1"/>
  <c r="V56" i="46"/>
  <c r="V59" i="46"/>
  <c r="U69" i="46"/>
  <c r="U66" i="46" s="1"/>
  <c r="V71" i="46"/>
  <c r="V75" i="46" s="1"/>
  <c r="V74" i="46"/>
  <c r="V109" i="38"/>
  <c r="V103" i="38" s="1"/>
  <c r="W111" i="38"/>
  <c r="W114" i="38"/>
  <c r="V58" i="33"/>
  <c r="V52" i="33" s="1"/>
  <c r="W60" i="33"/>
  <c r="W63" i="33" s="1"/>
  <c r="W62" i="33"/>
  <c r="N62" i="8"/>
  <c r="K72" i="8"/>
  <c r="K73" i="8" s="1"/>
  <c r="V103" i="33"/>
  <c r="V97" i="33" s="1"/>
  <c r="W105" i="33"/>
  <c r="W108" i="33" s="1"/>
  <c r="W107" i="33"/>
  <c r="Z31" i="38"/>
  <c r="Y29" i="38"/>
  <c r="Y23" i="38" s="1"/>
  <c r="Z34" i="38"/>
  <c r="V13" i="38"/>
  <c r="V7" i="38" s="1"/>
  <c r="W15" i="38"/>
  <c r="W18" i="38"/>
  <c r="M62" i="8"/>
  <c r="M50" i="8"/>
  <c r="W72" i="46"/>
  <c r="Y30" i="33"/>
  <c r="Y33" i="33" s="1"/>
  <c r="X28" i="33"/>
  <c r="X22" i="33" s="1"/>
  <c r="Y32" i="33"/>
  <c r="V94" i="46"/>
  <c r="V102" i="46" s="1"/>
  <c r="V109" i="46"/>
  <c r="V117" i="46" s="1"/>
  <c r="V34" i="46"/>
  <c r="V42" i="46" s="1"/>
  <c r="V22" i="52" s="1"/>
  <c r="V27" i="52" s="1"/>
  <c r="V33" i="52" s="1"/>
  <c r="V49" i="46"/>
  <c r="V79" i="46"/>
  <c r="V87" i="46" s="1"/>
  <c r="V64" i="46"/>
  <c r="Z47" i="38"/>
  <c r="Y45" i="38"/>
  <c r="Y39" i="38" s="1"/>
  <c r="Z50" i="38"/>
  <c r="X16" i="38"/>
  <c r="T84" i="46"/>
  <c r="T81" i="46" s="1"/>
  <c r="U86" i="46"/>
  <c r="U90" i="46" s="1"/>
  <c r="U89" i="46"/>
  <c r="U114" i="46"/>
  <c r="U111" i="46" s="1"/>
  <c r="V116" i="46"/>
  <c r="V120" i="46" s="1"/>
  <c r="V119" i="46"/>
  <c r="U24" i="46"/>
  <c r="U21" i="46" s="1"/>
  <c r="V26" i="46"/>
  <c r="V29" i="46"/>
  <c r="T10" i="46"/>
  <c r="T7" i="46" s="1"/>
  <c r="U12" i="46"/>
  <c r="U15" i="46" s="1"/>
  <c r="U14" i="46"/>
  <c r="W27" i="46"/>
  <c r="W21" i="52" s="1"/>
  <c r="W26" i="52" s="1"/>
  <c r="K84" i="11"/>
  <c r="N78" i="11"/>
  <c r="K79" i="11"/>
  <c r="T99" i="46"/>
  <c r="T96" i="46" s="1"/>
  <c r="U101" i="46"/>
  <c r="U105" i="46" s="1"/>
  <c r="U104" i="46"/>
  <c r="W63" i="38"/>
  <c r="W67" i="38" s="1"/>
  <c r="V61" i="38"/>
  <c r="V55" i="38" s="1"/>
  <c r="W66" i="38"/>
  <c r="W90" i="33"/>
  <c r="W93" i="33" s="1"/>
  <c r="V88" i="33"/>
  <c r="V82" i="33" s="1"/>
  <c r="W92" i="33"/>
  <c r="X43" i="33"/>
  <c r="X37" i="33" s="1"/>
  <c r="Y45" i="33"/>
  <c r="Y48" i="33" s="1"/>
  <c r="Y47" i="33"/>
  <c r="W57" i="46"/>
  <c r="W23" i="52" s="1"/>
  <c r="W28" i="52" s="1"/>
  <c r="W34" i="52" s="1"/>
  <c r="U19" i="46"/>
  <c r="U7" i="52" s="1"/>
  <c r="W15" i="33"/>
  <c r="W18" i="33" s="1"/>
  <c r="V13" i="33"/>
  <c r="V7" i="33" s="1"/>
  <c r="W17" i="33"/>
  <c r="U129" i="46"/>
  <c r="U132" i="46" s="1"/>
  <c r="T127" i="46"/>
  <c r="T124" i="46" s="1"/>
  <c r="U131" i="46"/>
  <c r="X64" i="38"/>
  <c r="V73" i="33"/>
  <c r="V67" i="33" s="1"/>
  <c r="W75" i="33"/>
  <c r="W78" i="33" s="1"/>
  <c r="W77" i="33"/>
  <c r="W79" i="38"/>
  <c r="V77" i="38"/>
  <c r="V71" i="38" s="1"/>
  <c r="W82" i="38"/>
  <c r="V93" i="38"/>
  <c r="V87" i="38" s="1"/>
  <c r="W95" i="38"/>
  <c r="W99" i="38" s="1"/>
  <c r="W98" i="38"/>
  <c r="U39" i="46"/>
  <c r="U36" i="46" s="1"/>
  <c r="V41" i="46"/>
  <c r="V44" i="46"/>
  <c r="W16" i="38" l="1"/>
  <c r="U8" i="52"/>
  <c r="W19" i="38"/>
  <c r="Z48" i="38"/>
  <c r="Z51" i="38"/>
  <c r="V57" i="46"/>
  <c r="V23" i="52" s="1"/>
  <c r="V28" i="52" s="1"/>
  <c r="V34" i="52" s="1"/>
  <c r="W80" i="38"/>
  <c r="W83" i="38"/>
  <c r="Z32" i="38"/>
  <c r="Z35" i="38"/>
  <c r="V72" i="46"/>
  <c r="V30" i="46"/>
  <c r="V11" i="52"/>
  <c r="W32" i="52"/>
  <c r="W29" i="52"/>
  <c r="W35" i="52" s="1"/>
  <c r="W112" i="38"/>
  <c r="W115" i="38"/>
  <c r="V60" i="46"/>
  <c r="V13" i="52"/>
  <c r="V45" i="46"/>
  <c r="V12" i="52"/>
  <c r="T19" i="59"/>
  <c r="T114" i="59"/>
  <c r="T111" i="59" s="1"/>
  <c r="U116" i="59"/>
  <c r="U119" i="59"/>
  <c r="V117" i="59"/>
  <c r="V120" i="59"/>
  <c r="U12" i="59"/>
  <c r="U15" i="59" s="1"/>
  <c r="T10" i="59"/>
  <c r="T7" i="59" s="1"/>
  <c r="U14" i="59"/>
  <c r="V102" i="59"/>
  <c r="V105" i="59"/>
  <c r="V42" i="59"/>
  <c r="V45" i="59"/>
  <c r="V87" i="59"/>
  <c r="V90" i="59"/>
  <c r="V57" i="59"/>
  <c r="V60" i="59"/>
  <c r="T39" i="59"/>
  <c r="T36" i="59" s="1"/>
  <c r="U41" i="59"/>
  <c r="U44" i="59"/>
  <c r="V72" i="59"/>
  <c r="V75" i="59"/>
  <c r="V27" i="59"/>
  <c r="V30" i="59"/>
  <c r="U101" i="59"/>
  <c r="T99" i="59"/>
  <c r="T96" i="59" s="1"/>
  <c r="U104" i="59"/>
  <c r="T54" i="59"/>
  <c r="T51" i="59" s="1"/>
  <c r="U56" i="59"/>
  <c r="U59" i="59"/>
  <c r="T84" i="59"/>
  <c r="T81" i="59" s="1"/>
  <c r="U86" i="59"/>
  <c r="U89" i="59"/>
  <c r="U129" i="59"/>
  <c r="U132" i="59" s="1"/>
  <c r="T127" i="59"/>
  <c r="T124" i="59" s="1"/>
  <c r="U131" i="59"/>
  <c r="T69" i="59"/>
  <c r="T66" i="59" s="1"/>
  <c r="U71" i="59"/>
  <c r="U74" i="59"/>
  <c r="T24" i="59"/>
  <c r="T21" i="59" s="1"/>
  <c r="U26" i="59"/>
  <c r="U29" i="59"/>
  <c r="V79" i="38"/>
  <c r="V83" i="38" s="1"/>
  <c r="U77" i="38"/>
  <c r="U71" i="38" s="1"/>
  <c r="V82" i="38"/>
  <c r="S127" i="46"/>
  <c r="S124" i="46" s="1"/>
  <c r="T129" i="46"/>
  <c r="T132" i="46" s="1"/>
  <c r="T131" i="46"/>
  <c r="V111" i="38"/>
  <c r="U109" i="38"/>
  <c r="U103" i="38" s="1"/>
  <c r="V114" i="38"/>
  <c r="K85" i="11"/>
  <c r="N84" i="11"/>
  <c r="K95" i="11"/>
  <c r="K96" i="11" s="1"/>
  <c r="V75" i="33"/>
  <c r="V78" i="33" s="1"/>
  <c r="U73" i="33"/>
  <c r="U67" i="33" s="1"/>
  <c r="V77" i="33"/>
  <c r="W43" i="33"/>
  <c r="W37" i="33" s="1"/>
  <c r="X45" i="33"/>
  <c r="X48" i="33" s="1"/>
  <c r="X47" i="33"/>
  <c r="M63" i="8"/>
  <c r="M72" i="8"/>
  <c r="M73" i="8" s="1"/>
  <c r="S10" i="46"/>
  <c r="S7" i="46" s="1"/>
  <c r="T12" i="46"/>
  <c r="T15" i="46" s="1"/>
  <c r="T14" i="46"/>
  <c r="X29" i="38"/>
  <c r="X23" i="38" s="1"/>
  <c r="Y31" i="38"/>
  <c r="Y34" i="38"/>
  <c r="W64" i="38"/>
  <c r="U71" i="46"/>
  <c r="U75" i="46" s="1"/>
  <c r="T69" i="46"/>
  <c r="T66" i="46" s="1"/>
  <c r="U74" i="46"/>
  <c r="U58" i="33"/>
  <c r="U52" i="33" s="1"/>
  <c r="V60" i="33"/>
  <c r="V63" i="33" s="1"/>
  <c r="V62" i="33"/>
  <c r="U88" i="33"/>
  <c r="U82" i="33" s="1"/>
  <c r="V90" i="33"/>
  <c r="V93" i="33" s="1"/>
  <c r="V92" i="33"/>
  <c r="U26" i="46"/>
  <c r="T24" i="46"/>
  <c r="T21" i="46" s="1"/>
  <c r="U29" i="46"/>
  <c r="T39" i="46"/>
  <c r="T36" i="46" s="1"/>
  <c r="U41" i="46"/>
  <c r="U44" i="46"/>
  <c r="T19" i="46"/>
  <c r="T7" i="52" s="1"/>
  <c r="V15" i="33"/>
  <c r="V18" i="33" s="1"/>
  <c r="U13" i="33"/>
  <c r="U7" i="33" s="1"/>
  <c r="S19" i="59" s="1"/>
  <c r="V17" i="33"/>
  <c r="U13" i="38"/>
  <c r="U7" i="38" s="1"/>
  <c r="V15" i="38"/>
  <c r="V18" i="38"/>
  <c r="V27" i="46"/>
  <c r="V21" i="52" s="1"/>
  <c r="V26" i="52" s="1"/>
  <c r="X30" i="33"/>
  <c r="X33" i="33" s="1"/>
  <c r="W28" i="33"/>
  <c r="W22" i="33" s="1"/>
  <c r="X32" i="33"/>
  <c r="U103" i="33"/>
  <c r="U97" i="33" s="1"/>
  <c r="V105" i="33"/>
  <c r="V108" i="33" s="1"/>
  <c r="V107" i="33"/>
  <c r="X45" i="38"/>
  <c r="X39" i="38" s="1"/>
  <c r="Y47" i="38"/>
  <c r="Y50" i="38"/>
  <c r="V63" i="38"/>
  <c r="U61" i="38"/>
  <c r="U55" i="38" s="1"/>
  <c r="V66" i="38"/>
  <c r="T114" i="46"/>
  <c r="T111" i="46" s="1"/>
  <c r="U116" i="46"/>
  <c r="U120" i="46" s="1"/>
  <c r="U119" i="46"/>
  <c r="W96" i="38"/>
  <c r="V95" i="38"/>
  <c r="U93" i="38"/>
  <c r="U87" i="38" s="1"/>
  <c r="V98" i="38"/>
  <c r="U94" i="46"/>
  <c r="U102" i="46" s="1"/>
  <c r="U64" i="46"/>
  <c r="U109" i="46"/>
  <c r="U49" i="46"/>
  <c r="U57" i="46" s="1"/>
  <c r="U23" i="52" s="1"/>
  <c r="U28" i="52" s="1"/>
  <c r="U34" i="52" s="1"/>
  <c r="U34" i="46"/>
  <c r="U79" i="46"/>
  <c r="U87" i="46" s="1"/>
  <c r="S99" i="46"/>
  <c r="S96" i="46" s="1"/>
  <c r="T101" i="46"/>
  <c r="T105" i="46" s="1"/>
  <c r="T104" i="46"/>
  <c r="S84" i="46"/>
  <c r="S81" i="46" s="1"/>
  <c r="T86" i="46"/>
  <c r="T90" i="46" s="1"/>
  <c r="T89" i="46"/>
  <c r="N72" i="8"/>
  <c r="T54" i="46"/>
  <c r="T51" i="46" s="1"/>
  <c r="U56" i="46"/>
  <c r="U59" i="46"/>
  <c r="V16" i="38" l="1"/>
  <c r="V19" i="38"/>
  <c r="Y32" i="38"/>
  <c r="Y35" i="38"/>
  <c r="S64" i="59"/>
  <c r="S109" i="59"/>
  <c r="S94" i="59"/>
  <c r="S79" i="59"/>
  <c r="S34" i="59"/>
  <c r="S49" i="59"/>
  <c r="T109" i="59"/>
  <c r="T79" i="59"/>
  <c r="T94" i="59"/>
  <c r="T34" i="59"/>
  <c r="T64" i="59"/>
  <c r="T49" i="59"/>
  <c r="Y48" i="38"/>
  <c r="Y51" i="38"/>
  <c r="V112" i="38"/>
  <c r="V115" i="38"/>
  <c r="U45" i="46"/>
  <c r="U12" i="52"/>
  <c r="U72" i="46"/>
  <c r="T8" i="52"/>
  <c r="V64" i="38"/>
  <c r="V67" i="38"/>
  <c r="U30" i="46"/>
  <c r="U11" i="52"/>
  <c r="U60" i="46"/>
  <c r="U13" i="52"/>
  <c r="V96" i="38"/>
  <c r="V99" i="38"/>
  <c r="V32" i="52"/>
  <c r="V29" i="52"/>
  <c r="V35" i="52" s="1"/>
  <c r="U87" i="59"/>
  <c r="U90" i="59"/>
  <c r="S84" i="59"/>
  <c r="S81" i="59" s="1"/>
  <c r="T86" i="59"/>
  <c r="T89" i="59"/>
  <c r="U57" i="59"/>
  <c r="U60" i="59"/>
  <c r="U27" i="59"/>
  <c r="U30" i="59"/>
  <c r="S10" i="59"/>
  <c r="S7" i="59" s="1"/>
  <c r="T12" i="59"/>
  <c r="T15" i="59" s="1"/>
  <c r="T14" i="59"/>
  <c r="T56" i="59"/>
  <c r="S54" i="59"/>
  <c r="S51" i="59" s="1"/>
  <c r="T59" i="59"/>
  <c r="T26" i="59"/>
  <c r="S24" i="59"/>
  <c r="S21" i="59" s="1"/>
  <c r="T29" i="59"/>
  <c r="U72" i="59"/>
  <c r="U75" i="59"/>
  <c r="S69" i="59"/>
  <c r="S66" i="59" s="1"/>
  <c r="T71" i="59"/>
  <c r="T74" i="59"/>
  <c r="S127" i="59"/>
  <c r="S124" i="59" s="1"/>
  <c r="T129" i="59"/>
  <c r="T132" i="59" s="1"/>
  <c r="T131" i="59"/>
  <c r="U42" i="59"/>
  <c r="U45" i="59"/>
  <c r="U117" i="59"/>
  <c r="U120" i="59"/>
  <c r="T101" i="59"/>
  <c r="S99" i="59"/>
  <c r="S96" i="59" s="1"/>
  <c r="T104" i="59"/>
  <c r="U102" i="59"/>
  <c r="U105" i="59"/>
  <c r="S39" i="59"/>
  <c r="S36" i="59" s="1"/>
  <c r="T41" i="59"/>
  <c r="T44" i="59"/>
  <c r="S114" i="59"/>
  <c r="S111" i="59" s="1"/>
  <c r="T116" i="59"/>
  <c r="T119" i="59"/>
  <c r="S39" i="46"/>
  <c r="S36" i="46" s="1"/>
  <c r="T41" i="46"/>
  <c r="T44" i="46"/>
  <c r="S114" i="46"/>
  <c r="S111" i="46" s="1"/>
  <c r="T116" i="46"/>
  <c r="T120" i="46" s="1"/>
  <c r="T119" i="46"/>
  <c r="T73" i="33"/>
  <c r="T67" i="33" s="1"/>
  <c r="U75" i="33"/>
  <c r="U78" i="33" s="1"/>
  <c r="U77" i="33"/>
  <c r="U117" i="46"/>
  <c r="X31" i="38"/>
  <c r="W29" i="38"/>
  <c r="W23" i="38" s="1"/>
  <c r="X34" i="38"/>
  <c r="S86" i="46"/>
  <c r="S90" i="46" s="1"/>
  <c r="R84" i="46"/>
  <c r="R81" i="46" s="1"/>
  <c r="S89" i="46"/>
  <c r="T109" i="38"/>
  <c r="T103" i="38" s="1"/>
  <c r="U111" i="38"/>
  <c r="U115" i="38" s="1"/>
  <c r="U114" i="38"/>
  <c r="U90" i="33"/>
  <c r="U93" i="33" s="1"/>
  <c r="T88" i="33"/>
  <c r="T82" i="33" s="1"/>
  <c r="U92" i="33"/>
  <c r="S129" i="46"/>
  <c r="S132" i="46" s="1"/>
  <c r="R127" i="46"/>
  <c r="R124" i="46" s="1"/>
  <c r="S131" i="46"/>
  <c r="N95" i="11"/>
  <c r="K106" i="11"/>
  <c r="T13" i="38"/>
  <c r="T7" i="38" s="1"/>
  <c r="U15" i="38"/>
  <c r="U19" i="38" s="1"/>
  <c r="U18" i="38"/>
  <c r="W45" i="38"/>
  <c r="W39" i="38" s="1"/>
  <c r="X47" i="38"/>
  <c r="X50" i="38"/>
  <c r="U60" i="33"/>
  <c r="U63" i="33" s="1"/>
  <c r="T58" i="33"/>
  <c r="T52" i="33" s="1"/>
  <c r="U62" i="33"/>
  <c r="T26" i="46"/>
  <c r="S24" i="46"/>
  <c r="S21" i="46" s="1"/>
  <c r="T29" i="46"/>
  <c r="R99" i="46"/>
  <c r="R96" i="46" s="1"/>
  <c r="S101" i="46"/>
  <c r="S105" i="46" s="1"/>
  <c r="S104" i="46"/>
  <c r="U42" i="46"/>
  <c r="U22" i="52" s="1"/>
  <c r="U27" i="52" s="1"/>
  <c r="U33" i="52" s="1"/>
  <c r="V43" i="33"/>
  <c r="V37" i="33" s="1"/>
  <c r="W45" i="33"/>
  <c r="W48" i="33" s="1"/>
  <c r="W47" i="33"/>
  <c r="U105" i="33"/>
  <c r="U108" i="33" s="1"/>
  <c r="T103" i="33"/>
  <c r="T97" i="33" s="1"/>
  <c r="U107" i="33"/>
  <c r="R10" i="46"/>
  <c r="R7" i="46" s="1"/>
  <c r="S12" i="46"/>
  <c r="S15" i="46" s="1"/>
  <c r="S14" i="46"/>
  <c r="T94" i="46"/>
  <c r="T102" i="46" s="1"/>
  <c r="T109" i="46"/>
  <c r="T49" i="46"/>
  <c r="T34" i="46"/>
  <c r="T64" i="46"/>
  <c r="T79" i="46"/>
  <c r="T87" i="46" s="1"/>
  <c r="S69" i="46"/>
  <c r="S66" i="46" s="1"/>
  <c r="T71" i="46"/>
  <c r="T75" i="46" s="1"/>
  <c r="T74" i="46"/>
  <c r="U79" i="38"/>
  <c r="T77" i="38"/>
  <c r="T71" i="38" s="1"/>
  <c r="U82" i="38"/>
  <c r="W30" i="33"/>
  <c r="W33" i="33" s="1"/>
  <c r="V28" i="33"/>
  <c r="V22" i="33" s="1"/>
  <c r="W32" i="33"/>
  <c r="T61" i="38"/>
  <c r="T55" i="38" s="1"/>
  <c r="U63" i="38"/>
  <c r="U67" i="38" s="1"/>
  <c r="U66" i="38"/>
  <c r="U27" i="46"/>
  <c r="U21" i="52" s="1"/>
  <c r="U26" i="52" s="1"/>
  <c r="S19" i="46"/>
  <c r="S7" i="52" s="1"/>
  <c r="T13" i="33"/>
  <c r="T7" i="33" s="1"/>
  <c r="U15" i="33"/>
  <c r="U18" i="33" s="1"/>
  <c r="U17" i="33"/>
  <c r="S54" i="46"/>
  <c r="S51" i="46" s="1"/>
  <c r="T56" i="46"/>
  <c r="T59" i="46"/>
  <c r="T93" i="38"/>
  <c r="T87" i="38" s="1"/>
  <c r="U95" i="38"/>
  <c r="U98" i="38"/>
  <c r="V80" i="38"/>
  <c r="T30" i="46" l="1"/>
  <c r="T11" i="52"/>
  <c r="T45" i="46"/>
  <c r="T12" i="52"/>
  <c r="T60" i="46"/>
  <c r="T13" i="52"/>
  <c r="X32" i="38"/>
  <c r="X35" i="38"/>
  <c r="U96" i="38"/>
  <c r="U99" i="38"/>
  <c r="S8" i="52"/>
  <c r="T42" i="46"/>
  <c r="T22" i="52" s="1"/>
  <c r="T27" i="52" s="1"/>
  <c r="T33" i="52" s="1"/>
  <c r="U80" i="38"/>
  <c r="U83" i="38"/>
  <c r="U32" i="52"/>
  <c r="U29" i="52"/>
  <c r="U35" i="52" s="1"/>
  <c r="X48" i="38"/>
  <c r="X51" i="38"/>
  <c r="R19" i="59"/>
  <c r="T117" i="46"/>
  <c r="T102" i="59"/>
  <c r="T105" i="59"/>
  <c r="S101" i="59"/>
  <c r="R99" i="59"/>
  <c r="R96" i="59" s="1"/>
  <c r="S104" i="59"/>
  <c r="T87" i="59"/>
  <c r="T90" i="59"/>
  <c r="R127" i="59"/>
  <c r="R124" i="59" s="1"/>
  <c r="S129" i="59"/>
  <c r="S132" i="59" s="1"/>
  <c r="S131" i="59"/>
  <c r="R39" i="59"/>
  <c r="R36" i="59" s="1"/>
  <c r="S41" i="59"/>
  <c r="S44" i="59"/>
  <c r="R84" i="59"/>
  <c r="R81" i="59" s="1"/>
  <c r="S86" i="59"/>
  <c r="S89" i="59"/>
  <c r="R54" i="59"/>
  <c r="R51" i="59" s="1"/>
  <c r="S56" i="59"/>
  <c r="S59" i="59"/>
  <c r="R10" i="59"/>
  <c r="R7" i="59" s="1"/>
  <c r="S12" i="59"/>
  <c r="S15" i="59" s="1"/>
  <c r="S14" i="59"/>
  <c r="T117" i="59"/>
  <c r="T120" i="59"/>
  <c r="T72" i="59"/>
  <c r="T75" i="59"/>
  <c r="T42" i="59"/>
  <c r="T45" i="59"/>
  <c r="T27" i="59"/>
  <c r="T30" i="59"/>
  <c r="T57" i="59"/>
  <c r="T60" i="59"/>
  <c r="R114" i="59"/>
  <c r="R111" i="59" s="1"/>
  <c r="S116" i="59"/>
  <c r="S119" i="59"/>
  <c r="R69" i="59"/>
  <c r="R66" i="59" s="1"/>
  <c r="S71" i="59"/>
  <c r="S74" i="59"/>
  <c r="R24" i="59"/>
  <c r="R21" i="59" s="1"/>
  <c r="S26" i="59"/>
  <c r="S29" i="59"/>
  <c r="K107" i="11"/>
  <c r="C6" i="56"/>
  <c r="R101" i="46"/>
  <c r="R105" i="46" s="1"/>
  <c r="Q99" i="46"/>
  <c r="Q96" i="46" s="1"/>
  <c r="R104" i="46"/>
  <c r="V30" i="33"/>
  <c r="V33" i="33" s="1"/>
  <c r="U28" i="33"/>
  <c r="U22" i="33" s="1"/>
  <c r="V32" i="33"/>
  <c r="S93" i="38"/>
  <c r="S87" i="38" s="1"/>
  <c r="T95" i="38"/>
  <c r="T98" i="38"/>
  <c r="S73" i="33"/>
  <c r="S67" i="33" s="1"/>
  <c r="T75" i="33"/>
  <c r="T78" i="33" s="1"/>
  <c r="T77" i="33"/>
  <c r="Q10" i="46"/>
  <c r="Q7" i="46" s="1"/>
  <c r="R12" i="46"/>
  <c r="R15" i="46" s="1"/>
  <c r="R14" i="46"/>
  <c r="S71" i="46"/>
  <c r="S75" i="46" s="1"/>
  <c r="R69" i="46"/>
  <c r="R66" i="46" s="1"/>
  <c r="S74" i="46"/>
  <c r="R54" i="46"/>
  <c r="R51" i="46" s="1"/>
  <c r="S56" i="46"/>
  <c r="S59" i="46"/>
  <c r="T79" i="38"/>
  <c r="T83" i="38" s="1"/>
  <c r="S77" i="38"/>
  <c r="S71" i="38" s="1"/>
  <c r="T82" i="38"/>
  <c r="S58" i="33"/>
  <c r="S52" i="33" s="1"/>
  <c r="T60" i="33"/>
  <c r="T63" i="33" s="1"/>
  <c r="T62" i="33"/>
  <c r="T105" i="33"/>
  <c r="T108" i="33" s="1"/>
  <c r="S103" i="33"/>
  <c r="S97" i="33" s="1"/>
  <c r="T107" i="33"/>
  <c r="T90" i="33"/>
  <c r="T93" i="33" s="1"/>
  <c r="S88" i="33"/>
  <c r="S82" i="33" s="1"/>
  <c r="T92" i="33"/>
  <c r="W31" i="38"/>
  <c r="V29" i="38"/>
  <c r="V23" i="38" s="1"/>
  <c r="W34" i="38"/>
  <c r="U43" i="33"/>
  <c r="U37" i="33" s="1"/>
  <c r="V45" i="33"/>
  <c r="V48" i="33" s="1"/>
  <c r="V47" i="33"/>
  <c r="U112" i="38"/>
  <c r="R114" i="46"/>
  <c r="R111" i="46" s="1"/>
  <c r="S116" i="46"/>
  <c r="S120" i="46" s="1"/>
  <c r="S119" i="46"/>
  <c r="N106" i="11"/>
  <c r="R19" i="46"/>
  <c r="R7" i="52" s="1"/>
  <c r="S13" i="33"/>
  <c r="S7" i="33" s="1"/>
  <c r="Q19" i="59" s="1"/>
  <c r="T15" i="33"/>
  <c r="T18" i="33" s="1"/>
  <c r="T17" i="33"/>
  <c r="T111" i="38"/>
  <c r="S109" i="38"/>
  <c r="S103" i="38" s="1"/>
  <c r="T114" i="38"/>
  <c r="S64" i="46"/>
  <c r="S94" i="46"/>
  <c r="S102" i="46" s="1"/>
  <c r="S109" i="46"/>
  <c r="S49" i="46"/>
  <c r="S34" i="46"/>
  <c r="S79" i="46"/>
  <c r="S87" i="46" s="1"/>
  <c r="V45" i="38"/>
  <c r="V39" i="38" s="1"/>
  <c r="W47" i="38"/>
  <c r="W50" i="38"/>
  <c r="U16" i="38"/>
  <c r="R24" i="46"/>
  <c r="R21" i="46" s="1"/>
  <c r="S26" i="46"/>
  <c r="S29" i="46"/>
  <c r="R129" i="46"/>
  <c r="R132" i="46" s="1"/>
  <c r="Q127" i="46"/>
  <c r="Q124" i="46" s="1"/>
  <c r="R131" i="46"/>
  <c r="T72" i="46"/>
  <c r="T27" i="46"/>
  <c r="T21" i="52" s="1"/>
  <c r="T26" i="52" s="1"/>
  <c r="U64" i="38"/>
  <c r="T63" i="38"/>
  <c r="T67" i="38" s="1"/>
  <c r="S61" i="38"/>
  <c r="S55" i="38" s="1"/>
  <c r="T66" i="38"/>
  <c r="T57" i="46"/>
  <c r="T23" i="52" s="1"/>
  <c r="T28" i="52" s="1"/>
  <c r="T34" i="52" s="1"/>
  <c r="S13" i="38"/>
  <c r="S7" i="38" s="1"/>
  <c r="T15" i="38"/>
  <c r="T18" i="38"/>
  <c r="Q84" i="46"/>
  <c r="Q81" i="46" s="1"/>
  <c r="R86" i="46"/>
  <c r="R90" i="46" s="1"/>
  <c r="R89" i="46"/>
  <c r="S41" i="46"/>
  <c r="R39" i="46"/>
  <c r="R36" i="46" s="1"/>
  <c r="S44" i="46"/>
  <c r="T112" i="38" l="1"/>
  <c r="T115" i="38"/>
  <c r="S30" i="46"/>
  <c r="S11" i="52"/>
  <c r="Q109" i="59"/>
  <c r="Q64" i="59"/>
  <c r="Q49" i="59"/>
  <c r="Q34" i="59"/>
  <c r="Q94" i="59"/>
  <c r="Q79" i="59"/>
  <c r="T16" i="38"/>
  <c r="T19" i="38"/>
  <c r="T96" i="38"/>
  <c r="T99" i="38"/>
  <c r="S117" i="46"/>
  <c r="T29" i="52"/>
  <c r="T35" i="52" s="1"/>
  <c r="T32" i="52"/>
  <c r="S72" i="46"/>
  <c r="S60" i="46"/>
  <c r="S13" i="52"/>
  <c r="R109" i="59"/>
  <c r="R34" i="59"/>
  <c r="R49" i="59"/>
  <c r="R64" i="59"/>
  <c r="R79" i="59"/>
  <c r="R94" i="59"/>
  <c r="S45" i="46"/>
  <c r="S12" i="52"/>
  <c r="R8" i="52"/>
  <c r="W48" i="38"/>
  <c r="W51" i="38"/>
  <c r="S42" i="46"/>
  <c r="S22" i="52" s="1"/>
  <c r="S27" i="52" s="1"/>
  <c r="S33" i="52" s="1"/>
  <c r="W32" i="38"/>
  <c r="W35" i="38"/>
  <c r="S42" i="59"/>
  <c r="S45" i="59"/>
  <c r="R86" i="59"/>
  <c r="Q84" i="59"/>
  <c r="Q81" i="59" s="1"/>
  <c r="R89" i="59"/>
  <c r="Q10" i="59"/>
  <c r="Q7" i="59" s="1"/>
  <c r="R12" i="59"/>
  <c r="R15" i="59" s="1"/>
  <c r="R14" i="59"/>
  <c r="R101" i="59"/>
  <c r="Q99" i="59"/>
  <c r="Q96" i="59" s="1"/>
  <c r="R104" i="59"/>
  <c r="S87" i="59"/>
  <c r="S90" i="59"/>
  <c r="Q127" i="59"/>
  <c r="Q124" i="59" s="1"/>
  <c r="R129" i="59"/>
  <c r="R132" i="59" s="1"/>
  <c r="R131" i="59"/>
  <c r="Q69" i="59"/>
  <c r="Q66" i="59" s="1"/>
  <c r="R71" i="59"/>
  <c r="R74" i="59"/>
  <c r="S102" i="59"/>
  <c r="S105" i="59"/>
  <c r="S72" i="59"/>
  <c r="S75" i="59"/>
  <c r="S117" i="59"/>
  <c r="S120" i="59"/>
  <c r="S57" i="59"/>
  <c r="S60" i="59"/>
  <c r="R41" i="59"/>
  <c r="Q39" i="59"/>
  <c r="Q36" i="59" s="1"/>
  <c r="R44" i="59"/>
  <c r="S27" i="59"/>
  <c r="S30" i="59"/>
  <c r="R26" i="59"/>
  <c r="Q24" i="59"/>
  <c r="Q21" i="59" s="1"/>
  <c r="R29" i="59"/>
  <c r="Q114" i="59"/>
  <c r="Q111" i="59" s="1"/>
  <c r="R116" i="59"/>
  <c r="R119" i="59"/>
  <c r="Q54" i="59"/>
  <c r="Q51" i="59" s="1"/>
  <c r="R56" i="59"/>
  <c r="R59" i="59"/>
  <c r="E28" i="56"/>
  <c r="E26" i="56"/>
  <c r="D19" i="56"/>
  <c r="D17" i="56"/>
  <c r="H17" i="56"/>
  <c r="D28" i="56"/>
  <c r="D26" i="56"/>
  <c r="C19" i="56"/>
  <c r="C17" i="56"/>
  <c r="C28" i="56"/>
  <c r="C26" i="56"/>
  <c r="I20" i="56"/>
  <c r="I18" i="56"/>
  <c r="I16" i="56"/>
  <c r="I29" i="56"/>
  <c r="I27" i="56"/>
  <c r="I25" i="56"/>
  <c r="H20" i="56"/>
  <c r="H18" i="56"/>
  <c r="H16" i="56"/>
  <c r="H29" i="56"/>
  <c r="H27" i="56"/>
  <c r="H25" i="56"/>
  <c r="G20" i="56"/>
  <c r="G18" i="56"/>
  <c r="G16" i="56"/>
  <c r="G29" i="56"/>
  <c r="G27" i="56"/>
  <c r="G25" i="56"/>
  <c r="F20" i="56"/>
  <c r="F18" i="56"/>
  <c r="F16" i="56"/>
  <c r="I17" i="56"/>
  <c r="H26" i="56"/>
  <c r="F26" i="56"/>
  <c r="F29" i="56"/>
  <c r="F27" i="56"/>
  <c r="F25" i="56"/>
  <c r="E20" i="56"/>
  <c r="E18" i="56"/>
  <c r="E16" i="56"/>
  <c r="I26" i="56"/>
  <c r="F28" i="56"/>
  <c r="E29" i="56"/>
  <c r="E27" i="56"/>
  <c r="E25" i="56"/>
  <c r="D20" i="56"/>
  <c r="D18" i="56"/>
  <c r="D16" i="56"/>
  <c r="H19" i="56"/>
  <c r="G17" i="56"/>
  <c r="E17" i="56"/>
  <c r="D29" i="56"/>
  <c r="D27" i="56"/>
  <c r="D25" i="56"/>
  <c r="C20" i="56"/>
  <c r="C18" i="56"/>
  <c r="C16" i="56"/>
  <c r="C29" i="56"/>
  <c r="C27" i="56"/>
  <c r="C25" i="56"/>
  <c r="I19" i="56"/>
  <c r="G19" i="56"/>
  <c r="I28" i="56"/>
  <c r="H28" i="56"/>
  <c r="G28" i="56"/>
  <c r="G26" i="56"/>
  <c r="F19" i="56"/>
  <c r="F17" i="56"/>
  <c r="E19" i="56"/>
  <c r="S111" i="38"/>
  <c r="S115" i="38" s="1"/>
  <c r="R109" i="38"/>
  <c r="R103" i="38" s="1"/>
  <c r="S114" i="38"/>
  <c r="R94" i="46"/>
  <c r="R102" i="46" s="1"/>
  <c r="R109" i="46"/>
  <c r="R49" i="46"/>
  <c r="R34" i="46"/>
  <c r="R79" i="46"/>
  <c r="R87" i="46" s="1"/>
  <c r="R64" i="46"/>
  <c r="P84" i="46"/>
  <c r="P81" i="46" s="1"/>
  <c r="Q86" i="46"/>
  <c r="Q90" i="46" s="1"/>
  <c r="Q89" i="46"/>
  <c r="R73" i="33"/>
  <c r="R67" i="33" s="1"/>
  <c r="S75" i="33"/>
  <c r="S78" i="33" s="1"/>
  <c r="S77" i="33"/>
  <c r="R77" i="38"/>
  <c r="R71" i="38" s="1"/>
  <c r="S79" i="38"/>
  <c r="S83" i="38" s="1"/>
  <c r="S82" i="38"/>
  <c r="U30" i="33"/>
  <c r="U33" i="33" s="1"/>
  <c r="T28" i="33"/>
  <c r="T22" i="33" s="1"/>
  <c r="U32" i="33"/>
  <c r="Q129" i="46"/>
  <c r="Q132" i="46" s="1"/>
  <c r="P127" i="46"/>
  <c r="P124" i="46" s="1"/>
  <c r="Q131" i="46"/>
  <c r="U45" i="33"/>
  <c r="U48" i="33" s="1"/>
  <c r="T43" i="33"/>
  <c r="T37" i="33" s="1"/>
  <c r="U47" i="33"/>
  <c r="Q69" i="46"/>
  <c r="Q66" i="46" s="1"/>
  <c r="R71" i="46"/>
  <c r="R75" i="46" s="1"/>
  <c r="R74" i="46"/>
  <c r="R13" i="38"/>
  <c r="R7" i="38" s="1"/>
  <c r="S15" i="38"/>
  <c r="S19" i="38" s="1"/>
  <c r="S18" i="38"/>
  <c r="Q19" i="46"/>
  <c r="Q7" i="52" s="1"/>
  <c r="Q8" i="52" s="1"/>
  <c r="R13" i="33"/>
  <c r="R7" i="33" s="1"/>
  <c r="S15" i="33"/>
  <c r="S18" i="33" s="1"/>
  <c r="S17" i="33"/>
  <c r="T64" i="38"/>
  <c r="P10" i="46"/>
  <c r="P7" i="46" s="1"/>
  <c r="Q12" i="46"/>
  <c r="Q15" i="46" s="1"/>
  <c r="Q14" i="46"/>
  <c r="Q24" i="46"/>
  <c r="Q21" i="46" s="1"/>
  <c r="R26" i="46"/>
  <c r="R27" i="46" s="1"/>
  <c r="R21" i="52" s="1"/>
  <c r="R26" i="52" s="1"/>
  <c r="R29" i="46"/>
  <c r="V31" i="38"/>
  <c r="U29" i="38"/>
  <c r="U23" i="38" s="1"/>
  <c r="V34" i="38"/>
  <c r="R93" i="38"/>
  <c r="R87" i="38" s="1"/>
  <c r="S95" i="38"/>
  <c r="S98" i="38"/>
  <c r="V47" i="38"/>
  <c r="U45" i="38"/>
  <c r="U39" i="38" s="1"/>
  <c r="V50" i="38"/>
  <c r="S63" i="38"/>
  <c r="S67" i="38" s="1"/>
  <c r="R61" i="38"/>
  <c r="R55" i="38" s="1"/>
  <c r="S66" i="38"/>
  <c r="S90" i="33"/>
  <c r="S93" i="33" s="1"/>
  <c r="R88" i="33"/>
  <c r="R82" i="33" s="1"/>
  <c r="S92" i="33"/>
  <c r="S57" i="46"/>
  <c r="S23" i="52" s="1"/>
  <c r="S28" i="52" s="1"/>
  <c r="S34" i="52" s="1"/>
  <c r="R116" i="46"/>
  <c r="R120" i="46" s="1"/>
  <c r="Q114" i="46"/>
  <c r="Q111" i="46" s="1"/>
  <c r="R119" i="46"/>
  <c r="S105" i="33"/>
  <c r="S108" i="33" s="1"/>
  <c r="R103" i="33"/>
  <c r="R97" i="33" s="1"/>
  <c r="R107" i="33" s="1"/>
  <c r="S107" i="33"/>
  <c r="Q101" i="46"/>
  <c r="Q105" i="46" s="1"/>
  <c r="P99" i="46"/>
  <c r="P96" i="46" s="1"/>
  <c r="Q104" i="46"/>
  <c r="R58" i="33"/>
  <c r="R52" i="33" s="1"/>
  <c r="S60" i="33"/>
  <c r="S63" i="33" s="1"/>
  <c r="S62" i="33"/>
  <c r="T80" i="38"/>
  <c r="R56" i="46"/>
  <c r="Q54" i="46"/>
  <c r="Q51" i="46" s="1"/>
  <c r="R59" i="46"/>
  <c r="R41" i="46"/>
  <c r="Q39" i="46"/>
  <c r="Q36" i="46" s="1"/>
  <c r="R44" i="46"/>
  <c r="S27" i="46"/>
  <c r="S21" i="52" s="1"/>
  <c r="S26" i="52" s="1"/>
  <c r="R32" i="52" l="1"/>
  <c r="V32" i="38"/>
  <c r="V35" i="38"/>
  <c r="R72" i="46"/>
  <c r="R30" i="46"/>
  <c r="R11" i="52"/>
  <c r="V48" i="38"/>
  <c r="V51" i="38"/>
  <c r="P19" i="59"/>
  <c r="S96" i="38"/>
  <c r="S99" i="38"/>
  <c r="R45" i="46"/>
  <c r="R12" i="52"/>
  <c r="S32" i="52"/>
  <c r="S29" i="52"/>
  <c r="S35" i="52" s="1"/>
  <c r="R60" i="46"/>
  <c r="R13" i="52"/>
  <c r="Q41" i="59"/>
  <c r="P39" i="59"/>
  <c r="P36" i="59" s="1"/>
  <c r="Q44" i="59"/>
  <c r="P114" i="59"/>
  <c r="P111" i="59" s="1"/>
  <c r="Q116" i="59"/>
  <c r="Q119" i="59"/>
  <c r="Q86" i="59"/>
  <c r="P84" i="59"/>
  <c r="P81" i="59" s="1"/>
  <c r="Q89" i="59"/>
  <c r="R102" i="59"/>
  <c r="R105" i="59"/>
  <c r="Q12" i="59"/>
  <c r="Q15" i="59" s="1"/>
  <c r="P10" i="59"/>
  <c r="P7" i="59" s="1"/>
  <c r="Q14" i="59"/>
  <c r="R87" i="59"/>
  <c r="R90" i="59"/>
  <c r="Q129" i="59"/>
  <c r="Q132" i="59" s="1"/>
  <c r="P127" i="59"/>
  <c r="P124" i="59" s="1"/>
  <c r="Q131" i="59"/>
  <c r="Q101" i="59"/>
  <c r="P99" i="59"/>
  <c r="P96" i="59" s="1"/>
  <c r="Q104" i="59"/>
  <c r="R57" i="59"/>
  <c r="R60" i="59"/>
  <c r="R117" i="59"/>
  <c r="R120" i="59"/>
  <c r="Q26" i="59"/>
  <c r="P24" i="59"/>
  <c r="P21" i="59" s="1"/>
  <c r="Q29" i="59"/>
  <c r="R72" i="59"/>
  <c r="R75" i="59"/>
  <c r="R42" i="59"/>
  <c r="R45" i="59"/>
  <c r="P54" i="59"/>
  <c r="P51" i="59" s="1"/>
  <c r="Q56" i="59"/>
  <c r="Q59" i="59"/>
  <c r="R27" i="59"/>
  <c r="R30" i="59"/>
  <c r="P69" i="59"/>
  <c r="P66" i="59" s="1"/>
  <c r="Q71" i="59"/>
  <c r="Q74" i="59"/>
  <c r="S43" i="33"/>
  <c r="S37" i="33" s="1"/>
  <c r="T45" i="33"/>
  <c r="T48" i="33" s="1"/>
  <c r="T47" i="33"/>
  <c r="R105" i="33"/>
  <c r="R108" i="33" s="1"/>
  <c r="Q103" i="33"/>
  <c r="Q97" i="33" s="1"/>
  <c r="Q107" i="33" s="1"/>
  <c r="P129" i="46"/>
  <c r="P132" i="46" s="1"/>
  <c r="O127" i="46"/>
  <c r="O124" i="46" s="1"/>
  <c r="P131" i="46"/>
  <c r="O10" i="46"/>
  <c r="O7" i="46" s="1"/>
  <c r="P12" i="46"/>
  <c r="P15" i="46" s="1"/>
  <c r="P14" i="46"/>
  <c r="P54" i="46"/>
  <c r="P51" i="46" s="1"/>
  <c r="Q56" i="46"/>
  <c r="Q59" i="46"/>
  <c r="T29" i="38"/>
  <c r="T23" i="38" s="1"/>
  <c r="U31" i="38"/>
  <c r="U34" i="38"/>
  <c r="Q79" i="46"/>
  <c r="Q87" i="46" s="1"/>
  <c r="Q64" i="46"/>
  <c r="Q94" i="46"/>
  <c r="Q102" i="46" s="1"/>
  <c r="Q49" i="46"/>
  <c r="Q34" i="46"/>
  <c r="Q109" i="46"/>
  <c r="R57" i="46"/>
  <c r="R23" i="52" s="1"/>
  <c r="R28" i="52" s="1"/>
  <c r="R34" i="52" s="1"/>
  <c r="U47" i="38"/>
  <c r="T45" i="38"/>
  <c r="T39" i="38" s="1"/>
  <c r="U50" i="38"/>
  <c r="R95" i="38"/>
  <c r="R99" i="38" s="1"/>
  <c r="Q93" i="38"/>
  <c r="Q87" i="38" s="1"/>
  <c r="R98" i="38"/>
  <c r="S28" i="33"/>
  <c r="S22" i="33" s="1"/>
  <c r="T30" i="33"/>
  <c r="T33" i="33" s="1"/>
  <c r="T32" i="33"/>
  <c r="S80" i="38"/>
  <c r="Q116" i="46"/>
  <c r="Q120" i="46" s="1"/>
  <c r="P114" i="46"/>
  <c r="P111" i="46" s="1"/>
  <c r="Q119" i="46"/>
  <c r="R42" i="46"/>
  <c r="R22" i="52" s="1"/>
  <c r="R27" i="52" s="1"/>
  <c r="R33" i="52" s="1"/>
  <c r="S16" i="38"/>
  <c r="R79" i="38"/>
  <c r="Q77" i="38"/>
  <c r="Q71" i="38" s="1"/>
  <c r="R82" i="38"/>
  <c r="Q73" i="33"/>
  <c r="Q67" i="33" s="1"/>
  <c r="R75" i="33"/>
  <c r="R78" i="33" s="1"/>
  <c r="R77" i="33"/>
  <c r="Q41" i="46"/>
  <c r="P39" i="46"/>
  <c r="P36" i="46" s="1"/>
  <c r="Q44" i="46"/>
  <c r="R117" i="46"/>
  <c r="R90" i="33"/>
  <c r="R93" i="33" s="1"/>
  <c r="Q88" i="33"/>
  <c r="Q82" i="33" s="1"/>
  <c r="R92" i="33"/>
  <c r="R60" i="33"/>
  <c r="R63" i="33" s="1"/>
  <c r="Q58" i="33"/>
  <c r="Q52" i="33" s="1"/>
  <c r="R62" i="33"/>
  <c r="P101" i="46"/>
  <c r="P105" i="46" s="1"/>
  <c r="O99" i="46"/>
  <c r="O96" i="46" s="1"/>
  <c r="P104" i="46"/>
  <c r="Q26" i="46"/>
  <c r="P24" i="46"/>
  <c r="P21" i="46" s="1"/>
  <c r="Q29" i="46"/>
  <c r="P69" i="46"/>
  <c r="P66" i="46" s="1"/>
  <c r="Q71" i="46"/>
  <c r="Q75" i="46" s="1"/>
  <c r="Q74" i="46"/>
  <c r="R111" i="38"/>
  <c r="Q109" i="38"/>
  <c r="Q103" i="38" s="1"/>
  <c r="R114" i="38"/>
  <c r="O84" i="46"/>
  <c r="O81" i="46" s="1"/>
  <c r="P86" i="46"/>
  <c r="P90" i="46" s="1"/>
  <c r="P89" i="46"/>
  <c r="P19" i="46"/>
  <c r="P7" i="52" s="1"/>
  <c r="R15" i="33"/>
  <c r="R18" i="33" s="1"/>
  <c r="Q13" i="33"/>
  <c r="Q7" i="33" s="1"/>
  <c r="R17" i="33"/>
  <c r="R15" i="38"/>
  <c r="Q13" i="38"/>
  <c r="Q7" i="38" s="1"/>
  <c r="R18" i="38"/>
  <c r="R63" i="38"/>
  <c r="R67" i="38" s="1"/>
  <c r="Q61" i="38"/>
  <c r="Q55" i="38" s="1"/>
  <c r="R66" i="38"/>
  <c r="S64" i="38"/>
  <c r="S112" i="38"/>
  <c r="R112" i="38" l="1"/>
  <c r="R115" i="38"/>
  <c r="Q45" i="46"/>
  <c r="Q12" i="52"/>
  <c r="Q60" i="46"/>
  <c r="Q13" i="52"/>
  <c r="R16" i="38"/>
  <c r="P8" i="52"/>
  <c r="R19" i="38"/>
  <c r="U48" i="38"/>
  <c r="U51" i="38"/>
  <c r="R80" i="38"/>
  <c r="R83" i="38"/>
  <c r="P34" i="59"/>
  <c r="P94" i="59"/>
  <c r="P79" i="59"/>
  <c r="P64" i="59"/>
  <c r="P109" i="59"/>
  <c r="P49" i="59"/>
  <c r="Q117" i="46"/>
  <c r="U32" i="38"/>
  <c r="U35" i="38"/>
  <c r="Q30" i="46"/>
  <c r="Q11" i="52"/>
  <c r="O19" i="59"/>
  <c r="Q42" i="46"/>
  <c r="Q22" i="52" s="1"/>
  <c r="Q27" i="52" s="1"/>
  <c r="Q33" i="52" s="1"/>
  <c r="R29" i="52"/>
  <c r="R35" i="52" s="1"/>
  <c r="P12" i="59"/>
  <c r="P15" i="59" s="1"/>
  <c r="O10" i="59"/>
  <c r="O7" i="59" s="1"/>
  <c r="P14" i="59"/>
  <c r="O24" i="59"/>
  <c r="O21" i="59" s="1"/>
  <c r="P26" i="59"/>
  <c r="P29" i="59"/>
  <c r="Q27" i="59"/>
  <c r="Q30" i="59"/>
  <c r="P71" i="59"/>
  <c r="O69" i="59"/>
  <c r="O66" i="59" s="1"/>
  <c r="P74" i="59"/>
  <c r="Q72" i="59"/>
  <c r="Q75" i="59"/>
  <c r="Q87" i="59"/>
  <c r="Q90" i="59"/>
  <c r="P101" i="59"/>
  <c r="O99" i="59"/>
  <c r="O96" i="59" s="1"/>
  <c r="P104" i="59"/>
  <c r="Q102" i="59"/>
  <c r="Q105" i="59"/>
  <c r="P56" i="59"/>
  <c r="O54" i="59"/>
  <c r="O51" i="59" s="1"/>
  <c r="P59" i="59"/>
  <c r="O127" i="59"/>
  <c r="O124" i="59" s="1"/>
  <c r="P129" i="59"/>
  <c r="P132" i="59" s="1"/>
  <c r="P131" i="59"/>
  <c r="O39" i="59"/>
  <c r="O36" i="59" s="1"/>
  <c r="P41" i="59"/>
  <c r="P44" i="59"/>
  <c r="P86" i="59"/>
  <c r="O84" i="59"/>
  <c r="O81" i="59" s="1"/>
  <c r="P89" i="59"/>
  <c r="Q117" i="59"/>
  <c r="Q120" i="59"/>
  <c r="O114" i="59"/>
  <c r="O111" i="59" s="1"/>
  <c r="P116" i="59"/>
  <c r="P119" i="59"/>
  <c r="Q57" i="59"/>
  <c r="Q60" i="59"/>
  <c r="Q42" i="59"/>
  <c r="Q45" i="59"/>
  <c r="P13" i="38"/>
  <c r="P7" i="38" s="1"/>
  <c r="Q15" i="38"/>
  <c r="Q18" i="38"/>
  <c r="P103" i="33"/>
  <c r="P97" i="33" s="1"/>
  <c r="P107" i="33" s="1"/>
  <c r="Q105" i="33"/>
  <c r="Q108" i="33" s="1"/>
  <c r="O54" i="46"/>
  <c r="O51" i="46" s="1"/>
  <c r="P56" i="46"/>
  <c r="P59" i="46"/>
  <c r="N127" i="46"/>
  <c r="N124" i="46" s="1"/>
  <c r="O129" i="46"/>
  <c r="O132" i="46" s="1"/>
  <c r="O131" i="46"/>
  <c r="Q27" i="46"/>
  <c r="Q21" i="52" s="1"/>
  <c r="Q26" i="52" s="1"/>
  <c r="S45" i="38"/>
  <c r="S39" i="38" s="1"/>
  <c r="T47" i="38"/>
  <c r="T50" i="38"/>
  <c r="Q90" i="33"/>
  <c r="Q93" i="33" s="1"/>
  <c r="P88" i="33"/>
  <c r="P82" i="33" s="1"/>
  <c r="Q92" i="33"/>
  <c r="P116" i="46"/>
  <c r="P120" i="46" s="1"/>
  <c r="O114" i="46"/>
  <c r="O111" i="46" s="1"/>
  <c r="P119" i="46"/>
  <c r="Q57" i="46"/>
  <c r="Q23" i="52" s="1"/>
  <c r="Q28" i="52" s="1"/>
  <c r="Q34" i="52" s="1"/>
  <c r="O19" i="46"/>
  <c r="O7" i="52" s="1"/>
  <c r="P13" i="33"/>
  <c r="P7" i="33" s="1"/>
  <c r="N19" i="59" s="1"/>
  <c r="Q15" i="33"/>
  <c r="Q18" i="33" s="1"/>
  <c r="Q17" i="33"/>
  <c r="Q63" i="38"/>
  <c r="Q67" i="38" s="1"/>
  <c r="P61" i="38"/>
  <c r="P55" i="38" s="1"/>
  <c r="Q66" i="38"/>
  <c r="N10" i="46"/>
  <c r="N7" i="46" s="1"/>
  <c r="O12" i="46"/>
  <c r="O15" i="46" s="1"/>
  <c r="O14" i="46"/>
  <c r="P71" i="46"/>
  <c r="P75" i="46" s="1"/>
  <c r="O69" i="46"/>
  <c r="O66" i="46" s="1"/>
  <c r="P74" i="46"/>
  <c r="P41" i="46"/>
  <c r="O39" i="46"/>
  <c r="O36" i="46" s="1"/>
  <c r="P44" i="46"/>
  <c r="P26" i="46"/>
  <c r="O24" i="46"/>
  <c r="O21" i="46" s="1"/>
  <c r="P29" i="46"/>
  <c r="Q72" i="46"/>
  <c r="S30" i="33"/>
  <c r="S33" i="33" s="1"/>
  <c r="R28" i="33"/>
  <c r="R22" i="33" s="1"/>
  <c r="S32" i="33"/>
  <c r="Q95" i="38"/>
  <c r="P93" i="38"/>
  <c r="P87" i="38" s="1"/>
  <c r="Q98" i="38"/>
  <c r="R96" i="38"/>
  <c r="T31" i="38"/>
  <c r="S29" i="38"/>
  <c r="S23" i="38" s="1"/>
  <c r="T34" i="38"/>
  <c r="Q111" i="38"/>
  <c r="P109" i="38"/>
  <c r="P103" i="38" s="1"/>
  <c r="Q114" i="38"/>
  <c r="R64" i="38"/>
  <c r="O101" i="46"/>
  <c r="O105" i="46" s="1"/>
  <c r="N99" i="46"/>
  <c r="N96" i="46" s="1"/>
  <c r="O104" i="46"/>
  <c r="P109" i="46"/>
  <c r="P79" i="46"/>
  <c r="P87" i="46" s="1"/>
  <c r="P49" i="46"/>
  <c r="P94" i="46"/>
  <c r="P102" i="46" s="1"/>
  <c r="P64" i="46"/>
  <c r="P34" i="46"/>
  <c r="Q75" i="33"/>
  <c r="Q78" i="33" s="1"/>
  <c r="P73" i="33"/>
  <c r="P67" i="33" s="1"/>
  <c r="Q77" i="33"/>
  <c r="N84" i="46"/>
  <c r="N81" i="46" s="1"/>
  <c r="O86" i="46"/>
  <c r="O90" i="46" s="1"/>
  <c r="O89" i="46"/>
  <c r="Q60" i="33"/>
  <c r="Q63" i="33" s="1"/>
  <c r="P58" i="33"/>
  <c r="P52" i="33" s="1"/>
  <c r="Q62" i="33"/>
  <c r="P77" i="38"/>
  <c r="P71" i="38" s="1"/>
  <c r="Q79" i="38"/>
  <c r="Q83" i="38" s="1"/>
  <c r="Q82" i="38"/>
  <c r="S45" i="33"/>
  <c r="S48" i="33" s="1"/>
  <c r="R43" i="33"/>
  <c r="R37" i="33" s="1"/>
  <c r="S47" i="33"/>
  <c r="P30" i="46" l="1"/>
  <c r="P11" i="52"/>
  <c r="N79" i="59"/>
  <c r="N94" i="59"/>
  <c r="N49" i="59"/>
  <c r="N109" i="59"/>
  <c r="N64" i="59"/>
  <c r="N34" i="59"/>
  <c r="O109" i="59"/>
  <c r="O34" i="59"/>
  <c r="O79" i="59"/>
  <c r="O49" i="59"/>
  <c r="O94" i="59"/>
  <c r="O64" i="59"/>
  <c r="P60" i="46"/>
  <c r="P13" i="52"/>
  <c r="O8" i="52"/>
  <c r="Q19" i="38"/>
  <c r="Q112" i="38"/>
  <c r="Q115" i="38"/>
  <c r="P45" i="46"/>
  <c r="P12" i="52"/>
  <c r="T32" i="38"/>
  <c r="T35" i="38"/>
  <c r="P72" i="46"/>
  <c r="Q32" i="52"/>
  <c r="Q29" i="52"/>
  <c r="Q35" i="52" s="1"/>
  <c r="P42" i="46"/>
  <c r="P22" i="52" s="1"/>
  <c r="P27" i="52" s="1"/>
  <c r="P33" i="52" s="1"/>
  <c r="Q96" i="38"/>
  <c r="Q99" i="38"/>
  <c r="T48" i="38"/>
  <c r="T51" i="38"/>
  <c r="P102" i="59"/>
  <c r="P105" i="59"/>
  <c r="O86" i="59"/>
  <c r="N84" i="59"/>
  <c r="N81" i="59" s="1"/>
  <c r="O89" i="59"/>
  <c r="P45" i="59"/>
  <c r="P42" i="59"/>
  <c r="N24" i="59"/>
  <c r="N21" i="59" s="1"/>
  <c r="O26" i="59"/>
  <c r="O29" i="59"/>
  <c r="P87" i="59"/>
  <c r="P90" i="59"/>
  <c r="O71" i="59"/>
  <c r="N69" i="59"/>
  <c r="N66" i="59" s="1"/>
  <c r="O74" i="59"/>
  <c r="P72" i="59"/>
  <c r="P75" i="59"/>
  <c r="P27" i="59"/>
  <c r="P30" i="59"/>
  <c r="N114" i="59"/>
  <c r="N111" i="59" s="1"/>
  <c r="O116" i="59"/>
  <c r="O119" i="59"/>
  <c r="N127" i="59"/>
  <c r="N124" i="59" s="1"/>
  <c r="O129" i="59"/>
  <c r="O132" i="59" s="1"/>
  <c r="O131" i="59"/>
  <c r="N54" i="59"/>
  <c r="N51" i="59" s="1"/>
  <c r="O56" i="59"/>
  <c r="O59" i="59"/>
  <c r="P57" i="59"/>
  <c r="P60" i="59"/>
  <c r="O12" i="59"/>
  <c r="O15" i="59" s="1"/>
  <c r="N10" i="59"/>
  <c r="N7" i="59" s="1"/>
  <c r="O14" i="59"/>
  <c r="O41" i="59"/>
  <c r="N39" i="59"/>
  <c r="N36" i="59" s="1"/>
  <c r="O44" i="59"/>
  <c r="P117" i="59"/>
  <c r="P120" i="59"/>
  <c r="O101" i="59"/>
  <c r="N99" i="59"/>
  <c r="N96" i="59" s="1"/>
  <c r="O104" i="59"/>
  <c r="S47" i="38"/>
  <c r="R45" i="38"/>
  <c r="R39" i="38" s="1"/>
  <c r="S50" i="38"/>
  <c r="N129" i="46"/>
  <c r="N132" i="46" s="1"/>
  <c r="M127" i="46"/>
  <c r="M124" i="46" s="1"/>
  <c r="N131" i="46"/>
  <c r="Q80" i="38"/>
  <c r="P95" i="38"/>
  <c r="O93" i="38"/>
  <c r="O87" i="38" s="1"/>
  <c r="P98" i="38"/>
  <c r="O64" i="46"/>
  <c r="O79" i="46"/>
  <c r="O87" i="46" s="1"/>
  <c r="O49" i="46"/>
  <c r="O57" i="46" s="1"/>
  <c r="O23" i="52" s="1"/>
  <c r="O28" i="52" s="1"/>
  <c r="O34" i="52" s="1"/>
  <c r="O94" i="46"/>
  <c r="O102" i="46" s="1"/>
  <c r="O109" i="46"/>
  <c r="O34" i="46"/>
  <c r="O109" i="38"/>
  <c r="O103" i="38" s="1"/>
  <c r="P111" i="38"/>
  <c r="P115" i="38" s="1"/>
  <c r="P114" i="38"/>
  <c r="O73" i="33"/>
  <c r="O67" i="33" s="1"/>
  <c r="P75" i="33"/>
  <c r="P78" i="33" s="1"/>
  <c r="P77" i="33"/>
  <c r="R45" i="33"/>
  <c r="R48" i="33" s="1"/>
  <c r="Q43" i="33"/>
  <c r="Q37" i="33" s="1"/>
  <c r="R47" i="33"/>
  <c r="P27" i="46"/>
  <c r="P21" i="52" s="1"/>
  <c r="P26" i="52" s="1"/>
  <c r="O77" i="38"/>
  <c r="O71" i="38" s="1"/>
  <c r="P79" i="38"/>
  <c r="P83" i="38" s="1"/>
  <c r="P82" i="38"/>
  <c r="N69" i="46"/>
  <c r="N66" i="46" s="1"/>
  <c r="O71" i="46"/>
  <c r="O75" i="46" s="1"/>
  <c r="O74" i="46"/>
  <c r="O88" i="33"/>
  <c r="O82" i="33" s="1"/>
  <c r="P90" i="33"/>
  <c r="P93" i="33" s="1"/>
  <c r="P92" i="33"/>
  <c r="P105" i="33"/>
  <c r="P108" i="33" s="1"/>
  <c r="O103" i="33"/>
  <c r="O97" i="33" s="1"/>
  <c r="O107" i="33" s="1"/>
  <c r="O41" i="46"/>
  <c r="N39" i="46"/>
  <c r="N36" i="46" s="1"/>
  <c r="O44" i="46"/>
  <c r="P57" i="46"/>
  <c r="P23" i="52" s="1"/>
  <c r="P28" i="52" s="1"/>
  <c r="P34" i="52" s="1"/>
  <c r="N114" i="46"/>
  <c r="N111" i="46" s="1"/>
  <c r="O116" i="46"/>
  <c r="O120" i="46" s="1"/>
  <c r="O119" i="46"/>
  <c r="P117" i="46"/>
  <c r="P60" i="33"/>
  <c r="P63" i="33" s="1"/>
  <c r="O58" i="33"/>
  <c r="O52" i="33" s="1"/>
  <c r="P62" i="33"/>
  <c r="N101" i="46"/>
  <c r="N105" i="46" s="1"/>
  <c r="M99" i="46"/>
  <c r="M96" i="46" s="1"/>
  <c r="N104" i="46"/>
  <c r="O26" i="46"/>
  <c r="N24" i="46"/>
  <c r="N21" i="46" s="1"/>
  <c r="O29" i="46"/>
  <c r="N19" i="46"/>
  <c r="N7" i="52" s="1"/>
  <c r="N8" i="52" s="1"/>
  <c r="P15" i="33"/>
  <c r="P18" i="33" s="1"/>
  <c r="O13" i="33"/>
  <c r="O7" i="33" s="1"/>
  <c r="P17" i="33"/>
  <c r="O56" i="46"/>
  <c r="N54" i="46"/>
  <c r="N51" i="46" s="1"/>
  <c r="O59" i="46"/>
  <c r="P63" i="38"/>
  <c r="O61" i="38"/>
  <c r="O55" i="38" s="1"/>
  <c r="P66" i="38"/>
  <c r="Q16" i="38"/>
  <c r="R29" i="38"/>
  <c r="R23" i="38" s="1"/>
  <c r="S31" i="38"/>
  <c r="S34" i="38"/>
  <c r="M10" i="46"/>
  <c r="M7" i="46" s="1"/>
  <c r="N12" i="46"/>
  <c r="N15" i="46" s="1"/>
  <c r="N14" i="46"/>
  <c r="Q28" i="33"/>
  <c r="Q22" i="33" s="1"/>
  <c r="R30" i="33"/>
  <c r="R33" i="33" s="1"/>
  <c r="R32" i="33"/>
  <c r="N86" i="46"/>
  <c r="N90" i="46" s="1"/>
  <c r="M84" i="46"/>
  <c r="M81" i="46" s="1"/>
  <c r="N89" i="46"/>
  <c r="Q64" i="38"/>
  <c r="O13" i="38"/>
  <c r="O7" i="38" s="1"/>
  <c r="P15" i="38"/>
  <c r="P18" i="38"/>
  <c r="O30" i="46" l="1"/>
  <c r="O11" i="52"/>
  <c r="S48" i="38"/>
  <c r="S51" i="38"/>
  <c r="P16" i="38"/>
  <c r="P19" i="38"/>
  <c r="O45" i="46"/>
  <c r="O12" i="52"/>
  <c r="P64" i="38"/>
  <c r="P67" i="38"/>
  <c r="O60" i="46"/>
  <c r="O13" i="52"/>
  <c r="P32" i="52"/>
  <c r="P29" i="52"/>
  <c r="P35" i="52" s="1"/>
  <c r="S32" i="38"/>
  <c r="S35" i="38"/>
  <c r="M19" i="59"/>
  <c r="O72" i="46"/>
  <c r="P96" i="38"/>
  <c r="P99" i="38"/>
  <c r="N71" i="59"/>
  <c r="M69" i="59"/>
  <c r="M66" i="59" s="1"/>
  <c r="N74" i="59"/>
  <c r="N12" i="59"/>
  <c r="N15" i="59" s="1"/>
  <c r="M10" i="59"/>
  <c r="M7" i="59" s="1"/>
  <c r="N14" i="59"/>
  <c r="N56" i="59"/>
  <c r="M54" i="59"/>
  <c r="M51" i="59" s="1"/>
  <c r="N59" i="59"/>
  <c r="M39" i="59"/>
  <c r="M36" i="59" s="1"/>
  <c r="N41" i="59"/>
  <c r="N44" i="59"/>
  <c r="O87" i="59"/>
  <c r="O90" i="59"/>
  <c r="O75" i="59"/>
  <c r="O72" i="59"/>
  <c r="O27" i="59"/>
  <c r="O30" i="59"/>
  <c r="M24" i="59"/>
  <c r="M21" i="59" s="1"/>
  <c r="N26" i="59"/>
  <c r="N29" i="59"/>
  <c r="M127" i="59"/>
  <c r="M124" i="59" s="1"/>
  <c r="N129" i="59"/>
  <c r="N132" i="59" s="1"/>
  <c r="N131" i="59"/>
  <c r="O117" i="59"/>
  <c r="O120" i="59"/>
  <c r="N86" i="59"/>
  <c r="M84" i="59"/>
  <c r="M81" i="59" s="1"/>
  <c r="N89" i="59"/>
  <c r="O45" i="59"/>
  <c r="O42" i="59"/>
  <c r="O57" i="59"/>
  <c r="O60" i="59"/>
  <c r="M99" i="59"/>
  <c r="M96" i="59" s="1"/>
  <c r="N101" i="59"/>
  <c r="N104" i="59"/>
  <c r="O105" i="59"/>
  <c r="O102" i="59"/>
  <c r="M114" i="59"/>
  <c r="M111" i="59" s="1"/>
  <c r="N116" i="59"/>
  <c r="N119" i="59"/>
  <c r="N26" i="46"/>
  <c r="M24" i="46"/>
  <c r="M21" i="46" s="1"/>
  <c r="N29" i="46"/>
  <c r="N13" i="38"/>
  <c r="N7" i="38" s="1"/>
  <c r="O15" i="38"/>
  <c r="O19" i="38" s="1"/>
  <c r="O18" i="38"/>
  <c r="R31" i="38"/>
  <c r="Q29" i="38"/>
  <c r="Q23" i="38" s="1"/>
  <c r="R34" i="38"/>
  <c r="N93" i="38"/>
  <c r="N87" i="38" s="1"/>
  <c r="O95" i="38"/>
  <c r="O98" i="38"/>
  <c r="P28" i="33"/>
  <c r="P22" i="33" s="1"/>
  <c r="Q30" i="33"/>
  <c r="Q33" i="33" s="1"/>
  <c r="Q32" i="33"/>
  <c r="L127" i="46"/>
  <c r="L124" i="46" s="1"/>
  <c r="M129" i="46"/>
  <c r="M132" i="46" s="1"/>
  <c r="M131" i="46"/>
  <c r="O105" i="33"/>
  <c r="O108" i="33" s="1"/>
  <c r="N103" i="33"/>
  <c r="N97" i="33" s="1"/>
  <c r="N107" i="33" s="1"/>
  <c r="N56" i="46"/>
  <c r="M54" i="46"/>
  <c r="M51" i="46" s="1"/>
  <c r="N59" i="46"/>
  <c r="P112" i="38"/>
  <c r="M101" i="46"/>
  <c r="M105" i="46" s="1"/>
  <c r="L99" i="46"/>
  <c r="L96" i="46" s="1"/>
  <c r="M104" i="46"/>
  <c r="O63" i="38"/>
  <c r="N61" i="38"/>
  <c r="N55" i="38" s="1"/>
  <c r="O66" i="38"/>
  <c r="O90" i="33"/>
  <c r="O93" i="33" s="1"/>
  <c r="N88" i="33"/>
  <c r="N82" i="33" s="1"/>
  <c r="O92" i="33"/>
  <c r="N116" i="46"/>
  <c r="N120" i="46" s="1"/>
  <c r="M114" i="46"/>
  <c r="M111" i="46" s="1"/>
  <c r="N119" i="46"/>
  <c r="N109" i="38"/>
  <c r="N103" i="38" s="1"/>
  <c r="O111" i="38"/>
  <c r="O114" i="38"/>
  <c r="O60" i="33"/>
  <c r="O63" i="33" s="1"/>
  <c r="N58" i="33"/>
  <c r="N52" i="33" s="1"/>
  <c r="O62" i="33"/>
  <c r="N73" i="33"/>
  <c r="N67" i="33" s="1"/>
  <c r="O75" i="33"/>
  <c r="O78" i="33" s="1"/>
  <c r="O77" i="33"/>
  <c r="O42" i="46"/>
  <c r="O22" i="52" s="1"/>
  <c r="O27" i="52" s="1"/>
  <c r="O33" i="52" s="1"/>
  <c r="Q45" i="33"/>
  <c r="Q48" i="33" s="1"/>
  <c r="P43" i="33"/>
  <c r="P37" i="33" s="1"/>
  <c r="Q47" i="33"/>
  <c r="L84" i="46"/>
  <c r="L81" i="46" s="1"/>
  <c r="M86" i="46"/>
  <c r="M90" i="46" s="1"/>
  <c r="M89" i="46"/>
  <c r="P80" i="38"/>
  <c r="O117" i="46"/>
  <c r="R47" i="38"/>
  <c r="Q45" i="38"/>
  <c r="Q39" i="38" s="1"/>
  <c r="R50" i="38"/>
  <c r="N71" i="46"/>
  <c r="N75" i="46" s="1"/>
  <c r="M69" i="46"/>
  <c r="M66" i="46" s="1"/>
  <c r="N74" i="46"/>
  <c r="M19" i="46"/>
  <c r="M7" i="52" s="1"/>
  <c r="M8" i="52" s="1"/>
  <c r="N13" i="33"/>
  <c r="N7" i="33" s="1"/>
  <c r="L19" i="59" s="1"/>
  <c r="O15" i="33"/>
  <c r="O18" i="33" s="1"/>
  <c r="O17" i="33"/>
  <c r="L10" i="46"/>
  <c r="L7" i="46" s="1"/>
  <c r="M12" i="46"/>
  <c r="M15" i="46" s="1"/>
  <c r="M14" i="46"/>
  <c r="N109" i="46"/>
  <c r="N64" i="46"/>
  <c r="N94" i="46"/>
  <c r="N102" i="46" s="1"/>
  <c r="N49" i="46"/>
  <c r="N34" i="46"/>
  <c r="N79" i="46"/>
  <c r="N87" i="46" s="1"/>
  <c r="N41" i="46"/>
  <c r="M39" i="46"/>
  <c r="M36" i="46" s="1"/>
  <c r="N44" i="46"/>
  <c r="N77" i="38"/>
  <c r="N71" i="38" s="1"/>
  <c r="O79" i="38"/>
  <c r="O82" i="38"/>
  <c r="O27" i="46"/>
  <c r="O21" i="52" s="1"/>
  <c r="O26" i="52" s="1"/>
  <c r="N30" i="46" l="1"/>
  <c r="N11" i="52"/>
  <c r="N45" i="46"/>
  <c r="N12" i="52"/>
  <c r="R32" i="38"/>
  <c r="R35" i="38"/>
  <c r="O80" i="38"/>
  <c r="O83" i="38"/>
  <c r="N27" i="46"/>
  <c r="N21" i="52" s="1"/>
  <c r="N26" i="52" s="1"/>
  <c r="O112" i="38"/>
  <c r="O115" i="38"/>
  <c r="N60" i="46"/>
  <c r="N13" i="52"/>
  <c r="O29" i="52"/>
  <c r="O35" i="52" s="1"/>
  <c r="O32" i="52"/>
  <c r="L34" i="59"/>
  <c r="L94" i="59"/>
  <c r="L109" i="59"/>
  <c r="L49" i="59"/>
  <c r="L79" i="59"/>
  <c r="L64" i="59"/>
  <c r="O64" i="38"/>
  <c r="O67" i="38"/>
  <c r="O96" i="38"/>
  <c r="O99" i="38"/>
  <c r="R48" i="38"/>
  <c r="R51" i="38"/>
  <c r="M109" i="59"/>
  <c r="M34" i="59"/>
  <c r="M94" i="59"/>
  <c r="M49" i="59"/>
  <c r="M64" i="59"/>
  <c r="M79" i="59"/>
  <c r="N87" i="59"/>
  <c r="N90" i="59"/>
  <c r="M86" i="59"/>
  <c r="L84" i="59"/>
  <c r="L81" i="59" s="1"/>
  <c r="M89" i="59"/>
  <c r="M41" i="59"/>
  <c r="L39" i="59"/>
  <c r="L36" i="59" s="1"/>
  <c r="M44" i="59"/>
  <c r="N117" i="59"/>
  <c r="N120" i="59"/>
  <c r="M116" i="59"/>
  <c r="L114" i="59"/>
  <c r="L111" i="59" s="1"/>
  <c r="M119" i="59"/>
  <c r="N102" i="59"/>
  <c r="N105" i="59"/>
  <c r="M26" i="59"/>
  <c r="L24" i="59"/>
  <c r="L21" i="59" s="1"/>
  <c r="M29" i="59"/>
  <c r="M56" i="59"/>
  <c r="L54" i="59"/>
  <c r="L51" i="59" s="1"/>
  <c r="M59" i="59"/>
  <c r="N57" i="59"/>
  <c r="N60" i="59"/>
  <c r="M129" i="59"/>
  <c r="M132" i="59" s="1"/>
  <c r="L127" i="59"/>
  <c r="L124" i="59" s="1"/>
  <c r="M131" i="59"/>
  <c r="N27" i="59"/>
  <c r="N30" i="59"/>
  <c r="M101" i="59"/>
  <c r="L99" i="59"/>
  <c r="L96" i="59" s="1"/>
  <c r="M104" i="59"/>
  <c r="M71" i="59"/>
  <c r="L69" i="59"/>
  <c r="L66" i="59" s="1"/>
  <c r="M74" i="59"/>
  <c r="N42" i="59"/>
  <c r="N45" i="59"/>
  <c r="M12" i="59"/>
  <c r="M15" i="59" s="1"/>
  <c r="L10" i="59"/>
  <c r="L7" i="59" s="1"/>
  <c r="M14" i="59"/>
  <c r="N72" i="59"/>
  <c r="N75" i="59"/>
  <c r="P30" i="33"/>
  <c r="P33" i="33" s="1"/>
  <c r="O28" i="33"/>
  <c r="O22" i="33" s="1"/>
  <c r="P32" i="33"/>
  <c r="M77" i="38"/>
  <c r="M71" i="38" s="1"/>
  <c r="N79" i="38"/>
  <c r="N82" i="38"/>
  <c r="L86" i="46"/>
  <c r="L90" i="46" s="1"/>
  <c r="K84" i="46"/>
  <c r="K81" i="46" s="1"/>
  <c r="L89" i="46"/>
  <c r="P45" i="33"/>
  <c r="P48" i="33" s="1"/>
  <c r="O43" i="33"/>
  <c r="O37" i="33" s="1"/>
  <c r="P47" i="33"/>
  <c r="L101" i="46"/>
  <c r="L105" i="46" s="1"/>
  <c r="K99" i="46"/>
  <c r="K96" i="46" s="1"/>
  <c r="L104" i="46"/>
  <c r="M116" i="46"/>
  <c r="M120" i="46" s="1"/>
  <c r="L114" i="46"/>
  <c r="L111" i="46" s="1"/>
  <c r="M119" i="46"/>
  <c r="M71" i="46"/>
  <c r="M75" i="46" s="1"/>
  <c r="L69" i="46"/>
  <c r="L66" i="46" s="1"/>
  <c r="M74" i="46"/>
  <c r="O16" i="38"/>
  <c r="M56" i="46"/>
  <c r="L54" i="46"/>
  <c r="L51" i="46" s="1"/>
  <c r="M59" i="46"/>
  <c r="M41" i="46"/>
  <c r="L39" i="46"/>
  <c r="L36" i="46" s="1"/>
  <c r="M44" i="46"/>
  <c r="L129" i="46"/>
  <c r="L132" i="46" s="1"/>
  <c r="K127" i="46"/>
  <c r="K124" i="46" s="1"/>
  <c r="L131" i="46"/>
  <c r="M13" i="38"/>
  <c r="M7" i="38" s="1"/>
  <c r="N15" i="38"/>
  <c r="N18" i="38"/>
  <c r="M93" i="38"/>
  <c r="M87" i="38" s="1"/>
  <c r="N95" i="38"/>
  <c r="N98" i="38"/>
  <c r="M79" i="46"/>
  <c r="M87" i="46" s="1"/>
  <c r="M109" i="46"/>
  <c r="M49" i="46"/>
  <c r="M57" i="46" s="1"/>
  <c r="M23" i="52" s="1"/>
  <c r="M28" i="52" s="1"/>
  <c r="M34" i="52" s="1"/>
  <c r="M64" i="46"/>
  <c r="M94" i="46"/>
  <c r="M102" i="46" s="1"/>
  <c r="M34" i="46"/>
  <c r="Q31" i="38"/>
  <c r="P29" i="38"/>
  <c r="P23" i="38" s="1"/>
  <c r="Q34" i="38"/>
  <c r="N105" i="33"/>
  <c r="N108" i="33" s="1"/>
  <c r="M103" i="33"/>
  <c r="M97" i="33" s="1"/>
  <c r="M107" i="33" s="1"/>
  <c r="N57" i="46"/>
  <c r="N23" i="52" s="1"/>
  <c r="N28" i="52" s="1"/>
  <c r="N34" i="52" s="1"/>
  <c r="N72" i="46"/>
  <c r="N63" i="38"/>
  <c r="N67" i="38" s="1"/>
  <c r="M61" i="38"/>
  <c r="M55" i="38" s="1"/>
  <c r="N66" i="38"/>
  <c r="K10" i="46"/>
  <c r="K7" i="46" s="1"/>
  <c r="L12" i="46"/>
  <c r="L15" i="46" s="1"/>
  <c r="L14" i="46"/>
  <c r="N90" i="33"/>
  <c r="N93" i="33" s="1"/>
  <c r="M88" i="33"/>
  <c r="M82" i="33" s="1"/>
  <c r="N92" i="33"/>
  <c r="N42" i="46"/>
  <c r="N22" i="52" s="1"/>
  <c r="N27" i="52" s="1"/>
  <c r="N33" i="52" s="1"/>
  <c r="M26" i="46"/>
  <c r="L24" i="46"/>
  <c r="L21" i="46" s="1"/>
  <c r="M29" i="46"/>
  <c r="M109" i="38"/>
  <c r="M103" i="38" s="1"/>
  <c r="N111" i="38"/>
  <c r="N114" i="38"/>
  <c r="L19" i="46"/>
  <c r="L7" i="52" s="1"/>
  <c r="L8" i="52" s="1"/>
  <c r="M13" i="33"/>
  <c r="M7" i="33" s="1"/>
  <c r="K19" i="59" s="1"/>
  <c r="N15" i="33"/>
  <c r="N18" i="33" s="1"/>
  <c r="N17" i="33"/>
  <c r="N75" i="33"/>
  <c r="N78" i="33" s="1"/>
  <c r="M73" i="33"/>
  <c r="M67" i="33" s="1"/>
  <c r="N77" i="33"/>
  <c r="P45" i="38"/>
  <c r="P39" i="38" s="1"/>
  <c r="Q47" i="38"/>
  <c r="Q50" i="38"/>
  <c r="N117" i="46"/>
  <c r="N60" i="33"/>
  <c r="N63" i="33" s="1"/>
  <c r="M58" i="33"/>
  <c r="M52" i="33" s="1"/>
  <c r="N62" i="33"/>
  <c r="N96" i="38" l="1"/>
  <c r="N99" i="38"/>
  <c r="N32" i="52"/>
  <c r="N29" i="52"/>
  <c r="N35" i="52" s="1"/>
  <c r="M30" i="46"/>
  <c r="M11" i="52"/>
  <c r="N112" i="38"/>
  <c r="N115" i="38"/>
  <c r="N16" i="38"/>
  <c r="N19" i="38"/>
  <c r="M45" i="46"/>
  <c r="M12" i="52"/>
  <c r="Q48" i="38"/>
  <c r="Q51" i="38"/>
  <c r="M72" i="46"/>
  <c r="K79" i="59"/>
  <c r="K34" i="59"/>
  <c r="K94" i="59"/>
  <c r="K49" i="59"/>
  <c r="K109" i="59"/>
  <c r="K64" i="59"/>
  <c r="Q32" i="38"/>
  <c r="Q35" i="38"/>
  <c r="N80" i="38"/>
  <c r="N83" i="38"/>
  <c r="M27" i="46"/>
  <c r="M21" i="52" s="1"/>
  <c r="M26" i="52" s="1"/>
  <c r="M117" i="46"/>
  <c r="M60" i="46"/>
  <c r="M13" i="52"/>
  <c r="K99" i="59"/>
  <c r="K96" i="59" s="1"/>
  <c r="L101" i="59"/>
  <c r="L104" i="59"/>
  <c r="L116" i="59"/>
  <c r="K114" i="59"/>
  <c r="K111" i="59" s="1"/>
  <c r="L119" i="59"/>
  <c r="L86" i="59"/>
  <c r="K84" i="59"/>
  <c r="K81" i="59" s="1"/>
  <c r="L89" i="59"/>
  <c r="M117" i="59"/>
  <c r="M120" i="59"/>
  <c r="L129" i="59"/>
  <c r="L132" i="59" s="1"/>
  <c r="K127" i="59"/>
  <c r="K124" i="59" s="1"/>
  <c r="L131" i="59"/>
  <c r="K39" i="59"/>
  <c r="K36" i="59" s="1"/>
  <c r="L41" i="59"/>
  <c r="L44" i="59"/>
  <c r="M57" i="59"/>
  <c r="M60" i="59"/>
  <c r="M87" i="59"/>
  <c r="M90" i="59"/>
  <c r="M27" i="59"/>
  <c r="M30" i="59"/>
  <c r="M42" i="59"/>
  <c r="M45" i="59"/>
  <c r="M72" i="59"/>
  <c r="M75" i="59"/>
  <c r="M102" i="59"/>
  <c r="M105" i="59"/>
  <c r="K10" i="59"/>
  <c r="K7" i="59" s="1"/>
  <c r="L12" i="59"/>
  <c r="L15" i="59" s="1"/>
  <c r="L14" i="59"/>
  <c r="L56" i="59"/>
  <c r="K54" i="59"/>
  <c r="K51" i="59" s="1"/>
  <c r="L59" i="59"/>
  <c r="L71" i="59"/>
  <c r="K69" i="59"/>
  <c r="K66" i="59" s="1"/>
  <c r="L74" i="59"/>
  <c r="L26" i="59"/>
  <c r="K24" i="59"/>
  <c r="K21" i="59" s="1"/>
  <c r="L29" i="59"/>
  <c r="K19" i="46"/>
  <c r="K7" i="52" s="1"/>
  <c r="L13" i="33"/>
  <c r="L7" i="33" s="1"/>
  <c r="M15" i="33"/>
  <c r="M18" i="33" s="1"/>
  <c r="M17" i="33"/>
  <c r="O45" i="33"/>
  <c r="O48" i="33" s="1"/>
  <c r="N43" i="33"/>
  <c r="N37" i="33" s="1"/>
  <c r="O47" i="33"/>
  <c r="M105" i="33"/>
  <c r="M108" i="33" s="1"/>
  <c r="L103" i="33"/>
  <c r="L97" i="33" s="1"/>
  <c r="L107" i="33" s="1"/>
  <c r="L109" i="46"/>
  <c r="L79" i="46"/>
  <c r="L87" i="46" s="1"/>
  <c r="L64" i="46"/>
  <c r="L49" i="46"/>
  <c r="L94" i="46"/>
  <c r="L102" i="46" s="1"/>
  <c r="L34" i="46"/>
  <c r="L109" i="38"/>
  <c r="L103" i="38" s="1"/>
  <c r="M111" i="38"/>
  <c r="M115" i="38" s="1"/>
  <c r="M114" i="38"/>
  <c r="K86" i="46"/>
  <c r="K90" i="46" s="1"/>
  <c r="J84" i="46"/>
  <c r="J81" i="46" s="1"/>
  <c r="K89" i="46"/>
  <c r="K39" i="46"/>
  <c r="K36" i="46" s="1"/>
  <c r="L41" i="46"/>
  <c r="L44" i="46"/>
  <c r="M79" i="38"/>
  <c r="L77" i="38"/>
  <c r="L71" i="38" s="1"/>
  <c r="M82" i="38"/>
  <c r="L61" i="38"/>
  <c r="L55" i="38" s="1"/>
  <c r="M63" i="38"/>
  <c r="M67" i="38" s="1"/>
  <c r="M66" i="38"/>
  <c r="N64" i="38"/>
  <c r="K24" i="46"/>
  <c r="K21" i="46" s="1"/>
  <c r="L26" i="46"/>
  <c r="L29" i="46"/>
  <c r="P47" i="38"/>
  <c r="O45" i="38"/>
  <c r="O39" i="38" s="1"/>
  <c r="P50" i="38"/>
  <c r="K114" i="46"/>
  <c r="K111" i="46" s="1"/>
  <c r="L116" i="46"/>
  <c r="L120" i="46" s="1"/>
  <c r="L119" i="46"/>
  <c r="K12" i="46"/>
  <c r="K15" i="46" s="1"/>
  <c r="J10" i="46"/>
  <c r="J7" i="46" s="1"/>
  <c r="K14" i="46"/>
  <c r="M60" i="33"/>
  <c r="M63" i="33" s="1"/>
  <c r="L58" i="33"/>
  <c r="L52" i="33" s="1"/>
  <c r="M62" i="33"/>
  <c r="L56" i="46"/>
  <c r="K54" i="46"/>
  <c r="K51" i="46" s="1"/>
  <c r="L59" i="46"/>
  <c r="L71" i="46"/>
  <c r="L75" i="46" s="1"/>
  <c r="K69" i="46"/>
  <c r="K66" i="46" s="1"/>
  <c r="L74" i="46"/>
  <c r="L13" i="38"/>
  <c r="L7" i="38" s="1"/>
  <c r="M15" i="38"/>
  <c r="M18" i="38"/>
  <c r="M95" i="38"/>
  <c r="M99" i="38" s="1"/>
  <c r="L93" i="38"/>
  <c r="L87" i="38" s="1"/>
  <c r="M98" i="38"/>
  <c r="M75" i="33"/>
  <c r="M78" i="33" s="1"/>
  <c r="L73" i="33"/>
  <c r="L67" i="33" s="1"/>
  <c r="M77" i="33"/>
  <c r="M90" i="33"/>
  <c r="M93" i="33" s="1"/>
  <c r="L88" i="33"/>
  <c r="L82" i="33" s="1"/>
  <c r="M92" i="33"/>
  <c r="N28" i="33"/>
  <c r="N22" i="33" s="1"/>
  <c r="O30" i="33"/>
  <c r="O33" i="33" s="1"/>
  <c r="O32" i="33"/>
  <c r="P31" i="38"/>
  <c r="O29" i="38"/>
  <c r="O23" i="38" s="1"/>
  <c r="P34" i="38"/>
  <c r="M42" i="46"/>
  <c r="M22" i="52" s="1"/>
  <c r="M27" i="52" s="1"/>
  <c r="M33" i="52" s="1"/>
  <c r="K129" i="46"/>
  <c r="K132" i="46" s="1"/>
  <c r="J127" i="46"/>
  <c r="J124" i="46" s="1"/>
  <c r="K131" i="46"/>
  <c r="J99" i="46"/>
  <c r="J96" i="46" s="1"/>
  <c r="K101" i="46"/>
  <c r="K105" i="46" s="1"/>
  <c r="K104" i="46"/>
  <c r="J19" i="59" l="1"/>
  <c r="M80" i="38"/>
  <c r="M83" i="38"/>
  <c r="P32" i="38"/>
  <c r="P35" i="38"/>
  <c r="M16" i="38"/>
  <c r="M19" i="38"/>
  <c r="L45" i="46"/>
  <c r="L12" i="52"/>
  <c r="L60" i="46"/>
  <c r="L13" i="52"/>
  <c r="P48" i="38"/>
  <c r="P51" i="38"/>
  <c r="L30" i="46"/>
  <c r="L11" i="52"/>
  <c r="L72" i="46"/>
  <c r="M32" i="52"/>
  <c r="M29" i="52"/>
  <c r="M35" i="52" s="1"/>
  <c r="K8" i="52"/>
  <c r="L72" i="59"/>
  <c r="L75" i="59"/>
  <c r="L42" i="59"/>
  <c r="L45" i="59"/>
  <c r="J10" i="59"/>
  <c r="J7" i="59" s="1"/>
  <c r="K12" i="59"/>
  <c r="K15" i="59" s="1"/>
  <c r="K14" i="59"/>
  <c r="K86" i="59"/>
  <c r="J84" i="59"/>
  <c r="J81" i="59" s="1"/>
  <c r="K89" i="59"/>
  <c r="K41" i="59"/>
  <c r="J39" i="59"/>
  <c r="J36" i="59" s="1"/>
  <c r="K44" i="59"/>
  <c r="J24" i="59"/>
  <c r="J21" i="59" s="1"/>
  <c r="K26" i="59"/>
  <c r="K29" i="59"/>
  <c r="L27" i="59"/>
  <c r="L30" i="59"/>
  <c r="K116" i="59"/>
  <c r="J114" i="59"/>
  <c r="J111" i="59" s="1"/>
  <c r="K119" i="59"/>
  <c r="K56" i="59"/>
  <c r="J54" i="59"/>
  <c r="J51" i="59" s="1"/>
  <c r="K59" i="59"/>
  <c r="L102" i="59"/>
  <c r="L105" i="59"/>
  <c r="K129" i="59"/>
  <c r="K132" i="59" s="1"/>
  <c r="J127" i="59"/>
  <c r="J124" i="59" s="1"/>
  <c r="K131" i="59"/>
  <c r="L87" i="59"/>
  <c r="L90" i="59"/>
  <c r="K71" i="59"/>
  <c r="J69" i="59"/>
  <c r="J66" i="59" s="1"/>
  <c r="K74" i="59"/>
  <c r="L117" i="59"/>
  <c r="L120" i="59"/>
  <c r="L57" i="59"/>
  <c r="L60" i="59"/>
  <c r="J99" i="59"/>
  <c r="J96" i="59" s="1"/>
  <c r="K101" i="59"/>
  <c r="K104" i="59"/>
  <c r="K77" i="38"/>
  <c r="K71" i="38" s="1"/>
  <c r="L79" i="38"/>
  <c r="L83" i="38" s="1"/>
  <c r="L82" i="38"/>
  <c r="K116" i="46"/>
  <c r="K120" i="46" s="1"/>
  <c r="J114" i="46"/>
  <c r="J111" i="46" s="1"/>
  <c r="K119" i="46"/>
  <c r="K71" i="46"/>
  <c r="K75" i="46" s="1"/>
  <c r="J69" i="46"/>
  <c r="J66" i="46" s="1"/>
  <c r="K74" i="46"/>
  <c r="K88" i="33"/>
  <c r="K82" i="33" s="1"/>
  <c r="L90" i="33"/>
  <c r="L93" i="33" s="1"/>
  <c r="L92" i="33"/>
  <c r="L15" i="38"/>
  <c r="K13" i="38"/>
  <c r="K7" i="38" s="1"/>
  <c r="L18" i="38"/>
  <c r="J39" i="46"/>
  <c r="J36" i="46" s="1"/>
  <c r="K41" i="46"/>
  <c r="K44" i="46"/>
  <c r="O47" i="38"/>
  <c r="N45" i="38"/>
  <c r="N39" i="38" s="1"/>
  <c r="O50" i="38"/>
  <c r="K109" i="38"/>
  <c r="K103" i="38" s="1"/>
  <c r="L111" i="38"/>
  <c r="L115" i="38" s="1"/>
  <c r="L114" i="38"/>
  <c r="M28" i="33"/>
  <c r="M22" i="33" s="1"/>
  <c r="N30" i="33"/>
  <c r="N33" i="33" s="1"/>
  <c r="N32" i="33"/>
  <c r="J86" i="46"/>
  <c r="J90" i="46" s="1"/>
  <c r="I84" i="46"/>
  <c r="I81" i="46" s="1"/>
  <c r="J89" i="46"/>
  <c r="M64" i="38"/>
  <c r="L42" i="46"/>
  <c r="L22" i="52" s="1"/>
  <c r="L27" i="52" s="1"/>
  <c r="L33" i="52" s="1"/>
  <c r="L117" i="46"/>
  <c r="J101" i="46"/>
  <c r="J105" i="46" s="1"/>
  <c r="I99" i="46"/>
  <c r="I96" i="46" s="1"/>
  <c r="J104" i="46"/>
  <c r="K26" i="46"/>
  <c r="J24" i="46"/>
  <c r="J21" i="46" s="1"/>
  <c r="K29" i="46"/>
  <c r="M43" i="33"/>
  <c r="M37" i="33" s="1"/>
  <c r="N45" i="33"/>
  <c r="N48" i="33" s="1"/>
  <c r="N47" i="33"/>
  <c r="M96" i="38"/>
  <c r="K61" i="38"/>
  <c r="K55" i="38" s="1"/>
  <c r="L63" i="38"/>
  <c r="L67" i="38" s="1"/>
  <c r="L66" i="38"/>
  <c r="L27" i="46"/>
  <c r="L21" i="52" s="1"/>
  <c r="L26" i="52" s="1"/>
  <c r="K56" i="46"/>
  <c r="J54" i="46"/>
  <c r="J51" i="46" s="1"/>
  <c r="K59" i="46"/>
  <c r="I127" i="46"/>
  <c r="I124" i="46" s="1"/>
  <c r="J129" i="46"/>
  <c r="J132" i="46" s="1"/>
  <c r="J131" i="46"/>
  <c r="L60" i="33"/>
  <c r="L63" i="33" s="1"/>
  <c r="K58" i="33"/>
  <c r="K52" i="33" s="1"/>
  <c r="L62" i="33"/>
  <c r="L95" i="38"/>
  <c r="L99" i="38" s="1"/>
  <c r="K93" i="38"/>
  <c r="K87" i="38" s="1"/>
  <c r="L98" i="38"/>
  <c r="J19" i="46"/>
  <c r="J7" i="52" s="1"/>
  <c r="J8" i="52" s="1"/>
  <c r="K13" i="33"/>
  <c r="K7" i="33" s="1"/>
  <c r="L15" i="33"/>
  <c r="L18" i="33" s="1"/>
  <c r="L17" i="33"/>
  <c r="L105" i="33"/>
  <c r="L108" i="33" s="1"/>
  <c r="K103" i="33"/>
  <c r="K97" i="33" s="1"/>
  <c r="K107" i="33" s="1"/>
  <c r="L75" i="33"/>
  <c r="L78" i="33" s="1"/>
  <c r="K73" i="33"/>
  <c r="K67" i="33" s="1"/>
  <c r="L77" i="33"/>
  <c r="M112" i="38"/>
  <c r="O31" i="38"/>
  <c r="N29" i="38"/>
  <c r="N23" i="38" s="1"/>
  <c r="O34" i="38"/>
  <c r="J12" i="46"/>
  <c r="J15" i="46" s="1"/>
  <c r="I10" i="46"/>
  <c r="I7" i="46" s="1"/>
  <c r="J14" i="46"/>
  <c r="L57" i="46"/>
  <c r="L23" i="52" s="1"/>
  <c r="L28" i="52" s="1"/>
  <c r="L34" i="52" s="1"/>
  <c r="K109" i="46"/>
  <c r="K34" i="46"/>
  <c r="K79" i="46"/>
  <c r="K87" i="46" s="1"/>
  <c r="K64" i="46"/>
  <c r="K72" i="46" s="1"/>
  <c r="K49" i="46"/>
  <c r="K57" i="46" s="1"/>
  <c r="K23" i="52" s="1"/>
  <c r="K28" i="52" s="1"/>
  <c r="K34" i="52" s="1"/>
  <c r="K94" i="46"/>
  <c r="K102" i="46" s="1"/>
  <c r="O48" i="38" l="1"/>
  <c r="O51" i="38"/>
  <c r="L29" i="52"/>
  <c r="L35" i="52" s="1"/>
  <c r="L32" i="52"/>
  <c r="K60" i="46"/>
  <c r="K13" i="52"/>
  <c r="K45" i="46"/>
  <c r="K12" i="52"/>
  <c r="K42" i="46"/>
  <c r="K22" i="52" s="1"/>
  <c r="K27" i="52" s="1"/>
  <c r="K33" i="52" s="1"/>
  <c r="I19" i="59"/>
  <c r="K117" i="46"/>
  <c r="L16" i="38"/>
  <c r="L19" i="38"/>
  <c r="O32" i="38"/>
  <c r="O35" i="38"/>
  <c r="K30" i="46"/>
  <c r="K11" i="52"/>
  <c r="J49" i="59"/>
  <c r="J64" i="59"/>
  <c r="J79" i="59"/>
  <c r="J94" i="59"/>
  <c r="J109" i="59"/>
  <c r="J34" i="59"/>
  <c r="J26" i="59"/>
  <c r="I24" i="59"/>
  <c r="I21" i="59" s="1"/>
  <c r="J29" i="59"/>
  <c r="J41" i="59"/>
  <c r="I39" i="59"/>
  <c r="I36" i="59" s="1"/>
  <c r="J44" i="59"/>
  <c r="K27" i="59"/>
  <c r="K30" i="59"/>
  <c r="K72" i="59"/>
  <c r="K75" i="59"/>
  <c r="J129" i="59"/>
  <c r="J132" i="59" s="1"/>
  <c r="I127" i="59"/>
  <c r="I124" i="59" s="1"/>
  <c r="J131" i="59"/>
  <c r="J86" i="59"/>
  <c r="I84" i="59"/>
  <c r="I81" i="59" s="1"/>
  <c r="J89" i="59"/>
  <c r="I54" i="59"/>
  <c r="I51" i="59" s="1"/>
  <c r="J56" i="59"/>
  <c r="J59" i="59"/>
  <c r="K117" i="59"/>
  <c r="K120" i="59"/>
  <c r="K42" i="59"/>
  <c r="K45" i="59"/>
  <c r="K87" i="59"/>
  <c r="K90" i="59"/>
  <c r="J101" i="59"/>
  <c r="I99" i="59"/>
  <c r="I96" i="59" s="1"/>
  <c r="J104" i="59"/>
  <c r="I10" i="59"/>
  <c r="I7" i="59" s="1"/>
  <c r="J12" i="59"/>
  <c r="J15" i="59" s="1"/>
  <c r="J14" i="59"/>
  <c r="K102" i="59"/>
  <c r="K105" i="59"/>
  <c r="K57" i="59"/>
  <c r="K60" i="59"/>
  <c r="J116" i="59"/>
  <c r="I114" i="59"/>
  <c r="I111" i="59" s="1"/>
  <c r="J119" i="59"/>
  <c r="J71" i="59"/>
  <c r="I69" i="59"/>
  <c r="I66" i="59" s="1"/>
  <c r="J74" i="59"/>
  <c r="K75" i="33"/>
  <c r="K78" i="33" s="1"/>
  <c r="J73" i="33"/>
  <c r="J67" i="33" s="1"/>
  <c r="K77" i="33"/>
  <c r="N47" i="38"/>
  <c r="M45" i="38"/>
  <c r="M39" i="38" s="1"/>
  <c r="N50" i="38"/>
  <c r="I114" i="46"/>
  <c r="I111" i="46" s="1"/>
  <c r="J116" i="46"/>
  <c r="J120" i="46" s="1"/>
  <c r="J119" i="46"/>
  <c r="J58" i="33"/>
  <c r="J52" i="33" s="1"/>
  <c r="K60" i="33"/>
  <c r="K63" i="33" s="1"/>
  <c r="K62" i="33"/>
  <c r="L112" i="38"/>
  <c r="K111" i="38"/>
  <c r="K115" i="38" s="1"/>
  <c r="J109" i="38"/>
  <c r="J103" i="38" s="1"/>
  <c r="K114" i="38"/>
  <c r="J56" i="46"/>
  <c r="I54" i="46"/>
  <c r="I51" i="46" s="1"/>
  <c r="J59" i="46"/>
  <c r="J88" i="33"/>
  <c r="J82" i="33" s="1"/>
  <c r="K90" i="33"/>
  <c r="K93" i="33" s="1"/>
  <c r="K92" i="33"/>
  <c r="I12" i="46"/>
  <c r="I15" i="46" s="1"/>
  <c r="H10" i="46"/>
  <c r="H7" i="46" s="1"/>
  <c r="I14" i="46"/>
  <c r="I101" i="46"/>
  <c r="I105" i="46" s="1"/>
  <c r="H99" i="46"/>
  <c r="H96" i="46" s="1"/>
  <c r="I104" i="46"/>
  <c r="L64" i="38"/>
  <c r="K15" i="38"/>
  <c r="K19" i="38" s="1"/>
  <c r="J13" i="38"/>
  <c r="J7" i="38" s="1"/>
  <c r="K18" i="38"/>
  <c r="L43" i="33"/>
  <c r="L37" i="33" s="1"/>
  <c r="M45" i="33"/>
  <c r="M48" i="33" s="1"/>
  <c r="M47" i="33"/>
  <c r="J26" i="46"/>
  <c r="I24" i="46"/>
  <c r="I21" i="46" s="1"/>
  <c r="J29" i="46"/>
  <c r="I69" i="46"/>
  <c r="I66" i="46" s="1"/>
  <c r="J71" i="46"/>
  <c r="J75" i="46" s="1"/>
  <c r="J74" i="46"/>
  <c r="K95" i="38"/>
  <c r="K99" i="38" s="1"/>
  <c r="J93" i="38"/>
  <c r="J87" i="38" s="1"/>
  <c r="K98" i="38"/>
  <c r="J61" i="38"/>
  <c r="J55" i="38" s="1"/>
  <c r="K63" i="38"/>
  <c r="K67" i="38" s="1"/>
  <c r="K66" i="38"/>
  <c r="I86" i="46"/>
  <c r="I90" i="46" s="1"/>
  <c r="H84" i="46"/>
  <c r="H81" i="46" s="1"/>
  <c r="I89" i="46"/>
  <c r="I39" i="46"/>
  <c r="I36" i="46" s="1"/>
  <c r="J41" i="46"/>
  <c r="J44" i="46"/>
  <c r="L28" i="33"/>
  <c r="L22" i="33" s="1"/>
  <c r="M30" i="33"/>
  <c r="M33" i="33" s="1"/>
  <c r="M32" i="33"/>
  <c r="J103" i="33"/>
  <c r="J97" i="33" s="1"/>
  <c r="J107" i="33" s="1"/>
  <c r="K105" i="33"/>
  <c r="K108" i="33" s="1"/>
  <c r="H127" i="46"/>
  <c r="H124" i="46" s="1"/>
  <c r="I129" i="46"/>
  <c r="I132" i="46" s="1"/>
  <c r="I131" i="46"/>
  <c r="I19" i="46"/>
  <c r="I7" i="52" s="1"/>
  <c r="I8" i="52" s="1"/>
  <c r="J13" i="33"/>
  <c r="J7" i="33" s="1"/>
  <c r="H19" i="59" s="1"/>
  <c r="K15" i="33"/>
  <c r="K18" i="33" s="1"/>
  <c r="K17" i="33"/>
  <c r="J109" i="46"/>
  <c r="J79" i="46"/>
  <c r="J87" i="46" s="1"/>
  <c r="J34" i="46"/>
  <c r="J64" i="46"/>
  <c r="J94" i="46"/>
  <c r="J102" i="46" s="1"/>
  <c r="J49" i="46"/>
  <c r="J57" i="46" s="1"/>
  <c r="J23" i="52" s="1"/>
  <c r="J28" i="52" s="1"/>
  <c r="J34" i="52" s="1"/>
  <c r="N31" i="38"/>
  <c r="M29" i="38"/>
  <c r="M23" i="38" s="1"/>
  <c r="N34" i="38"/>
  <c r="K27" i="46"/>
  <c r="K21" i="52" s="1"/>
  <c r="K26" i="52" s="1"/>
  <c r="L96" i="38"/>
  <c r="L80" i="38"/>
  <c r="K79" i="38"/>
  <c r="J77" i="38"/>
  <c r="J71" i="38" s="1"/>
  <c r="K82" i="38"/>
  <c r="H49" i="59" l="1"/>
  <c r="H34" i="59"/>
  <c r="H109" i="59"/>
  <c r="H79" i="59"/>
  <c r="H64" i="59"/>
  <c r="H94" i="59"/>
  <c r="K29" i="52"/>
  <c r="K35" i="52" s="1"/>
  <c r="K32" i="52"/>
  <c r="I64" i="59"/>
  <c r="I49" i="59"/>
  <c r="I79" i="59"/>
  <c r="I94" i="59"/>
  <c r="I34" i="59"/>
  <c r="I109" i="59"/>
  <c r="N48" i="38"/>
  <c r="N51" i="38"/>
  <c r="K80" i="38"/>
  <c r="K83" i="38"/>
  <c r="N32" i="38"/>
  <c r="N35" i="38"/>
  <c r="J30" i="46"/>
  <c r="J11" i="52"/>
  <c r="J45" i="46"/>
  <c r="J12" i="52"/>
  <c r="J117" i="46"/>
  <c r="J60" i="46"/>
  <c r="J13" i="52"/>
  <c r="H84" i="59"/>
  <c r="H81" i="59" s="1"/>
  <c r="I86" i="59"/>
  <c r="I89" i="59"/>
  <c r="I129" i="59"/>
  <c r="I132" i="59" s="1"/>
  <c r="H127" i="59"/>
  <c r="H124" i="59" s="1"/>
  <c r="I131" i="59"/>
  <c r="I116" i="59"/>
  <c r="H114" i="59"/>
  <c r="H111" i="59" s="1"/>
  <c r="I119" i="59"/>
  <c r="J90" i="59"/>
  <c r="J87" i="59"/>
  <c r="I71" i="59"/>
  <c r="H69" i="59"/>
  <c r="H66" i="59" s="1"/>
  <c r="I74" i="59"/>
  <c r="J45" i="59"/>
  <c r="J42" i="59"/>
  <c r="H10" i="59"/>
  <c r="H7" i="59" s="1"/>
  <c r="I12" i="59"/>
  <c r="I15" i="59" s="1"/>
  <c r="I14" i="59"/>
  <c r="J72" i="59"/>
  <c r="J75" i="59"/>
  <c r="J102" i="59"/>
  <c r="J105" i="59"/>
  <c r="I41" i="59"/>
  <c r="H39" i="59"/>
  <c r="H36" i="59" s="1"/>
  <c r="I44" i="59"/>
  <c r="J57" i="59"/>
  <c r="J60" i="59"/>
  <c r="I26" i="59"/>
  <c r="H24" i="59"/>
  <c r="H21" i="59" s="1"/>
  <c r="I29" i="59"/>
  <c r="H99" i="59"/>
  <c r="H96" i="59" s="1"/>
  <c r="I101" i="59"/>
  <c r="I104" i="59"/>
  <c r="J120" i="59"/>
  <c r="J117" i="59"/>
  <c r="I56" i="59"/>
  <c r="H54" i="59"/>
  <c r="H51" i="59" s="1"/>
  <c r="I59" i="59"/>
  <c r="J27" i="59"/>
  <c r="J30" i="59"/>
  <c r="L30" i="33"/>
  <c r="L33" i="33" s="1"/>
  <c r="K28" i="33"/>
  <c r="K22" i="33" s="1"/>
  <c r="L32" i="33"/>
  <c r="H39" i="46"/>
  <c r="H36" i="46" s="1"/>
  <c r="I41" i="46"/>
  <c r="I44" i="46"/>
  <c r="H69" i="46"/>
  <c r="H66" i="46" s="1"/>
  <c r="I71" i="46"/>
  <c r="I75" i="46" s="1"/>
  <c r="I74" i="46"/>
  <c r="H24" i="46"/>
  <c r="H21" i="46" s="1"/>
  <c r="I26" i="46"/>
  <c r="I29" i="46"/>
  <c r="H19" i="46"/>
  <c r="H7" i="52" s="1"/>
  <c r="J15" i="33"/>
  <c r="J18" i="33" s="1"/>
  <c r="J17" i="33"/>
  <c r="I109" i="46"/>
  <c r="I94" i="46"/>
  <c r="I102" i="46" s="1"/>
  <c r="I79" i="46"/>
  <c r="I87" i="46" s="1"/>
  <c r="I64" i="46"/>
  <c r="I49" i="46"/>
  <c r="I34" i="46"/>
  <c r="I42" i="46" s="1"/>
  <c r="I22" i="52" s="1"/>
  <c r="I27" i="52" s="1"/>
  <c r="I116" i="46"/>
  <c r="I120" i="46" s="1"/>
  <c r="H114" i="46"/>
  <c r="H111" i="46" s="1"/>
  <c r="I119" i="46"/>
  <c r="I56" i="46"/>
  <c r="H54" i="46"/>
  <c r="H51" i="46" s="1"/>
  <c r="I59" i="46"/>
  <c r="L45" i="38"/>
  <c r="L39" i="38" s="1"/>
  <c r="M47" i="38"/>
  <c r="M50" i="38"/>
  <c r="H12" i="46"/>
  <c r="H15" i="46" s="1"/>
  <c r="AD9" i="46"/>
  <c r="H14" i="46"/>
  <c r="AD10" i="46"/>
  <c r="J63" i="38"/>
  <c r="J67" i="38" s="1"/>
  <c r="J66" i="38"/>
  <c r="J90" i="33"/>
  <c r="J93" i="33" s="1"/>
  <c r="J92" i="33"/>
  <c r="H129" i="46"/>
  <c r="H132" i="46" s="1"/>
  <c r="H131" i="46"/>
  <c r="K43" i="33"/>
  <c r="K37" i="33" s="1"/>
  <c r="L45" i="33"/>
  <c r="L48" i="33" s="1"/>
  <c r="L47" i="33"/>
  <c r="K64" i="38"/>
  <c r="J27" i="46"/>
  <c r="J21" i="52" s="1"/>
  <c r="J26" i="52" s="1"/>
  <c r="K16" i="38"/>
  <c r="J79" i="38"/>
  <c r="J83" i="38" s="1"/>
  <c r="J82" i="38"/>
  <c r="J60" i="33"/>
  <c r="J63" i="33" s="1"/>
  <c r="J62" i="33"/>
  <c r="H86" i="46"/>
  <c r="H90" i="46" s="1"/>
  <c r="H89" i="46"/>
  <c r="J15" i="38"/>
  <c r="J19" i="38" s="1"/>
  <c r="J18" i="38"/>
  <c r="J95" i="38"/>
  <c r="J99" i="38" s="1"/>
  <c r="J98" i="38"/>
  <c r="J111" i="38"/>
  <c r="J115" i="38" s="1"/>
  <c r="J114" i="38"/>
  <c r="J75" i="33"/>
  <c r="J78" i="33" s="1"/>
  <c r="J77" i="33"/>
  <c r="H101" i="46"/>
  <c r="H105" i="46" s="1"/>
  <c r="H104" i="46"/>
  <c r="L29" i="38"/>
  <c r="L23" i="38" s="1"/>
  <c r="M31" i="38"/>
  <c r="M34" i="38"/>
  <c r="J105" i="33"/>
  <c r="J108" i="33" s="1"/>
  <c r="J72" i="46"/>
  <c r="J42" i="46"/>
  <c r="J22" i="52" s="1"/>
  <c r="J27" i="52" s="1"/>
  <c r="J33" i="52" s="1"/>
  <c r="K96" i="38"/>
  <c r="K112" i="38"/>
  <c r="I33" i="52" l="1"/>
  <c r="I30" i="46"/>
  <c r="I11" i="52"/>
  <c r="I45" i="46"/>
  <c r="I12" i="52"/>
  <c r="I60" i="46"/>
  <c r="I13" i="52"/>
  <c r="M32" i="38"/>
  <c r="M35" i="38"/>
  <c r="J29" i="52"/>
  <c r="J35" i="52" s="1"/>
  <c r="J32" i="52"/>
  <c r="M48" i="38"/>
  <c r="M51" i="38"/>
  <c r="H8" i="52"/>
  <c r="H26" i="59"/>
  <c r="H29" i="59"/>
  <c r="H101" i="59"/>
  <c r="H104" i="59"/>
  <c r="H71" i="59"/>
  <c r="H74" i="59"/>
  <c r="H41" i="59"/>
  <c r="H44" i="59"/>
  <c r="I72" i="59"/>
  <c r="I75" i="59"/>
  <c r="H116" i="59"/>
  <c r="H119" i="59"/>
  <c r="H56" i="59"/>
  <c r="H59" i="59"/>
  <c r="H129" i="59"/>
  <c r="H132" i="59" s="1"/>
  <c r="H131" i="59"/>
  <c r="I90" i="59"/>
  <c r="I87" i="59"/>
  <c r="I27" i="59"/>
  <c r="I30" i="59"/>
  <c r="I45" i="59"/>
  <c r="I42" i="59"/>
  <c r="I117" i="59"/>
  <c r="I120" i="59"/>
  <c r="I57" i="59"/>
  <c r="I60" i="59"/>
  <c r="I105" i="59"/>
  <c r="I102" i="59"/>
  <c r="H12" i="59"/>
  <c r="H15" i="59" s="1"/>
  <c r="AD10" i="59"/>
  <c r="AD9" i="59"/>
  <c r="H14" i="59"/>
  <c r="H86" i="59"/>
  <c r="H89" i="59"/>
  <c r="H56" i="46"/>
  <c r="H59" i="46"/>
  <c r="K45" i="38"/>
  <c r="K39" i="38" s="1"/>
  <c r="L47" i="38"/>
  <c r="L50" i="38"/>
  <c r="J64" i="38"/>
  <c r="H64" i="46"/>
  <c r="H79" i="46"/>
  <c r="H87" i="46" s="1"/>
  <c r="H94" i="46"/>
  <c r="H102" i="46" s="1"/>
  <c r="H34" i="46"/>
  <c r="H42" i="46" s="1"/>
  <c r="H22" i="52" s="1"/>
  <c r="H27" i="52" s="1"/>
  <c r="H27" i="46"/>
  <c r="H21" i="52" s="1"/>
  <c r="H49" i="46"/>
  <c r="H57" i="46" s="1"/>
  <c r="H23" i="52" s="1"/>
  <c r="H28" i="52" s="1"/>
  <c r="H109" i="46"/>
  <c r="H117" i="46" s="1"/>
  <c r="J43" i="33"/>
  <c r="J37" i="33" s="1"/>
  <c r="K45" i="33"/>
  <c r="K48" i="33" s="1"/>
  <c r="K47" i="33"/>
  <c r="I72" i="46"/>
  <c r="H41" i="46"/>
  <c r="H44" i="46"/>
  <c r="L31" i="38"/>
  <c r="K29" i="38"/>
  <c r="K23" i="38" s="1"/>
  <c r="L34" i="38"/>
  <c r="J112" i="38"/>
  <c r="H116" i="46"/>
  <c r="H120" i="46" s="1"/>
  <c r="H119" i="46"/>
  <c r="J16" i="38"/>
  <c r="I27" i="46"/>
  <c r="I21" i="52" s="1"/>
  <c r="I26" i="52" s="1"/>
  <c r="I32" i="52" s="1"/>
  <c r="J80" i="38"/>
  <c r="I57" i="46"/>
  <c r="I23" i="52" s="1"/>
  <c r="I28" i="52" s="1"/>
  <c r="I34" i="52" s="1"/>
  <c r="I117" i="46"/>
  <c r="K30" i="33"/>
  <c r="K33" i="33" s="1"/>
  <c r="J28" i="33"/>
  <c r="J22" i="33" s="1"/>
  <c r="K32" i="33"/>
  <c r="H26" i="46"/>
  <c r="H29" i="46"/>
  <c r="H71" i="46"/>
  <c r="H75" i="46" s="1"/>
  <c r="H74" i="46"/>
  <c r="J96" i="38"/>
  <c r="C35" i="56" l="1"/>
  <c r="H26" i="52"/>
  <c r="H34" i="52"/>
  <c r="H33" i="52"/>
  <c r="L32" i="38"/>
  <c r="L35" i="38"/>
  <c r="H45" i="46"/>
  <c r="H12" i="52"/>
  <c r="H60" i="46"/>
  <c r="H13" i="52"/>
  <c r="L48" i="38"/>
  <c r="L51" i="38"/>
  <c r="H30" i="46"/>
  <c r="H11" i="52"/>
  <c r="I29" i="52"/>
  <c r="I35" i="52" s="1"/>
  <c r="H45" i="59"/>
  <c r="H42" i="59"/>
  <c r="H102" i="59"/>
  <c r="H105" i="59"/>
  <c r="H60" i="59"/>
  <c r="H57" i="59"/>
  <c r="H120" i="59"/>
  <c r="H117" i="59"/>
  <c r="H72" i="59"/>
  <c r="H75" i="59"/>
  <c r="H87" i="59"/>
  <c r="H90" i="59"/>
  <c r="H27" i="59"/>
  <c r="H30" i="59"/>
  <c r="J45" i="33"/>
  <c r="J48" i="33" s="1"/>
  <c r="J47" i="33"/>
  <c r="H72" i="46"/>
  <c r="J45" i="38"/>
  <c r="J39" i="38" s="1"/>
  <c r="K47" i="38"/>
  <c r="K50" i="38"/>
  <c r="J30" i="33"/>
  <c r="J33" i="33" s="1"/>
  <c r="J32" i="33"/>
  <c r="AF28" i="33"/>
  <c r="AF27" i="33"/>
  <c r="K31" i="38"/>
  <c r="J29" i="38"/>
  <c r="J23" i="38" s="1"/>
  <c r="K34" i="38"/>
  <c r="K32" i="38" l="1"/>
  <c r="K35" i="38"/>
  <c r="H29" i="52"/>
  <c r="H35" i="52" s="1"/>
  <c r="H32" i="52"/>
  <c r="K48" i="38"/>
  <c r="K51" i="38"/>
  <c r="J31" i="38"/>
  <c r="J34" i="38"/>
  <c r="J47" i="38"/>
  <c r="J50" i="38"/>
  <c r="J48" i="38" l="1"/>
  <c r="J51" i="38"/>
  <c r="J32" i="38"/>
  <c r="AF32" i="38" s="1"/>
  <c r="J35" i="38"/>
  <c r="C10" i="60" l="1"/>
  <c r="C60" i="60"/>
  <c r="C7" i="60"/>
  <c r="C59" i="60" s="1"/>
  <c r="C16" i="60" l="1"/>
  <c r="C18" i="60" s="1"/>
  <c r="C26" i="60"/>
  <c r="C28" i="60" s="1"/>
  <c r="C29" i="60" s="1"/>
  <c r="C30" i="60" s="1"/>
  <c r="E26" i="60"/>
  <c r="E28" i="60" s="1"/>
  <c r="E48" i="60" s="1"/>
  <c r="E50" i="60" s="1"/>
  <c r="D34" i="60"/>
  <c r="E35" i="60"/>
  <c r="D35" i="60"/>
  <c r="D33" i="60"/>
  <c r="E34" i="60"/>
  <c r="E33" i="60"/>
  <c r="D26" i="60"/>
  <c r="D28" i="60" s="1"/>
  <c r="E51" i="60" l="1"/>
  <c r="E53" i="60" s="1"/>
  <c r="E54" i="60" s="1"/>
  <c r="C160" i="61"/>
  <c r="D160" i="61"/>
  <c r="C93" i="61"/>
  <c r="E39" i="60"/>
  <c r="E44" i="60" s="1"/>
  <c r="E40" i="60"/>
  <c r="E45" i="60" s="1"/>
  <c r="D40" i="60"/>
  <c r="D38" i="60"/>
  <c r="D43" i="60" s="1"/>
  <c r="D39" i="60"/>
  <c r="E38" i="60"/>
  <c r="E43" i="60" s="1"/>
  <c r="D29" i="60"/>
  <c r="D30" i="60" s="1"/>
  <c r="D45" i="60"/>
  <c r="D48" i="60"/>
  <c r="D50" i="60" s="1"/>
  <c r="D51" i="60" s="1"/>
  <c r="D53" i="60" s="1"/>
  <c r="D54" i="60" s="1"/>
  <c r="D44" i="60"/>
  <c r="E29" i="60"/>
  <c r="E30" i="60" s="1"/>
  <c r="D155" i="61" l="1"/>
  <c r="D191" i="61"/>
  <c r="C100" i="61" s="1"/>
  <c r="C95" i="61"/>
  <c r="C161" i="61"/>
  <c r="C130" i="61"/>
  <c r="C137" i="61"/>
  <c r="D108" i="64" s="1"/>
  <c r="D204" i="61"/>
  <c r="D87" i="61" s="1"/>
  <c r="D88" i="64" s="1"/>
  <c r="C78" i="61"/>
  <c r="C81" i="61" s="1"/>
  <c r="C99" i="61" l="1"/>
  <c r="D26" i="64"/>
  <c r="E108" i="64"/>
  <c r="D116" i="64"/>
  <c r="E116" i="64" s="1"/>
  <c r="D90" i="64"/>
  <c r="E90" i="64" s="1"/>
  <c r="E88" i="64"/>
  <c r="C121" i="61"/>
  <c r="D117" i="61" s="1"/>
  <c r="C134" i="61"/>
  <c r="D105" i="64" s="1"/>
  <c r="C135" i="61"/>
  <c r="D106" i="64" s="1"/>
  <c r="D81" i="61"/>
  <c r="C162" i="61"/>
  <c r="C181" i="61"/>
  <c r="D27" i="64" l="1"/>
  <c r="E27" i="64" s="1"/>
  <c r="E26" i="64"/>
  <c r="E105" i="64"/>
  <c r="D113" i="64"/>
  <c r="E113" i="64" s="1"/>
  <c r="E106" i="64"/>
  <c r="D114" i="64"/>
  <c r="E114" i="64" s="1"/>
  <c r="D118" i="61"/>
  <c r="D81" i="64"/>
  <c r="D91" i="64" s="1"/>
  <c r="D148" i="61"/>
  <c r="D84" i="61"/>
  <c r="D154" i="61" s="1"/>
  <c r="D86" i="61"/>
  <c r="D85" i="64" s="1"/>
  <c r="D119" i="61"/>
  <c r="D120" i="61"/>
  <c r="D162" i="61"/>
  <c r="D85" i="61"/>
  <c r="C85" i="61"/>
  <c r="C84" i="61"/>
  <c r="D87" i="64" l="1"/>
  <c r="E87" i="64" s="1"/>
  <c r="E85" i="64"/>
  <c r="D84" i="64"/>
  <c r="D83" i="64"/>
  <c r="E83" i="64" s="1"/>
  <c r="D100" i="64"/>
  <c r="E81" i="64"/>
  <c r="D121" i="6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<sst xmlns="http://schemas.openxmlformats.org/spreadsheetml/2006/main" count="26244" uniqueCount="2749">
  <si>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</si>
  <si>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</si>
  <si>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</si>
  <si>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</si>
  <si>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</si>
  <si>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</si>
  <si>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</si>
  <si>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</si>
  <si>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</si>
  <si>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</si>
  <si>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</si>
  <si>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</si>
  <si>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</si>
  <si>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</si>
  <si>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</si>
  <si>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</si>
  <si>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</si>
  <si>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</si>
  <si>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</si>
  <si>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</si>
  <si>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</si>
  <si>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</si>
  <si>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</si>
  <si>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</si>
  <si>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</si>
  <si>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</si>
  <si>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</si>
  <si>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</si>
  <si>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</si>
  <si>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</si>
  <si>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</si>
  <si>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</si>
  <si>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</si>
  <si>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</si>
  <si>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</si>
  <si>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</si>
  <si>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</si>
  <si>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</si>
  <si>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</si>
  <si>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</si>
  <si>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</si>
  <si>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</si>
  <si>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</si>
  <si>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</si>
  <si>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</si>
  <si>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</si>
  <si>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</si>
  <si>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</si>
  <si>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</si>
  <si>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</si>
  <si>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</si>
  <si>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</si>
  <si>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</si>
  <si>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</si>
  <si>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</si>
  <si>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</si>
  <si>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</si>
  <si>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</si>
  <si>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</si>
  <si>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</si>
  <si>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</si>
  <si>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</si>
  <si>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</si>
  <si>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</si>
  <si>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</si>
  <si>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</si>
  <si>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</si>
  <si>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</si>
  <si>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</si>
  <si>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</si>
  <si>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</si>
  <si>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</si>
  <si>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</si>
  <si>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</si>
  <si>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</si>
  <si>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</si>
  <si>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</si>
  <si>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</si>
  <si>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</si>
  <si>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</si>
  <si>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</si>
  <si>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</si>
  <si>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</si>
  <si>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</si>
  <si>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</si>
  <si>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</si>
  <si>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</si>
  <si>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</si>
  <si>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</si>
  <si>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</si>
  <si>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</si>
  <si>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</si>
  <si>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</si>
  <si>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</si>
  <si>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</si>
  <si>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</si>
  <si>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</si>
  <si>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</si>
  <si>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</si>
  <si>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</si>
  <si>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</si>
  <si>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</si>
  <si>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</si>
  <si>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</si>
  <si>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</si>
  <si>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</si>
  <si>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</si>
  <si>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</si>
  <si>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</si>
  <si>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</si>
  <si>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</si>
  <si>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</si>
  <si>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</si>
  <si>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</si>
  <si>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</si>
  <si>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</si>
  <si>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</si>
  <si>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</si>
  <si>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</si>
  <si>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</si>
  <si>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</si>
  <si>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</si>
  <si>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</si>
  <si>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</si>
  <si>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</si>
  <si>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</si>
  <si>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</si>
  <si>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</si>
  <si>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</si>
  <si>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</si>
  <si>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</si>
  <si>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</si>
  <si>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</si>
  <si>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</si>
  <si>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</si>
  <si>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</si>
  <si>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</si>
  <si>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</si>
  <si>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</si>
  <si>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</si>
  <si>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</si>
  <si>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</si>
  <si>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</si>
  <si>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</si>
  <si>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</si>
  <si>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</si>
  <si>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</si>
  <si>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</si>
  <si>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</si>
  <si>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</si>
  <si>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</si>
  <si>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</si>
  <si>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</si>
  <si>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</si>
  <si>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</si>
  <si>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</si>
  <si>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</si>
  <si>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</si>
  <si>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</si>
  <si>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</si>
  <si>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</si>
  <si>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</si>
  <si>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</si>
  <si>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</si>
  <si>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</si>
  <si>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</si>
  <si>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</si>
  <si>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</si>
  <si>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</si>
  <si>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</si>
  <si>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</si>
  <si>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</si>
  <si>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</si>
  <si>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</si>
  <si>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</si>
  <si>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</si>
  <si>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</si>
  <si>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</si>
  <si>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</si>
  <si>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</si>
  <si>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</si>
  <si>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</si>
  <si>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</si>
  <si>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</si>
  <si>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</si>
  <si>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</si>
  <si>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</si>
  <si>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</si>
  <si>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</si>
  <si>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</si>
  <si>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</si>
  <si>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</si>
  <si>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</si>
  <si>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</si>
  <si>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</si>
  <si>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</si>
  <si>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</si>
  <si>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</si>
  <si>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</si>
  <si>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</si>
  <si>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</si>
  <si>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</si>
  <si>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</si>
  <si>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</si>
  <si>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</si>
  <si>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</si>
  <si>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</si>
  <si>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</si>
  <si>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</si>
  <si>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</si>
  <si>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</si>
  <si>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</si>
  <si>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</si>
  <si>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</si>
  <si>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</si>
  <si>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</si>
  <si>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</si>
  <si>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</si>
  <si>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</si>
  <si>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</si>
  <si>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</si>
  <si>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</si>
  <si>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</si>
  <si>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</si>
  <si>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</si>
  <si>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</si>
  <si>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</si>
  <si>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</si>
  <si>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</si>
  <si>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</si>
  <si>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</si>
  <si>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</si>
  <si>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</si>
  <si>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</si>
  <si>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</si>
  <si>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</si>
  <si>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</si>
  <si>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</si>
  <si>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</si>
  <si>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</si>
  <si>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</si>
  <si>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</si>
  <si>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</si>
  <si>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</si>
  <si>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</si>
  <si>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</si>
  <si>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</si>
  <si>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</si>
  <si>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</si>
  <si>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</si>
  <si>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</si>
  <si>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</si>
  <si>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</si>
  <si>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</si>
  <si>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</si>
  <si>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</si>
  <si>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</si>
  <si>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</si>
  <si>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</si>
  <si>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</si>
  <si>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</si>
  <si>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</si>
  <si>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</si>
  <si>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</si>
  <si>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</si>
  <si>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</si>
  <si>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</si>
  <si>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</si>
  <si>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</si>
  <si>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</si>
  <si>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</si>
  <si>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</si>
  <si>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</si>
  <si>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</si>
  <si>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</si>
  <si>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</si>
  <si>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</si>
  <si>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</si>
  <si>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</si>
  <si>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</si>
  <si>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</si>
  <si>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</si>
  <si>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</si>
  <si>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</si>
  <si>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</si>
  <si>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</si>
  <si>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</si>
  <si>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</si>
  <si>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</si>
  <si>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</si>
  <si>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</si>
  <si>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</si>
  <si>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</si>
  <si>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</si>
  <si>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</si>
  <si>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</si>
  <si>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</si>
  <si>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</si>
  <si>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</si>
  <si>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</si>
  <si>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</si>
  <si>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</si>
  <si>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</si>
  <si>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</si>
  <si>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</si>
  <si>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</si>
  <si>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</si>
  <si>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</si>
  <si>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</si>
  <si>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</si>
  <si>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</si>
  <si>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</si>
  <si>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</si>
  <si>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</si>
  <si>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</si>
  <si>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</si>
  <si>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</si>
  <si>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</si>
  <si>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</si>
  <si>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</si>
  <si>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</si>
  <si>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</si>
  <si>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</si>
  <si>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</si>
  <si>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</si>
  <si>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</si>
  <si>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</si>
  <si>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</si>
  <si>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</si>
  <si>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</si>
  <si>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</si>
  <si>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</si>
  <si>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</si>
  <si>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</si>
  <si>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</si>
  <si>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</si>
  <si>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</si>
  <si>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</si>
  <si>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</si>
  <si>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</si>
  <si>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</si>
  <si>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</si>
  <si>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</si>
  <si>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</si>
  <si>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</si>
  <si>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</si>
  <si>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</si>
  <si>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</si>
  <si>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</si>
  <si>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</si>
  <si>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</si>
  <si>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</si>
  <si>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</si>
  <si>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</si>
  <si>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</si>
  <si>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</si>
  <si>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</si>
  <si>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</si>
  <si>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</si>
  <si>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</si>
  <si>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</si>
  <si>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</si>
  <si>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</si>
  <si>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</si>
  <si>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</si>
  <si>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</si>
  <si>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</si>
  <si>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</si>
  <si>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</si>
  <si>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</si>
  <si>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</si>
  <si>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</si>
  <si>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</si>
  <si>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</si>
  <si>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</si>
  <si>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</si>
  <si>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</si>
  <si>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</si>
  <si>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</si>
  <si>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</si>
  <si>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</si>
  <si>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</si>
  <si>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</si>
  <si>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</si>
  <si>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</si>
  <si>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</si>
  <si>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</si>
  <si>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</si>
  <si>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</si>
  <si>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</si>
  <si>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</si>
  <si>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</si>
  <si>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</si>
  <si>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</si>
  <si>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</si>
  <si>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</si>
  <si>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</si>
  <si>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</si>
  <si>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</si>
  <si>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</si>
  <si>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</si>
  <si>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</si>
  <si>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</si>
  <si>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</si>
  <si>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</si>
  <si>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</si>
  <si>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</si>
  <si>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</si>
  <si>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</si>
  <si>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</si>
  <si>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</si>
  <si>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</si>
  <si>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</si>
  <si>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</si>
  <si>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</si>
  <si>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</si>
  <si>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</si>
  <si>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</si>
  <si>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</si>
  <si>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</si>
  <si>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</si>
  <si>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</si>
  <si>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</si>
  <si>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</si>
  <si>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</si>
  <si>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</si>
  <si>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</si>
  <si>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</si>
  <si>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</si>
  <si>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</si>
  <si>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</si>
  <si>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</si>
  <si>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</si>
  <si>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</si>
  <si>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</si>
  <si>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</si>
  <si>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</si>
  <si>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</si>
  <si>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</si>
  <si>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</si>
  <si>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</si>
  <si>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</si>
  <si>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</si>
  <si>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</si>
  <si>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</si>
  <si>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</si>
  <si>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</si>
  <si>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</si>
  <si>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</si>
  <si>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</si>
  <si>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</si>
  <si>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</si>
  <si>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</si>
  <si>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</si>
  <si>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</si>
  <si>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</si>
  <si>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</si>
  <si>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</si>
  <si>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</si>
  <si>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</si>
  <si>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</si>
  <si>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</si>
  <si>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</si>
  <si>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</si>
  <si>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</si>
  <si>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</si>
  <si>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</si>
  <si>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</si>
  <si>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</si>
  <si>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</si>
  <si>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</si>
  <si>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</si>
  <si>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</si>
  <si>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</si>
  <si>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</si>
  <si>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</si>
  <si>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</si>
  <si>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</si>
  <si>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</si>
  <si>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</si>
  <si>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</si>
  <si>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</si>
  <si>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</si>
  <si>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</si>
  <si>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</si>
  <si>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</si>
  <si>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</si>
  <si>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</si>
  <si>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</si>
  <si>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</si>
  <si>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</si>
  <si>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</si>
  <si>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</si>
  <si>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</si>
  <si>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</si>
  <si>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</si>
  <si>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</si>
  <si>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</si>
  <si>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</si>
  <si>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</si>
  <si>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</si>
  <si>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</si>
  <si>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</si>
  <si>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</si>
  <si>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</si>
  <si>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</si>
  <si>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</si>
  <si>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</si>
  <si>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</si>
  <si>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</si>
  <si>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</si>
  <si>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</si>
  <si>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</si>
  <si>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</si>
  <si>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</si>
  <si>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</si>
  <si>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</si>
  <si>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</si>
  <si>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</si>
  <si>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</si>
  <si>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</si>
  <si>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</si>
  <si>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</si>
  <si>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</si>
  <si>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</si>
  <si>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</si>
  <si>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</si>
  <si>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</si>
  <si>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</si>
  <si>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</si>
  <si>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</si>
  <si>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</si>
  <si>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</si>
  <si>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</si>
  <si>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</si>
  <si>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</si>
  <si>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</si>
  <si>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</si>
  <si>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</si>
  <si>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</si>
  <si>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</si>
  <si>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</si>
  <si>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</si>
  <si>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</si>
  <si>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</si>
  <si>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</si>
  <si>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</si>
  <si>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</si>
  <si>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</si>
  <si>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</si>
  <si>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</si>
  <si>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</si>
  <si>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</si>
  <si>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</si>
  <si>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</si>
  <si>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</si>
  <si>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</si>
  <si>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</si>
  <si>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</si>
  <si>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</si>
  <si>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</si>
  <si>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</si>
  <si>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</si>
  <si>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</si>
  <si>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</si>
  <si>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</si>
  <si>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</si>
  <si>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</si>
  <si>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</si>
  <si>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</si>
  <si>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</si>
  <si>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</si>
  <si>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</si>
  <si>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</si>
  <si>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</si>
  <si>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</si>
  <si>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</si>
  <si>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</si>
  <si>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</si>
  <si>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</si>
  <si>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</si>
  <si>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</si>
  <si>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</si>
  <si>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</si>
  <si>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</si>
  <si>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</si>
  <si>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</si>
  <si>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</si>
  <si>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</si>
  <si>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</si>
  <si>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</si>
  <si>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</si>
  <si>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</si>
  <si>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</si>
  <si>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</si>
  <si>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</si>
  <si>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</si>
  <si>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</si>
  <si>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</si>
  <si>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</si>
  <si>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</si>
  <si>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</si>
  <si>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</si>
  <si>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</si>
  <si>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</si>
  <si>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</si>
  <si>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</si>
  <si>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</si>
  <si>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</si>
  <si>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</si>
  <si>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</si>
  <si>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</si>
  <si>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</si>
  <si>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</si>
  <si>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</si>
  <si>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</si>
  <si>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</si>
  <si>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</si>
  <si>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</si>
  <si>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</si>
  <si>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</si>
  <si>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</si>
  <si>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</si>
  <si>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</si>
  <si>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</si>
  <si>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</si>
  <si>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</si>
  <si>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</si>
  <si>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</si>
  <si>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</si>
  <si>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</si>
  <si>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</si>
  <si>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</si>
  <si>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</si>
  <si>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</si>
  <si>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</si>
  <si>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</si>
  <si>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</si>
  <si>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</si>
  <si>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</si>
  <si>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</si>
  <si>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</si>
  <si>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</si>
  <si>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</si>
  <si>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</si>
  <si>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</si>
  <si>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</si>
  <si>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</si>
  <si>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</si>
  <si>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</si>
  <si>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</si>
  <si>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</si>
  <si>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</si>
  <si>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</si>
  <si>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</si>
  <si>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</si>
  <si>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</si>
  <si>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</si>
  <si>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</si>
  <si>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</si>
  <si>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</si>
  <si>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</si>
  <si>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</si>
  <si>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</si>
  <si>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</si>
  <si>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</si>
  <si>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</si>
  <si>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</si>
  <si>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</si>
  <si>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</si>
  <si>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</si>
  <si>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</si>
  <si>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</si>
  <si>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</si>
  <si>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</si>
  <si>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</si>
  <si>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</si>
  <si>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</si>
  <si>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</si>
  <si>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</si>
  <si>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</si>
  <si>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</si>
  <si>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</si>
  <si>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</si>
  <si>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</si>
  <si>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</si>
  <si>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</si>
  <si>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</si>
  <si>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</si>
  <si>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</si>
  <si>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</si>
  <si>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</si>
  <si>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</si>
  <si>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</si>
  <si>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</si>
  <si>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</si>
  <si>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</si>
  <si>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</si>
  <si>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</si>
  <si>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</si>
  <si>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</si>
  <si>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</si>
  <si>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</si>
  <si>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</si>
  <si>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</si>
  <si>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</si>
  <si>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</si>
  <si>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</si>
  <si>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</si>
  <si>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</si>
  <si>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</si>
  <si>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</si>
  <si>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</si>
  <si>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</si>
  <si>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</si>
  <si>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</si>
  <si>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</si>
  <si>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</si>
  <si>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</si>
  <si>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</si>
  <si>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</si>
  <si>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</si>
  <si>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</si>
  <si>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</si>
  <si>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</si>
  <si>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</si>
  <si>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</si>
  <si>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</si>
  <si>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</si>
  <si>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</si>
  <si>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</si>
  <si>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</si>
  <si>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</si>
  <si>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</si>
  <si>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</si>
  <si>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</si>
  <si>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</si>
  <si>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</si>
  <si>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</si>
  <si>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</si>
  <si>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</si>
  <si>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</si>
  <si>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</si>
  <si>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</si>
  <si>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</si>
  <si>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</si>
  <si>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</si>
  <si>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</si>
  <si>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</si>
  <si>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</si>
  <si>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</si>
  <si>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</si>
  <si>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</si>
  <si>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</si>
  <si>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</si>
  <si>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</si>
  <si>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</si>
  <si>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</si>
  <si>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</si>
  <si>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</si>
  <si>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</si>
  <si>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</si>
  <si>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</si>
  <si>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</si>
  <si>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</si>
  <si>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</si>
  <si>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</si>
  <si>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</si>
  <si>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</si>
  <si>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</si>
  <si>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</si>
  <si>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</si>
  <si>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</si>
  <si>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</si>
  <si>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</si>
  <si>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</si>
  <si>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</si>
  <si>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</si>
  <si>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</si>
  <si>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</si>
  <si>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</si>
  <si>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</si>
  <si>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</si>
  <si>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</si>
  <si>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</si>
  <si>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</si>
  <si>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</si>
  <si>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</si>
  <si>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</si>
  <si>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</si>
  <si>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</si>
  <si>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</si>
  <si>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</si>
  <si>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</si>
  <si>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</si>
  <si>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</si>
  <si>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</si>
  <si>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</si>
  <si>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</si>
  <si>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</si>
  <si>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</si>
  <si>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</si>
  <si>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</si>
  <si>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</si>
  <si>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</si>
  <si>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</si>
  <si>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</si>
  <si>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</si>
  <si>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</si>
  <si>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</si>
  <si>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</si>
  <si>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</si>
  <si>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</si>
  <si>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</si>
  <si>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</si>
  <si>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</si>
  <si>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</si>
  <si>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</si>
  <si>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</si>
  <si>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</si>
  <si>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</si>
  <si>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</si>
  <si>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</si>
  <si>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</si>
  <si>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</si>
  <si>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</si>
  <si>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</si>
  <si>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</si>
  <si>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</si>
  <si>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</si>
  <si>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</si>
  <si>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</si>
  <si>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</si>
  <si>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</si>
  <si>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</si>
  <si>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</si>
  <si>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</si>
  <si>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</si>
  <si>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</si>
  <si>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</si>
  <si>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</si>
  <si>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</si>
  <si>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</si>
  <si>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</si>
  <si>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</si>
  <si>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</si>
  <si>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</si>
  <si>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</si>
  <si>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</si>
  <si>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</si>
  <si>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</si>
  <si>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</si>
  <si>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</si>
  <si>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</si>
  <si>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</si>
  <si>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</si>
  <si>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</si>
  <si>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</si>
  <si>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</si>
  <si>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</si>
  <si>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</si>
  <si>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</si>
  <si>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</si>
  <si>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</si>
  <si>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</si>
  <si>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</si>
  <si>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</si>
  <si>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</si>
  <si>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</si>
  <si>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</si>
  <si>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</si>
  <si>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</si>
  <si>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</si>
  <si>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</si>
  <si>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</si>
  <si>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</si>
  <si>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</si>
  <si>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</si>
  <si>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</si>
  <si>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</si>
  <si>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</si>
  <si>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</si>
  <si>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</si>
  <si>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</si>
  <si>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</si>
  <si>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</si>
  <si>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</si>
  <si>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</si>
  <si>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</si>
  <si>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</si>
  <si>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</si>
  <si>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</si>
  <si>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</si>
  <si>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</si>
  <si>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</si>
  <si>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</si>
  <si>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</si>
  <si>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</si>
  <si>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</si>
  <si>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</si>
  <si>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</si>
  <si>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</si>
  <si>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</si>
  <si>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</si>
  <si>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</si>
  <si>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</si>
  <si>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</si>
  <si>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</si>
  <si>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</si>
  <si>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</si>
  <si>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</si>
  <si>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</si>
  <si>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</si>
  <si>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</si>
  <si>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</si>
  <si>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</si>
  <si>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</si>
  <si>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</si>
  <si>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</si>
  <si>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</si>
  <si>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</si>
  <si>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</si>
  <si>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</si>
  <si>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</si>
  <si>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</si>
  <si>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</si>
  <si>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</si>
  <si>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</si>
  <si>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</si>
  <si>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</si>
  <si>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</si>
  <si>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</si>
  <si>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</si>
  <si>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</si>
  <si>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</si>
  <si>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</si>
  <si>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</si>
  <si>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</si>
  <si>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</si>
  <si>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</si>
  <si>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</si>
  <si>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</si>
  <si>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</si>
  <si>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</si>
  <si>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</si>
  <si>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</si>
  <si>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</si>
  <si>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</si>
  <si>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</si>
  <si>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</si>
  <si>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</si>
  <si>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</si>
  <si>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</si>
  <si>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</si>
  <si>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</si>
  <si>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</si>
  <si>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</si>
  <si>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</si>
  <si>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</si>
  <si>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</si>
  <si>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</si>
  <si>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</si>
  <si>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</si>
  <si>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</si>
  <si>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</si>
  <si>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</si>
  <si>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</si>
  <si>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</si>
  <si>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</si>
  <si>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</si>
  <si>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</si>
  <si>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</si>
  <si>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</si>
  <si>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</si>
  <si>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</si>
  <si>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</si>
  <si>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</si>
  <si>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</si>
  <si>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</si>
  <si>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</si>
  <si>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</si>
  <si>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</si>
  <si>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</si>
  <si>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</si>
  <si>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</si>
  <si>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</si>
  <si>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</si>
  <si>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</si>
  <si>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</si>
  <si>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</si>
  <si>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</si>
  <si>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</si>
  <si>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</si>
  <si>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</si>
  <si>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</si>
  <si>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</si>
  <si>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</si>
  <si>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</si>
  <si>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</si>
  <si>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</si>
  <si>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</si>
  <si>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</si>
  <si>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</si>
  <si>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</si>
  <si>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</si>
  <si>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</si>
  <si>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</si>
  <si>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</si>
  <si>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</si>
  <si>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</si>
  <si>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</si>
  <si>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</si>
  <si>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</si>
  <si>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</si>
  <si>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</si>
  <si>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</si>
  <si>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</si>
  <si>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</si>
  <si>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</si>
  <si>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</si>
  <si>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</si>
  <si>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</si>
  <si>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</si>
  <si>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</si>
  <si>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</si>
  <si>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</si>
  <si>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</si>
  <si>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</si>
  <si>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</si>
  <si>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</si>
  <si>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</si>
  <si>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</si>
  <si>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</si>
  <si>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</si>
  <si>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</si>
  <si>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</si>
  <si>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</si>
  <si>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</si>
  <si>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</si>
  <si>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</si>
  <si>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</si>
  <si>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</si>
  <si>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</si>
  <si>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</si>
  <si>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</si>
  <si>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</si>
  <si>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</si>
  <si>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</si>
  <si>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</si>
  <si>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</si>
  <si>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</si>
  <si>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</si>
  <si>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</si>
  <si>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</si>
  <si>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</si>
  <si>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</si>
  <si>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</si>
  <si>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</si>
  <si>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</si>
  <si>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</si>
  <si>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</si>
  <si>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</si>
  <si>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</si>
  <si>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</si>
  <si>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</si>
  <si>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</si>
  <si>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</si>
  <si>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</si>
  <si>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</si>
  <si>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</si>
  <si>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</si>
  <si>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</si>
  <si>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</si>
  <si>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</si>
  <si>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</si>
  <si>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</si>
  <si>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</si>
  <si>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</si>
  <si>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</si>
  <si>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</si>
  <si>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</si>
  <si>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</si>
  <si>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</si>
  <si>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</si>
  <si>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</si>
  <si>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</si>
  <si>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</si>
  <si>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</si>
  <si>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</si>
  <si>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</si>
  <si>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</si>
  <si>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</si>
  <si>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</si>
  <si>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</si>
  <si>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</si>
  <si>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</si>
  <si>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</si>
  <si>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</si>
  <si>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</si>
  <si>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</si>
  <si>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</si>
  <si>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</si>
  <si>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</si>
  <si>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</si>
  <si>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</si>
  <si>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</si>
  <si>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</si>
  <si>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</si>
  <si>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</si>
  <si>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</si>
  <si>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</si>
  <si>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</si>
  <si>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</si>
  <si>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</si>
  <si>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</si>
  <si>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</si>
  <si>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</si>
  <si>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</si>
  <si>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</si>
  <si>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</si>
  <si>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</si>
  <si>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</si>
  <si>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</si>
  <si>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</si>
  <si>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</si>
  <si>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</si>
  <si>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</si>
  <si>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</si>
  <si>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</si>
  <si>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</si>
  <si>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</si>
  <si>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</si>
  <si>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</si>
  <si>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</si>
  <si>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</si>
  <si>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</si>
  <si>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</si>
  <si>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</si>
  <si>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</si>
  <si>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</si>
  <si>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</si>
  <si>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</si>
  <si>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</si>
  <si>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</si>
  <si>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</si>
  <si>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</si>
  <si>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</si>
  <si>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</si>
  <si>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</si>
  <si>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</si>
  <si>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</si>
  <si>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</si>
  <si>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</si>
  <si>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</si>
  <si>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</si>
  <si>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</si>
  <si>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</si>
  <si>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</si>
  <si>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</si>
  <si>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</si>
  <si>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</si>
  <si>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</si>
  <si>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</si>
  <si>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</si>
  <si>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</si>
  <si>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</si>
  <si>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</si>
  <si>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</si>
  <si>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</si>
  <si>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</si>
  <si>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</si>
  <si>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</si>
  <si>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</si>
  <si>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</si>
  <si>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</si>
  <si>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</si>
  <si>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</si>
  <si>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</si>
  <si>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</si>
  <si>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</si>
  <si>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</si>
  <si>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</si>
  <si>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</si>
  <si>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</si>
  <si>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</si>
  <si>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</si>
  <si>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</si>
  <si>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</si>
  <si>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</si>
  <si>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</si>
  <si>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</si>
  <si>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</si>
  <si>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</si>
  <si>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</si>
  <si>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</si>
  <si>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</si>
  <si>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</si>
  <si>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</si>
  <si>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</si>
  <si>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</si>
  <si>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</si>
  <si>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</si>
  <si>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</si>
  <si>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</si>
  <si>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</si>
  <si>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</si>
  <si>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</si>
  <si>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</si>
  <si>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</si>
  <si>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</si>
  <si>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</si>
  <si>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</si>
  <si>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</si>
  <si>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</si>
  <si>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</si>
  <si>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</si>
  <si>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</si>
  <si>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</si>
  <si>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</si>
  <si>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</si>
  <si>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</si>
  <si>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</si>
  <si>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</si>
  <si>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</si>
  <si>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</si>
  <si>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</si>
  <si>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</si>
  <si>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</si>
  <si>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</si>
  <si>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</si>
  <si>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</si>
  <si>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</si>
  <si>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</si>
  <si>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</si>
  <si>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</si>
  <si>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</si>
  <si>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</si>
  <si>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</si>
  <si>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</si>
  <si>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</si>
  <si>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</si>
  <si>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</si>
  <si>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</si>
  <si>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</si>
  <si>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</si>
  <si>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</si>
  <si>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</si>
  <si>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</si>
  <si>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</si>
  <si>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</si>
  <si>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</si>
  <si>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</si>
  <si>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</si>
  <si>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</si>
  <si>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</si>
  <si>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</si>
  <si>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</si>
  <si>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</si>
  <si>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</si>
  <si>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</si>
  <si>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</si>
  <si>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</si>
  <si>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</si>
  <si>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</si>
  <si>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</si>
  <si>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</si>
  <si>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</si>
  <si>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</si>
  <si>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</si>
  <si>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</si>
  <si>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</si>
  <si>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</si>
  <si>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</si>
  <si>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</si>
  <si>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</si>
  <si>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</si>
  <si>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</si>
  <si>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</si>
  <si>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</si>
  <si>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</si>
  <si>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</si>
  <si>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</si>
  <si>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</si>
  <si>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</si>
  <si>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</si>
  <si>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</si>
  <si>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</si>
  <si>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</si>
  <si>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</si>
  <si>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</si>
  <si>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</si>
  <si>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</si>
  <si>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</si>
  <si>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</si>
  <si>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</si>
  <si>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</si>
  <si>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</si>
  <si>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</si>
  <si>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</si>
  <si>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</si>
  <si>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</si>
  <si>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</si>
  <si>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</si>
  <si>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</si>
  <si>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</si>
  <si>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</si>
  <si>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</si>
  <si>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</si>
  <si>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</si>
  <si>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</si>
  <si>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</si>
  <si>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</si>
  <si>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</si>
  <si>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</si>
  <si>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</si>
  <si>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</si>
  <si>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</si>
  <si>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</si>
  <si>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</si>
  <si>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Sold to former employee in August 2026</t>
  </si>
  <si>
    <t>Consistent with client count at the time of 1Q26 service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</si>
  <si>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</si>
  <si>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</si>
  <si>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</si>
  <si>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</si>
  <si>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</si>
  <si>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</si>
  <si>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</si>
  <si>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</si>
  <si>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</si>
  <si>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</si>
  <si>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</si>
  <si>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</si>
  <si>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</si>
  <si>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</si>
  <si>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</si>
  <si>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</si>
  <si>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</si>
  <si>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</si>
  <si>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</si>
  <si>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</si>
  <si>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</si>
  <si>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</si>
  <si>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</si>
  <si>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</si>
  <si>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</si>
  <si>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</si>
  <si>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</si>
  <si>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</si>
  <si>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</si>
  <si>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</si>
  <si>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</si>
  <si>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</si>
  <si>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</si>
  <si>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</si>
  <si>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</si>
  <si>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</si>
  <si>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</si>
  <si>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</si>
  <si>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</si>
  <si>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</si>
  <si>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</si>
  <si>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</si>
  <si>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</si>
  <si>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</si>
  <si>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</si>
  <si>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</si>
  <si>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</si>
  <si>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</si>
  <si>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</si>
  <si>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</si>
  <si>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</si>
  <si>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</si>
  <si>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</si>
  <si>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</si>
  <si>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</si>
  <si>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</si>
  <si>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</si>
  <si>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</si>
  <si>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</si>
  <si>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</si>
  <si>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</si>
  <si>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</si>
  <si>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</si>
  <si>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</si>
  <si>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</si>
  <si>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</si>
  <si>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</si>
  <si>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</si>
  <si>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</si>
  <si>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</si>
  <si>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</si>
  <si>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</si>
  <si>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</si>
  <si>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</si>
  <si>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</si>
  <si>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</si>
  <si>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</si>
  <si>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</si>
  <si>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</si>
  <si>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</si>
  <si>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</si>
  <si>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</si>
  <si>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</si>
  <si>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</si>
  <si>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</si>
  <si>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</si>
  <si>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</si>
  <si>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</si>
  <si>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</si>
  <si>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</si>
  <si>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</si>
  <si>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</si>
  <si>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</si>
  <si>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</si>
  <si>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</si>
  <si>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</si>
  <si>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</si>
  <si>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</si>
  <si>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</si>
  <si>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</si>
  <si>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</si>
  <si>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</si>
  <si>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</si>
  <si>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</si>
  <si>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</si>
  <si>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</si>
  <si>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</si>
  <si>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</si>
  <si>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</si>
  <si>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</si>
  <si>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</si>
  <si>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</si>
  <si>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</si>
  <si>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</si>
  <si>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</si>
  <si>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</si>
  <si>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</si>
  <si>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</si>
  <si>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</si>
  <si>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</si>
  <si>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</si>
  <si>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</si>
  <si>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</si>
  <si>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</si>
  <si>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</si>
  <si>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</si>
  <si>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</si>
  <si>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</si>
  <si>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</si>
  <si>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</si>
  <si>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</si>
  <si>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</si>
  <si>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</si>
  <si>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</si>
  <si>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</si>
  <si>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</si>
  <si>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</si>
  <si>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</si>
  <si>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</si>
  <si>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</si>
  <si>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</si>
  <si>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</si>
  <si>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</si>
  <si>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</si>
  <si>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</si>
  <si>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</si>
  <si>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</si>
  <si>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</si>
  <si>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</si>
  <si>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</si>
  <si>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</si>
  <si>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</si>
  <si>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</si>
  <si>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</si>
  <si>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</si>
  <si>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</si>
  <si>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</si>
  <si>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</si>
  <si>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</si>
  <si>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</si>
  <si>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</si>
  <si>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</si>
  <si>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</si>
  <si>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</si>
  <si>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</si>
  <si>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</si>
  <si>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</si>
  <si>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</si>
  <si>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</si>
  <si>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</si>
  <si>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</si>
  <si>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</si>
  <si>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</si>
  <si>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</si>
  <si>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</si>
  <si>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</si>
  <si>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</si>
  <si>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</si>
  <si>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</si>
  <si>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</si>
  <si>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</si>
  <si>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</si>
  <si>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</si>
  <si>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</si>
  <si>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</si>
  <si>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</si>
  <si>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</si>
  <si>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</si>
  <si>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</si>
  <si>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</si>
  <si>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</si>
  <si>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</si>
  <si>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</si>
  <si>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</si>
  <si>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</si>
  <si>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</si>
  <si>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</si>
  <si>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</si>
  <si>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</si>
  <si>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</si>
  <si>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</si>
  <si>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</si>
  <si>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</si>
  <si>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</si>
  <si>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</si>
  <si>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</si>
  <si>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</si>
  <si>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</si>
  <si>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</si>
  <si>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</si>
  <si>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</si>
  <si>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</si>
  <si>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</si>
  <si>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</si>
  <si>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</si>
  <si>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</si>
  <si>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</si>
  <si>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</si>
  <si>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</si>
  <si>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</si>
  <si>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</si>
  <si>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</si>
  <si>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</si>
  <si>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</si>
  <si>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</si>
  <si>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</si>
  <si>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</si>
  <si>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</si>
  <si>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</si>
  <si>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</si>
  <si>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</si>
  <si>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</si>
  <si>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</si>
  <si>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</si>
  <si>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</si>
  <si>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</si>
  <si>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</si>
  <si>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</si>
  <si>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</si>
  <si>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</si>
  <si>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</si>
  <si>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</si>
  <si>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</si>
  <si>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</si>
  <si>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</si>
  <si>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</si>
  <si>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</si>
  <si>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</si>
  <si>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</si>
  <si>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</si>
  <si>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</si>
  <si>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</si>
  <si>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</si>
  <si>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</si>
  <si>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</si>
  <si>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</si>
  <si>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</si>
  <si>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</si>
  <si>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</si>
  <si>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</si>
  <si>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</si>
  <si>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</si>
  <si>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</si>
  <si>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</si>
  <si>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</si>
  <si>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</si>
  <si>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</si>
  <si>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</si>
  <si>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</si>
  <si>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</si>
  <si>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</si>
  <si>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</si>
  <si>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</si>
  <si>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</si>
  <si>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</si>
  <si>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</si>
  <si>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</si>
  <si>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</si>
  <si>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</si>
  <si>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</si>
  <si>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</si>
  <si>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</si>
  <si>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</si>
  <si>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</si>
  <si>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</si>
  <si>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</si>
  <si>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</si>
  <si>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</si>
  <si>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</si>
  <si>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</si>
  <si>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</si>
  <si>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</si>
  <si>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</si>
  <si>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</si>
  <si>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</si>
  <si>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</si>
  <si>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</si>
  <si>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</si>
  <si>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</si>
  <si>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</si>
  <si>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</si>
  <si>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</si>
  <si>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</si>
  <si>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</si>
  <si>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</si>
  <si>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</si>
  <si>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</si>
  <si>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</si>
  <si>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</si>
  <si>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</si>
  <si>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</si>
  <si>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</si>
  <si>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</si>
  <si>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</si>
  <si>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</si>
  <si>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</si>
  <si>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</si>
  <si>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</si>
  <si>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</si>
  <si>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</si>
  <si>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</si>
  <si>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</si>
  <si>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</si>
  <si>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</si>
  <si>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</si>
  <si>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</si>
  <si>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</si>
  <si>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</si>
  <si>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</si>
  <si>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</si>
  <si>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</si>
  <si>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</si>
  <si>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</si>
  <si>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</si>
  <si>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</si>
  <si>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</si>
  <si>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</si>
  <si>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</si>
  <si>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</si>
  <si>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</si>
  <si>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</si>
  <si>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</si>
  <si>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</si>
  <si>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</si>
  <si>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</si>
  <si>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</si>
  <si>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</si>
  <si>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</si>
  <si>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</si>
  <si>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</si>
  <si>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</si>
  <si>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</si>
  <si>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</si>
  <si>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</si>
  <si>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</si>
  <si>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</si>
  <si>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</si>
  <si>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</si>
  <si>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</si>
  <si>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</si>
  <si>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</si>
  <si>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</si>
  <si>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</si>
  <si>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</si>
  <si>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</si>
  <si>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</si>
  <si>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</si>
  <si>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</si>
  <si>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</si>
  <si>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</si>
  <si>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</si>
  <si>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</si>
  <si>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</si>
  <si>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</si>
  <si>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</si>
  <si>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</si>
  <si>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</si>
  <si>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</si>
  <si>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</si>
  <si>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</si>
  <si>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</si>
  <si>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</si>
  <si>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</si>
  <si>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</si>
  <si>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</si>
  <si>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</si>
  <si>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</si>
  <si>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</si>
  <si>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</si>
  <si>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</si>
  <si>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</si>
  <si>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</si>
  <si>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</si>
  <si>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</si>
  <si>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</si>
  <si>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</si>
  <si>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</si>
  <si>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</si>
  <si>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</si>
  <si>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</si>
  <si>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</si>
  <si>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</si>
  <si>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</si>
  <si>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</si>
  <si>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</si>
  <si>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</si>
  <si>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</si>
  <si>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</si>
  <si>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</si>
  <si>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</si>
  <si>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</si>
  <si>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</si>
  <si>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</si>
  <si>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</si>
  <si>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</si>
  <si>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</si>
  <si>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</si>
  <si>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</si>
  <si>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</si>
  <si>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</si>
  <si>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</si>
  <si>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</si>
  <si>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</si>
  <si>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</si>
  <si>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</si>
  <si>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</si>
  <si>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</si>
  <si>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</si>
  <si>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</si>
  <si>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</si>
  <si>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</si>
  <si>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</si>
  <si>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</si>
  <si>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</si>
  <si>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</si>
  <si>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</si>
  <si>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</si>
  <si>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</si>
  <si>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</si>
  <si>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</si>
  <si>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</si>
  <si>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</si>
  <si>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</si>
  <si>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</si>
  <si>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</si>
  <si>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</si>
  <si>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</si>
  <si>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</si>
  <si>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</si>
  <si>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</si>
  <si>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</si>
  <si>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</si>
  <si>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</si>
  <si>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</si>
  <si>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</si>
  <si>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</si>
  <si>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</si>
  <si>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</si>
  <si>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</si>
  <si>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</si>
  <si>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</si>
  <si>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</si>
  <si>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</si>
  <si>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</si>
  <si>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</si>
  <si>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</si>
  <si>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</si>
  <si>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</si>
  <si>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</si>
  <si>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</si>
  <si>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</si>
  <si>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</si>
  <si>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</si>
  <si>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</si>
  <si>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</si>
  <si>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</si>
  <si>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</si>
  <si>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</si>
  <si>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</si>
  <si>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</si>
  <si>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</si>
  <si>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</si>
  <si>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</si>
  <si>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</si>
  <si>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</si>
  <si>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</si>
  <si>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</si>
  <si>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</si>
  <si>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</si>
  <si>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</si>
  <si>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</si>
  <si>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</si>
  <si>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</si>
  <si>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</si>
  <si>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</si>
  <si>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</si>
  <si>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</si>
  <si>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</si>
  <si>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</si>
  <si>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</si>
  <si>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</si>
  <si>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</si>
  <si>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</si>
  <si>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</si>
  <si>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</si>
  <si>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</si>
  <si>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</si>
  <si>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</si>
  <si>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</si>
  <si>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</si>
  <si>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</si>
  <si>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</si>
  <si>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</si>
  <si>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</si>
  <si>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</si>
  <si>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</si>
  <si>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</si>
  <si>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</si>
  <si>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</si>
  <si>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</si>
  <si>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</si>
  <si>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</si>
  <si>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</si>
  <si>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</si>
  <si>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</si>
  <si>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</si>
  <si>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</si>
  <si>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</si>
  <si>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</si>
  <si>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</si>
  <si>
    <t>Avg. Clients</t>
  </si>
  <si>
    <t>Avg. Fees</t>
  </si>
  <si>
    <t>Avg. Annual Fees Per Client</t>
  </si>
  <si>
    <t>Avg. Monthly Fees</t>
  </si>
  <si>
    <t>Employee Tenure By Inactive Employee Cohorts</t>
  </si>
  <si>
    <t>Employee Tenure By Inactive Employee Cohorts (%)</t>
  </si>
  <si>
    <t>Annualized Revenue</t>
  </si>
  <si>
    <t>Operating Metrics</t>
  </si>
  <si>
    <t>Team Responsibility</t>
  </si>
  <si>
    <t>Client Code</t>
  </si>
  <si>
    <t>% of Total</t>
  </si>
  <si>
    <t>Properties</t>
  </si>
  <si>
    <t>Start Date</t>
  </si>
  <si>
    <t>Tenure (Yrs.)</t>
  </si>
  <si>
    <t>As-of Date (latest billed month)</t>
  </si>
  <si>
    <t>Active Client Count</t>
  </si>
  <si>
    <t>Check: Top 20 + Other less Total</t>
  </si>
  <si>
    <t>Helper: Avg. Monthly Fee</t>
  </si>
  <si>
    <t>Helper: Source Row</t>
  </si>
  <si>
    <t>Top 20 Clients</t>
  </si>
  <si>
    <t>Total Active Clients</t>
  </si>
  <si>
    <t>(+) Remaining Clients</t>
  </si>
  <si>
    <t>Client Concentration — Top 20 Active Clients ($000s)</t>
  </si>
  <si>
    <t>Annual Fees</t>
  </si>
  <si>
    <t>Steady-State Staffing Analysis ($000s)</t>
  </si>
  <si>
    <t>Steady-State Staffing</t>
  </si>
  <si>
    <t>Client Base</t>
  </si>
  <si>
    <t>Avg. Annual Fee Per Non-Tax Client</t>
  </si>
  <si>
    <t>Avg. Headcount</t>
  </si>
  <si>
    <t>Avg. Annualized Compensation</t>
  </si>
  <si>
    <t>Avg. Client Load Per Employee</t>
  </si>
  <si>
    <t>Cost Per Client</t>
  </si>
  <si>
    <t>Total Cost Per Client</t>
  </si>
  <si>
    <t>% of Avg. Client Revenue</t>
  </si>
  <si>
    <t>Total % of Avg. Client Revenue</t>
  </si>
  <si>
    <t>Note: Avg. annualized compensation is the average pay of the current active roster by summary title (Combined Employee Worksheet); pay rates are static per employee, so cost per client trends with load.</t>
  </si>
  <si>
    <t>Note: Non-tax fees = total avg. fees less the Tax-Only client section (Client Retention $ rows 15 and 111), consistent with the non-tax client count in Employee Retention row 19.</t>
  </si>
  <si>
    <t>Unclassified Active Client Revenue</t>
  </si>
  <si>
    <t>Total Run-Rate Revenue</t>
  </si>
  <si>
    <t>Total Adj. Revenue</t>
  </si>
  <si>
    <t>Steady-State Onboarding Staffing Decline</t>
  </si>
  <si>
    <t>Karbon, Uncat, &amp; Xenett Savings</t>
  </si>
  <si>
    <t>VR Platform Cost Savings</t>
  </si>
  <si>
    <t>Contribution Margin</t>
  </si>
  <si>
    <t>Most recent month (Sep-26) client revenue less direct staffing cost per client</t>
  </si>
  <si>
    <t>(+) Unclassified Active Client Contribution</t>
  </si>
  <si>
    <t>Unclassified Active Client Contribution</t>
  </si>
  <si>
    <t>Software Utilization</t>
  </si>
  <si>
    <t>Current Clients</t>
  </si>
  <si>
    <t>Former Clients</t>
  </si>
  <si>
    <t>Avg. Monthly Fee</t>
  </si>
  <si>
    <t>% of Clients</t>
  </si>
  <si>
    <t>Not Designated</t>
  </si>
  <si>
    <t>Total Clients</t>
  </si>
  <si>
    <t>Trust / Accounting Software</t>
  </si>
  <si>
    <t>None</t>
  </si>
  <si>
    <t>Property Management System (PMS)</t>
  </si>
  <si>
    <t>Multiple Platforms</t>
  </si>
  <si>
    <t>Current clients = status "Active" or "Onboarding"; Former clients = status "Former client"</t>
  </si>
  <si>
    <t>Active clients</t>
  </si>
  <si>
    <t>Onboarding clients</t>
  </si>
  <si>
    <t>Note: "Multiple Platforms" captures clients listing two PMS platforms; property counts are blank for clients with no listing data, so Properties will understate for those rows.</t>
  </si>
  <si>
    <t>Software Utilization Overview ($)</t>
  </si>
  <si>
    <t>Tie-Out: Avg. Fee per Current Client</t>
  </si>
  <si>
    <t>Annual</t>
  </si>
  <si>
    <t>Software Overview — current clients (row 10)</t>
  </si>
  <si>
    <t>Client Retention $ — avg. annual fee per client (Sep-26)</t>
  </si>
  <si>
    <t>Variance</t>
  </si>
  <si>
    <t>Variance %</t>
  </si>
  <si>
    <t>Reconciliation Drivers</t>
  </si>
  <si>
    <t>Client count — Customer List w Software (current)</t>
  </si>
  <si>
    <t>Client count — Client Retention (Sep-26 avg. clients)</t>
  </si>
  <si>
    <t>Total monthly fees — Customer List w Software (current)</t>
  </si>
  <si>
    <t>Total monthly fees — Client Retention $ (Sep-26 avg.)</t>
  </si>
  <si>
    <t>Note: Client Retention $ is built on the Full Customer List "Active" flag (190 clients, ties to its ending monthly fees); this tab uses the status column on Customer List w Software (163 Active + 11 Onboarding). The 16-client / $17k monthly gap is the difference between those two universes.</t>
  </si>
  <si>
    <t>Earnings &amp; Valuation Sensitivity ($000s)</t>
  </si>
  <si>
    <t>Base Case Inputs</t>
  </si>
  <si>
    <t>Steady-State Adj. EBITDA (PF July'26)</t>
  </si>
  <si>
    <t>Normalized Bookkeeper Staffing Cost</t>
  </si>
  <si>
    <t>Target Load (Clients per Bookkeeper)</t>
  </si>
  <si>
    <t>Avg. Bookkeeper Compensation</t>
  </si>
  <si>
    <t>EV / EBITDA Multiple (base)</t>
  </si>
  <si>
    <t>Implied Valuation — Steady-State Adj. EBITDA × Multiple</t>
  </si>
  <si>
    <t>Steady-State Bookkeeper Load (Clients per Bookkeeper)</t>
  </si>
  <si>
    <t>EV / EBITDA Multiple</t>
  </si>
  <si>
    <t>Estimated Steady-State Adj. EBITDA</t>
  </si>
  <si>
    <t>Reference — Observed Bookkeeper Load (Steady-State Staffing tab)</t>
  </si>
  <si>
    <t>Jan-25 (peak)</t>
  </si>
  <si>
    <t>Sep-26 (latest)</t>
  </si>
  <si>
    <t>Note: load axis is the P&amp;L Forecast target load (row 182) ±3 clients, bracketing the observed range above. Only the normalized bookkeeper staffing cost flexes; all other PF adj. EBITDA items are held constant.</t>
  </si>
  <si>
    <t>Target Vendors</t>
  </si>
  <si>
    <t>Pre-LOI Business Analysis</t>
  </si>
  <si>
    <t>Active Client Overview (#, $)</t>
  </si>
  <si>
    <t>Clients (#)</t>
  </si>
  <si>
    <t>Properties (#)</t>
  </si>
  <si>
    <t>Monthly Fees ($)</t>
  </si>
  <si>
    <t>Annualized Fees ($)</t>
  </si>
  <si>
    <t>Avg. Monthly Fee per Client ($)</t>
  </si>
  <si>
    <t>Avg. Monthly Fee per Property ($)</t>
  </si>
  <si>
    <t>Avg. Properties per Client (#)</t>
  </si>
  <si>
    <t>% of Monthly Fees (%)</t>
  </si>
  <si>
    <t>Client Overview Assumptions</t>
  </si>
  <si>
    <t>Status Filter</t>
  </si>
  <si>
    <t>Active status per the consolidated customer list</t>
  </si>
  <si>
    <t>Fee Basis</t>
  </si>
  <si>
    <t>Average monthly revenue over the last three billed months, per client</t>
  </si>
  <si>
    <t>As-of Month</t>
  </si>
  <si>
    <t>Latest billed month in the consolidated customer list</t>
  </si>
  <si>
    <t>Min. Properties for Per-Property Metrics (#)</t>
  </si>
  <si>
    <t>Clients with no reported property count are excluded from per-property averages</t>
  </si>
  <si>
    <t>Top Fee Band Cap ($)</t>
  </si>
  <si>
    <t>Open-ended ceiling for the top fee band; no client fee approaches this level</t>
  </si>
  <si>
    <t>Active Client Count — Source (#)</t>
  </si>
  <si>
    <t>Active Monthly Fees — Source ($)</t>
  </si>
  <si>
    <t>Active Clients Missing a Property Count (#)</t>
  </si>
  <si>
    <t>Notes: Property counts are not reported for STR Owner, Small Business and Tax-Only clients, and for three property managers added in Aug-26. Excluded from per-property averages.</t>
  </si>
  <si>
    <t>Tie Out — Client Count by Type less Source (#)</t>
  </si>
  <si>
    <t>Tie Out — Fee Band Client Count less Source (#)</t>
  </si>
  <si>
    <t>Tie Out — Fee Band Fees less Source ($)</t>
  </si>
  <si>
    <t>Helper: Clients w/ Reported Properties (#)</t>
  </si>
  <si>
    <t>Helper: Fees — Clients w/ Reported Properties ($)</t>
  </si>
  <si>
    <t>Active Client Portfolio Averages</t>
  </si>
  <si>
    <t>Metric</t>
  </si>
  <si>
    <t>Median Monthly Fee per Client ($)</t>
  </si>
  <si>
    <t>Avg. Annualized Fee per Client ($)</t>
  </si>
  <si>
    <t>Avg. Client Tenure (Yrs.)</t>
  </si>
  <si>
    <t>Notes: Median is the average of the 95th and 96th largest active fees (even client count).</t>
  </si>
  <si>
    <t>Active Clients by Monthly Fee Band</t>
  </si>
  <si>
    <t>% of Clients (%)</t>
  </si>
  <si>
    <t>% of Fees (%)</t>
  </si>
  <si>
    <t>Monthly Fee Band</t>
  </si>
  <si>
    <t>Helper: Band Floor ($)</t>
  </si>
  <si>
    <t>Helper: Band Ceiling ($)</t>
  </si>
  <si>
    <t>Under $500</t>
  </si>
  <si>
    <t>$500 – $999</t>
  </si>
  <si>
    <t>$1,000 – $1,999</t>
  </si>
  <si>
    <t>$2,000 – $2,999</t>
  </si>
  <si>
    <t>$3,000 – $4,999</t>
  </si>
  <si>
    <t>$5,000 – $9,999</t>
  </si>
  <si>
    <t>$10,000 and Above</t>
  </si>
  <si>
    <t>Adj. Employee Retention Analysis (#)</t>
  </si>
  <si>
    <t>Adj. Retention Assumptions</t>
  </si>
  <si>
    <t>Label</t>
  </si>
  <si>
    <t>Min. Tenure Threshold (Days)</t>
  </si>
  <si>
    <t>Hires separating at or below this tenure are excluded from both hires and losses as non-recurring churn</t>
  </si>
  <si>
    <t>Ending headcount vs. Employee Retention tab; must equal zero</t>
  </si>
  <si>
    <t>Adj. Employee Retention</t>
  </si>
  <si>
    <t>Offer &amp; Equity Upside Scenarios ($000s)</t>
  </si>
  <si>
    <t>Offer Breakdown</t>
  </si>
  <si>
    <t>(-) Cash at Close</t>
  </si>
  <si>
    <t>Topkey Post-Money Valuation</t>
  </si>
  <si>
    <t>Ben's Implied Topkey Ownership %</t>
  </si>
  <si>
    <t>Keystone Enterprise Value Today</t>
  </si>
  <si>
    <t>Scenario 1 — Ben Retains 100% of Keystone</t>
  </si>
  <si>
    <t>Keystone Growth Multiple</t>
  </si>
  <si>
    <t>Keystone Enterprise Value</t>
  </si>
  <si>
    <t>Ben's Ownership % — Keystone</t>
  </si>
  <si>
    <t>Ben's Keystone Equity Value</t>
  </si>
  <si>
    <t>(-) Value at Offer Today</t>
  </si>
  <si>
    <t>Ben's Net Gain vs. Today</t>
  </si>
  <si>
    <t>Scenario 2 — Ben Accepts the Topkey Offer</t>
  </si>
  <si>
    <t>Topkey Grows Half as Fast as Keystone</t>
  </si>
  <si>
    <t>Topkey Keeps Pace with Keystone</t>
  </si>
  <si>
    <t>Topkey Outgrows Keystone</t>
  </si>
  <si>
    <t>Offer &amp; Scenario Assumptions</t>
  </si>
  <si>
    <t>Assumption</t>
  </si>
  <si>
    <t>Cash at Close ($000s)</t>
  </si>
  <si>
    <t>Per Topkey offer; balance paid in Topkey equity</t>
  </si>
  <si>
    <t>Topkey Post-Money Valuation ($000s)</t>
  </si>
  <si>
    <t>Ben's Keystone Ownership %</t>
  </si>
  <si>
    <t>Sole owner; retains full upside in Scenario 1</t>
  </si>
  <si>
    <t>Default 1.5x Keystone's growth rate</t>
  </si>
  <si>
    <t>Business doubles / triples in value</t>
  </si>
  <si>
    <t>Topkey Equity Consideration</t>
  </si>
  <si>
    <t>Today</t>
  </si>
  <si>
    <t>2.0x Valuation</t>
  </si>
  <si>
    <t>3.0x Valuation</t>
  </si>
  <si>
    <t>Total Valuation — Offer Price</t>
  </si>
  <si>
    <t>Revenue Multiple</t>
  </si>
  <si>
    <t>Total Valuation — Offer Price ($000s)</t>
  </si>
  <si>
    <t>Valuation Growth Multiples</t>
  </si>
  <si>
    <t>(x) Revenue Multiple — Implied</t>
  </si>
  <si>
    <t>Rounded $3.0M offer price; Keystone value today</t>
  </si>
  <si>
    <t>Topkey ex-Keystone Growth Share — Half Pace</t>
  </si>
  <si>
    <t>Topkey ex-Keystone grows at half Keystone's rate</t>
  </si>
  <si>
    <t>Topkey ex-Keystone Growth Share — Keeps Pace</t>
  </si>
  <si>
    <t>Topkey ex-Keystone grows at Keystone's rate</t>
  </si>
  <si>
    <t>Topkey ex-Keystone Growth Share — Outgrows</t>
  </si>
  <si>
    <t>Topkey Pre-Deal Valuation</t>
  </si>
  <si>
    <t>(+) Keystone Value Acquired</t>
  </si>
  <si>
    <t>(-) Cash Paid at Close</t>
  </si>
  <si>
    <t>Topkey Pre-Deal Valuation ($000s)</t>
  </si>
  <si>
    <t>Topkey stated valuation before Keystone; pending confirmation</t>
  </si>
  <si>
    <t>Topkey ex-Keystone Growth Base ($000s)</t>
  </si>
  <si>
    <t>Pre-deal + Keystone acquired − cash paid at close</t>
  </si>
  <si>
    <t>Existing Shareholders' Value Post-Close</t>
  </si>
  <si>
    <t>Topkey ex-Keystone Growth Base</t>
  </si>
  <si>
    <t>Ben's Value — Scenario 1 (Retain 100%)</t>
  </si>
  <si>
    <t>Required Combined Enterprise Value</t>
  </si>
  <si>
    <t>(-) Keystone Value at Growth</t>
  </si>
  <si>
    <t>Required Growth Share for Ben to Break Even</t>
  </si>
  <si>
    <t>(-) Ben's Cash at Close</t>
  </si>
  <si>
    <t>Required Topkey Equity Value</t>
  </si>
  <si>
    <t>Required Topkey ex-Keystone Value</t>
  </si>
  <si>
    <t>Valuation Growth Scenarios ($000s)</t>
  </si>
  <si>
    <t>Keystone Value Today</t>
  </si>
  <si>
    <t>Cash at Close</t>
  </si>
  <si>
    <t>Ben's Topkey Ownership %</t>
  </si>
  <si>
    <t>Horizon (Years)</t>
  </si>
  <si>
    <t>Ben's Value — Scenario 1</t>
  </si>
  <si>
    <t>Topkey ex-Keystone Value</t>
  </si>
  <si>
    <t>(+) Keystone Value — Post-Acquisition</t>
  </si>
  <si>
    <t>Combined Enterprise Value</t>
  </si>
  <si>
    <t>Ben's Topkey Equity Value</t>
  </si>
  <si>
    <t>(+) Cash at Close</t>
  </si>
  <si>
    <t>Ben's Value — Scenario 2</t>
  </si>
  <si>
    <t>Break-Even Topkey CAGR</t>
  </si>
  <si>
    <t>Growth (ex-Keystone)</t>
  </si>
  <si>
    <t>Combined Topkey + Keystone TEV</t>
  </si>
  <si>
    <t>Ben's Total Value — Cash + Topkey Equity</t>
  </si>
  <si>
    <t>Topkey Growth Required for Parity</t>
  </si>
  <si>
    <t>Delta vs. Scenario 1</t>
  </si>
  <si>
    <t>Scenario 2 vs. Scenario 1</t>
  </si>
  <si>
    <t>Increase in Proceeds</t>
  </si>
  <si>
    <t>Annual Net Client Wins</t>
  </si>
  <si>
    <t>Avg. Revenue Per Client</t>
  </si>
  <si>
    <t>(+) Additional Annual Net Client Wins From Topkey</t>
  </si>
  <si>
    <t>Total Avg. Revenue Per Client</t>
  </si>
  <si>
    <t>General Assumptions</t>
  </si>
  <si>
    <t>Software-Integration Revenue Multiple</t>
  </si>
  <si>
    <t>Topkey - Avg. Revenue Per Client</t>
  </si>
  <si>
    <t>Topkey - Annual Net Client Wins</t>
  </si>
  <si>
    <t>Revenue Growth Assumptions</t>
  </si>
  <si>
    <t>Keystone Standalone Assumptions</t>
  </si>
  <si>
    <t>Keystone Partnership Assumptions</t>
  </si>
  <si>
    <t>Total Net Client Wins</t>
  </si>
  <si>
    <t>Total Annual Net Client Wins</t>
  </si>
  <si>
    <t>Total Additional Revenue</t>
  </si>
  <si>
    <t>Topkey - Current Revenue Multiple</t>
  </si>
  <si>
    <t>Topkey - Future Revenue Multiple</t>
  </si>
  <si>
    <t>Topkey - Current Run-Rate Revenue</t>
  </si>
  <si>
    <t>Increase in Keystone Revenue vs. Standalone</t>
  </si>
  <si>
    <t>Estimated Topkey CAGR</t>
  </si>
  <si>
    <t>Year 5 Keystone Partnership Revenue</t>
  </si>
  <si>
    <t>Year 5 Keystone Valuation</t>
  </si>
  <si>
    <t>(x) Steady-State Margins</t>
  </si>
  <si>
    <t>Year 5 EBITDA</t>
  </si>
  <si>
    <t>Implied EBITDA Multiple</t>
  </si>
  <si>
    <t>Sensitivity Assumptions</t>
  </si>
  <si>
    <t>Partnership Revenue Multiple</t>
  </si>
  <si>
    <t>Topkey - Current Monthly Revenue</t>
  </si>
  <si>
    <t>Topkey - Current Client Count</t>
  </si>
  <si>
    <t>VR Platform Run-Rate Tech Cost</t>
  </si>
  <si>
    <t>Keystone Run-Rate Revenue (PF Jul'26)</t>
  </si>
  <si>
    <t>Tie Out — Combined EV Today vs. Post-Money</t>
  </si>
  <si>
    <t>Tie Out — Ben's Topkey Equity vs. Equity Consideration</t>
  </si>
  <si>
    <t>Rationale / Notes</t>
  </si>
  <si>
    <t>Projection horizon for Year 5 columns</t>
  </si>
  <si>
    <t>Topkey-provided monthly revenue ($000s). Red: source pending confirmation</t>
  </si>
  <si>
    <t>Assumed flat at current multiple</t>
  </si>
  <si>
    <t>Topkey-provided client count. Red: source pending confirmation</t>
  </si>
  <si>
    <t>Topkey-provided. Red: source pending confirmation</t>
  </si>
  <si>
    <t>Sep'26 annualized fee per non-tax client (Steady-State Staffing AB8)</t>
  </si>
  <si>
    <t>Assumed revenue multiple for software-integrated partnership</t>
  </si>
  <si>
    <t>Run-rate tech cost provided by the target</t>
  </si>
  <si>
    <t>VR run-rate cost ÷ LTM avg. PM/STR clients (Client Retention H30)</t>
  </si>
  <si>
    <t>Assumed steady-state EBITDA margin</t>
  </si>
  <si>
    <t>Unrounded PF Jul'26 run-rate revenue (P&amp;L Overview K16)</t>
  </si>
  <si>
    <t>Must equal zero</t>
  </si>
  <si>
    <t>Today at offer value; Year 5 = (PF run-rate revenue + standalone added revenue) x standalone multiple</t>
  </si>
  <si>
    <t>Today at offer value (same as Scenario 1)</t>
  </si>
  <si>
    <t>AMB placeholder. Red: source pending confirmation</t>
  </si>
  <si>
    <t>Scaled Revenue Multiple</t>
  </si>
  <si>
    <t>Future revenue multiple for Keystone</t>
  </si>
  <si>
    <t>Year 5 Keystone Standalone Revenue</t>
  </si>
  <si>
    <t>Assumed steady-state EBITDA margin with software integration</t>
  </si>
  <si>
    <t>Internal - Implied Keystone Standalone Multiple</t>
  </si>
  <si>
    <t>Internal - Implied Keystone Partnership Multiple</t>
  </si>
  <si>
    <t>Keystone Core Bookkeeping Net Client Wins — LTM Sep'26 (#)</t>
  </si>
  <si>
    <t>Starting Count — Oct'25</t>
  </si>
  <si>
    <t>Ending Count — Sep'26</t>
  </si>
  <si>
    <t>Net Client Wins — Last 4 Quarters</t>
  </si>
  <si>
    <t>Core bookkeeping = Property Manager, STR Owner &amp; Short-Term Rental block (Client Retention rows 22-28); excludes Small Business and Tax-Only</t>
  </si>
  <si>
    <t>Ties to Client Retention H28 (177)</t>
  </si>
  <si>
    <t>Q4'25 through Q3'26</t>
  </si>
  <si>
    <t>Target Monthly Net Client Wins</t>
  </si>
  <si>
    <t>Target monthly pace × 12</t>
  </si>
  <si>
    <t>Ben's Share of Topkey ex-Keystone Value</t>
  </si>
  <si>
    <t>(+) Ben's Share of Keystone Post-Acquisition Value</t>
  </si>
  <si>
    <t>Ben's Value per 1.0x of Partnership Multiple</t>
  </si>
  <si>
    <t>Keystone Sale Multiple (x Revenue)</t>
  </si>
  <si>
    <t>Topkey Purchase Multiple (x Revenue)</t>
  </si>
  <si>
    <t>Keystone Revenue Given Up</t>
  </si>
  <si>
    <t>Ben's Share of Combined Revenue After Close</t>
  </si>
  <si>
    <t>Break-Even</t>
  </si>
  <si>
    <t>Base Case</t>
  </si>
  <si>
    <t>Required Topkey ex-Keystone Value — Year 5</t>
  </si>
  <si>
    <t>Topkey Future Revenue Multiple</t>
  </si>
  <si>
    <t>Topkey Annual Net Client Wins</t>
  </si>
  <si>
    <t>Topkey Revenue CAGR</t>
  </si>
  <si>
    <t>Input</t>
  </si>
  <si>
    <t>Topkey Future Revenue Multiple Falls To</t>
  </si>
  <si>
    <t>Topkey Annual Net Client Wins Fall To</t>
  </si>
  <si>
    <t>% of Consideration in Cash</t>
  </si>
  <si>
    <t>% of Consideration in Topkey Stock</t>
  </si>
  <si>
    <t>Illiquid Share of Ben's Value — Scenario 2</t>
  </si>
  <si>
    <t>Target</t>
  </si>
  <si>
    <t>vs. Offer</t>
  </si>
  <si>
    <t>Cash at Close — Target</t>
  </si>
  <si>
    <t>Preferred Stock With Liquidation Preference</t>
  </si>
  <si>
    <t>Anti-Dilution &amp; Pro-Rata Rights</t>
  </si>
  <si>
    <t>Put Right (Years 3–5) &amp; Tag-Along Rights</t>
  </si>
  <si>
    <t>Verified Topkey Financials Before Signing</t>
  </si>
  <si>
    <t>Year 5 Keystone partnership revenue × Ben's ownership; each 1.0x of C28 is worth this much to Ben</t>
  </si>
  <si>
    <t>Offer value ÷ Keystone run-rate revenue</t>
  </si>
  <si>
    <t>Topkey pre-deal valuation ÷ Topkey run-rate revenue</t>
  </si>
  <si>
    <t>Ben sells at ~1x revenue and buys Topkey stock at ~19x</t>
  </si>
  <si>
    <t>Ben's 4% claim on Topkey + Keystone run-rate revenue</t>
  </si>
  <si>
    <t>Topkey Year 5 value at which Scenario 2 equals Scenario 1</t>
  </si>
  <si>
    <t>Multiple at which the offer breaks even (flat 19.2x assumed in base)</t>
  </si>
  <si>
    <t>Net wins per year at which the offer breaks even. Base is an AMB placeholder</t>
  </si>
  <si>
    <t>Downside multiple compression. Negative = offer worse than keeping Keystone</t>
  </si>
  <si>
    <t>Downside Topkey client growth</t>
  </si>
  <si>
    <t>Downside dilution from future Topkey funding rounds</t>
  </si>
  <si>
    <t>Share of Ben's Scenario 2 value held in illiquid minority stock</t>
  </si>
  <si>
    <t>Ask: Ben's stock paid back first on a sale</t>
  </si>
  <si>
    <t>Ask: protect Ben's 4% from future rounds</t>
  </si>
  <si>
    <t>Ask: right to sell shares back to Topkey, and join any founder sale on equal terms</t>
  </si>
  <si>
    <t>Ask: verify $261K monthly revenue, 325 clients, churn and $60M valuation basis</t>
  </si>
  <si>
    <t>Topkey Multiple ÷ Keystone Multiple</t>
  </si>
  <si>
    <t>Where Ben's Year 5 Value Comes From</t>
  </si>
  <si>
    <t>Price Paid vs. Price Received</t>
  </si>
  <si>
    <t>Break-Even Stress Tests</t>
  </si>
  <si>
    <t>Downside Cases — Scenario 2 vs. Scenario 1</t>
  </si>
  <si>
    <t>Deal Terms — Partial Rollover</t>
  </si>
  <si>
    <t>Keystone Value Today (100%)</t>
  </si>
  <si>
    <t>Offer valuation of 100% of Keystone (Offer Overview C17)</t>
  </si>
  <si>
    <t>Ben's Rollover % — Keystone</t>
  </si>
  <si>
    <t>Topkey Stake % — Keystone</t>
  </si>
  <si>
    <t>Price for Topkey Stake</t>
  </si>
  <si>
    <t>Topkey stake priced at the same $3.0M valuation for 100%</t>
  </si>
  <si>
    <t>Cash portion unchanged from offer (Offer Overview C9)</t>
  </si>
  <si>
    <t>Topkey Equity Issued to Ben</t>
  </si>
  <si>
    <t>Balance of stake price paid in Topkey stock</t>
  </si>
  <si>
    <t>Topkey-provided valuation (Offer Overview C12)</t>
  </si>
  <si>
    <t>Pre-deal value + Keystone stake acquired − cash paid</t>
  </si>
  <si>
    <t>Topkey value net of cash paid at close</t>
  </si>
  <si>
    <t>Tie Out — Topkey Combined EV Today vs. Post-Money</t>
  </si>
  <si>
    <t>Tie Out — Ben's Topkey Equity vs. Equity Issued</t>
  </si>
  <si>
    <t>Tie Out — Ben's Value Today vs. Keystone Value Today</t>
  </si>
  <si>
    <t>Partnership Rollover Scenarios ($000s)</t>
  </si>
  <si>
    <t>Keystone Enterprise Value — Partnership</t>
  </si>
  <si>
    <t>(x) Ben's Retained Keystone %</t>
  </si>
  <si>
    <t>Ben's Retained Keystone Value</t>
  </si>
  <si>
    <t>(+) Topkey's Share of Keystone Value</t>
  </si>
  <si>
    <t>Topkey Combined Enterprise Value</t>
  </si>
  <si>
    <t>(x) Ben's Topkey Ownership %</t>
  </si>
  <si>
    <t>Split of Ben's Scenario 2 value</t>
  </si>
  <si>
    <t>(+) Ben's Share of Topkey ex-Keystone Value</t>
  </si>
  <si>
    <t>Ben's Topkey % × Topkey's own Year 5 value</t>
  </si>
  <si>
    <t>(+) Ben's Share of Topkey's Keystone Stake</t>
  </si>
  <si>
    <t>Ben's Topkey % × Topkey's Keystone stake</t>
  </si>
  <si>
    <t>Year 5 partnership revenue × (retained % + Topkey stake % × Ben's Topkey %)</t>
  </si>
  <si>
    <t>Keystone partnership multiple at which Scenario 2 equals Scenario 1</t>
  </si>
  <si>
    <t>Topkey Year 5 value needed to break even; zero means not needed</t>
  </si>
  <si>
    <t>Positive = Ben beats keeping 100% even if Topkey stock is worth nothing</t>
  </si>
  <si>
    <t>Partnership Revenue Multiple Falls To</t>
  </si>
  <si>
    <t>All Four Downsides Combined</t>
  </si>
  <si>
    <t>Liquidity &amp; Control</t>
  </si>
  <si>
    <t>% of Topkey Stake Price in Cash</t>
  </si>
  <si>
    <t>Ben's Keystone Ownership % After Close</t>
  </si>
  <si>
    <t>Minority stake in a Topkey-controlled company</t>
  </si>
  <si>
    <t>Retained Keystone stake + Topkey stock ÷ Ben's total value</t>
  </si>
  <si>
    <t>Negotiation Asks</t>
  </si>
  <si>
    <t>Cash at Close — Target % of Stake Price</t>
  </si>
  <si>
    <t>Ask: raise cash to 40-50% of the stake price</t>
  </si>
  <si>
    <t>Additional cash vs. current structure</t>
  </si>
  <si>
    <t>Minority Protections on Ben's Retained Stake</t>
  </si>
  <si>
    <t>Ask: Keystone board seat and vetoes on sale, new equity and debt</t>
  </si>
  <si>
    <t>Put Right on Ben's Retained Stake (Years 3–5)</t>
  </si>
  <si>
    <t>Ask: right to sell the remaining stake to Topkey at a set formula or multiple</t>
  </si>
  <si>
    <t>Tag-Along, Drag-Along &amp; Dividend Policy</t>
  </si>
  <si>
    <t>Ask: equal terms on any sale; set distributions from Keystone profits</t>
  </si>
  <si>
    <t>Anti-Dilution &amp; Pro-Rata Rights on Topkey Stock</t>
  </si>
  <si>
    <t>Ask: protect Ben's Topkey % from future rounds</t>
  </si>
  <si>
    <t>Share of Keystone Ben keeps; Topkey buys the rest for cash + Topkey equity (per AMB)</t>
  </si>
  <si>
    <t>Linked from rollover input (C7)</t>
  </si>
  <si>
    <t>Ben's Value by Source</t>
  </si>
  <si>
    <t>Keystone — Ben's Direct Retained Stake</t>
  </si>
  <si>
    <t>(+) Keystone — Ben's Indirect Share via Topkey</t>
  </si>
  <si>
    <t>(+) Topkey ex-Keystone — Ben's Share</t>
  </si>
  <si>
    <t>Today at offer value; Year 5 = partnership revenue × partnership multiple (C29)</t>
  </si>
  <si>
    <t>Ben's retained Keystone stake (C7 × Keystone value)</t>
  </si>
  <si>
    <t>Topkey's stake in Keystone is part of Topkey's value</t>
  </si>
  <si>
    <t>Keystone value Ben owns directly</t>
  </si>
  <si>
    <t>Ben's Topkey % × Topkey's own business</t>
  </si>
  <si>
    <t>Direct Keystone + indirect Keystone + Topkey + cash</t>
  </si>
  <si>
    <t>Topkey Value Decline Ben Can Absorb</t>
  </si>
  <si>
    <t>Downside Cases — Ben's Year 5 Value</t>
  </si>
  <si>
    <t>Scenario 2 — Base Case</t>
  </si>
  <si>
    <t>Combined Downside Less Scenario 1</t>
  </si>
  <si>
    <t>Ben's Scenario 2 value if the partnership multiple falls to the input</t>
  </si>
  <si>
    <t>Ben's Scenario 2 value if Topkey's multiple falls to the input</t>
  </si>
  <si>
    <t>Ben's Scenario 2 value if Topkey net wins fall to the input</t>
  </si>
  <si>
    <t>Ben's Scenario 2 value after dilution of his Topkey stake</t>
  </si>
  <si>
    <t>Ben's Scenario 2 value with all four downsides at once</t>
  </si>
  <si>
    <t>Negative = rollover worse than keeping 100% of Keystone</t>
  </si>
  <si>
    <t>(+) Software-Enabled Price Increase / Client</t>
  </si>
  <si>
    <t>VR Platform Replacement — Topkey Software Fee</t>
  </si>
  <si>
    <t>VR Platform Cost / Client — Today</t>
  </si>
  <si>
    <t>(x) Topkey Fee — % of VR Cost</t>
  </si>
  <si>
    <t>Hosting Cost Floor / Client</t>
  </si>
  <si>
    <t>Topkey Fee / Client</t>
  </si>
  <si>
    <t>VR Savings / Client</t>
  </si>
  <si>
    <t>Year 5 Keystone Core Clients</t>
  </si>
  <si>
    <t>Year 5 Annual Topkey Fee</t>
  </si>
  <si>
    <t>Year 5 Annual VR Savings</t>
  </si>
  <si>
    <t>Savings — % of Year 5 Partnership Revenue</t>
  </si>
  <si>
    <t>Ben's Share of Annual Savings</t>
  </si>
  <si>
    <t>Base case 50%. Test 100% (same fee as VR) or 0% (hosting cost only). Pending negotiation</t>
  </si>
  <si>
    <t>Topkey's hosting cost per client; pending from Topkey. Fee cannot go below this</t>
  </si>
  <si>
    <t>Greater of discounted VR cost or hosting floor</t>
  </si>
  <si>
    <t>Cost Keystone saves per client vs. paying VR</t>
  </si>
  <si>
    <t>Fee Keystone pays Topkey; not added to Topkey's value (would double-count)</t>
  </si>
  <si>
    <t>Annual savings × Ben's direct + indirect Keystone ownership</t>
  </si>
  <si>
    <t>Topkey Platform Fee at Hosting Cost + Margin, Capped</t>
  </si>
  <si>
    <t>Ask: fee set at hosting cost plus a small margin, capped and written into the shareholder agreement, with audit rights</t>
  </si>
  <si>
    <t>Year 5 cost savings vs. VR; memo only — not included in Ben's return calculations</t>
  </si>
  <si>
    <t>Only if Topkey software supports higher client fees; VR platform cost no longer added to revenue per client</t>
  </si>
  <si>
    <t>AMB estimate of steady-state EBITDA margin</t>
  </si>
  <si>
    <t>Earnout Measurement Year</t>
  </si>
  <si>
    <t>Keystone Revenue at Close</t>
  </si>
  <si>
    <t>(x) Achievement vs. Target</t>
  </si>
  <si>
    <t>Threshold — % of Target</t>
  </si>
  <si>
    <t>Cash Earnout Payable — Year 3</t>
  </si>
  <si>
    <t>Probability of Achievement</t>
  </si>
  <si>
    <t>Discount Rate</t>
  </si>
  <si>
    <t>Risk-Weighted Earnout — PV at Close (Memo)</t>
  </si>
  <si>
    <t>Base case assumes the model's Year 3 revenue is achieved; flex to test payout</t>
  </si>
  <si>
    <t>AMB estimate for the memo line below</t>
  </si>
  <si>
    <t>Memo only; not used in Scenario 2</t>
  </si>
  <si>
    <t>(+) Cash Earnout — Year 3</t>
  </si>
  <si>
    <t>Topkey's Return on the Keystone Stake</t>
  </si>
  <si>
    <t>Cash Paid at Close</t>
  </si>
  <si>
    <t>(+) Topkey Equity Issued to Ben</t>
  </si>
  <si>
    <t>Total Consideration Paid by Topkey</t>
  </si>
  <si>
    <t>(x) Topkey's Keystone Stake %</t>
  </si>
  <si>
    <t>Keystone Enterprise Value — Year 5</t>
  </si>
  <si>
    <t>Value of Topkey's Keystone Stake — Year 5</t>
  </si>
  <si>
    <t>MOIC — Topkey</t>
  </si>
  <si>
    <t>Topkey Cash Flows — Keystone Stake</t>
  </si>
  <si>
    <t>Cash Flow</t>
  </si>
  <si>
    <t>IRR — Topkey</t>
  </si>
  <si>
    <t>Cash earnout at base-case achievement (C56)</t>
  </si>
  <si>
    <t>Everything Topkey gives up for its Keystone stake</t>
  </si>
  <si>
    <t>Year 5 stake value ÷ total consideration</t>
  </si>
  <si>
    <t>Year 0 = close: cash + stock issued; earnout paid in the measurement year (C44); Year 5 = stake value (not a cash exit). Schedule covers a 5-year horizon</t>
  </si>
  <si>
    <t>(+) Cash at Close + Earnout</t>
  </si>
  <si>
    <t>Retained Keystone + Cash + Earnout Less Scenario 1</t>
  </si>
  <si>
    <t>Today: cash at close. Year 5: cash at close + Year 3 earnout</t>
  </si>
  <si>
    <t>Topkey's Return on the Keystone Acquisition</t>
  </si>
  <si>
    <t>100% buyout</t>
  </si>
  <si>
    <t>Topkey's Year 5 value of Keystone</t>
  </si>
  <si>
    <t>Topkey Cash Flows — Keystone Acquisition</t>
  </si>
  <si>
    <t>Cash earnout at base-case achievement (C55)</t>
  </si>
  <si>
    <t>Everything Topkey gives up for Keystone</t>
  </si>
  <si>
    <t>Year 0 = close: cash + stock issued; earnout paid in the measurement year (C43); Year 5 = stake value (not a cash exit). Schedule covers a 5-year horizon</t>
  </si>
  <si>
    <t>Keystone Sale Multiple incl. Earnout (x Revenue)</t>
  </si>
  <si>
    <t>(Offer value + Year 3 earnout) ÷ Keystone run-rate revenue</t>
  </si>
  <si>
    <t>Earnout Missed — Below Threshold</t>
  </si>
  <si>
    <t>Keystone misses 80% of Year 3 target: no earnout (Topkey keeps the cash, so Ben's 4% recovers a little)</t>
  </si>
  <si>
    <t>All Four Downsides Combined (incl. No Earnout)</t>
  </si>
  <si>
    <t>Multiple, wins and dilution downsides, and no earnout</t>
  </si>
  <si>
    <t>Cash at Close (Year 5: + Earnout)</t>
  </si>
  <si>
    <t>Year 5 column includes the Year 3 cash earnout in total consideration</t>
  </si>
  <si>
    <t>Cash Earnout on Year 3 Revenue — Paid in Cash</t>
  </si>
  <si>
    <t>Ask: earnout paid in cash; accelerates on a Topkey sale or termination without cause; software fee and cost allocations fixed</t>
  </si>
  <si>
    <t>Keystone (Ben) Cash Flows — Scenario 2</t>
  </si>
  <si>
    <t>Partnership MOIC — Keystone (Ben)</t>
  </si>
  <si>
    <t>Partnership IRR — Keystone (Ben)</t>
  </si>
  <si>
    <t>Cash Earnout — Year 3 Keystone Revenue (Sliding Scale)</t>
  </si>
  <si>
    <t>Target Earnout — at 100% of Target</t>
  </si>
  <si>
    <t>Payout at Threshold — % of Target Earnout</t>
  </si>
  <si>
    <t>Cap — % of Target Earnout</t>
  </si>
  <si>
    <t>Payout % Earned</t>
  </si>
  <si>
    <t>Maximum Earnout (Cap)</t>
  </si>
  <si>
    <t>No earnout below this share of target; payout starts at the threshold % below</t>
  </si>
  <si>
    <t>Opening ask: $500K at target (AMB internal range $750K–$1M)</t>
  </si>
  <si>
    <t>Share of target earnout paid at the 80% threshold</t>
  </si>
  <si>
    <t>Straight line from threshold payout at 80% to 100% at target, continuing above target until the cap</t>
  </si>
  <si>
    <t>Topkey's maximum earnout exposure</t>
  </si>
  <si>
    <t>Payout capped at 120% of target, symmetric with the 80% threshold (50% at 80%, 150% at 120%)</t>
  </si>
  <si>
    <t>Run-Rate Window — Months Averaged</t>
  </si>
  <si>
    <t>Earnout measured on average monthly recurring revenue for the last 3 months of Year 3 (months 34–36) × 12; averaging prevents one strong month from triggering the payout</t>
  </si>
  <si>
    <t>Year 3 Run-Rate Revenue Target</t>
  </si>
  <si>
    <t>Run-rate at close + partnership added revenue ramped to the midpoint of the averaging window (month 35 ÷ 60); same basis as the earnout measurement</t>
  </si>
  <si>
    <t>Year 3 Run-Rate Revenue — Achieved</t>
  </si>
  <si>
    <t>Earnout measured on Year 3 run-rate: average of months 34–36 × 12 (see C55)</t>
  </si>
  <si>
    <t>Earnout measured on Year 3 run-rate: average of months 34–36 × 12 (see C54)</t>
  </si>
  <si>
    <t>Buyout MOIC — Keystone (Ben)</t>
  </si>
  <si>
    <t>Buyout IRR — Keystone (Ben)</t>
  </si>
  <si>
    <t>Initial position does not include earnout</t>
  </si>
  <si>
    <t>Deal Terms — 100% Buyout</t>
  </si>
  <si>
    <t>Buyout-specific input: $500K cash at close (partnership tab keeps the $650K offer, Offer Overview C9)</t>
  </si>
  <si>
    <t>Keystone value less cash at close; balance paid in Topkey stock</t>
  </si>
  <si>
    <t>Pre-deal value + Keystone acquired − cash paid</t>
  </si>
  <si>
    <t>Run-Rate Revenue (PF Jul'26)</t>
  </si>
  <si>
    <t>Run-Rate Revenue (PF Jul'26) ($000s)</t>
  </si>
  <si>
    <t>Unrounded PF Jul'26 run-rate revenue (P&amp;L Overview K16); same basis as the Buyout and Partnership tabs</t>
  </si>
  <si>
    <t>Implied by rounded offer ÷ PF Jul'26 run-rate revenue</t>
  </si>
  <si>
    <t>Pre-deal Topkey less the $650K cash paid to Ben at close</t>
  </si>
  <si>
    <t>Keystone standalone valued at 1.0x revenue (offer implies ~1.00x)</t>
  </si>
  <si>
    <t>Est. Topkey Dilution — Ben's Stake (Year 5)</t>
  </si>
  <si>
    <t>AMB estimate: future Topkey equity issuance (capital raise, option pool, acquisitions) reduces Ben's Topkey % by this share by Year 5</t>
  </si>
  <si>
    <t>Year 5 = Today % × (1 − est. dilution, C8)</t>
  </si>
  <si>
    <t>Total Dilution of Ben's Topkey Stake</t>
  </si>
  <si>
    <t>Topkey Raises More Capital — Total Dilution</t>
  </si>
  <si>
    <t>Topkey equity issued ÷ post-money valuation; Year 5 = Today % × (1 − est. dilution, C8)</t>
  </si>
  <si>
    <t>Ben's Topkey Ownership % — Year 5 (Diluted)</t>
  </si>
  <si>
    <t>Undiluted</t>
  </si>
  <si>
    <t>Diluted</t>
  </si>
  <si>
    <t>(+) Retained Keystone + Cash + Earnout</t>
  </si>
  <si>
    <t>(-) Ben's Value — Scenario 1</t>
  </si>
  <si>
    <t>Scenario 2 Less Scenario 1</t>
  </si>
  <si>
    <t>Cost of Dilution to Ben</t>
  </si>
  <si>
    <t>Dilution Headroom vs. Break-Even (pts)</t>
  </si>
  <si>
    <t>Tie Out — Diluted Value vs. Scenario 2</t>
  </si>
  <si>
    <t>Year 5 value Ben gives up at the estimated dilution (C8)</t>
  </si>
  <si>
    <t>Break-even = total dilution at which Scenario 2 equals Scenario 1; base = estimated dilution (C8)</t>
  </si>
  <si>
    <t>Multiple at which the offer breaks even (flat multiple assumed in base)</t>
  </si>
  <si>
    <t>Offer Comparison — Partnership vs. 100% Buyout ($000s)</t>
  </si>
  <si>
    <t>Partnership</t>
  </si>
  <si>
    <t>100% Buyout</t>
  </si>
  <si>
    <t>Deal Assumptions</t>
  </si>
  <si>
    <t>Topkey Valuation Today — Pre-Deal</t>
  </si>
  <si>
    <t>Topkey 5-Year Valuation Growth (ex-Keystone)</t>
  </si>
  <si>
    <t>Differs because the ex-Keystone base is net of each offer's cash at close</t>
  </si>
  <si>
    <t>Total additional revenue ÷ Keystone revenue at close ($2,999)</t>
  </si>
  <si>
    <t>Keystone Initial Revenue Multiple</t>
  </si>
  <si>
    <t>Keystone Scaled Revenue Multiple</t>
  </si>
  <si>
    <t>Keystone Software-Integration Revenue Multiple</t>
  </si>
  <si>
    <t>Offer Structure</t>
  </si>
  <si>
    <t>Buyout: 1 − Topkey stake acquired</t>
  </si>
  <si>
    <t>Keystone Stake Acquired by Topkey</t>
  </si>
  <si>
    <t>Price for Topkey's Stake</t>
  </si>
  <si>
    <t>% of Consideration in Cash (incl. Earnout)</t>
  </si>
  <si>
    <t>Ben's Topkey Ownership % — Today</t>
  </si>
  <si>
    <t>Jon's Topkey Ownership % — Today</t>
  </si>
  <si>
    <t>Jon = Topkey's existing owner; 1 − Ben's %</t>
  </si>
  <si>
    <t>Jon's Topkey Ownership % — Year 5 (Diluted)</t>
  </si>
  <si>
    <t>Assumes Jon is diluted by the same est. % as Ben (row 8)</t>
  </si>
  <si>
    <t>Return Profile — Jon (Topkey)</t>
  </si>
  <si>
    <t>Return Profile — Ben</t>
  </si>
  <si>
    <t>Ben — Offer vs. Standalone (Year 5)</t>
  </si>
  <si>
    <t>Ben's Value — Offer</t>
  </si>
  <si>
    <t>(-) Ben's Value — Standalone</t>
  </si>
  <si>
    <t>Offer Less Standalone ($)</t>
  </si>
  <si>
    <t>Offer Less Standalone (%)</t>
  </si>
  <si>
    <t>MOIC — Offer</t>
  </si>
  <si>
    <t>(-) MOIC — Standalone</t>
  </si>
  <si>
    <t>Keystone Year 5 value ÷ value today</t>
  </si>
  <si>
    <t>MOIC Delta — Offer vs. Standalone</t>
  </si>
  <si>
    <t>IRR — Offer</t>
  </si>
  <si>
    <t>From each tab's cash-flow IRR (includes cash timing)</t>
  </si>
  <si>
    <t>(-) IRR — Standalone</t>
  </si>
  <si>
    <t>IRR Delta — Offer vs. Standalone</t>
  </si>
  <si>
    <t>Tie Out — Ben's Value by Source vs. Offer</t>
  </si>
  <si>
    <t>n/m</t>
  </si>
  <si>
    <t>n/m: Ben keeps no direct Keystone stake in the buyout</t>
  </si>
  <si>
    <t>Retained Keystone Stake (Direct)</t>
  </si>
  <si>
    <t>Buyout: no retained stake</t>
  </si>
  <si>
    <t>(+) Keystone via Topkey</t>
  </si>
  <si>
    <t>(+) Topkey ex-Keystone</t>
  </si>
  <si>
    <t>Ben's Value — Offer (Year 5)</t>
  </si>
  <si>
    <t>Tie Out — Value by Source vs. Offer</t>
  </si>
  <si>
    <t>Keystone 5-Yr Revenue Increase — Standalone (% of Start)</t>
  </si>
  <si>
    <t>Keystone 5-Yr Revenue Increase — Partnership (% of Start)</t>
  </si>
  <si>
    <t>Offer Comparison</t>
  </si>
  <si>
    <t>Input — single Topkey valuation; drives Offer Overview, Partnership and Buyout tabs</t>
  </si>
  <si>
    <t>Buyout: target $500K; capped at $750K. Partnership: no earnout</t>
  </si>
  <si>
    <t>Input — drives Partnership and Buyout tabs (D = C)</t>
  </si>
  <si>
    <t>Partnership Revenue Multiple — Cushion (x)</t>
  </si>
  <si>
    <t>Base integration multiple (row 15) less break-even; n/m for Buyout (no retained stake)</t>
  </si>
  <si>
    <t>Topkey ex-Keystone Value (Year 5) — Cushion ($)</t>
  </si>
  <si>
    <t>Base-case value less break-even value</t>
  </si>
  <si>
    <t>Topkey Future Revenue Multiple — Cushion (x)</t>
  </si>
  <si>
    <t>Base multiple less break-even multiple</t>
  </si>
  <si>
    <t>Topkey Annual Net Client Wins — Cushion (#)</t>
  </si>
  <si>
    <t>Base net wins (AMB placeholder) less break-even wins</t>
  </si>
  <si>
    <t>Dilution of Ben's Topkey Stake — Cushion (% pts)</t>
  </si>
  <si>
    <t>Break-even dilution less est. dilution (C8)</t>
  </si>
  <si>
    <t>Topkey Revenue CAGR — Cushion (% pts)</t>
  </si>
  <si>
    <t>Base CAGR less break-even CAGR</t>
  </si>
  <si>
    <t>Ownership %</t>
  </si>
  <si>
    <t>Keystone via Topkey</t>
  </si>
  <si>
    <t>Topkey ex-Keystone</t>
  </si>
  <si>
    <t>Cash Earnout — Year 3</t>
  </si>
  <si>
    <t>Note the $650K covers Ben's tax situation</t>
  </si>
  <si>
    <t>Cash at Close (Year 0)</t>
  </si>
  <si>
    <t>(+) Equity Issued to Ben (Year 0)</t>
  </si>
  <si>
    <t>Total Invested by Jon (Topkey)</t>
  </si>
  <si>
    <t>Ties to Total Consideration (row 26)</t>
  </si>
  <si>
    <t>Topkey's Keystone Stake — Year 5 Value</t>
  </si>
  <si>
    <t>70% (Partnership) or 100% (Buyout) of Keystone's Year 5 value</t>
  </si>
  <si>
    <t>Deal MOIC</t>
  </si>
  <si>
    <t>Standard acquirer view: stake value ÷ consideration at issue price</t>
  </si>
  <si>
    <t>Deal IRR</t>
  </si>
  <si>
    <t>Cash-flow IRR; see helper cash flows in L38:Q39</t>
  </si>
  <si>
    <t>Jon's Year 5 Value — With Deal</t>
  </si>
  <si>
    <t>Jon's diluted % × (Topkey ex-Keystone + Keystone stake)</t>
  </si>
  <si>
    <t>(-) Jon's Year 5 Value — Without Deal</t>
  </si>
  <si>
    <t>Topkey keeps its cash and pays no earnout; Jon diluted by the same est. %</t>
  </si>
  <si>
    <t>Net Value Created for Jon</t>
  </si>
  <si>
    <t>Includes the cost of stock sharing Topkey's growth with Ben</t>
  </si>
  <si>
    <t>All-In MOIC</t>
  </si>
  <si>
    <t>(Invested + net value created) ÷ invested</t>
  </si>
  <si>
    <t>All-In IRR</t>
  </si>
  <si>
    <t>MOIC^(1 / horizon) − 1</t>
  </si>
  <si>
    <t>Helper: Year</t>
  </si>
  <si>
    <t>Helper: Partnership CF</t>
  </si>
  <si>
    <t>Helper: Buyout CF</t>
  </si>
  <si>
    <t>Helper: Earnout Year</t>
  </si>
  <si>
    <t>Keystone Value Contributed by Ben (Year 0)</t>
  </si>
  <si>
    <t>Ben gives up 100% of Keystone at today's value in both offers</t>
  </si>
  <si>
    <t>(+) Retained Keystone Stake — Year 5</t>
  </si>
  <si>
    <t>Partnership: Ben's 30%; Buyout: none</t>
  </si>
  <si>
    <t>(+) Topkey Equity — Year 5</t>
  </si>
  <si>
    <t>Diluted Topkey stake, incl. Ben's indirect share of Keystone</t>
  </si>
  <si>
    <t>Total Value Received by Ben</t>
  </si>
  <si>
    <t>Total value received ÷ Keystone value contributed</t>
  </si>
  <si>
    <t>(-) Ben's Year 5 Value — Standalone</t>
  </si>
  <si>
    <t>Ben keeps 100% of Keystone</t>
  </si>
  <si>
    <t>Net Value Created for Ben</t>
  </si>
  <si>
    <t>Offer vs. keeping 100% of Keystone</t>
  </si>
  <si>
    <t>Ben's Break-Even — Downside Threshold</t>
  </si>
  <si>
    <t>Ben's Break-Even Cushion — Base Case vs. Break-Even</t>
  </si>
  <si>
    <t>Topkey's Break-Even — Downside Threshold</t>
  </si>
  <si>
    <t>Required Keystone Stake Value — Year 5</t>
  </si>
  <si>
    <t>Required Keystone Revenue — Year 5</t>
  </si>
  <si>
    <t>At the base software-integration multiple (row 15)</t>
  </si>
  <si>
    <t>At base Keystone Year 5 revenue</t>
  </si>
  <si>
    <t>Keystone Annual Net Client Wins</t>
  </si>
  <si>
    <t>Total wins incl. Topkey-sourced; at base revenue per client</t>
  </si>
  <si>
    <t>Keystone Avg. Revenue Per Client</t>
  </si>
  <si>
    <t>At base total net client wins</t>
  </si>
  <si>
    <t>Keystone Revenue CAGR</t>
  </si>
  <si>
    <t>From revenue at close to break-even Year 5 revenue</t>
  </si>
  <si>
    <t>Topkey's Break-Even Cushion — Base Case vs. Break-Even</t>
  </si>
  <si>
    <t>Keystone Stake Value (Year 5) — Cushion ($)</t>
  </si>
  <si>
    <t>Base stake value (row 42) less break-even</t>
  </si>
  <si>
    <t>Keystone Revenue (Year 5) — Cushion ($)</t>
  </si>
  <si>
    <t>Base Year 5 revenue less break-even</t>
  </si>
  <si>
    <t>Software-Integration Revenue Multiple — Cushion (x)</t>
  </si>
  <si>
    <t>Base multiple less break-even</t>
  </si>
  <si>
    <t>Keystone Annual Net Client Wins — Cushion (#)</t>
  </si>
  <si>
    <t>Base wins (48/yr) less break-even</t>
  </si>
  <si>
    <t>Keystone Avg. Revenue Per Client — Cushion ($)</t>
  </si>
  <si>
    <t>Base revenue per client less break-even</t>
  </si>
  <si>
    <t>Keystone Revenue CAGR — Cushion (% pts)</t>
  </si>
  <si>
    <t>First 70% (Partnership)</t>
  </si>
  <si>
    <t>100% (Buyout)</t>
  </si>
  <si>
    <t>Cost per 1% of Keystone</t>
  </si>
  <si>
    <t>Price per point rises on the extra 30% (earnout added)</t>
  </si>
  <si>
    <t>Paid in Topkey Stock (% of Invested)</t>
  </si>
  <si>
    <t>Stock is Jon's most expensive currency (shares Topkey's growth)</t>
  </si>
  <si>
    <t>Keystone Stake Value — Year 5</t>
  </si>
  <si>
    <t>Stake value ÷ consideration at issue price</t>
  </si>
  <si>
    <t>Extra 30%</t>
  </si>
  <si>
    <t>Incremental cost of the last 30%</t>
  </si>
  <si>
    <t>Incremental value to Jon from the last 30%</t>
  </si>
  <si>
    <t>Column E = incremental cost and return of buying the last 30% (Buyout less Partnership)</t>
  </si>
  <si>
    <t>Break-even = Jon's net value created equals zero; no earnout paid at break-even (below threshold)</t>
  </si>
  <si>
    <t>Cash at close + Topkey value shared with Ben via equity issued (gross Topkey value incl. cash kept)</t>
  </si>
  <si>
    <t>(-) Hurdle MOIC — Break-Even</t>
  </si>
  <si>
    <t>Break-even stake value (row 119) ÷ cash + stock; no earnout paid at break-even</t>
  </si>
  <si>
    <t>(-) Hurdle IRR — Break-Even</t>
  </si>
  <si>
    <t>Blended cost of Jon's currency: cash at 1.0x, stock at Topkey's 5-year growth</t>
  </si>
  <si>
    <t>Excess MOIC over Hurdle</t>
  </si>
  <si>
    <t>Deal return after backing out the cost of paying in Topkey stock</t>
  </si>
  <si>
    <t>Excess IRR over Hurdle (% pts)</t>
  </si>
  <si>
    <t>Deal IRR less hurdle IRR</t>
  </si>
  <si>
    <t>Hurdle MOIC — Break-Even</t>
  </si>
  <si>
    <t>From Jon's return profile (row 45); n/m for the extra 30% (break-even excludes earnout, so hurdles aren't additive)</t>
  </si>
  <si>
    <t>Ties to Ben's Value — Offer (row 81); tie-out in row 91</t>
  </si>
  <si>
    <t>Cash-flow IRR; see helper cash flows in L69:Q70</t>
  </si>
  <si>
    <t>(+) Target Cash Earnout (at 100% Achievement) — Year 3</t>
  </si>
  <si>
    <t>(+) Target Cash Earnout (at 100% Achievement) (Year 3)</t>
  </si>
  <si>
    <t>Cash at close + equity issued + target earnout (at 100% achievement)</t>
  </si>
  <si>
    <t>Total MOIC</t>
  </si>
  <si>
    <t>Year the target earnout is paid — linked to 100% Buyout Analysis (Earnout Measurement Year)</t>
  </si>
  <si>
    <t>Total IRR</t>
  </si>
  <si>
    <t>Partnership Sensitivity Tables ($000s)</t>
  </si>
  <si>
    <t>Offer valuation of 100% of Keystone; deducted to show Ben's gain</t>
  </si>
  <si>
    <t>Year 5 partnership revenue × partnership multiple</t>
  </si>
  <si>
    <t>Topkey-provided valuation</t>
  </si>
  <si>
    <t>Cash % of Topkey Stake Price</t>
  </si>
  <si>
    <t>Current mix ($650K of $2,100K) held; cash and stock scale with stake price</t>
  </si>
  <si>
    <t>AMB estimate; applied to Ben's Topkey % at every rollover</t>
  </si>
  <si>
    <t>Held constant; not driven by rollover % or Topkey growth</t>
  </si>
  <si>
    <t>Model Rollover % — Keystone</t>
  </si>
  <si>
    <t>Current model input; used in tie-out</t>
  </si>
  <si>
    <t>Current model result; used in tie-out</t>
  </si>
  <si>
    <t>Rollover % — Midpoint</t>
  </si>
  <si>
    <t>Per AMB; matches current rollover</t>
  </si>
  <si>
    <t>Rollover % — Step</t>
  </si>
  <si>
    <t>Per AMB; 15%–45% range</t>
  </si>
  <si>
    <t>Topkey Growth — Midpoint</t>
  </si>
  <si>
    <t>Per AMB; rounded from model's ~202%</t>
  </si>
  <si>
    <t>Topkey Growth — Step</t>
  </si>
  <si>
    <t>Per AMB; 100%–300% range</t>
  </si>
  <si>
    <t>Helper: Rollover %</t>
  </si>
  <si>
    <t>Helper: Cash at Close</t>
  </si>
  <si>
    <t>Helper: Topkey Equity Issued</t>
  </si>
  <si>
    <t>Helper: Topkey ex-Keystone Today</t>
  </si>
  <si>
    <t>Helper: Ben's Yr 5 Topkey %</t>
  </si>
  <si>
    <t>Base Case Check</t>
  </si>
  <si>
    <t>Ben's Yr 5 Value Less Keystone Today — Model</t>
  </si>
  <si>
    <t>Keystone EV — Partnership (Year 5)</t>
  </si>
  <si>
    <t>Est. Topkey Dilution — Ben's Stake (Yr 5)</t>
  </si>
  <si>
    <t>Model Topkey Growth (Today → Year 5)</t>
  </si>
  <si>
    <t>(-) Partnership Analysis — Scenario 2 Gain</t>
  </si>
  <si>
    <t>Total Offer Value — at Close</t>
  </si>
  <si>
    <t>(+) Cash Earnout — Year 3 (Contingent)</t>
  </si>
  <si>
    <t>Paid only if Year 3 revenue target is met (C57); % shown vs. offer value at close</t>
  </si>
  <si>
    <t>Total Consideration incl. Earnout</t>
  </si>
  <si>
    <t>Ties to Topkey's Total Consideration Paid</t>
  </si>
  <si>
    <t>Cash paid at close (C174)</t>
  </si>
  <si>
    <t>Topkey stock issued at the $60M pre-deal valuation (C175)</t>
  </si>
  <si>
    <t>Ties to Keystone Value Today (C173)</t>
  </si>
  <si>
    <t>Implied multiple: Topkey pre-deal valuation (C163) ÷ run-rate revenue (C9)</t>
  </si>
  <si>
    <t>% growth in Topkey ex-Keystone Value (row 73), Today → Year N</t>
  </si>
  <si>
    <t>Target pace per AMB; LTM actual is 26/yr (~2.2/month), see build at rows 170-175</t>
  </si>
  <si>
    <t>Run-rate tech cost provided by the target; memo only — VR savings assumed captured in the 20% partnership margin (C109) and revenue multiple</t>
  </si>
  <si>
    <t>PF Jul'26 run-rate revenue at close (C159); unchanged</t>
  </si>
  <si>
    <t>Paid in cash by Topkey; flows into Scenario 2 (row 78), Ben's MOIC/IRR (rows 84-85) and Topkey's return (row 92)</t>
  </si>
  <si>
    <t>Ben's Year 5 value (D79: cash + earnout + Topkey stock) ÷ Keystone value given up at close (C160)</t>
  </si>
  <si>
    <t>IRR on Ben's Scenario 2 cash flows (supporting table at rows 185-191); Year 5 = stake value, not a cash exit</t>
  </si>
  <si>
    <t>Cash portion of offer (C161)</t>
  </si>
  <si>
    <t>Topkey stock issued, at issue value (C162)</t>
  </si>
  <si>
    <t>Year 5 partnership value of Keystone (D74)</t>
  </si>
  <si>
    <t>IRR on Topkey's cash flows (supporting table at rows 177-183); excludes software fee income and Keystone profits, so understated</t>
  </si>
  <si>
    <t>Ben's 4% of Topkey's own Year 5 value, net of cash and earnout paid (D73)</t>
  </si>
  <si>
    <t>Ben's 4% of the partnership-valued Keystone (D74)</t>
  </si>
  <si>
    <t>Cash at close (D77)</t>
  </si>
  <si>
    <t>Year 3 cash earnout (D78)</t>
  </si>
  <si>
    <t>Ties to D79</t>
  </si>
  <si>
    <t>Break-even vs. estimated Topkey revenue CAGR (rows 86-87)</t>
  </si>
  <si>
    <t>Year 5 combined Topkey EV (D77) × ownership %</t>
  </si>
  <si>
    <t>Unaffected by dilution (D79 + D80)</t>
  </si>
  <si>
    <t>Break-even total dilution (C136) less estimated dilution (C8)</t>
  </si>
  <si>
    <t>Year 0 = Keystone value given up (C160) less cash at close (C161); earnout in the measurement year (C43); Year 5 = Ben's Topkey stock (D76)</t>
  </si>
  <si>
    <t>Cash paid at close for Topkey's stake (C189)</t>
  </si>
  <si>
    <t>Topkey stock issued at the $60M pre-deal valuation (C190)</t>
  </si>
  <si>
    <t>(+) Ben's Rolled Keystone Equity</t>
  </si>
  <si>
    <t>Keystone value today × Ben's rollover % (C185 × C186)</t>
  </si>
  <si>
    <t>Ties to Keystone Value Today (C185)</t>
  </si>
  <si>
    <t>Paid only if Year 3 revenue target is met (C58); % shown vs. offer value at close</t>
  </si>
  <si>
    <t>Implied multiple: Topkey pre-deal valuation (C175) ÷ run-rate revenue (C10)</t>
  </si>
  <si>
    <t>% growth in Topkey ex-Keystone Value (row 80), Today → Year N</t>
  </si>
  <si>
    <t>Target pace per AMB; LTM actual is 26/yr (~2.2/month), see build at rows 183-188</t>
  </si>
  <si>
    <t>Only if Topkey software supports higher client fees; VR cost treated as a cost (memo block at rows 190-200)</t>
  </si>
  <si>
    <t>PF Jul'26 run-rate revenue at close (C168); unchanged</t>
  </si>
  <si>
    <t>Paid in cash by Topkey; flows into Scenario 2 (row 89), Ben's MOIC/IRR and Topkey's return (row 103)</t>
  </si>
  <si>
    <t>Ties to Topkey equity issued (tie-out row 180)</t>
  </si>
  <si>
    <t>Ben's Year 5 value (D90: cash + earnout + retained stake + Topkey stock) ÷ Keystone value given up at close (C169)</t>
  </si>
  <si>
    <t>IRR on Ben's Scenario 2 cash flows (supporting table at rows 210-216); Year 5 = stake values, not a cash exit</t>
  </si>
  <si>
    <t>Topkey revenue CAGR needed for Scenario 2 to equal Scenario 1 (from required value in C135, before earnout paid); floored at zero</t>
  </si>
  <si>
    <t>Cash portion of stake price (C173)</t>
  </si>
  <si>
    <t>Topkey stock issued, at issue value (C174)</t>
  </si>
  <si>
    <t>Topkey's share of Keystone (C171)</t>
  </si>
  <si>
    <t>Year 5 partnership value of 100% of Keystone (D75)</t>
  </si>
  <si>
    <t>Ties to Topkey's share of Keystone in Scenario 2 (D80)</t>
  </si>
  <si>
    <t>IRR on Topkey's cash flows (supporting table at rows 202-208); excludes software fee income and Keystone distributions, so understated</t>
  </si>
  <si>
    <t>Ben's retained Keystone stake at the partnership multiple (D77)</t>
  </si>
  <si>
    <t>Cash at close (D88) + Year 3 earnout (D89)</t>
  </si>
  <si>
    <t>Ties to D90</t>
  </si>
  <si>
    <t>Break-even vs. estimated Topkey revenue CAGR (rows 99-100)</t>
  </si>
  <si>
    <t>Drop in Topkey's Year 5 value (vs. base, D135) before Scenario 2 falls to Scenario 1; 100% = Topkey stock not needed</t>
  </si>
  <si>
    <t>Year 5 combined Topkey EV (D83) × ownership %</t>
  </si>
  <si>
    <t>Unaffected by dilution (D79 + D90 + D91)</t>
  </si>
  <si>
    <t>Break-even total dilution (C138) less estimated dilution (C8)</t>
  </si>
  <si>
    <t>Benchmark: Ben keeps 100% (D72)</t>
  </si>
  <si>
    <t>Rollover at base-case inputs (D90)</t>
  </si>
  <si>
    <t>Sep'26 core client count (C187) + partnership net client wins (C39)</t>
  </si>
  <si>
    <t>Savings ÷ Year 5 partnership revenue (C119)</t>
  </si>
  <si>
    <t>Year 0 = Keystone value given up (C169) less cash at close (C173); earnout in the measurement year (C44); Year 5 = retained Keystone stake (D77) + Topkey stock (D83)</t>
  </si>
  <si>
    <t>Topkey ex-Keystone Value Growth (%)</t>
  </si>
  <si>
    <t>Ben's Rollover %</t>
  </si>
  <si>
    <t>Ben's Net Returns Based on Topkey Growth &amp; Rollover %</t>
  </si>
  <si>
    <t>Ben's % Return on Keystone Value Based on Topkey Growth &amp; Rollover %</t>
  </si>
  <si>
    <t>Highlight Threshold — Net Return ($000s)</t>
  </si>
  <si>
    <t>Highlight Threshold — % Return</t>
  </si>
  <si>
    <t>Ben's IRR Based on Topkey Growth &amp; Rollover %</t>
  </si>
  <si>
    <t>Model input; year the cash earnout is received</t>
  </si>
  <si>
    <t>Projection Horizon (Years)</t>
  </si>
  <si>
    <t>Model input; year Ben's stake value is realized</t>
  </si>
  <si>
    <t>Helper: IRR Year Index</t>
  </si>
  <si>
    <t>IRR on Ben's cash flows: Yr 0 = cash at close less Keystone value today; earnout in Yr 3; Yr 5 = stake value</t>
  </si>
  <si>
    <t>Ben's Return Profile Based on Partnerning</t>
  </si>
  <si>
    <t>Ben's Return Profile Based on Partnerning - Less Standalone</t>
  </si>
  <si>
    <t>Ben's Yr 5 Value Less Standalone — Model</t>
  </si>
  <si>
    <t>(-) Partnership Analysis — Increase in Proceeds</t>
  </si>
  <si>
    <t>Tie Out — vs. Standalone</t>
  </si>
  <si>
    <t>Standalone Value — Keystone (Year 5)</t>
  </si>
  <si>
    <t>Scenario 1 (Ben retains 100%); fixed, not driven by growth or rollover</t>
  </si>
  <si>
    <t>Standalone IRR — Keystone (Ben)</t>
  </si>
  <si>
    <t>Keystone value today (G94) grown to standalone Year 5 value over the horizon</t>
  </si>
  <si>
    <t>Highlight Threshold — % Return vs. Standalone</t>
  </si>
  <si>
    <t>Ben's Net Returns vs. Standalone Based on Topkey Growth &amp; Rollover %</t>
  </si>
  <si>
    <t>Ben's % Return vs. Standalone Based on Topkey Growth &amp; Rollover %</t>
  </si>
  <si>
    <t>Ben's IRR Premium vs. Standalone Based on Topkey Growth &amp; Rollover %</t>
  </si>
  <si>
    <t>Rounding — $ Tables (Digits)</t>
  </si>
  <si>
    <t>Per AMB; $ tables shown to nearest $100K; % and IRR tables use unrounded values</t>
  </si>
  <si>
    <t>Helper: Unrounded Net Return</t>
  </si>
  <si>
    <t>Helper: Unrounded Net Return vs. Standalone</t>
  </si>
  <si>
    <t>Standalone Yr 5 value less Keystone today, plus required premium (G113)</t>
  </si>
  <si>
    <t>% return that equals standalone plus required premium (G113)</t>
  </si>
  <si>
    <t>Required Premium vs. Standalone ($000s)</t>
  </si>
  <si>
    <t>Per AMB; green shading in every table starts where partnering beats standalone by $1M</t>
  </si>
  <si>
    <t>Required premium ÷ standalone Yr 5 value</t>
  </si>
  <si>
    <t>Keystone EV Yr 5 — Rebuilt at Model Net Client Wins</t>
  </si>
  <si>
    <t>(-) Partnership Analysis — Keystone EV (Year 5)</t>
  </si>
  <si>
    <t>Tie Out — Keystone EV</t>
  </si>
  <si>
    <t>Keystone run-rate revenue at close</t>
  </si>
  <si>
    <t>Total Avg. Revenue Per Client — Partnership</t>
  </si>
  <si>
    <t>Includes software-enabled price increase</t>
  </si>
  <si>
    <t>Applied to Keystone Yr 5 partnership revenue</t>
  </si>
  <si>
    <t>Model Total Annual Net Client Wins — Partnership</t>
  </si>
  <si>
    <t>Current model input (36 standalone + 12 from Topkey)</t>
  </si>
  <si>
    <t>Net Client Wins — Midpoint</t>
  </si>
  <si>
    <t>Per AMB; matches current model</t>
  </si>
  <si>
    <t>Net Client Wins — Step</t>
  </si>
  <si>
    <t>Per AMB; 32–64 range</t>
  </si>
  <si>
    <t>Keystone Total Annual Net Client Wins — Partnership (#)</t>
  </si>
  <si>
    <t>Ben's Net Returns Based on Net Client Wins &amp; Rollover %</t>
  </si>
  <si>
    <t>Ben's % Return on Keystone Value Based on Net Client Wins &amp; Rollover %</t>
  </si>
  <si>
    <t>Ben's IRR Based on Net Client Wins &amp; Rollover %</t>
  </si>
  <si>
    <t>Ben's Net Returns vs. Standalone Based on Net Client Wins &amp; Rollover %</t>
  </si>
  <si>
    <t>Ben's % Return vs. Standalone Based on Net Client Wins &amp; Rollover %</t>
  </si>
  <si>
    <t>Ben's IRR Premium vs. Standalone Based on Net Client Wins &amp; Rollover %</t>
  </si>
  <si>
    <t>Ben's Return Profile Based on Partnering — Net Client Wins</t>
  </si>
  <si>
    <t>Ben's Return Profile Based on Partnering — Net Client Wins - Less Standalone</t>
  </si>
  <si>
    <t>Helper: Keystone EV Yr 5 by Net Client Wins</t>
  </si>
  <si>
    <t>Helper: Unrounded Net Return — Net Client Wins</t>
  </si>
  <si>
    <t>Helper: Unrounded Net Return vs. Standalone — Net Client Wins</t>
  </si>
  <si>
    <t>(-) Additional Annual Net Client Wins From Topkey</t>
  </si>
  <si>
    <t>Removed from partnership wins to get standalone wins at each column</t>
  </si>
  <si>
    <t>Avg. Revenue Per Client — Standalone</t>
  </si>
  <si>
    <t>Standalone pricing (no software-enabled increase)</t>
  </si>
  <si>
    <t>Scaled Revenue Multiple — Standalone</t>
  </si>
  <si>
    <t>Standalone Yr 5 multiple</t>
  </si>
  <si>
    <t>Ben's Ownership % — Standalone</t>
  </si>
  <si>
    <t>Scenario 1: Ben retains 100%</t>
  </si>
  <si>
    <t>Standalone Value Yr 5 — Rebuilt at Model Net Client Wins</t>
  </si>
  <si>
    <t>(-) Partnership Analysis — Standalone Value (Year 5)</t>
  </si>
  <si>
    <t>Tie Out — Standalone Value</t>
  </si>
  <si>
    <t>Helper: Standalone Yr 5 Value by Net Client Wins</t>
  </si>
  <si>
    <t>Helper: Standalone IRR by Net Client Wins</t>
  </si>
  <si>
    <t>Ben's Year 5 partnership value ÷ standalone Year 5 value at matching client wins (helper AJ93), less 1</t>
  </si>
  <si>
    <t>Partnership IRR (table above) less standalone IRR at matching client wins (helper AJ95), in percentage points</t>
  </si>
  <si>
    <t>Net Client Wins (#)</t>
  </si>
  <si>
    <t>Helper: Net Client Wins</t>
  </si>
  <si>
    <t>Helper: Keystone EV Yr 5</t>
  </si>
  <si>
    <t>Helper: Standalone Yr 5 Value</t>
  </si>
  <si>
    <t>Helper: Standalone IRR</t>
  </si>
  <si>
    <t>Helper: Unrounded Net Return — Growth × Net Client Wins (30% Rollover)</t>
  </si>
  <si>
    <t>Helper: Unrounded Net Return vs. Standalone — Growth × Net Client Wins</t>
  </si>
  <si>
    <t>Ben's Return Profile Based on Partnering — Topkey Growth × Net Client Wins (30% Rollover)</t>
  </si>
  <si>
    <t>Ben's Net Returns Based on Topkey Growth &amp; Net Client Wins</t>
  </si>
  <si>
    <t>Ben's % Return on Keystone Value Based on Topkey Growth &amp; Net Client Wins</t>
  </si>
  <si>
    <t>Ben's IRR Based on Topkey Growth &amp; Net Client Wins</t>
  </si>
  <si>
    <t>Ben's Return Profile Based on Partnering — Topkey Growth × Net Client Wins (30% Rollover) - Less Standalone</t>
  </si>
  <si>
    <t>Ben's Net Returns vs. Standalone Based on Topkey Growth &amp; Net Client Wins</t>
  </si>
  <si>
    <t>Ben's % Return vs. Standalone Based on Topkey Growth &amp; Net Client Wins</t>
  </si>
  <si>
    <t>Ben's IRR Premium vs. Standalone Based on Topkey Growth &amp; Net Client Wins</t>
  </si>
  <si>
    <t>Ben's Year 5 value (cash at close + earnout + retained Keystone stake + Topkey stock, after dilution) less Keystone value today (G263)</t>
  </si>
  <si>
    <t>Ben's Year 5 total value ÷ Keystone value today (G263), less 1</t>
  </si>
  <si>
    <t>Ben's Year 5 partnership value less standalone Year 5 value (G280)</t>
  </si>
  <si>
    <t>Ben's Year 5 partnership value ÷ standalone Year 5 value (G280), less 1</t>
  </si>
  <si>
    <t>Partnership IRR (table above) less standalone IRR (G281), in percentage points</t>
  </si>
  <si>
    <t>Ben's Year 5 value (cash at close + earnout + retained Keystone stake + Topkey stock, after dilution) less Keystone value today (G263); Topkey growth held at model (G270)</t>
  </si>
  <si>
    <t>Ben's Year 5 partnership value less standalone Year 5 value at matching net client wins less Topkey's added wins (G292)</t>
  </si>
  <si>
    <t>Ben's Year 5 total value ÷ Keystone value today (G263), less 1; rollover fixed at 30% (G269)</t>
  </si>
  <si>
    <t>Ben's Year 5 partnership value ÷ standalone Year 5 value at each row's client wins (helper AL170:AL176), less 1</t>
  </si>
  <si>
    <t>Partnership IRR (table above) less standalone IRR at each row's client wins (helper AM170:AM176), in percentage points</t>
  </si>
  <si>
    <t>Ben's Yr 5 Value Less Keystone Today — Rebuilt at Model Wins &amp; Growth (30% Rollover)</t>
  </si>
  <si>
    <t>Tie Out — Growth × Client Wins</t>
  </si>
  <si>
    <t>Ben's Yr 5 value (cash + earnout + retained stake + Topkey stock) less Keystone today (G263); rollover fixed at 30% (G269)</t>
  </si>
  <si>
    <t>IRR: Yr 0 = cash at close less Keystone today; earnout Yr 3; Yr 5 = stake value; rollover fixed at 30%</t>
  </si>
  <si>
    <t>Ben's Yr 5 partnership value less standalone Yr 5 value at each row's client wins (helper AL170:AL176)</t>
  </si>
  <si>
    <t>Partnership Upside Analysis</t>
  </si>
  <si>
    <t>Gradient Bands (#)</t>
  </si>
  <si>
    <t>Number of green shades between the $1M hurdle and each block's largest gain</t>
  </si>
  <si>
    <t>Gradient Band Width — Topkey Growth ($000s)</t>
  </si>
  <si>
    <t>(Largest $ gain vs. standalone in block − hurdle) ÷ bands</t>
  </si>
  <si>
    <t>Gradient Band Width — Net Client Wins ($000s)</t>
  </si>
  <si>
    <t>Gradient Band Width — Growth × Client Wins ($000s)</t>
  </si>
  <si>
    <t>Helper: Gradient Band (0 = below $1M hurdle)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</si>
</sst>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  <numFmt numFmtId="177" formatCode="[$$]#,##0.0;\([$$]#,##0.0\);&quot;–&quot;;@"/>
    <numFmt numFmtId="178" formatCode="0.0%;\(0.0%\);&quot;–&quot;;@"/>
    <numFmt numFmtId="179" formatCode="0%;\(0%\);&quot;–&quot;;@"/>
    <numFmt numFmtId="180" formatCode="[$$-380A]\ #,##0.00;\-[$$-380A]\ #,##0.00"/>
    <numFmt numFmtId="181" formatCode="0.0\x"/>
    <numFmt numFmtId="182" formatCode="0.00\x"/>
    <numFmt numFmtId="183" formatCode="0.00\x;\(0.00\x\);&quot;–&quot;"/>
    <numFmt numFmtId="184" formatCode="[$$]#,##0.00;\([$$]#,##0.00\);&quot;–&quot;;@"/>
    <numFmt numFmtId="185" formatCode="#,##0.00;\(#,##0.00\);&quot;–&quot;;@"/>
  </numFmts>
  <fonts count="108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  <font>
      <sz val="11"/>
      <color theme="1"/>
      <name val="Arial"/>
      <family val="2"/>
    </font>
    <font>
      <b/>
      <i/>
      <sz val="9"/>
      <color rgb="FF808080"/>
      <name val="Arial"/>
      <family val="2"/>
    </font>
    <font>
      <sz val="9"/>
      <color rgb="FF808080"/>
      <name val="Arial"/>
      <family val="2"/>
    </font>
    <font>
      <i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0000FF"/>
      <name val="Arial"/>
    </font>
    <font>
      <b/>
      <i/>
      <sz val="9"/>
      <color theme="1"/>
      <name val="Arial"/>
    </font>
    <font>
      <i/>
      <sz val="9"/>
      <color theme="1"/>
      <name val="Arial"/>
    </font>
    <font>
      <i/>
      <sz val="9"/>
      <color rgb="FFFF0000"/>
      <name val="Arial"/>
    </font>
    <font>
      <sz val="9"/>
      <color rgb="FF808080"/>
      <name val="Arial"/>
    </font>
    <font>
      <sz val="9"/>
      <color rgb="FF800080"/>
      <name val="Arial"/>
    </font>
    <font>
      <sz val="11"/>
      <color theme="1"/>
      <name val="Arial"/>
    </font>
    <font>
      <b/>
      <sz val="13"/>
      <color theme="1"/>
      <name val="Arial"/>
    </font>
    <font>
      <b/>
      <sz val="9"/>
      <color theme="0"/>
      <name val="Arial"/>
    </font>
    <font>
      <sz val="9"/>
      <color rgb="FF008000"/>
      <name val="Arial"/>
    </font>
    <font>
      <b/>
      <sz val="9"/>
      <color rgb="FF800080"/>
      <name val="Arial"/>
    </font>
    <font>
      <b/>
      <sz val="9"/>
      <color rgb="FF008000"/>
      <name val="Arial"/>
    </font>
    <font>
      <b/>
      <sz val="9"/>
      <name val="Arial"/>
    </font>
    <font>
      <b/>
      <sz val="9"/>
      <color rgb="FF0000FF"/>
      <name val="Arial"/>
    </font>
    <font>
      <b/>
      <sz val="13"/>
      <color rgb="FF000000"/>
      <name val="Arial"/>
    </font>
    <font>
      <b/>
      <sz val="13"/>
      <color rgb="FF000000"/>
      <name val="Arial"/>
      <family val="2"/>
    </font>
    <font>
      <b/>
      <sz val="9"/>
      <color rgb="FF800080"/>
      <name val="arial"/>
      <family val="2"/>
    </font>
    <font>
      <b/>
      <i/>
      <sz val="9"/>
      <color rgb="FF000000"/>
      <name val="Arial"/>
    </font>
    <font>
      <b/>
      <i/>
      <sz val="9"/>
      <color rgb="FF000000"/>
      <name val="arial"/>
      <family val="2"/>
    </font>
    <font>
      <b/>
      <sz val="9"/>
      <color rgb="FF808080"/>
      <name val="Arial"/>
    </font>
    <font>
      <b/>
      <sz val="9"/>
      <color rgb="FF80808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29" fillId="0" borderId="0"/>
    <xf numFmtId="9" fontId="35" fillId="0" borderId="0" applyFont="0" applyFill="0" applyBorder="0" applyAlignment="0" applyProtection="0"/>
    <xf numFmtId="0" fontId="55" fillId="0" borderId="0"/>
    <xf numFmtId="0" fontId="62" fillId="0" borderId="0"/>
    <xf numFmtId="9" fontId="62" fillId="0" borderId="0" applyFont="0" applyFill="0" applyBorder="0" applyAlignment="0" applyProtection="0"/>
  </cellStyleXfs>
  <cellXfs count="834">
    <xf numFmtId="0" fontId="0" fillId="0" borderId="0" xfId="0"/>
    <xf numFmtId="0" fontId="25" fillId="2" borderId="0" xfId="0" applyFont="1" applyFill="1"/>
    <xf numFmtId="0" fontId="25" fillId="0" borderId="0" xfId="0" applyFont="1"/>
    <xf numFmtId="0" fontId="25" fillId="0" borderId="1" xfId="0" applyFont="1" applyBorder="1"/>
    <xf numFmtId="0" fontId="25" fillId="0" borderId="2" xfId="0" applyFont="1" applyBorder="1"/>
    <xf numFmtId="0" fontId="30" fillId="0" borderId="0" xfId="1" applyFont="1"/>
    <xf numFmtId="0" fontId="24" fillId="0" borderId="0" xfId="1" applyFont="1"/>
    <xf numFmtId="0" fontId="31" fillId="0" borderId="3" xfId="1" applyFont="1" applyBorder="1"/>
    <xf numFmtId="0" fontId="24" fillId="0" borderId="3" xfId="1" applyFont="1" applyBorder="1"/>
    <xf numFmtId="0" fontId="32" fillId="3" borderId="0" xfId="1" applyFont="1" applyFill="1" applyAlignment="1">
      <alignment horizontal="left" vertical="center"/>
    </xf>
    <xf numFmtId="0" fontId="32" fillId="3" borderId="0" xfId="1" applyFont="1" applyFill="1" applyAlignment="1">
      <alignment horizontal="center" vertical="center"/>
    </xf>
    <xf numFmtId="17" fontId="32" fillId="3" borderId="0" xfId="1" applyNumberFormat="1" applyFont="1" applyFill="1" applyAlignment="1">
      <alignment horizontal="center" vertical="center"/>
    </xf>
    <xf numFmtId="0" fontId="33" fillId="4" borderId="0" xfId="1" applyFont="1" applyFill="1"/>
    <xf numFmtId="0" fontId="24" fillId="4" borderId="0" xfId="1" applyFont="1" applyFill="1"/>
    <xf numFmtId="0" fontId="34" fillId="0" borderId="0" xfId="1" applyFont="1"/>
    <xf numFmtId="164" fontId="34" fillId="0" borderId="0" xfId="1" applyNumberFormat="1" applyFont="1"/>
    <xf numFmtId="164" fontId="24" fillId="0" borderId="0" xfId="1" applyNumberFormat="1" applyFont="1"/>
    <xf numFmtId="0" fontId="33" fillId="0" borderId="0" xfId="1" applyFont="1"/>
    <xf numFmtId="164" fontId="33" fillId="0" borderId="2" xfId="1" applyNumberFormat="1" applyFont="1" applyBorder="1"/>
    <xf numFmtId="0" fontId="34" fillId="0" borderId="0" xfId="1" applyFont="1" applyAlignment="1">
      <alignment horizontal="left"/>
    </xf>
    <xf numFmtId="164" fontId="24" fillId="4" borderId="0" xfId="1" applyNumberFormat="1" applyFont="1" applyFill="1"/>
    <xf numFmtId="164" fontId="33" fillId="0" borderId="4" xfId="1" applyNumberFormat="1" applyFont="1" applyBorder="1"/>
    <xf numFmtId="0" fontId="33" fillId="4" borderId="0" xfId="1" applyFont="1" applyFill="1" applyAlignment="1">
      <alignment horizontal="center"/>
    </xf>
    <xf numFmtId="165" fontId="34" fillId="0" borderId="0" xfId="1" applyNumberFormat="1" applyFont="1"/>
    <xf numFmtId="0" fontId="29" fillId="0" borderId="0" xfId="1"/>
    <xf numFmtId="0" fontId="34" fillId="0" borderId="0" xfId="1" applyFont="1" applyAlignment="1">
      <alignment indent="1"/>
    </xf>
    <xf numFmtId="166" fontId="34" fillId="0" borderId="0" xfId="1" applyNumberFormat="1" applyFont="1"/>
    <xf numFmtId="0" fontId="34" fillId="0" borderId="0" xfId="1" applyFont="1" applyAlignment="1">
      <alignment indent="2"/>
    </xf>
    <xf numFmtId="0" fontId="33" fillId="0" borderId="0" xfId="1" applyFont="1" applyAlignment="1">
      <alignment indent="1"/>
    </xf>
    <xf numFmtId="166" fontId="33" fillId="0" borderId="0" xfId="1" applyNumberFormat="1" applyFont="1"/>
    <xf numFmtId="0" fontId="34" fillId="0" borderId="0" xfId="1" applyFont="1" applyAlignment="1">
      <alignment indent="3"/>
    </xf>
    <xf numFmtId="0" fontId="33" fillId="0" borderId="0" xfId="1" applyFont="1" applyAlignment="1">
      <alignment indent="2"/>
    </xf>
    <xf numFmtId="0" fontId="0" fillId="5" borderId="0" xfId="0" applyFill="1"/>
    <xf numFmtId="14" fontId="40" fillId="0" borderId="0" xfId="1" applyNumberFormat="1" applyFont="1"/>
    <xf numFmtId="14" fontId="34" fillId="0" borderId="0" xfId="1" applyNumberFormat="1" applyFont="1"/>
    <xf numFmtId="14" fontId="42" fillId="0" borderId="0" xfId="1" applyNumberFormat="1" applyFont="1"/>
    <xf numFmtId="0" fontId="23" fillId="0" borderId="0" xfId="0" applyFont="1"/>
    <xf numFmtId="0" fontId="43" fillId="0" borderId="0" xfId="0" applyFont="1"/>
    <xf numFmtId="0" fontId="44" fillId="0" borderId="3" xfId="0" applyFont="1" applyBorder="1"/>
    <xf numFmtId="0" fontId="23" fillId="0" borderId="3" xfId="0" applyFont="1" applyBorder="1"/>
    <xf numFmtId="0" fontId="32" fillId="6" borderId="0" xfId="1" applyFont="1" applyFill="1" applyAlignment="1">
      <alignment horizontal="left" vertical="center"/>
    </xf>
    <xf numFmtId="0" fontId="32" fillId="6" borderId="0" xfId="1" applyFont="1" applyFill="1" applyAlignment="1">
      <alignment horizontal="center" vertical="center"/>
    </xf>
    <xf numFmtId="0" fontId="33" fillId="7" borderId="0" xfId="1" applyFont="1" applyFill="1"/>
    <xf numFmtId="0" fontId="24" fillId="7" borderId="0" xfId="1" applyFont="1" applyFill="1"/>
    <xf numFmtId="17" fontId="32" fillId="6" borderId="0" xfId="1" applyNumberFormat="1" applyFont="1" applyFill="1" applyAlignment="1">
      <alignment horizontal="center" vertical="center"/>
    </xf>
    <xf numFmtId="167" fontId="23" fillId="0" borderId="0" xfId="0" applyNumberFormat="1" applyFont="1"/>
    <xf numFmtId="167" fontId="40" fillId="0" borderId="0" xfId="0" applyNumberFormat="1" applyFont="1"/>
    <xf numFmtId="167" fontId="41" fillId="0" borderId="0" xfId="0" applyNumberFormat="1" applyFont="1"/>
    <xf numFmtId="167" fontId="34" fillId="0" borderId="0" xfId="1" applyNumberFormat="1" applyFont="1"/>
    <xf numFmtId="167" fontId="41" fillId="0" borderId="0" xfId="1" applyNumberFormat="1" applyFont="1"/>
    <xf numFmtId="167" fontId="42" fillId="0" borderId="0" xfId="1" applyNumberFormat="1" applyFont="1"/>
    <xf numFmtId="0" fontId="32" fillId="0" borderId="0" xfId="1" applyFont="1" applyAlignment="1">
      <alignment horizontal="center" vertical="center"/>
    </xf>
    <xf numFmtId="165" fontId="23" fillId="0" borderId="0" xfId="0" applyNumberFormat="1" applyFont="1"/>
    <xf numFmtId="165" fontId="41" fillId="0" borderId="0" xfId="0" applyNumberFormat="1" applyFont="1"/>
    <xf numFmtId="0" fontId="45" fillId="0" borderId="0" xfId="1" applyFont="1" applyAlignment="1">
      <alignment horizontal="left"/>
    </xf>
    <xf numFmtId="0" fontId="45" fillId="0" borderId="0" xfId="1" applyFont="1"/>
    <xf numFmtId="0" fontId="34" fillId="0" borderId="0" xfId="1" applyFont="1" applyAlignment="1">
      <alignment horizontal="left" indent="1"/>
    </xf>
    <xf numFmtId="0" fontId="23" fillId="0" borderId="0" xfId="0" applyFont="1" applyAlignment="1">
      <alignment horizontal="left" indent="1"/>
    </xf>
    <xf numFmtId="0" fontId="38" fillId="0" borderId="2" xfId="0" applyFont="1" applyBorder="1"/>
    <xf numFmtId="167" fontId="38" fillId="0" borderId="2" xfId="0" applyNumberFormat="1" applyFont="1" applyBorder="1"/>
    <xf numFmtId="0" fontId="38" fillId="8" borderId="6" xfId="0" applyFont="1" applyFill="1" applyBorder="1"/>
    <xf numFmtId="167" fontId="38" fillId="8" borderId="7" xfId="0" applyNumberFormat="1" applyFont="1" applyFill="1" applyBorder="1"/>
    <xf numFmtId="167" fontId="38" fillId="8" borderId="8" xfId="0" applyNumberFormat="1" applyFont="1" applyFill="1" applyBorder="1"/>
    <xf numFmtId="167" fontId="38" fillId="8" borderId="6" xfId="0" applyNumberFormat="1" applyFont="1" applyFill="1" applyBorder="1"/>
    <xf numFmtId="165" fontId="41" fillId="0" borderId="0" xfId="1" applyNumberFormat="1" applyFont="1"/>
    <xf numFmtId="165" fontId="42" fillId="0" borderId="0" xfId="1" applyNumberFormat="1" applyFont="1"/>
    <xf numFmtId="168" fontId="34" fillId="0" borderId="0" xfId="1" applyNumberFormat="1" applyFont="1"/>
    <xf numFmtId="168" fontId="38" fillId="8" borderId="7" xfId="0" applyNumberFormat="1" applyFont="1" applyFill="1" applyBorder="1"/>
    <xf numFmtId="168" fontId="38" fillId="8" borderId="8" xfId="0" applyNumberFormat="1" applyFont="1" applyFill="1" applyBorder="1"/>
    <xf numFmtId="168" fontId="38" fillId="8" borderId="6" xfId="0" applyNumberFormat="1" applyFont="1" applyFill="1" applyBorder="1"/>
    <xf numFmtId="165" fontId="40" fillId="0" borderId="0" xfId="1" applyNumberFormat="1" applyFont="1"/>
    <xf numFmtId="167" fontId="38" fillId="0" borderId="0" xfId="0" applyNumberFormat="1" applyFont="1"/>
    <xf numFmtId="168" fontId="38" fillId="0" borderId="0" xfId="0" applyNumberFormat="1" applyFont="1"/>
    <xf numFmtId="0" fontId="23" fillId="9" borderId="0" xfId="0" applyFont="1" applyFill="1"/>
    <xf numFmtId="0" fontId="36" fillId="9" borderId="0" xfId="0" applyFont="1" applyFill="1" applyAlignment="1">
      <alignment horizontal="centerContinuous"/>
    </xf>
    <xf numFmtId="0" fontId="39" fillId="9" borderId="0" xfId="0" applyFont="1" applyFill="1" applyAlignment="1">
      <alignment horizontal="centerContinuous"/>
    </xf>
    <xf numFmtId="0" fontId="36" fillId="9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165" fontId="40" fillId="0" borderId="5" xfId="0" applyNumberFormat="1" applyFont="1" applyBorder="1" applyAlignment="1">
      <alignment horizontal="center"/>
    </xf>
    <xf numFmtId="0" fontId="23" fillId="0" borderId="0" xfId="0" applyFont="1" applyAlignment="1">
      <alignment horizontal="left"/>
    </xf>
    <xf numFmtId="0" fontId="45" fillId="0" borderId="0" xfId="1" applyFont="1" applyAlignment="1">
      <alignment horizontal="left" indent="1"/>
    </xf>
    <xf numFmtId="0" fontId="34" fillId="0" borderId="0" xfId="1" applyFont="1" applyAlignment="1">
      <alignment horizontal="left" indent="2"/>
    </xf>
    <xf numFmtId="165" fontId="40" fillId="0" borderId="0" xfId="0" applyNumberFormat="1" applyFont="1"/>
    <xf numFmtId="165" fontId="42" fillId="0" borderId="0" xfId="0" applyNumberFormat="1" applyFont="1"/>
    <xf numFmtId="165" fontId="37" fillId="0" borderId="0" xfId="1" applyNumberFormat="1" applyFont="1"/>
    <xf numFmtId="0" fontId="37" fillId="0" borderId="0" xfId="0" applyFont="1"/>
    <xf numFmtId="167" fontId="42" fillId="0" borderId="0" xfId="0" applyNumberFormat="1" applyFont="1"/>
    <xf numFmtId="168" fontId="33" fillId="8" borderId="8" xfId="1" applyNumberFormat="1" applyFont="1" applyFill="1" applyBorder="1"/>
    <xf numFmtId="168" fontId="48" fillId="0" borderId="0" xfId="1" applyNumberFormat="1" applyFont="1"/>
    <xf numFmtId="168" fontId="49" fillId="0" borderId="9" xfId="2" applyNumberFormat="1" applyFont="1" applyFill="1" applyBorder="1" applyAlignment="1"/>
    <xf numFmtId="168" fontId="33" fillId="0" borderId="2" xfId="2" applyNumberFormat="1" applyFont="1" applyBorder="1"/>
    <xf numFmtId="168" fontId="23" fillId="0" borderId="0" xfId="0" applyNumberFormat="1" applyFont="1"/>
    <xf numFmtId="0" fontId="33" fillId="0" borderId="2" xfId="0" applyFont="1" applyBorder="1"/>
    <xf numFmtId="0" fontId="22" fillId="0" borderId="0" xfId="0" applyFont="1" applyAlignment="1">
      <alignment horizontal="left" indent="1"/>
    </xf>
    <xf numFmtId="165" fontId="37" fillId="0" borderId="5" xfId="1" applyNumberFormat="1" applyFont="1" applyBorder="1"/>
    <xf numFmtId="167" fontId="31" fillId="0" borderId="0" xfId="0" applyNumberFormat="1" applyFont="1" applyAlignment="1">
      <alignment horizontal="left" indent="1"/>
    </xf>
    <xf numFmtId="0" fontId="22" fillId="0" borderId="0" xfId="0" applyFont="1"/>
    <xf numFmtId="0" fontId="44" fillId="0" borderId="0" xfId="0" applyFont="1"/>
    <xf numFmtId="164" fontId="33" fillId="0" borderId="0" xfId="1" applyNumberFormat="1" applyFont="1"/>
    <xf numFmtId="0" fontId="32" fillId="0" borderId="0" xfId="1" applyFont="1"/>
    <xf numFmtId="0" fontId="33" fillId="0" borderId="0" xfId="1" applyFont="1" applyAlignment="1">
      <alignment horizontal="center"/>
    </xf>
    <xf numFmtId="167" fontId="50" fillId="0" borderId="0" xfId="0" applyNumberFormat="1" applyFont="1"/>
    <xf numFmtId="167" fontId="51" fillId="0" borderId="0" xfId="0" applyNumberFormat="1" applyFont="1"/>
    <xf numFmtId="167" fontId="52" fillId="0" borderId="0" xfId="0" applyNumberFormat="1" applyFont="1"/>
    <xf numFmtId="0" fontId="38" fillId="8" borderId="10" xfId="0" applyFont="1" applyFill="1" applyBorder="1"/>
    <xf numFmtId="167" fontId="38" fillId="8" borderId="2" xfId="0" applyNumberFormat="1" applyFont="1" applyFill="1" applyBorder="1"/>
    <xf numFmtId="167" fontId="38" fillId="8" borderId="11" xfId="0" applyNumberFormat="1" applyFont="1" applyFill="1" applyBorder="1"/>
    <xf numFmtId="0" fontId="52" fillId="8" borderId="12" xfId="0" applyFont="1" applyFill="1" applyBorder="1"/>
    <xf numFmtId="169" fontId="52" fillId="8" borderId="3" xfId="0" applyNumberFormat="1" applyFont="1" applyFill="1" applyBorder="1"/>
    <xf numFmtId="169" fontId="52" fillId="8" borderId="13" xfId="0" applyNumberFormat="1" applyFont="1" applyFill="1" applyBorder="1"/>
    <xf numFmtId="167" fontId="38" fillId="8" borderId="10" xfId="0" applyNumberFormat="1" applyFont="1" applyFill="1" applyBorder="1"/>
    <xf numFmtId="169" fontId="52" fillId="8" borderId="12" xfId="0" applyNumberFormat="1" applyFont="1" applyFill="1" applyBorder="1"/>
    <xf numFmtId="168" fontId="33" fillId="8" borderId="11" xfId="1" applyNumberFormat="1" applyFont="1" applyFill="1" applyBorder="1"/>
    <xf numFmtId="168" fontId="53" fillId="8" borderId="13" xfId="1" applyNumberFormat="1" applyFont="1" applyFill="1" applyBorder="1"/>
    <xf numFmtId="165" fontId="54" fillId="0" borderId="0" xfId="0" applyNumberFormat="1" applyFont="1"/>
    <xf numFmtId="165" fontId="37" fillId="0" borderId="0" xfId="0" applyNumberFormat="1" applyFont="1"/>
    <xf numFmtId="0" fontId="21" fillId="0" borderId="0" xfId="0" applyFont="1"/>
    <xf numFmtId="0" fontId="36" fillId="10" borderId="0" xfId="1" applyFont="1" applyFill="1"/>
    <xf numFmtId="0" fontId="39" fillId="10" borderId="0" xfId="1" applyFont="1" applyFill="1"/>
    <xf numFmtId="0" fontId="36" fillId="10" borderId="0" xfId="1" applyFont="1" applyFill="1" applyAlignment="1">
      <alignment horizontal="centerContinuous"/>
    </xf>
    <xf numFmtId="0" fontId="39" fillId="9" borderId="0" xfId="1" applyFont="1" applyFill="1" applyAlignment="1">
      <alignment horizontal="centerContinuous"/>
    </xf>
    <xf numFmtId="0" fontId="34" fillId="7" borderId="0" xfId="1" applyFont="1" applyFill="1"/>
    <xf numFmtId="0" fontId="21" fillId="0" borderId="0" xfId="0" applyFont="1" applyAlignment="1">
      <alignment horizontal="left" indent="1"/>
    </xf>
    <xf numFmtId="0" fontId="44" fillId="0" borderId="0" xfId="0" applyFont="1" applyAlignment="1">
      <alignment horizontal="left" indent="1"/>
    </xf>
    <xf numFmtId="167" fontId="33" fillId="8" borderId="8" xfId="0" applyNumberFormat="1" applyFont="1" applyFill="1" applyBorder="1"/>
    <xf numFmtId="167" fontId="33" fillId="0" borderId="2" xfId="0" applyNumberFormat="1" applyFont="1" applyBorder="1"/>
    <xf numFmtId="0" fontId="52" fillId="0" borderId="0" xfId="0" applyFont="1"/>
    <xf numFmtId="169" fontId="52" fillId="0" borderId="0" xfId="0" applyNumberFormat="1" applyFont="1"/>
    <xf numFmtId="168" fontId="53" fillId="0" borderId="0" xfId="1" applyNumberFormat="1" applyFont="1"/>
    <xf numFmtId="0" fontId="56" fillId="0" borderId="0" xfId="3" applyFont="1"/>
    <xf numFmtId="0" fontId="55" fillId="0" borderId="0" xfId="3"/>
    <xf numFmtId="0" fontId="57" fillId="0" borderId="0" xfId="3" applyFont="1"/>
    <xf numFmtId="0" fontId="58" fillId="11" borderId="0" xfId="3" applyFont="1" applyFill="1" applyAlignment="1">
      <alignment vertical="center" wrapText="1"/>
    </xf>
    <xf numFmtId="0" fontId="59" fillId="0" borderId="0" xfId="3" applyFont="1" applyAlignment="1">
      <alignment vertical="top" wrapText="1"/>
    </xf>
    <xf numFmtId="0" fontId="55" fillId="0" borderId="0" xfId="3" applyAlignment="1">
      <alignment vertical="top" wrapText="1"/>
    </xf>
    <xf numFmtId="170" fontId="60" fillId="0" borderId="0" xfId="3" applyNumberFormat="1" applyFont="1" applyAlignment="1">
      <alignment horizontal="right"/>
    </xf>
    <xf numFmtId="4" fontId="55" fillId="0" borderId="0" xfId="3" applyNumberFormat="1" applyAlignment="1">
      <alignment horizontal="right"/>
    </xf>
    <xf numFmtId="0" fontId="61" fillId="0" borderId="0" xfId="3" applyFont="1" applyAlignment="1">
      <alignment vertical="top" wrapText="1"/>
    </xf>
    <xf numFmtId="0" fontId="59" fillId="0" borderId="14" xfId="3" applyFont="1" applyBorder="1"/>
    <xf numFmtId="0" fontId="20" fillId="0" borderId="0" xfId="0" applyFont="1"/>
    <xf numFmtId="9" fontId="23" fillId="0" borderId="0" xfId="2" applyFont="1"/>
    <xf numFmtId="0" fontId="32" fillId="6" borderId="0" xfId="1" applyFont="1" applyFill="1" applyAlignment="1">
      <alignment horizontal="centerContinuous" vertical="center"/>
    </xf>
    <xf numFmtId="168" fontId="38" fillId="0" borderId="2" xfId="0" applyNumberFormat="1" applyFont="1" applyBorder="1"/>
    <xf numFmtId="165" fontId="34" fillId="0" borderId="0" xfId="0" applyNumberFormat="1" applyFont="1"/>
    <xf numFmtId="0" fontId="20" fillId="0" borderId="0" xfId="0" applyFont="1" applyAlignment="1">
      <alignment horizontal="left" indent="1"/>
    </xf>
    <xf numFmtId="0" fontId="62" fillId="0" borderId="0" xfId="4"/>
    <xf numFmtId="3" fontId="62" fillId="0" borderId="0" xfId="4" applyNumberFormat="1"/>
    <xf numFmtId="4" fontId="62" fillId="0" borderId="0" xfId="4" applyNumberFormat="1"/>
    <xf numFmtId="0" fontId="63" fillId="0" borderId="0" xfId="0" applyFont="1"/>
    <xf numFmtId="9" fontId="34" fillId="0" borderId="0" xfId="2" applyFont="1"/>
    <xf numFmtId="169" fontId="23" fillId="0" borderId="0" xfId="0" applyNumberFormat="1" applyFont="1"/>
    <xf numFmtId="168" fontId="34" fillId="0" borderId="0" xfId="1" quotePrefix="1" applyNumberFormat="1" applyFont="1" applyAlignment="1">
      <alignment horizontal="right"/>
    </xf>
    <xf numFmtId="0" fontId="32" fillId="3" borderId="0" xfId="1" applyFont="1" applyFill="1" applyAlignment="1">
      <alignment horizontal="centerContinuous"/>
    </xf>
    <xf numFmtId="0" fontId="19" fillId="0" borderId="0" xfId="0" applyFont="1"/>
    <xf numFmtId="165" fontId="48" fillId="0" borderId="0" xfId="0" applyNumberFormat="1" applyFont="1"/>
    <xf numFmtId="171" fontId="23" fillId="0" borderId="0" xfId="0" applyNumberFormat="1" applyFont="1"/>
    <xf numFmtId="4" fontId="55" fillId="0" borderId="0" xfId="3" applyNumberFormat="1" applyAlignment="1">
      <alignment vertical="top" wrapText="1"/>
    </xf>
    <xf numFmtId="0" fontId="18" fillId="0" borderId="0" xfId="0" applyFont="1"/>
    <xf numFmtId="0" fontId="18" fillId="0" borderId="3" xfId="0" applyFont="1" applyBorder="1"/>
    <xf numFmtId="0" fontId="36" fillId="9" borderId="0" xfId="0" applyFont="1" applyFill="1"/>
    <xf numFmtId="4" fontId="59" fillId="0" borderId="14" xfId="3" applyNumberFormat="1" applyFont="1" applyBorder="1"/>
    <xf numFmtId="0" fontId="17" fillId="0" borderId="0" xfId="0" applyFont="1"/>
    <xf numFmtId="165" fontId="18" fillId="0" borderId="0" xfId="0" applyNumberFormat="1" applyFont="1"/>
    <xf numFmtId="9" fontId="18" fillId="0" borderId="0" xfId="2" applyFont="1"/>
    <xf numFmtId="9" fontId="38" fillId="0" borderId="2" xfId="2" applyFont="1" applyBorder="1"/>
    <xf numFmtId="167" fontId="64" fillId="0" borderId="2" xfId="0" applyNumberFormat="1" applyFont="1" applyBorder="1"/>
    <xf numFmtId="167" fontId="34" fillId="0" borderId="0" xfId="0" applyNumberFormat="1" applyFont="1"/>
    <xf numFmtId="0" fontId="17" fillId="0" borderId="5" xfId="0" applyFont="1" applyBorder="1" applyAlignment="1">
      <alignment horizontal="center"/>
    </xf>
    <xf numFmtId="0" fontId="18" fillId="0" borderId="0" xfId="0" applyFont="1" applyAlignment="1">
      <alignment horizontal="left" indent="1"/>
    </xf>
    <xf numFmtId="0" fontId="17" fillId="0" borderId="0" xfId="0" applyFont="1" applyAlignment="1">
      <alignment horizontal="left" indent="1"/>
    </xf>
    <xf numFmtId="172" fontId="62" fillId="0" borderId="0" xfId="4" applyNumberFormat="1"/>
    <xf numFmtId="0" fontId="16" fillId="0" borderId="0" xfId="0" applyFont="1"/>
    <xf numFmtId="0" fontId="16" fillId="0" borderId="3" xfId="0" applyFont="1" applyBorder="1"/>
    <xf numFmtId="0" fontId="65" fillId="0" borderId="0" xfId="0" applyFont="1"/>
    <xf numFmtId="0" fontId="66" fillId="0" borderId="3" xfId="0" applyFont="1" applyBorder="1"/>
    <xf numFmtId="0" fontId="65" fillId="0" borderId="3" xfId="0" applyFont="1" applyBorder="1"/>
    <xf numFmtId="0" fontId="36" fillId="9" borderId="0" xfId="0" applyFont="1" applyFill="1" applyAlignment="1">
      <alignment horizontal="center" wrapText="1"/>
    </xf>
    <xf numFmtId="0" fontId="33" fillId="12" borderId="0" xfId="0" applyFont="1" applyFill="1" applyAlignment="1">
      <alignment horizontal="center"/>
    </xf>
    <xf numFmtId="0" fontId="66" fillId="0" borderId="0" xfId="0" applyFont="1"/>
    <xf numFmtId="0" fontId="67" fillId="0" borderId="0" xfId="0" applyFont="1"/>
    <xf numFmtId="165" fontId="66" fillId="0" borderId="0" xfId="0" applyNumberFormat="1" applyFont="1"/>
    <xf numFmtId="165" fontId="65" fillId="0" borderId="0" xfId="0" applyNumberFormat="1" applyFont="1"/>
    <xf numFmtId="165" fontId="67" fillId="0" borderId="0" xfId="0" applyNumberFormat="1" applyFont="1"/>
    <xf numFmtId="0" fontId="38" fillId="7" borderId="0" xfId="1" applyFont="1" applyFill="1"/>
    <xf numFmtId="17" fontId="32" fillId="0" borderId="0" xfId="1" applyNumberFormat="1" applyFont="1" applyAlignment="1">
      <alignment horizontal="center" vertical="center"/>
    </xf>
    <xf numFmtId="17" fontId="33" fillId="13" borderId="0" xfId="1" applyNumberFormat="1" applyFont="1" applyFill="1" applyAlignment="1">
      <alignment horizontal="center" vertical="center"/>
    </xf>
    <xf numFmtId="0" fontId="33" fillId="14" borderId="0" xfId="0" applyFont="1" applyFill="1" applyAlignment="1">
      <alignment horizontal="center"/>
    </xf>
    <xf numFmtId="165" fontId="16" fillId="0" borderId="0" xfId="0" applyNumberFormat="1" applyFont="1"/>
    <xf numFmtId="0" fontId="65" fillId="0" borderId="0" xfId="0" applyFont="1" applyAlignment="1">
      <alignment horizontal="left" indent="1"/>
    </xf>
    <xf numFmtId="17" fontId="32" fillId="6" borderId="0" xfId="1" applyNumberFormat="1" applyFont="1" applyFill="1" applyAlignment="1">
      <alignment horizontal="center"/>
    </xf>
    <xf numFmtId="0" fontId="36" fillId="0" borderId="0" xfId="0" applyFont="1" applyAlignment="1">
      <alignment horizontal="center" wrapText="1"/>
    </xf>
    <xf numFmtId="173" fontId="40" fillId="0" borderId="0" xfId="0" applyNumberFormat="1" applyFont="1"/>
    <xf numFmtId="165" fontId="69" fillId="0" borderId="0" xfId="0" applyNumberFormat="1" applyFont="1"/>
    <xf numFmtId="14" fontId="65" fillId="0" borderId="0" xfId="0" applyNumberFormat="1" applyFont="1"/>
    <xf numFmtId="165" fontId="70" fillId="0" borderId="0" xfId="0" applyNumberFormat="1" applyFont="1"/>
    <xf numFmtId="14" fontId="68" fillId="0" borderId="0" xfId="0" applyNumberFormat="1" applyFont="1"/>
    <xf numFmtId="14" fontId="71" fillId="0" borderId="0" xfId="0" applyNumberFormat="1" applyFont="1"/>
    <xf numFmtId="14" fontId="70" fillId="0" borderId="0" xfId="0" applyNumberFormat="1" applyFont="1"/>
    <xf numFmtId="0" fontId="39" fillId="9" borderId="15" xfId="0" applyFont="1" applyFill="1" applyBorder="1"/>
    <xf numFmtId="0" fontId="33" fillId="14" borderId="15" xfId="0" applyFont="1" applyFill="1" applyBorder="1" applyAlignment="1">
      <alignment horizontal="center"/>
    </xf>
    <xf numFmtId="0" fontId="39" fillId="9" borderId="15" xfId="0" applyFont="1" applyFill="1" applyBorder="1" applyAlignment="1">
      <alignment horizontal="centerContinuous"/>
    </xf>
    <xf numFmtId="0" fontId="39" fillId="9" borderId="16" xfId="0" applyFont="1" applyFill="1" applyBorder="1"/>
    <xf numFmtId="0" fontId="33" fillId="14" borderId="16" xfId="0" applyFont="1" applyFill="1" applyBorder="1" applyAlignment="1">
      <alignment horizontal="center"/>
    </xf>
    <xf numFmtId="0" fontId="33" fillId="14" borderId="15" xfId="0" applyFont="1" applyFill="1" applyBorder="1"/>
    <xf numFmtId="0" fontId="15" fillId="0" borderId="0" xfId="0" applyFont="1"/>
    <xf numFmtId="0" fontId="14" fillId="0" borderId="0" xfId="0" applyFont="1"/>
    <xf numFmtId="9" fontId="18" fillId="0" borderId="0" xfId="2" applyFont="1" applyFill="1" applyBorder="1"/>
    <xf numFmtId="167" fontId="18" fillId="0" borderId="0" xfId="0" applyNumberFormat="1" applyFont="1"/>
    <xf numFmtId="167" fontId="37" fillId="0" borderId="0" xfId="2" applyNumberFormat="1" applyFont="1" applyFill="1" applyBorder="1"/>
    <xf numFmtId="165" fontId="37" fillId="0" borderId="0" xfId="2" applyNumberFormat="1" applyFont="1" applyFill="1" applyBorder="1" applyAlignment="1"/>
    <xf numFmtId="0" fontId="13" fillId="0" borderId="0" xfId="0" applyFont="1" applyAlignment="1">
      <alignment horizontal="left" indent="1"/>
    </xf>
    <xf numFmtId="0" fontId="34" fillId="0" borderId="0" xfId="0" applyFont="1" applyAlignment="1">
      <alignment horizontal="left" indent="1"/>
    </xf>
    <xf numFmtId="174" fontId="62" fillId="0" borderId="0" xfId="4" applyNumberFormat="1"/>
    <xf numFmtId="0" fontId="13" fillId="0" borderId="0" xfId="0" applyFont="1"/>
    <xf numFmtId="0" fontId="38" fillId="0" borderId="0" xfId="0" applyFont="1"/>
    <xf numFmtId="0" fontId="13" fillId="0" borderId="3" xfId="0" applyFont="1" applyBorder="1"/>
    <xf numFmtId="167" fontId="62" fillId="0" borderId="0" xfId="4" applyNumberFormat="1"/>
    <xf numFmtId="0" fontId="40" fillId="0" borderId="0" xfId="0" applyFont="1"/>
    <xf numFmtId="0" fontId="13" fillId="7" borderId="0" xfId="1" applyFont="1" applyFill="1"/>
    <xf numFmtId="165" fontId="13" fillId="0" borderId="0" xfId="0" applyNumberFormat="1" applyFont="1"/>
    <xf numFmtId="165" fontId="38" fillId="0" borderId="2" xfId="0" applyNumberFormat="1" applyFont="1" applyBorder="1"/>
    <xf numFmtId="165" fontId="38" fillId="0" borderId="0" xfId="0" applyNumberFormat="1" applyFont="1"/>
    <xf numFmtId="165" fontId="44" fillId="0" borderId="0" xfId="0" applyNumberFormat="1" applyFont="1"/>
    <xf numFmtId="167" fontId="13" fillId="0" borderId="0" xfId="0" applyNumberFormat="1" applyFont="1"/>
    <xf numFmtId="0" fontId="13" fillId="0" borderId="0" xfId="4" applyFont="1"/>
    <xf numFmtId="174" fontId="13" fillId="0" borderId="0" xfId="4" applyNumberFormat="1" applyFont="1"/>
    <xf numFmtId="165" fontId="38" fillId="8" borderId="7" xfId="0" applyNumberFormat="1" applyFont="1" applyFill="1" applyBorder="1"/>
    <xf numFmtId="164" fontId="13" fillId="0" borderId="0" xfId="0" applyNumberFormat="1" applyFont="1"/>
    <xf numFmtId="164" fontId="38" fillId="8" borderId="8" xfId="0" applyNumberFormat="1" applyFont="1" applyFill="1" applyBorder="1"/>
    <xf numFmtId="165" fontId="72" fillId="0" borderId="0" xfId="0" applyNumberFormat="1" applyFont="1"/>
    <xf numFmtId="0" fontId="72" fillId="0" borderId="0" xfId="0" applyFont="1"/>
    <xf numFmtId="0" fontId="67" fillId="8" borderId="10" xfId="0" applyFont="1" applyFill="1" applyBorder="1"/>
    <xf numFmtId="165" fontId="72" fillId="8" borderId="2" xfId="0" applyNumberFormat="1" applyFont="1" applyFill="1" applyBorder="1"/>
    <xf numFmtId="168" fontId="73" fillId="8" borderId="2" xfId="2" applyNumberFormat="1" applyFont="1" applyFill="1" applyBorder="1"/>
    <xf numFmtId="0" fontId="67" fillId="8" borderId="12" xfId="0" applyFont="1" applyFill="1" applyBorder="1"/>
    <xf numFmtId="165" fontId="72" fillId="8" borderId="3" xfId="0" applyNumberFormat="1" applyFont="1" applyFill="1" applyBorder="1"/>
    <xf numFmtId="168" fontId="73" fillId="8" borderId="3" xfId="2" applyNumberFormat="1" applyFont="1" applyFill="1" applyBorder="1"/>
    <xf numFmtId="168" fontId="73" fillId="8" borderId="13" xfId="2" applyNumberFormat="1" applyFont="1" applyFill="1" applyBorder="1"/>
    <xf numFmtId="168" fontId="73" fillId="8" borderId="12" xfId="2" applyNumberFormat="1" applyFont="1" applyFill="1" applyBorder="1"/>
    <xf numFmtId="168" fontId="73" fillId="8" borderId="18" xfId="2" applyNumberFormat="1" applyFont="1" applyFill="1" applyBorder="1"/>
    <xf numFmtId="0" fontId="74" fillId="0" borderId="0" xfId="0" applyFont="1"/>
    <xf numFmtId="165" fontId="68" fillId="0" borderId="5" xfId="0" applyNumberFormat="1" applyFont="1" applyBorder="1" applyAlignment="1">
      <alignment horizontal="center"/>
    </xf>
    <xf numFmtId="14" fontId="40" fillId="0" borderId="0" xfId="0" applyNumberFormat="1" applyFont="1"/>
    <xf numFmtId="168" fontId="73" fillId="8" borderId="10" xfId="2" applyNumberFormat="1" applyFont="1" applyFill="1" applyBorder="1"/>
    <xf numFmtId="168" fontId="73" fillId="8" borderId="11" xfId="2" applyNumberFormat="1" applyFont="1" applyFill="1" applyBorder="1"/>
    <xf numFmtId="168" fontId="65" fillId="0" borderId="0" xfId="0" applyNumberFormat="1" applyFont="1"/>
    <xf numFmtId="168" fontId="73" fillId="8" borderId="17" xfId="2" applyNumberFormat="1" applyFont="1" applyFill="1" applyBorder="1"/>
    <xf numFmtId="14" fontId="34" fillId="13" borderId="0" xfId="1" applyNumberFormat="1" applyFont="1" applyFill="1" applyAlignment="1">
      <alignment horizontal="center" vertical="center"/>
    </xf>
    <xf numFmtId="173" fontId="40" fillId="8" borderId="5" xfId="0" applyNumberFormat="1" applyFont="1" applyFill="1" applyBorder="1"/>
    <xf numFmtId="0" fontId="37" fillId="8" borderId="5" xfId="0" applyFont="1" applyFill="1" applyBorder="1"/>
    <xf numFmtId="167" fontId="16" fillId="0" borderId="0" xfId="0" applyNumberFormat="1" applyFont="1"/>
    <xf numFmtId="0" fontId="39" fillId="9" borderId="0" xfId="0" applyFont="1" applyFill="1"/>
    <xf numFmtId="0" fontId="65" fillId="0" borderId="2" xfId="0" applyFont="1" applyBorder="1" applyAlignment="1">
      <alignment horizontal="left" indent="1"/>
    </xf>
    <xf numFmtId="165" fontId="70" fillId="0" borderId="2" xfId="0" applyNumberFormat="1" applyFont="1" applyBorder="1"/>
    <xf numFmtId="0" fontId="65" fillId="0" borderId="2" xfId="0" applyFont="1" applyBorder="1"/>
    <xf numFmtId="165" fontId="69" fillId="0" borderId="2" xfId="0" applyNumberFormat="1" applyFont="1" applyBorder="1"/>
    <xf numFmtId="0" fontId="67" fillId="8" borderId="6" xfId="0" applyFont="1" applyFill="1" applyBorder="1"/>
    <xf numFmtId="165" fontId="72" fillId="8" borderId="7" xfId="0" applyNumberFormat="1" applyFont="1" applyFill="1" applyBorder="1"/>
    <xf numFmtId="165" fontId="72" fillId="8" borderId="8" xfId="0" applyNumberFormat="1" applyFont="1" applyFill="1" applyBorder="1"/>
    <xf numFmtId="165" fontId="72" fillId="8" borderId="6" xfId="0" applyNumberFormat="1" applyFont="1" applyFill="1" applyBorder="1"/>
    <xf numFmtId="0" fontId="72" fillId="8" borderId="8" xfId="0" applyFont="1" applyFill="1" applyBorder="1"/>
    <xf numFmtId="165" fontId="72" fillId="8" borderId="5" xfId="0" applyNumberFormat="1" applyFont="1" applyFill="1" applyBorder="1"/>
    <xf numFmtId="0" fontId="65" fillId="0" borderId="0" xfId="0" applyFont="1" applyAlignment="1">
      <alignment horizontal="left" indent="2"/>
    </xf>
    <xf numFmtId="0" fontId="12" fillId="0" borderId="0" xfId="0" applyFont="1"/>
    <xf numFmtId="17" fontId="32" fillId="6" borderId="0" xfId="1" applyNumberFormat="1" applyFont="1" applyFill="1" applyAlignment="1">
      <alignment horizontal="left"/>
    </xf>
    <xf numFmtId="0" fontId="12" fillId="0" borderId="3" xfId="0" applyFont="1" applyBorder="1"/>
    <xf numFmtId="175" fontId="23" fillId="0" borderId="0" xfId="0" applyNumberFormat="1" applyFont="1"/>
    <xf numFmtId="167" fontId="65" fillId="0" borderId="0" xfId="0" applyNumberFormat="1" applyFont="1"/>
    <xf numFmtId="167" fontId="72" fillId="8" borderId="7" xfId="0" applyNumberFormat="1" applyFont="1" applyFill="1" applyBorder="1"/>
    <xf numFmtId="167" fontId="72" fillId="8" borderId="8" xfId="0" applyNumberFormat="1" applyFont="1" applyFill="1" applyBorder="1"/>
    <xf numFmtId="167" fontId="72" fillId="8" borderId="5" xfId="0" applyNumberFormat="1" applyFont="1" applyFill="1" applyBorder="1"/>
    <xf numFmtId="167" fontId="72" fillId="8" borderId="6" xfId="0" applyNumberFormat="1" applyFont="1" applyFill="1" applyBorder="1"/>
    <xf numFmtId="174" fontId="0" fillId="0" borderId="0" xfId="0" applyNumberFormat="1"/>
    <xf numFmtId="0" fontId="11" fillId="0" borderId="0" xfId="4" applyFont="1"/>
    <xf numFmtId="0" fontId="40" fillId="0" borderId="0" xfId="4" applyFont="1"/>
    <xf numFmtId="0" fontId="48" fillId="0" borderId="0" xfId="4" applyFont="1"/>
    <xf numFmtId="0" fontId="37" fillId="0" borderId="0" xfId="4" applyFont="1"/>
    <xf numFmtId="0" fontId="11" fillId="0" borderId="0" xfId="0" applyFont="1"/>
    <xf numFmtId="0" fontId="11" fillId="0" borderId="0" xfId="0" applyFont="1" applyAlignment="1">
      <alignment horizontal="left" indent="1"/>
    </xf>
    <xf numFmtId="0" fontId="37" fillId="0" borderId="0" xfId="0" applyFont="1" applyAlignment="1">
      <alignment horizontal="left" indent="1"/>
    </xf>
    <xf numFmtId="0" fontId="38" fillId="0" borderId="2" xfId="0" applyFont="1" applyBorder="1" applyAlignment="1">
      <alignment horizontal="left" indent="1"/>
    </xf>
    <xf numFmtId="167" fontId="40" fillId="0" borderId="0" xfId="4" applyNumberFormat="1" applyFont="1"/>
    <xf numFmtId="0" fontId="13" fillId="0" borderId="0" xfId="1" applyFont="1"/>
    <xf numFmtId="0" fontId="36" fillId="9" borderId="0" xfId="4" applyFont="1" applyFill="1"/>
    <xf numFmtId="164" fontId="38" fillId="0" borderId="0" xfId="0" applyNumberFormat="1" applyFont="1"/>
    <xf numFmtId="0" fontId="40" fillId="0" borderId="0" xfId="0" quotePrefix="1" applyFont="1" applyAlignment="1">
      <alignment horizontal="right"/>
    </xf>
    <xf numFmtId="164" fontId="40" fillId="0" borderId="0" xfId="0" applyNumberFormat="1" applyFont="1"/>
    <xf numFmtId="165" fontId="38" fillId="8" borderId="2" xfId="0" applyNumberFormat="1" applyFont="1" applyFill="1" applyBorder="1"/>
    <xf numFmtId="168" fontId="52" fillId="8" borderId="12" xfId="0" applyNumberFormat="1" applyFont="1" applyFill="1" applyBorder="1"/>
    <xf numFmtId="168" fontId="52" fillId="8" borderId="13" xfId="0" applyNumberFormat="1" applyFont="1" applyFill="1" applyBorder="1"/>
    <xf numFmtId="164" fontId="38" fillId="8" borderId="11" xfId="0" applyNumberFormat="1" applyFont="1" applyFill="1" applyBorder="1"/>
    <xf numFmtId="165" fontId="75" fillId="8" borderId="3" xfId="0" applyNumberFormat="1" applyFont="1" applyFill="1" applyBorder="1"/>
    <xf numFmtId="167" fontId="75" fillId="8" borderId="13" xfId="0" applyNumberFormat="1" applyFont="1" applyFill="1" applyBorder="1"/>
    <xf numFmtId="167" fontId="75" fillId="8" borderId="12" xfId="0" applyNumberFormat="1" applyFont="1" applyFill="1" applyBorder="1"/>
    <xf numFmtId="164" fontId="75" fillId="8" borderId="13" xfId="0" applyNumberFormat="1" applyFont="1" applyFill="1" applyBorder="1"/>
    <xf numFmtId="0" fontId="10" fillId="0" borderId="0" xfId="0" applyFont="1"/>
    <xf numFmtId="164" fontId="75" fillId="0" borderId="0" xfId="0" applyNumberFormat="1" applyFont="1"/>
    <xf numFmtId="0" fontId="10" fillId="0" borderId="0" xfId="0" applyFont="1" applyAlignment="1">
      <alignment horizontal="left" indent="1"/>
    </xf>
    <xf numFmtId="0" fontId="32" fillId="0" borderId="0" xfId="0" applyFont="1"/>
    <xf numFmtId="168" fontId="52" fillId="8" borderId="3" xfId="0" applyNumberFormat="1" applyFont="1" applyFill="1" applyBorder="1"/>
    <xf numFmtId="9" fontId="0" fillId="0" borderId="0" xfId="5" applyFont="1"/>
    <xf numFmtId="0" fontId="76" fillId="0" borderId="0" xfId="4" applyFont="1"/>
    <xf numFmtId="0" fontId="9" fillId="0" borderId="0" xfId="0" applyFont="1"/>
    <xf numFmtId="0" fontId="9" fillId="0" borderId="3" xfId="0" applyFont="1" applyBorder="1"/>
    <xf numFmtId="0" fontId="36" fillId="9" borderId="0" xfId="4" applyFont="1" applyFill="1" applyAlignment="1">
      <alignment horizontal="center"/>
    </xf>
    <xf numFmtId="176" fontId="40" fillId="0" borderId="0" xfId="0" applyNumberFormat="1" applyFont="1"/>
    <xf numFmtId="176" fontId="9" fillId="0" borderId="0" xfId="0" applyNumberFormat="1" applyFont="1"/>
    <xf numFmtId="0" fontId="77" fillId="8" borderId="8" xfId="0" applyFont="1" applyFill="1" applyBorder="1"/>
    <xf numFmtId="0" fontId="38" fillId="0" borderId="0" xfId="1" applyFont="1"/>
    <xf numFmtId="0" fontId="8" fillId="0" borderId="0" xfId="1" applyFont="1"/>
    <xf numFmtId="165" fontId="73" fillId="8" borderId="3" xfId="0" applyNumberFormat="1" applyFont="1" applyFill="1" applyBorder="1"/>
    <xf numFmtId="165" fontId="73" fillId="8" borderId="13" xfId="0" applyNumberFormat="1" applyFont="1" applyFill="1" applyBorder="1"/>
    <xf numFmtId="165" fontId="73" fillId="8" borderId="18" xfId="0" applyNumberFormat="1" applyFont="1" applyFill="1" applyBorder="1"/>
    <xf numFmtId="165" fontId="73" fillId="8" borderId="12" xfId="0" applyNumberFormat="1" applyFont="1" applyFill="1" applyBorder="1"/>
    <xf numFmtId="0" fontId="77" fillId="0" borderId="0" xfId="0" applyFont="1"/>
    <xf numFmtId="165" fontId="73" fillId="8" borderId="2" xfId="0" applyNumberFormat="1" applyFont="1" applyFill="1" applyBorder="1"/>
    <xf numFmtId="165" fontId="73" fillId="8" borderId="11" xfId="0" applyNumberFormat="1" applyFont="1" applyFill="1" applyBorder="1"/>
    <xf numFmtId="165" fontId="73" fillId="8" borderId="17" xfId="0" applyNumberFormat="1" applyFont="1" applyFill="1" applyBorder="1"/>
    <xf numFmtId="165" fontId="73" fillId="8" borderId="10" xfId="0" applyNumberFormat="1" applyFont="1" applyFill="1" applyBorder="1"/>
    <xf numFmtId="0" fontId="75" fillId="7" borderId="0" xfId="1" applyFont="1" applyFill="1"/>
    <xf numFmtId="165" fontId="73" fillId="8" borderId="7" xfId="0" applyNumberFormat="1" applyFont="1" applyFill="1" applyBorder="1"/>
    <xf numFmtId="165" fontId="73" fillId="8" borderId="8" xfId="0" applyNumberFormat="1" applyFont="1" applyFill="1" applyBorder="1"/>
    <xf numFmtId="165" fontId="73" fillId="8" borderId="5" xfId="0" applyNumberFormat="1" applyFont="1" applyFill="1" applyBorder="1"/>
    <xf numFmtId="165" fontId="73" fillId="8" borderId="6" xfId="0" applyNumberFormat="1" applyFont="1" applyFill="1" applyBorder="1"/>
    <xf numFmtId="176" fontId="41" fillId="0" borderId="0" xfId="0" applyNumberFormat="1" applyFont="1"/>
    <xf numFmtId="0" fontId="7" fillId="0" borderId="0" xfId="0" applyFont="1"/>
    <xf numFmtId="0" fontId="7" fillId="0" borderId="3" xfId="0" applyFont="1" applyBorder="1"/>
    <xf numFmtId="0" fontId="7" fillId="0" borderId="2" xfId="0" applyFont="1" applyBorder="1"/>
    <xf numFmtId="168" fontId="7" fillId="0" borderId="0" xfId="0" applyNumberFormat="1" applyFont="1"/>
    <xf numFmtId="168" fontId="7" fillId="0" borderId="2" xfId="0" applyNumberFormat="1" applyFont="1" applyBorder="1"/>
    <xf numFmtId="0" fontId="7" fillId="15" borderId="0" xfId="0" applyFont="1" applyFill="1"/>
    <xf numFmtId="176" fontId="40" fillId="15" borderId="0" xfId="0" applyNumberFormat="1" applyFont="1" applyFill="1"/>
    <xf numFmtId="0" fontId="7" fillId="16" borderId="0" xfId="0" applyFont="1" applyFill="1"/>
    <xf numFmtId="176" fontId="40" fillId="16" borderId="0" xfId="0" applyNumberFormat="1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167" fontId="49" fillId="0" borderId="9" xfId="0" applyNumberFormat="1" applyFont="1" applyBorder="1"/>
    <xf numFmtId="9" fontId="65" fillId="0" borderId="0" xfId="2" applyFont="1"/>
    <xf numFmtId="167" fontId="72" fillId="8" borderId="2" xfId="0" applyNumberFormat="1" applyFont="1" applyFill="1" applyBorder="1"/>
    <xf numFmtId="167" fontId="72" fillId="8" borderId="11" xfId="0" applyNumberFormat="1" applyFont="1" applyFill="1" applyBorder="1"/>
    <xf numFmtId="177" fontId="72" fillId="8" borderId="3" xfId="0" applyNumberFormat="1" applyFont="1" applyFill="1" applyBorder="1"/>
    <xf numFmtId="177" fontId="72" fillId="8" borderId="13" xfId="0" applyNumberFormat="1" applyFont="1" applyFill="1" applyBorder="1"/>
    <xf numFmtId="167" fontId="72" fillId="8" borderId="17" xfId="0" applyNumberFormat="1" applyFont="1" applyFill="1" applyBorder="1"/>
    <xf numFmtId="177" fontId="72" fillId="8" borderId="18" xfId="0" applyNumberFormat="1" applyFont="1" applyFill="1" applyBorder="1"/>
    <xf numFmtId="167" fontId="72" fillId="8" borderId="10" xfId="0" applyNumberFormat="1" applyFont="1" applyFill="1" applyBorder="1"/>
    <xf numFmtId="177" fontId="72" fillId="8" borderId="12" xfId="0" applyNumberFormat="1" applyFont="1" applyFill="1" applyBorder="1"/>
    <xf numFmtId="0" fontId="0" fillId="0" borderId="2" xfId="0" applyBorder="1"/>
    <xf numFmtId="0" fontId="78" fillId="0" borderId="0" xfId="0" applyFont="1"/>
    <xf numFmtId="0" fontId="5" fillId="14" borderId="0" xfId="0" applyFont="1" applyFill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167" fontId="5" fillId="0" borderId="0" xfId="0" applyNumberFormat="1" applyFont="1"/>
    <xf numFmtId="173" fontId="44" fillId="0" borderId="0" xfId="0" applyNumberFormat="1" applyFont="1"/>
    <xf numFmtId="0" fontId="38" fillId="8" borderId="6" xfId="0" applyFont="1" applyFill="1" applyBorder="1" applyAlignment="1">
      <alignment horizontal="left"/>
    </xf>
    <xf numFmtId="165" fontId="38" fillId="8" borderId="6" xfId="0" applyNumberFormat="1" applyFont="1" applyFill="1" applyBorder="1" applyAlignment="1">
      <alignment horizontal="left"/>
    </xf>
    <xf numFmtId="0" fontId="5" fillId="0" borderId="0" xfId="0" applyFont="1" applyAlignment="1">
      <alignment horizontal="left" indent="1"/>
    </xf>
    <xf numFmtId="0" fontId="5" fillId="8" borderId="7" xfId="0" applyFont="1" applyFill="1" applyBorder="1"/>
    <xf numFmtId="0" fontId="38" fillId="8" borderId="7" xfId="0" applyFont="1" applyFill="1" applyBorder="1"/>
    <xf numFmtId="0" fontId="32" fillId="9" borderId="0" xfId="0" applyFont="1" applyFill="1" applyAlignment="1">
      <alignment horizontal="centerContinuous"/>
    </xf>
    <xf numFmtId="0" fontId="38" fillId="14" borderId="0" xfId="0" applyFont="1" applyFill="1" applyAlignment="1">
      <alignment horizontal="center"/>
    </xf>
    <xf numFmtId="0" fontId="38" fillId="14" borderId="19" xfId="0" applyFont="1" applyFill="1" applyBorder="1" applyAlignment="1">
      <alignment horizontal="center"/>
    </xf>
    <xf numFmtId="0" fontId="79" fillId="14" borderId="0" xfId="0" applyFont="1" applyFill="1" applyAlignment="1">
      <alignment horizontal="center"/>
    </xf>
    <xf numFmtId="172" fontId="5" fillId="0" borderId="0" xfId="0" applyNumberFormat="1" applyFont="1"/>
    <xf numFmtId="165" fontId="5" fillId="0" borderId="0" xfId="0" applyNumberFormat="1" applyFont="1"/>
    <xf numFmtId="173" fontId="5" fillId="0" borderId="0" xfId="0" applyNumberFormat="1" applyFont="1"/>
    <xf numFmtId="175" fontId="5" fillId="0" borderId="0" xfId="0" applyNumberFormat="1" applyFont="1"/>
    <xf numFmtId="165" fontId="80" fillId="0" borderId="0" xfId="0" applyNumberFormat="1" applyFont="1"/>
    <xf numFmtId="172" fontId="38" fillId="8" borderId="7" xfId="0" applyNumberFormat="1" applyFont="1" applyFill="1" applyBorder="1"/>
    <xf numFmtId="175" fontId="38" fillId="8" borderId="8" xfId="0" applyNumberFormat="1" applyFont="1" applyFill="1" applyBorder="1"/>
    <xf numFmtId="0" fontId="32" fillId="9" borderId="0" xfId="0" applyFont="1" applyFill="1"/>
    <xf numFmtId="0" fontId="32" fillId="9" borderId="0" xfId="0" applyFont="1" applyFill="1" applyAlignment="1">
      <alignment horizontal="center"/>
    </xf>
    <xf numFmtId="0" fontId="32" fillId="9" borderId="0" xfId="0" applyFont="1" applyFill="1" applyAlignment="1">
      <alignment horizontal="left"/>
    </xf>
    <xf numFmtId="17" fontId="32" fillId="9" borderId="0" xfId="0" applyNumberFormat="1" applyFont="1" applyFill="1" applyAlignment="1">
      <alignment horizontal="center"/>
    </xf>
    <xf numFmtId="0" fontId="38" fillId="14" borderId="0" xfId="0" applyFont="1" applyFill="1"/>
    <xf numFmtId="177" fontId="5" fillId="0" borderId="0" xfId="0" applyNumberFormat="1" applyFont="1"/>
    <xf numFmtId="164" fontId="5" fillId="0" borderId="0" xfId="0" applyNumberFormat="1" applyFont="1"/>
    <xf numFmtId="178" fontId="5" fillId="0" borderId="0" xfId="0" applyNumberFormat="1" applyFont="1"/>
    <xf numFmtId="177" fontId="38" fillId="8" borderId="7" xfId="0" applyNumberFormat="1" applyFont="1" applyFill="1" applyBorder="1"/>
    <xf numFmtId="178" fontId="38" fillId="8" borderId="7" xfId="0" applyNumberFormat="1" applyFont="1" applyFill="1" applyBorder="1"/>
    <xf numFmtId="177" fontId="38" fillId="0" borderId="7" xfId="0" applyNumberFormat="1" applyFont="1" applyBorder="1"/>
    <xf numFmtId="178" fontId="38" fillId="0" borderId="7" xfId="0" applyNumberFormat="1" applyFont="1" applyBorder="1"/>
    <xf numFmtId="0" fontId="32" fillId="0" borderId="0" xfId="0" applyFont="1" applyAlignment="1">
      <alignment horizontal="center"/>
    </xf>
    <xf numFmtId="177" fontId="38" fillId="8" borderId="8" xfId="0" applyNumberFormat="1" applyFont="1" applyFill="1" applyBorder="1"/>
    <xf numFmtId="178" fontId="38" fillId="8" borderId="8" xfId="0" applyNumberFormat="1" applyFont="1" applyFill="1" applyBorder="1"/>
    <xf numFmtId="164" fontId="41" fillId="0" borderId="0" xfId="0" applyNumberFormat="1" applyFont="1"/>
    <xf numFmtId="177" fontId="34" fillId="0" borderId="0" xfId="0" applyNumberFormat="1" applyFont="1"/>
    <xf numFmtId="9" fontId="40" fillId="0" borderId="0" xfId="0" applyNumberFormat="1" applyFont="1"/>
    <xf numFmtId="169" fontId="42" fillId="0" borderId="0" xfId="0" applyNumberFormat="1" applyFont="1"/>
    <xf numFmtId="179" fontId="65" fillId="0" borderId="0" xfId="0" applyNumberFormat="1" applyFont="1"/>
    <xf numFmtId="179" fontId="5" fillId="0" borderId="0" xfId="0" applyNumberFormat="1" applyFont="1"/>
    <xf numFmtId="179" fontId="38" fillId="8" borderId="8" xfId="0" applyNumberFormat="1" applyFont="1" applyFill="1" applyBorder="1"/>
    <xf numFmtId="180" fontId="5" fillId="0" borderId="0" xfId="0" applyNumberFormat="1" applyFont="1"/>
    <xf numFmtId="179" fontId="5" fillId="14" borderId="0" xfId="0" applyNumberFormat="1" applyFont="1" applyFill="1"/>
    <xf numFmtId="0" fontId="38" fillId="0" borderId="0" xfId="0" applyFont="1" applyAlignment="1">
      <alignment horizontal="center"/>
    </xf>
    <xf numFmtId="165" fontId="38" fillId="8" borderId="6" xfId="0" applyNumberFormat="1" applyFont="1" applyFill="1" applyBorder="1"/>
    <xf numFmtId="181" fontId="40" fillId="0" borderId="0" xfId="0" applyNumberFormat="1" applyFont="1"/>
    <xf numFmtId="167" fontId="38" fillId="17" borderId="5" xfId="0" applyNumberFormat="1" applyFont="1" applyFill="1" applyBorder="1"/>
    <xf numFmtId="164" fontId="38" fillId="14" borderId="2" xfId="0" applyNumberFormat="1" applyFont="1" applyFill="1" applyBorder="1" applyAlignment="1">
      <alignment horizontal="center"/>
    </xf>
    <xf numFmtId="167" fontId="5" fillId="0" borderId="3" xfId="0" applyNumberFormat="1" applyFont="1" applyBorder="1"/>
    <xf numFmtId="0" fontId="38" fillId="14" borderId="10" xfId="0" applyFont="1" applyFill="1" applyBorder="1" applyAlignment="1">
      <alignment horizontal="left"/>
    </xf>
    <xf numFmtId="181" fontId="5" fillId="0" borderId="19" xfId="0" applyNumberFormat="1" applyFont="1" applyBorder="1"/>
    <xf numFmtId="181" fontId="5" fillId="0" borderId="12" xfId="0" applyNumberFormat="1" applyFont="1" applyBorder="1"/>
    <xf numFmtId="164" fontId="38" fillId="14" borderId="11" xfId="0" applyNumberFormat="1" applyFont="1" applyFill="1" applyBorder="1" applyAlignment="1">
      <alignment horizontal="center"/>
    </xf>
    <xf numFmtId="167" fontId="5" fillId="0" borderId="15" xfId="0" applyNumberFormat="1" applyFont="1" applyBorder="1"/>
    <xf numFmtId="167" fontId="5" fillId="0" borderId="13" xfId="0" applyNumberFormat="1" applyFont="1" applyBorder="1"/>
    <xf numFmtId="177" fontId="5" fillId="0" borderId="19" xfId="0" applyNumberFormat="1" applyFont="1" applyBorder="1"/>
    <xf numFmtId="177" fontId="5" fillId="0" borderId="12" xfId="0" applyNumberFormat="1" applyFont="1" applyBorder="1"/>
    <xf numFmtId="164" fontId="44" fillId="0" borderId="0" xfId="0" applyNumberFormat="1" applyFont="1"/>
    <xf numFmtId="180" fontId="0" fillId="0" borderId="0" xfId="0" applyNumberFormat="1"/>
    <xf numFmtId="165" fontId="72" fillId="8" borderId="10" xfId="0" applyNumberFormat="1" applyFont="1" applyFill="1" applyBorder="1"/>
    <xf numFmtId="0" fontId="77" fillId="8" borderId="11" xfId="0" applyFont="1" applyFill="1" applyBorder="1"/>
    <xf numFmtId="165" fontId="72" fillId="0" borderId="12" xfId="0" applyNumberFormat="1" applyFont="1" applyBorder="1"/>
    <xf numFmtId="165" fontId="72" fillId="0" borderId="3" xfId="0" applyNumberFormat="1" applyFont="1" applyBorder="1"/>
    <xf numFmtId="0" fontId="77" fillId="0" borderId="13" xfId="0" applyFont="1" applyBorder="1"/>
    <xf numFmtId="0" fontId="81" fillId="0" borderId="0" xfId="0" applyFont="1"/>
    <xf numFmtId="0" fontId="84" fillId="14" borderId="0" xfId="0" applyFont="1" applyFill="1"/>
    <xf numFmtId="0" fontId="85" fillId="0" borderId="0" xfId="0" applyFont="1"/>
    <xf numFmtId="0" fontId="84" fillId="14" borderId="0" xfId="0" applyFont="1" applyFill="1" applyAlignment="1">
      <alignment horizontal="center"/>
    </xf>
    <xf numFmtId="0" fontId="87" fillId="0" borderId="0" xfId="0" applyFont="1" applyAlignment="1">
      <alignment horizontal="center"/>
    </xf>
    <xf numFmtId="17" fontId="83" fillId="0" borderId="0" xfId="0" applyNumberFormat="1" applyFont="1" applyAlignment="1">
      <alignment horizontal="center"/>
    </xf>
    <xf numFmtId="167" fontId="87" fillId="0" borderId="0" xfId="0" applyNumberFormat="1" applyFont="1" applyAlignment="1">
      <alignment horizontal="center"/>
    </xf>
    <xf numFmtId="0" fontId="88" fillId="0" borderId="0" xfId="0" applyFont="1"/>
    <xf numFmtId="0" fontId="89" fillId="0" borderId="0" xfId="0" applyFont="1"/>
    <xf numFmtId="165" fontId="89" fillId="0" borderId="0" xfId="0" applyNumberFormat="1" applyFont="1"/>
    <xf numFmtId="167" fontId="89" fillId="0" borderId="0" xfId="0" applyNumberFormat="1" applyFont="1"/>
    <xf numFmtId="165" fontId="90" fillId="0" borderId="0" xfId="0" applyNumberFormat="1" applyFont="1"/>
    <xf numFmtId="0" fontId="91" fillId="0" borderId="0" xfId="0" applyFont="1"/>
    <xf numFmtId="165" fontId="91" fillId="0" borderId="0" xfId="0" applyNumberFormat="1" applyFont="1"/>
    <xf numFmtId="167" fontId="92" fillId="0" borderId="0" xfId="0" applyNumberFormat="1" applyFont="1"/>
    <xf numFmtId="165" fontId="83" fillId="0" borderId="0" xfId="0" applyNumberFormat="1" applyFont="1"/>
    <xf numFmtId="167" fontId="83" fillId="0" borderId="0" xfId="0" applyNumberFormat="1" applyFont="1"/>
    <xf numFmtId="164" fontId="92" fillId="0" borderId="0" xfId="0" applyNumberFormat="1" applyFont="1"/>
    <xf numFmtId="165" fontId="92" fillId="0" borderId="0" xfId="0" applyNumberFormat="1" applyFont="1"/>
    <xf numFmtId="164" fontId="83" fillId="0" borderId="0" xfId="0" applyNumberFormat="1" applyFont="1"/>
    <xf numFmtId="165" fontId="87" fillId="0" borderId="0" xfId="0" applyNumberFormat="1" applyFont="1"/>
    <xf numFmtId="0" fontId="93" fillId="0" borderId="0" xfId="0" applyFont="1"/>
    <xf numFmtId="0" fontId="85" fillId="14" borderId="0" xfId="0" applyFont="1" applyFill="1"/>
    <xf numFmtId="0" fontId="86" fillId="8" borderId="21" xfId="0" applyFont="1" applyFill="1" applyBorder="1"/>
    <xf numFmtId="168" fontId="83" fillId="0" borderId="0" xfId="0" applyNumberFormat="1" applyFont="1"/>
    <xf numFmtId="165" fontId="84" fillId="8" borderId="20" xfId="0" applyNumberFormat="1" applyFont="1" applyFill="1" applyBorder="1"/>
    <xf numFmtId="167" fontId="84" fillId="8" borderId="20" xfId="0" applyNumberFormat="1" applyFont="1" applyFill="1" applyBorder="1"/>
    <xf numFmtId="164" fontId="84" fillId="8" borderId="20" xfId="0" applyNumberFormat="1" applyFont="1" applyFill="1" applyBorder="1"/>
    <xf numFmtId="168" fontId="84" fillId="8" borderId="23" xfId="0" applyNumberFormat="1" applyFont="1" applyFill="1" applyBorder="1"/>
    <xf numFmtId="168" fontId="84" fillId="8" borderId="20" xfId="0" applyNumberFormat="1" applyFont="1" applyFill="1" applyBorder="1"/>
    <xf numFmtId="167" fontId="84" fillId="8" borderId="23" xfId="0" applyNumberFormat="1" applyFont="1" applyFill="1" applyBorder="1"/>
    <xf numFmtId="0" fontId="87" fillId="0" borderId="22" xfId="0" applyFont="1" applyBorder="1" applyAlignment="1">
      <alignment horizontal="center"/>
    </xf>
    <xf numFmtId="0" fontId="82" fillId="9" borderId="0" xfId="0" applyFont="1" applyFill="1" applyAlignment="1">
      <alignment wrapText="1"/>
    </xf>
    <xf numFmtId="0" fontId="82" fillId="9" borderId="0" xfId="0" applyFont="1" applyFill="1" applyAlignment="1">
      <alignment horizontal="center" wrapText="1"/>
    </xf>
    <xf numFmtId="0" fontId="94" fillId="0" borderId="0" xfId="0" applyFont="1"/>
    <xf numFmtId="0" fontId="85" fillId="0" borderId="2" xfId="0" applyFont="1" applyBorder="1"/>
    <xf numFmtId="1" fontId="87" fillId="0" borderId="0" xfId="0" applyNumberFormat="1" applyFont="1" applyAlignment="1">
      <alignment horizontal="center"/>
    </xf>
    <xf numFmtId="0" fontId="83" fillId="0" borderId="0" xfId="0" applyFont="1"/>
    <xf numFmtId="0" fontId="84" fillId="0" borderId="0" xfId="0" applyFont="1"/>
    <xf numFmtId="0" fontId="82" fillId="9" borderId="0" xfId="0" applyFont="1" applyFill="1"/>
    <xf numFmtId="0" fontId="82" fillId="9" borderId="0" xfId="0" applyFont="1" applyFill="1" applyAlignment="1">
      <alignment horizontal="center"/>
    </xf>
    <xf numFmtId="165" fontId="87" fillId="0" borderId="0" xfId="0" applyNumberFormat="1" applyFont="1" applyAlignment="1">
      <alignment horizontal="center"/>
    </xf>
    <xf numFmtId="165" fontId="83" fillId="0" borderId="0" xfId="0" applyNumberFormat="1" applyFont="1" applyAlignment="1">
      <alignment horizontal="center"/>
    </xf>
    <xf numFmtId="14" fontId="85" fillId="0" borderId="0" xfId="0" applyNumberFormat="1" applyFont="1"/>
    <xf numFmtId="0" fontId="89" fillId="0" borderId="3" xfId="0" applyFont="1" applyBorder="1"/>
    <xf numFmtId="0" fontId="85" fillId="0" borderId="3" xfId="0" applyFont="1" applyBorder="1"/>
    <xf numFmtId="165" fontId="87" fillId="0" borderId="5" xfId="0" applyNumberFormat="1" applyFont="1" applyBorder="1" applyAlignment="1">
      <alignment horizontal="center"/>
    </xf>
    <xf numFmtId="0" fontId="95" fillId="9" borderId="0" xfId="0" applyFont="1" applyFill="1"/>
    <xf numFmtId="0" fontId="95" fillId="9" borderId="0" xfId="0" applyFont="1" applyFill="1" applyAlignment="1">
      <alignment horizontal="center" wrapText="1"/>
    </xf>
    <xf numFmtId="0" fontId="95" fillId="0" borderId="0" xfId="0" applyFont="1" applyAlignment="1">
      <alignment horizontal="center" wrapText="1"/>
    </xf>
    <xf numFmtId="17" fontId="82" fillId="6" borderId="0" xfId="1" applyNumberFormat="1" applyFont="1" applyFill="1" applyAlignment="1">
      <alignment horizontal="center"/>
    </xf>
    <xf numFmtId="17" fontId="82" fillId="0" borderId="0" xfId="1" applyNumberFormat="1" applyFont="1" applyAlignment="1">
      <alignment horizontal="center" vertical="center"/>
    </xf>
    <xf numFmtId="0" fontId="86" fillId="7" borderId="0" xfId="1" applyFont="1" applyFill="1"/>
    <xf numFmtId="0" fontId="85" fillId="7" borderId="0" xfId="1" applyFont="1" applyFill="1"/>
    <xf numFmtId="0" fontId="85" fillId="0" borderId="0" xfId="1" applyFont="1"/>
    <xf numFmtId="165" fontId="85" fillId="0" borderId="0" xfId="0" applyNumberFormat="1" applyFont="1"/>
    <xf numFmtId="0" fontId="85" fillId="0" borderId="0" xfId="0" applyFont="1" applyAlignment="1">
      <alignment horizontal="left" indent="1"/>
    </xf>
    <xf numFmtId="165" fontId="96" fillId="0" borderId="0" xfId="0" applyNumberFormat="1" applyFont="1"/>
    <xf numFmtId="9" fontId="85" fillId="0" borderId="0" xfId="2" applyFont="1"/>
    <xf numFmtId="0" fontId="86" fillId="8" borderId="6" xfId="0" applyFont="1" applyFill="1" applyBorder="1"/>
    <xf numFmtId="165" fontId="97" fillId="8" borderId="7" xfId="0" applyNumberFormat="1" applyFont="1" applyFill="1" applyBorder="1"/>
    <xf numFmtId="165" fontId="97" fillId="8" borderId="8" xfId="0" applyNumberFormat="1" applyFont="1" applyFill="1" applyBorder="1"/>
    <xf numFmtId="165" fontId="97" fillId="8" borderId="5" xfId="0" applyNumberFormat="1" applyFont="1" applyFill="1" applyBorder="1"/>
    <xf numFmtId="165" fontId="97" fillId="8" borderId="6" xfId="0" applyNumberFormat="1" applyFont="1" applyFill="1" applyBorder="1"/>
    <xf numFmtId="0" fontId="98" fillId="8" borderId="8" xfId="0" applyFont="1" applyFill="1" applyBorder="1"/>
    <xf numFmtId="0" fontId="86" fillId="0" borderId="0" xfId="0" applyFont="1"/>
    <xf numFmtId="165" fontId="97" fillId="0" borderId="0" xfId="0" applyNumberFormat="1" applyFont="1"/>
    <xf numFmtId="0" fontId="97" fillId="0" borderId="0" xfId="0" applyFont="1"/>
    <xf numFmtId="165" fontId="99" fillId="8" borderId="7" xfId="0" applyNumberFormat="1" applyFont="1" applyFill="1" applyBorder="1"/>
    <xf numFmtId="165" fontId="99" fillId="8" borderId="8" xfId="0" applyNumberFormat="1" applyFont="1" applyFill="1" applyBorder="1"/>
    <xf numFmtId="165" fontId="99" fillId="8" borderId="5" xfId="0" applyNumberFormat="1" applyFont="1" applyFill="1" applyBorder="1"/>
    <xf numFmtId="165" fontId="99" fillId="8" borderId="6" xfId="0" applyNumberFormat="1" applyFont="1" applyFill="1" applyBorder="1"/>
    <xf numFmtId="0" fontId="86" fillId="8" borderId="10" xfId="0" applyFont="1" applyFill="1" applyBorder="1"/>
    <xf numFmtId="168" fontId="99" fillId="8" borderId="2" xfId="2" applyNumberFormat="1" applyFont="1" applyFill="1" applyBorder="1"/>
    <xf numFmtId="168" fontId="99" fillId="8" borderId="11" xfId="2" applyNumberFormat="1" applyFont="1" applyFill="1" applyBorder="1"/>
    <xf numFmtId="168" fontId="85" fillId="0" borderId="0" xfId="0" applyNumberFormat="1" applyFont="1"/>
    <xf numFmtId="168" fontId="99" fillId="8" borderId="17" xfId="2" applyNumberFormat="1" applyFont="1" applyFill="1" applyBorder="1"/>
    <xf numFmtId="168" fontId="99" fillId="8" borderId="10" xfId="2" applyNumberFormat="1" applyFont="1" applyFill="1" applyBorder="1"/>
    <xf numFmtId="0" fontId="86" fillId="8" borderId="12" xfId="0" applyFont="1" applyFill="1" applyBorder="1"/>
    <xf numFmtId="168" fontId="99" fillId="8" borderId="3" xfId="2" applyNumberFormat="1" applyFont="1" applyFill="1" applyBorder="1"/>
    <xf numFmtId="168" fontId="99" fillId="8" borderId="13" xfId="2" applyNumberFormat="1" applyFont="1" applyFill="1" applyBorder="1"/>
    <xf numFmtId="168" fontId="99" fillId="8" borderId="18" xfId="2" applyNumberFormat="1" applyFont="1" applyFill="1" applyBorder="1"/>
    <xf numFmtId="168" fontId="99" fillId="8" borderId="12" xfId="2" applyNumberFormat="1" applyFont="1" applyFill="1" applyBorder="1"/>
    <xf numFmtId="0" fontId="100" fillId="7" borderId="0" xfId="1" applyFont="1" applyFill="1"/>
    <xf numFmtId="165" fontId="96" fillId="0" borderId="0" xfId="1" applyNumberFormat="1" applyFont="1"/>
    <xf numFmtId="0" fontId="86" fillId="0" borderId="0" xfId="1" applyFont="1"/>
    <xf numFmtId="0" fontId="98" fillId="0" borderId="0" xfId="0" applyFont="1"/>
    <xf numFmtId="165" fontId="99" fillId="8" borderId="2" xfId="0" applyNumberFormat="1" applyFont="1" applyFill="1" applyBorder="1"/>
    <xf numFmtId="165" fontId="99" fillId="8" borderId="11" xfId="0" applyNumberFormat="1" applyFont="1" applyFill="1" applyBorder="1"/>
    <xf numFmtId="165" fontId="99" fillId="8" borderId="17" xfId="0" applyNumberFormat="1" applyFont="1" applyFill="1" applyBorder="1"/>
    <xf numFmtId="165" fontId="99" fillId="8" borderId="10" xfId="0" applyNumberFormat="1" applyFont="1" applyFill="1" applyBorder="1"/>
    <xf numFmtId="165" fontId="99" fillId="8" borderId="3" xfId="0" applyNumberFormat="1" applyFont="1" applyFill="1" applyBorder="1"/>
    <xf numFmtId="165" fontId="99" fillId="8" borderId="13" xfId="0" applyNumberFormat="1" applyFont="1" applyFill="1" applyBorder="1"/>
    <xf numFmtId="165" fontId="99" fillId="8" borderId="18" xfId="0" applyNumberFormat="1" applyFont="1" applyFill="1" applyBorder="1"/>
    <xf numFmtId="165" fontId="99" fillId="8" borderId="12" xfId="0" applyNumberFormat="1" applyFont="1" applyFill="1" applyBorder="1"/>
    <xf numFmtId="165" fontId="92" fillId="0" borderId="0" xfId="1" applyNumberFormat="1" applyFont="1"/>
    <xf numFmtId="165" fontId="97" fillId="8" borderId="10" xfId="0" applyNumberFormat="1" applyFont="1" applyFill="1" applyBorder="1"/>
    <xf numFmtId="165" fontId="97" fillId="8" borderId="2" xfId="0" applyNumberFormat="1" applyFont="1" applyFill="1" applyBorder="1"/>
    <xf numFmtId="0" fontId="98" fillId="8" borderId="11" xfId="0" applyFont="1" applyFill="1" applyBorder="1"/>
    <xf numFmtId="165" fontId="97" fillId="0" borderId="12" xfId="0" applyNumberFormat="1" applyFont="1" applyBorder="1"/>
    <xf numFmtId="165" fontId="97" fillId="0" borderId="3" xfId="0" applyNumberFormat="1" applyFont="1" applyBorder="1"/>
    <xf numFmtId="0" fontId="98" fillId="0" borderId="13" xfId="0" applyFont="1" applyBorder="1"/>
    <xf numFmtId="0" fontId="85" fillId="9" borderId="0" xfId="0" applyFont="1" applyFill="1"/>
    <xf numFmtId="0" fontId="101" fillId="0" borderId="0" xfId="0" applyFont="1"/>
    <xf numFmtId="0" fontId="81" fillId="0" borderId="3" xfId="0" applyFont="1" applyBorder="1"/>
    <xf numFmtId="0" fontId="83" fillId="0" borderId="3" xfId="0" applyFont="1" applyBorder="1"/>
    <xf numFmtId="0" fontId="84" fillId="8" borderId="6" xfId="0" applyFont="1" applyFill="1" applyBorder="1"/>
    <xf numFmtId="0" fontId="84" fillId="8" borderId="0" xfId="0" applyFont="1" applyFill="1"/>
    <xf numFmtId="0" fontId="84" fillId="8" borderId="3" xfId="0" applyFont="1" applyFill="1" applyBorder="1"/>
    <xf numFmtId="0" fontId="84" fillId="0" borderId="2" xfId="0" applyFont="1" applyBorder="1"/>
    <xf numFmtId="167" fontId="84" fillId="8" borderId="7" xfId="0" applyNumberFormat="1" applyFont="1" applyFill="1" applyBorder="1"/>
    <xf numFmtId="167" fontId="84" fillId="0" borderId="2" xfId="0" applyNumberFormat="1" applyFont="1" applyBorder="1"/>
    <xf numFmtId="167" fontId="84" fillId="8" borderId="8" xfId="0" applyNumberFormat="1" applyFont="1" applyFill="1" applyBorder="1"/>
    <xf numFmtId="169" fontId="83" fillId="0" borderId="0" xfId="0" applyNumberFormat="1" applyFont="1"/>
    <xf numFmtId="169" fontId="87" fillId="0" borderId="0" xfId="0" applyNumberFormat="1" applyFont="1"/>
    <xf numFmtId="169" fontId="92" fillId="0" borderId="0" xfId="0" applyNumberFormat="1" applyFont="1"/>
    <xf numFmtId="0" fontId="97" fillId="8" borderId="19" xfId="0" applyFont="1" applyFill="1" applyBorder="1"/>
    <xf numFmtId="0" fontId="97" fillId="8" borderId="12" xfId="0" applyFont="1" applyFill="1" applyBorder="1"/>
    <xf numFmtId="168" fontId="87" fillId="0" borderId="0" xfId="0" applyNumberFormat="1" applyFont="1" applyAlignment="1">
      <alignment horizontal="center"/>
    </xf>
    <xf numFmtId="0" fontId="87" fillId="0" borderId="5" xfId="0" applyFont="1" applyBorder="1" applyAlignment="1">
      <alignment horizontal="center"/>
    </xf>
    <xf numFmtId="0" fontId="32" fillId="9" borderId="0" xfId="0" applyFont="1" applyFill="1" applyAlignment="1">
      <alignment horizontal="center" wrapText="1"/>
    </xf>
    <xf numFmtId="0" fontId="32" fillId="9" borderId="0" xfId="0" applyFont="1" applyFill="1" applyAlignment="1">
      <alignment wrapText="1"/>
    </xf>
    <xf numFmtId="0" fontId="49" fillId="0" borderId="2" xfId="0" applyFont="1" applyBorder="1"/>
    <xf numFmtId="0" fontId="49" fillId="8" borderId="6" xfId="0" applyFont="1" applyFill="1" applyBorder="1"/>
    <xf numFmtId="181" fontId="87" fillId="0" borderId="0" xfId="0" applyNumberFormat="1" applyFont="1" applyAlignment="1">
      <alignment horizontal="right"/>
    </xf>
    <xf numFmtId="0" fontId="49" fillId="0" borderId="0" xfId="0" applyFont="1"/>
    <xf numFmtId="167" fontId="84" fillId="0" borderId="0" xfId="0" applyNumberFormat="1" applyFont="1"/>
    <xf numFmtId="0" fontId="48" fillId="0" borderId="0" xfId="0" applyFont="1"/>
    <xf numFmtId="167" fontId="48" fillId="0" borderId="0" xfId="0" applyNumberFormat="1" applyFont="1"/>
    <xf numFmtId="168" fontId="42" fillId="0" borderId="0" xfId="0" applyNumberFormat="1" applyFont="1"/>
    <xf numFmtId="167" fontId="42" fillId="0" borderId="0" xfId="0" applyNumberFormat="1" applyFont="1" applyAlignment="1">
      <alignment horizontal="right"/>
    </xf>
    <xf numFmtId="165" fontId="42" fillId="0" borderId="0" xfId="0" applyNumberFormat="1" applyFont="1" applyAlignment="1">
      <alignment horizontal="right"/>
    </xf>
    <xf numFmtId="169" fontId="42" fillId="0" borderId="0" xfId="0" applyNumberFormat="1" applyFont="1" applyAlignment="1">
      <alignment horizontal="right"/>
    </xf>
    <xf numFmtId="168" fontId="42" fillId="0" borderId="0" xfId="0" applyNumberFormat="1" applyFont="1" applyAlignment="1">
      <alignment horizontal="right"/>
    </xf>
    <xf numFmtId="182" fontId="48" fillId="0" borderId="0" xfId="0" applyNumberFormat="1" applyFont="1"/>
    <xf numFmtId="182" fontId="42" fillId="0" borderId="0" xfId="0" applyNumberFormat="1" applyFont="1" applyAlignment="1">
      <alignment horizontal="right"/>
    </xf>
    <xf numFmtId="167" fontId="49" fillId="0" borderId="2" xfId="0" applyNumberFormat="1" applyFont="1" applyBorder="1"/>
    <xf numFmtId="167" fontId="49" fillId="8" borderId="7" xfId="0" applyNumberFormat="1" applyFont="1" applyFill="1" applyBorder="1"/>
    <xf numFmtId="0" fontId="51" fillId="0" borderId="0" xfId="0" applyFont="1"/>
    <xf numFmtId="165" fontId="84" fillId="8" borderId="0" xfId="0" applyNumberFormat="1" applyFont="1" applyFill="1"/>
    <xf numFmtId="165" fontId="84" fillId="8" borderId="15" xfId="0" applyNumberFormat="1" applyFont="1" applyFill="1" applyBorder="1"/>
    <xf numFmtId="165" fontId="84" fillId="8" borderId="3" xfId="0" applyNumberFormat="1" applyFont="1" applyFill="1" applyBorder="1"/>
    <xf numFmtId="165" fontId="84" fillId="8" borderId="13" xfId="0" applyNumberFormat="1" applyFont="1" applyFill="1" applyBorder="1"/>
    <xf numFmtId="0" fontId="36" fillId="9" borderId="0" xfId="0" applyFont="1" applyFill="1" applyAlignment="1">
      <alignment horizontal="left"/>
    </xf>
    <xf numFmtId="0" fontId="48" fillId="0" borderId="0" xfId="0" applyFont="1" applyAlignment="1">
      <alignment horizontal="left" indent="1"/>
    </xf>
    <xf numFmtId="0" fontId="83" fillId="0" borderId="0" xfId="0" applyFont="1" applyAlignment="1">
      <alignment horizontal="left" indent="1"/>
    </xf>
    <xf numFmtId="167" fontId="75" fillId="8" borderId="8" xfId="0" applyNumberFormat="1" applyFont="1" applyFill="1" applyBorder="1"/>
    <xf numFmtId="0" fontId="42" fillId="0" borderId="0" xfId="0" applyFont="1"/>
    <xf numFmtId="165" fontId="49" fillId="8" borderId="12" xfId="0" applyNumberFormat="1" applyFont="1" applyFill="1" applyBorder="1"/>
    <xf numFmtId="165" fontId="49" fillId="8" borderId="3" xfId="0" applyNumberFormat="1" applyFont="1" applyFill="1" applyBorder="1"/>
    <xf numFmtId="168" fontId="49" fillId="8" borderId="3" xfId="0" applyNumberFormat="1" applyFont="1" applyFill="1" applyBorder="1"/>
    <xf numFmtId="168" fontId="49" fillId="8" borderId="13" xfId="0" applyNumberFormat="1" applyFont="1" applyFill="1" applyBorder="1"/>
    <xf numFmtId="0" fontId="102" fillId="0" borderId="0" xfId="0" applyFont="1"/>
    <xf numFmtId="0" fontId="51" fillId="0" borderId="3" xfId="0" applyFont="1" applyBorder="1"/>
    <xf numFmtId="0" fontId="48" fillId="0" borderId="3" xfId="0" applyFont="1" applyBorder="1"/>
    <xf numFmtId="0" fontId="49" fillId="14" borderId="0" xfId="0" applyFont="1" applyFill="1"/>
    <xf numFmtId="168" fontId="41" fillId="0" borderId="0" xfId="0" applyNumberFormat="1" applyFont="1"/>
    <xf numFmtId="0" fontId="48" fillId="0" borderId="0" xfId="0" applyFont="1" applyAlignment="1">
      <alignment horizontal="right"/>
    </xf>
    <xf numFmtId="165" fontId="49" fillId="0" borderId="2" xfId="0" applyNumberFormat="1" applyFont="1" applyBorder="1"/>
    <xf numFmtId="0" fontId="49" fillId="0" borderId="7" xfId="0" applyFont="1" applyBorder="1"/>
    <xf numFmtId="165" fontId="49" fillId="0" borderId="7" xfId="0" applyNumberFormat="1" applyFont="1" applyBorder="1"/>
    <xf numFmtId="165" fontId="40" fillId="0" borderId="0" xfId="0" applyNumberFormat="1" applyFont="1" applyAlignment="1">
      <alignment horizontal="right"/>
    </xf>
    <xf numFmtId="0" fontId="49" fillId="8" borderId="10" xfId="0" applyFont="1" applyFill="1" applyBorder="1"/>
    <xf numFmtId="0" fontId="97" fillId="8" borderId="24" xfId="0" applyFont="1" applyFill="1" applyBorder="1"/>
    <xf numFmtId="0" fontId="84" fillId="8" borderId="9" xfId="0" applyFont="1" applyFill="1" applyBorder="1"/>
    <xf numFmtId="167" fontId="84" fillId="8" borderId="9" xfId="0" applyNumberFormat="1" applyFont="1" applyFill="1" applyBorder="1"/>
    <xf numFmtId="167" fontId="84" fillId="8" borderId="25" xfId="0" applyNumberFormat="1" applyFont="1" applyFill="1" applyBorder="1"/>
    <xf numFmtId="177" fontId="41" fillId="0" borderId="0" xfId="0" applyNumberFormat="1" applyFont="1"/>
    <xf numFmtId="171" fontId="40" fillId="0" borderId="0" xfId="0" applyNumberFormat="1" applyFont="1"/>
    <xf numFmtId="0" fontId="4" fillId="0" borderId="0" xfId="0" applyFont="1"/>
    <xf numFmtId="177" fontId="42" fillId="0" borderId="0" xfId="0" applyNumberFormat="1" applyFont="1"/>
    <xf numFmtId="165" fontId="38" fillId="8" borderId="11" xfId="0" applyNumberFormat="1" applyFont="1" applyFill="1" applyBorder="1"/>
    <xf numFmtId="0" fontId="49" fillId="8" borderId="12" xfId="0" applyFont="1" applyFill="1" applyBorder="1"/>
    <xf numFmtId="0" fontId="49" fillId="8" borderId="19" xfId="0" applyFont="1" applyFill="1" applyBorder="1"/>
    <xf numFmtId="165" fontId="33" fillId="8" borderId="15" xfId="0" applyNumberFormat="1" applyFont="1" applyFill="1" applyBorder="1"/>
    <xf numFmtId="167" fontId="38" fillId="8" borderId="13" xfId="0" applyNumberFormat="1" applyFont="1" applyFill="1" applyBorder="1"/>
    <xf numFmtId="167" fontId="33" fillId="8" borderId="15" xfId="0" applyNumberFormat="1" applyFont="1" applyFill="1" applyBorder="1"/>
    <xf numFmtId="0" fontId="51" fillId="8" borderId="12" xfId="0" applyFont="1" applyFill="1" applyBorder="1"/>
    <xf numFmtId="165" fontId="31" fillId="8" borderId="13" xfId="0" applyNumberFormat="1" applyFont="1" applyFill="1" applyBorder="1"/>
    <xf numFmtId="165" fontId="33" fillId="8" borderId="11" xfId="0" applyNumberFormat="1" applyFont="1" applyFill="1" applyBorder="1"/>
    <xf numFmtId="167" fontId="37" fillId="0" borderId="0" xfId="0" applyNumberFormat="1" applyFont="1" applyAlignment="1">
      <alignment horizontal="right"/>
    </xf>
    <xf numFmtId="167" fontId="49" fillId="8" borderId="8" xfId="0" applyNumberFormat="1" applyFont="1" applyFill="1" applyBorder="1"/>
    <xf numFmtId="165" fontId="49" fillId="18" borderId="2" xfId="0" applyNumberFormat="1" applyFont="1" applyFill="1" applyBorder="1" applyAlignment="1">
      <alignment horizontal="right"/>
    </xf>
    <xf numFmtId="167" fontId="49" fillId="8" borderId="11" xfId="0" applyNumberFormat="1" applyFont="1" applyFill="1" applyBorder="1"/>
    <xf numFmtId="165" fontId="49" fillId="18" borderId="0" xfId="0" applyNumberFormat="1" applyFont="1" applyFill="1" applyAlignment="1">
      <alignment horizontal="right"/>
    </xf>
    <xf numFmtId="180" fontId="48" fillId="0" borderId="0" xfId="0" applyNumberFormat="1" applyFont="1"/>
    <xf numFmtId="0" fontId="38" fillId="0" borderId="2" xfId="0" applyFont="1" applyBorder="1" applyAlignment="1">
      <alignment horizontal="left"/>
    </xf>
    <xf numFmtId="171" fontId="49" fillId="8" borderId="8" xfId="0" applyNumberFormat="1" applyFont="1" applyFill="1" applyBorder="1"/>
    <xf numFmtId="168" fontId="49" fillId="8" borderId="15" xfId="0" applyNumberFormat="1" applyFont="1" applyFill="1" applyBorder="1"/>
    <xf numFmtId="165" fontId="49" fillId="18" borderId="3" xfId="0" applyNumberFormat="1" applyFont="1" applyFill="1" applyBorder="1" applyAlignment="1">
      <alignment horizontal="right"/>
    </xf>
    <xf numFmtId="165" fontId="40" fillId="0" borderId="22" xfId="0" applyNumberFormat="1" applyFont="1" applyBorder="1" applyAlignment="1">
      <alignment horizontal="center"/>
    </xf>
    <xf numFmtId="0" fontId="32" fillId="9" borderId="0" xfId="0" applyFont="1" applyFill="1" applyAlignment="1">
      <alignment horizontal="right"/>
    </xf>
    <xf numFmtId="181" fontId="41" fillId="0" borderId="0" xfId="0" applyNumberFormat="1" applyFont="1"/>
    <xf numFmtId="167" fontId="48" fillId="0" borderId="0" xfId="0" applyNumberFormat="1" applyFont="1" applyAlignment="1">
      <alignment horizontal="right"/>
    </xf>
    <xf numFmtId="171" fontId="48" fillId="0" borderId="0" xfId="0" applyNumberFormat="1" applyFont="1"/>
    <xf numFmtId="171" fontId="42" fillId="0" borderId="0" xfId="0" applyNumberFormat="1" applyFont="1"/>
    <xf numFmtId="177" fontId="48" fillId="0" borderId="0" xfId="0" applyNumberFormat="1" applyFont="1"/>
    <xf numFmtId="168" fontId="48" fillId="18" borderId="0" xfId="0" applyNumberFormat="1" applyFont="1" applyFill="1" applyAlignment="1">
      <alignment horizontal="right"/>
    </xf>
    <xf numFmtId="169" fontId="40" fillId="0" borderId="0" xfId="0" applyNumberFormat="1" applyFont="1"/>
    <xf numFmtId="0" fontId="3" fillId="0" borderId="0" xfId="0" applyFont="1"/>
    <xf numFmtId="165" fontId="49" fillId="8" borderId="11" xfId="0" applyNumberFormat="1" applyFont="1" applyFill="1" applyBorder="1"/>
    <xf numFmtId="0" fontId="3" fillId="0" borderId="0" xfId="0" applyFont="1" applyAlignment="1">
      <alignment horizontal="left" indent="1"/>
    </xf>
    <xf numFmtId="171" fontId="49" fillId="0" borderId="0" xfId="0" applyNumberFormat="1" applyFont="1"/>
    <xf numFmtId="177" fontId="40" fillId="0" borderId="0" xfId="0" applyNumberFormat="1" applyFont="1"/>
    <xf numFmtId="168" fontId="48" fillId="0" borderId="0" xfId="0" applyNumberFormat="1" applyFont="1"/>
    <xf numFmtId="0" fontId="32" fillId="9" borderId="0" xfId="0" applyFont="1" applyFill="1" applyAlignment="1">
      <alignment horizontal="right" wrapText="1"/>
    </xf>
    <xf numFmtId="168" fontId="40" fillId="0" borderId="0" xfId="0" applyNumberFormat="1" applyFont="1"/>
    <xf numFmtId="0" fontId="49" fillId="8" borderId="7" xfId="0" applyFont="1" applyFill="1" applyBorder="1"/>
    <xf numFmtId="167" fontId="85" fillId="0" borderId="0" xfId="0" applyNumberFormat="1" applyFont="1"/>
    <xf numFmtId="183" fontId="85" fillId="0" borderId="0" xfId="0" applyNumberFormat="1" applyFont="1"/>
    <xf numFmtId="0" fontId="82" fillId="9" borderId="0" xfId="0" applyFont="1" applyFill="1" applyAlignment="1">
      <alignment horizontal="right"/>
    </xf>
    <xf numFmtId="0" fontId="84" fillId="8" borderId="7" xfId="0" applyFont="1" applyFill="1" applyBorder="1"/>
    <xf numFmtId="0" fontId="84" fillId="8" borderId="10" xfId="0" applyFont="1" applyFill="1" applyBorder="1"/>
    <xf numFmtId="167" fontId="84" fillId="8" borderId="11" xfId="0" applyNumberFormat="1" applyFont="1" applyFill="1" applyBorder="1"/>
    <xf numFmtId="0" fontId="104" fillId="8" borderId="19" xfId="0" applyFont="1" applyFill="1" applyBorder="1"/>
    <xf numFmtId="168" fontId="104" fillId="8" borderId="15" xfId="0" applyNumberFormat="1" applyFont="1" applyFill="1" applyBorder="1"/>
    <xf numFmtId="0" fontId="86" fillId="0" borderId="2" xfId="0" applyFont="1" applyBorder="1"/>
    <xf numFmtId="167" fontId="86" fillId="0" borderId="2" xfId="0" applyNumberFormat="1" applyFont="1" applyBorder="1"/>
    <xf numFmtId="167" fontId="84" fillId="8" borderId="2" xfId="0" applyNumberFormat="1" applyFont="1" applyFill="1" applyBorder="1" applyAlignment="1">
      <alignment horizontal="right"/>
    </xf>
    <xf numFmtId="169" fontId="85" fillId="0" borderId="0" xfId="0" applyNumberFormat="1" applyFont="1"/>
    <xf numFmtId="165" fontId="86" fillId="0" borderId="2" xfId="0" applyNumberFormat="1" applyFont="1" applyBorder="1"/>
    <xf numFmtId="168" fontId="87" fillId="0" borderId="0" xfId="0" applyNumberFormat="1" applyFont="1"/>
    <xf numFmtId="167" fontId="96" fillId="0" borderId="0" xfId="0" applyNumberFormat="1" applyFont="1"/>
    <xf numFmtId="168" fontId="92" fillId="0" borderId="0" xfId="0" applyNumberFormat="1" applyFont="1"/>
    <xf numFmtId="183" fontId="92" fillId="0" borderId="0" xfId="0" applyNumberFormat="1" applyFont="1"/>
    <xf numFmtId="168" fontId="40" fillId="0" borderId="0" xfId="0" applyNumberFormat="1" applyFont="1" applyAlignment="1">
      <alignment horizontal="right"/>
    </xf>
    <xf numFmtId="0" fontId="104" fillId="0" borderId="0" xfId="0" applyFont="1"/>
    <xf numFmtId="169" fontId="84" fillId="8" borderId="0" xfId="0" applyNumberFormat="1" applyFont="1" applyFill="1" applyAlignment="1">
      <alignment horizontal="right"/>
    </xf>
    <xf numFmtId="0" fontId="84" fillId="8" borderId="19" xfId="0" applyFont="1" applyFill="1" applyBorder="1"/>
    <xf numFmtId="183" fontId="97" fillId="8" borderId="15" xfId="0" applyNumberFormat="1" applyFont="1" applyFill="1" applyBorder="1"/>
    <xf numFmtId="0" fontId="84" fillId="8" borderId="12" xfId="0" applyFont="1" applyFill="1" applyBorder="1"/>
    <xf numFmtId="169" fontId="84" fillId="8" borderId="3" xfId="0" applyNumberFormat="1" applyFont="1" applyFill="1" applyBorder="1" applyAlignment="1">
      <alignment horizontal="right"/>
    </xf>
    <xf numFmtId="169" fontId="84" fillId="8" borderId="13" xfId="0" applyNumberFormat="1" applyFont="1" applyFill="1" applyBorder="1"/>
    <xf numFmtId="171" fontId="83" fillId="0" borderId="0" xfId="0" applyNumberFormat="1" applyFont="1"/>
    <xf numFmtId="171" fontId="87" fillId="0" borderId="0" xfId="0" applyNumberFormat="1" applyFont="1"/>
    <xf numFmtId="184" fontId="83" fillId="0" borderId="0" xfId="0" applyNumberFormat="1" applyFont="1"/>
    <xf numFmtId="185" fontId="83" fillId="0" borderId="0" xfId="0" applyNumberFormat="1" applyFont="1"/>
    <xf numFmtId="185" fontId="87" fillId="0" borderId="0" xfId="0" applyNumberFormat="1" applyFont="1"/>
    <xf numFmtId="0" fontId="84" fillId="0" borderId="2" xfId="0" applyFont="1" applyBorder="1" applyAlignment="1">
      <alignment horizontal="left"/>
    </xf>
    <xf numFmtId="171" fontId="84" fillId="8" borderId="8" xfId="0" applyNumberFormat="1" applyFont="1" applyFill="1" applyBorder="1"/>
    <xf numFmtId="167" fontId="81" fillId="0" borderId="0" xfId="0" applyNumberFormat="1" applyFont="1"/>
    <xf numFmtId="1" fontId="83" fillId="0" borderId="0" xfId="0" applyNumberFormat="1" applyFont="1"/>
    <xf numFmtId="1" fontId="87" fillId="0" borderId="0" xfId="0" applyNumberFormat="1" applyFont="1"/>
    <xf numFmtId="169" fontId="84" fillId="0" borderId="0" xfId="0" applyNumberFormat="1" applyFont="1"/>
    <xf numFmtId="171" fontId="84" fillId="8" borderId="15" xfId="0" applyNumberFormat="1" applyFont="1" applyFill="1" applyBorder="1"/>
    <xf numFmtId="0" fontId="83" fillId="0" borderId="2" xfId="0" applyFont="1" applyBorder="1"/>
    <xf numFmtId="168" fontId="52" fillId="0" borderId="2" xfId="0" applyNumberFormat="1" applyFont="1" applyBorder="1"/>
    <xf numFmtId="169" fontId="97" fillId="8" borderId="15" xfId="0" applyNumberFormat="1" applyFont="1" applyFill="1" applyBorder="1"/>
    <xf numFmtId="169" fontId="49" fillId="8" borderId="15" xfId="0" applyNumberFormat="1" applyFont="1" applyFill="1" applyBorder="1"/>
    <xf numFmtId="165" fontId="83" fillId="0" borderId="2" xfId="0" applyNumberFormat="1" applyFont="1" applyBorder="1"/>
    <xf numFmtId="0" fontId="48" fillId="8" borderId="12" xfId="0" applyFont="1" applyFill="1" applyBorder="1"/>
    <xf numFmtId="165" fontId="34" fillId="8" borderId="13" xfId="0" applyNumberFormat="1" applyFont="1" applyFill="1" applyBorder="1"/>
    <xf numFmtId="0" fontId="48" fillId="0" borderId="2" xfId="0" applyFont="1" applyBorder="1"/>
    <xf numFmtId="165" fontId="48" fillId="0" borderId="2" xfId="0" applyNumberFormat="1" applyFont="1" applyBorder="1"/>
    <xf numFmtId="0" fontId="48" fillId="8" borderId="19" xfId="0" applyFont="1" applyFill="1" applyBorder="1"/>
    <xf numFmtId="168" fontId="48" fillId="8" borderId="15" xfId="0" applyNumberFormat="1" applyFont="1" applyFill="1" applyBorder="1"/>
    <xf numFmtId="169" fontId="49" fillId="8" borderId="0" xfId="0" applyNumberFormat="1" applyFont="1" applyFill="1" applyAlignment="1">
      <alignment horizontal="right"/>
    </xf>
    <xf numFmtId="183" fontId="103" fillId="8" borderId="15" xfId="0" applyNumberFormat="1" applyFont="1" applyFill="1" applyBorder="1"/>
    <xf numFmtId="169" fontId="103" fillId="8" borderId="15" xfId="0" applyNumberFormat="1" applyFont="1" applyFill="1" applyBorder="1"/>
    <xf numFmtId="171" fontId="49" fillId="8" borderId="15" xfId="0" applyNumberFormat="1" applyFont="1" applyFill="1" applyBorder="1"/>
    <xf numFmtId="169" fontId="49" fillId="8" borderId="13" xfId="0" applyNumberFormat="1" applyFont="1" applyFill="1" applyBorder="1"/>
    <xf numFmtId="168" fontId="49" fillId="0" borderId="2" xfId="0" applyNumberFormat="1" applyFont="1" applyBorder="1"/>
    <xf numFmtId="0" fontId="86" fillId="0" borderId="6" xfId="0" applyFont="1" applyBorder="1"/>
    <xf numFmtId="165" fontId="86" fillId="0" borderId="8" xfId="0" applyNumberFormat="1" applyFont="1" applyBorder="1"/>
    <xf numFmtId="168" fontId="31" fillId="8" borderId="13" xfId="0" applyNumberFormat="1" applyFont="1" applyFill="1" applyBorder="1"/>
    <xf numFmtId="165" fontId="48" fillId="0" borderId="0" xfId="0" applyNumberFormat="1" applyFont="1" applyAlignment="1">
      <alignment horizontal="right"/>
    </xf>
    <xf numFmtId="0" fontId="51" fillId="8" borderId="26" xfId="0" applyFont="1" applyFill="1" applyBorder="1"/>
    <xf numFmtId="168" fontId="51" fillId="8" borderId="27" xfId="0" applyNumberFormat="1" applyFont="1" applyFill="1" applyBorder="1" applyAlignment="1">
      <alignment horizontal="right"/>
    </xf>
    <xf numFmtId="168" fontId="51" fillId="0" borderId="0" xfId="0" applyNumberFormat="1" applyFont="1" applyAlignment="1">
      <alignment horizontal="right"/>
    </xf>
    <xf numFmtId="0" fontId="2" fillId="0" borderId="0" xfId="0" applyFont="1"/>
    <xf numFmtId="167" fontId="2" fillId="0" borderId="0" xfId="0" applyNumberFormat="1" applyFont="1"/>
    <xf numFmtId="165" fontId="2" fillId="0" borderId="0" xfId="0" applyNumberFormat="1" applyFont="1"/>
    <xf numFmtId="169" fontId="2" fillId="0" borderId="0" xfId="0" applyNumberFormat="1" applyFont="1"/>
    <xf numFmtId="165" fontId="0" fillId="0" borderId="0" xfId="0" applyNumberFormat="1"/>
    <xf numFmtId="167" fontId="38" fillId="8" borderId="20" xfId="0" applyNumberFormat="1" applyFont="1" applyFill="1" applyBorder="1"/>
    <xf numFmtId="0" fontId="38" fillId="8" borderId="21" xfId="0" applyFont="1" applyFill="1" applyBorder="1"/>
    <xf numFmtId="167" fontId="38" fillId="8" borderId="23" xfId="0" applyNumberFormat="1" applyFont="1" applyFill="1" applyBorder="1"/>
    <xf numFmtId="0" fontId="38" fillId="0" borderId="9" xfId="0" applyFont="1" applyBorder="1"/>
    <xf numFmtId="167" fontId="38" fillId="0" borderId="9" xfId="0" applyNumberFormat="1" applyFont="1" applyBorder="1"/>
    <xf numFmtId="181" fontId="42" fillId="0" borderId="0" xfId="0" applyNumberFormat="1" applyFont="1"/>
    <xf numFmtId="181" fontId="48" fillId="0" borderId="0" xfId="0" applyNumberFormat="1" applyFont="1"/>
    <xf numFmtId="0" fontId="51" fillId="0" borderId="28" xfId="0" applyFont="1" applyBorder="1"/>
    <xf numFmtId="0" fontId="48" fillId="0" borderId="28" xfId="0" applyFont="1" applyBorder="1"/>
    <xf numFmtId="0" fontId="40" fillId="0" borderId="22" xfId="0" applyFont="1" applyBorder="1" applyAlignment="1">
      <alignment horizontal="center"/>
    </xf>
    <xf numFmtId="168" fontId="48" fillId="0" borderId="0" xfId="0" applyNumberFormat="1" applyFont="1" applyAlignment="1">
      <alignment horizontal="right"/>
    </xf>
    <xf numFmtId="183" fontId="48" fillId="0" borderId="0" xfId="0" applyNumberFormat="1" applyFont="1" applyAlignment="1">
      <alignment horizontal="right"/>
    </xf>
    <xf numFmtId="169" fontId="48" fillId="0" borderId="0" xfId="0" applyNumberFormat="1" applyFont="1" applyAlignment="1">
      <alignment horizontal="right"/>
    </xf>
    <xf numFmtId="171" fontId="48" fillId="0" borderId="0" xfId="0" applyNumberFormat="1" applyFont="1" applyAlignment="1">
      <alignment horizontal="right"/>
    </xf>
    <xf numFmtId="0" fontId="48" fillId="14" borderId="0" xfId="0" applyFont="1" applyFill="1" applyAlignment="1">
      <alignment horizontal="right"/>
    </xf>
    <xf numFmtId="165" fontId="41" fillId="0" borderId="0" xfId="0" applyNumberFormat="1" applyFont="1" applyAlignment="1">
      <alignment horizontal="right"/>
    </xf>
    <xf numFmtId="168" fontId="41" fillId="0" borderId="0" xfId="0" applyNumberFormat="1" applyFont="1" applyAlignment="1">
      <alignment horizontal="right"/>
    </xf>
    <xf numFmtId="167" fontId="41" fillId="0" borderId="0" xfId="0" applyNumberFormat="1" applyFont="1" applyAlignment="1">
      <alignment horizontal="right"/>
    </xf>
    <xf numFmtId="183" fontId="41" fillId="0" borderId="0" xfId="0" applyNumberFormat="1" applyFont="1" applyAlignment="1">
      <alignment horizontal="right"/>
    </xf>
    <xf numFmtId="0" fontId="49" fillId="0" borderId="9" xfId="0" applyFont="1" applyBorder="1"/>
    <xf numFmtId="167" fontId="49" fillId="8" borderId="2" xfId="0" applyNumberFormat="1" applyFont="1" applyFill="1" applyBorder="1" applyAlignment="1">
      <alignment horizontal="right"/>
    </xf>
    <xf numFmtId="167" fontId="49" fillId="8" borderId="9" xfId="0" applyNumberFormat="1" applyFont="1" applyFill="1" applyBorder="1" applyAlignment="1">
      <alignment horizontal="right"/>
    </xf>
    <xf numFmtId="167" fontId="49" fillId="8" borderId="20" xfId="0" applyNumberFormat="1" applyFont="1" applyFill="1" applyBorder="1" applyAlignment="1">
      <alignment horizontal="right"/>
    </xf>
    <xf numFmtId="0" fontId="49" fillId="8" borderId="21" xfId="0" applyFont="1" applyFill="1" applyBorder="1"/>
    <xf numFmtId="167" fontId="49" fillId="8" borderId="23" xfId="0" applyNumberFormat="1" applyFont="1" applyFill="1" applyBorder="1" applyAlignment="1">
      <alignment horizontal="right"/>
    </xf>
    <xf numFmtId="169" fontId="41" fillId="0" borderId="0" xfId="0" applyNumberFormat="1" applyFont="1" applyAlignment="1">
      <alignment horizontal="right"/>
    </xf>
    <xf numFmtId="167" fontId="49" fillId="0" borderId="9" xfId="0" applyNumberFormat="1" applyFont="1" applyBorder="1" applyAlignment="1">
      <alignment horizontal="right"/>
    </xf>
    <xf numFmtId="0" fontId="49" fillId="8" borderId="29" xfId="0" applyFont="1" applyFill="1" applyBorder="1"/>
    <xf numFmtId="167" fontId="49" fillId="8" borderId="30" xfId="0" applyNumberFormat="1" applyFont="1" applyFill="1" applyBorder="1" applyAlignment="1">
      <alignment horizontal="right"/>
    </xf>
    <xf numFmtId="0" fontId="105" fillId="8" borderId="26" xfId="0" applyFont="1" applyFill="1" applyBorder="1"/>
    <xf numFmtId="169" fontId="105" fillId="8" borderId="28" xfId="0" applyNumberFormat="1" applyFont="1" applyFill="1" applyBorder="1" applyAlignment="1">
      <alignment horizontal="right"/>
    </xf>
    <xf numFmtId="169" fontId="105" fillId="8" borderId="27" xfId="0" applyNumberFormat="1" applyFont="1" applyFill="1" applyBorder="1" applyAlignment="1">
      <alignment horizontal="right"/>
    </xf>
    <xf numFmtId="171" fontId="41" fillId="0" borderId="0" xfId="0" applyNumberFormat="1" applyFont="1" applyAlignment="1">
      <alignment horizontal="right"/>
    </xf>
    <xf numFmtId="167" fontId="40" fillId="0" borderId="0" xfId="0" applyNumberFormat="1" applyFont="1" applyAlignment="1">
      <alignment horizontal="right"/>
    </xf>
    <xf numFmtId="0" fontId="2" fillId="0" borderId="0" xfId="0" applyFont="1" applyAlignment="1">
      <alignment horizontal="left" indent="1"/>
    </xf>
    <xf numFmtId="183" fontId="40" fillId="0" borderId="0" xfId="0" applyNumberFormat="1" applyFont="1" applyAlignment="1">
      <alignment horizontal="right"/>
    </xf>
    <xf numFmtId="183" fontId="41" fillId="0" borderId="0" xfId="0" applyNumberFormat="1" applyFont="1"/>
    <xf numFmtId="183" fontId="42" fillId="0" borderId="0" xfId="0" applyNumberFormat="1" applyFont="1" applyAlignment="1">
      <alignment horizontal="right"/>
    </xf>
    <xf numFmtId="183" fontId="49" fillId="8" borderId="7" xfId="0" applyNumberFormat="1" applyFont="1" applyFill="1" applyBorder="1" applyAlignment="1">
      <alignment horizontal="right"/>
    </xf>
    <xf numFmtId="183" fontId="49" fillId="8" borderId="8" xfId="0" applyNumberFormat="1" applyFont="1" applyFill="1" applyBorder="1" applyAlignment="1">
      <alignment horizontal="right"/>
    </xf>
    <xf numFmtId="169" fontId="49" fillId="8" borderId="7" xfId="0" applyNumberFormat="1" applyFont="1" applyFill="1" applyBorder="1" applyAlignment="1">
      <alignment horizontal="right"/>
    </xf>
    <xf numFmtId="169" fontId="49" fillId="8" borderId="8" xfId="0" applyNumberFormat="1" applyFont="1" applyFill="1" applyBorder="1" applyAlignment="1">
      <alignment horizontal="right"/>
    </xf>
    <xf numFmtId="165" fontId="64" fillId="8" borderId="2" xfId="0" applyNumberFormat="1" applyFont="1" applyFill="1" applyBorder="1" applyAlignment="1">
      <alignment horizontal="right"/>
    </xf>
    <xf numFmtId="165" fontId="49" fillId="8" borderId="11" xfId="0" applyNumberFormat="1" applyFont="1" applyFill="1" applyBorder="1" applyAlignment="1">
      <alignment horizontal="right"/>
    </xf>
    <xf numFmtId="0" fontId="48" fillId="8" borderId="19" xfId="0" applyFont="1" applyFill="1" applyBorder="1" applyAlignment="1">
      <alignment horizontal="left" indent="1"/>
    </xf>
    <xf numFmtId="165" fontId="41" fillId="8" borderId="0" xfId="0" applyNumberFormat="1" applyFont="1" applyFill="1" applyAlignment="1">
      <alignment horizontal="right"/>
    </xf>
    <xf numFmtId="165" fontId="48" fillId="8" borderId="15" xfId="0" applyNumberFormat="1" applyFont="1" applyFill="1" applyBorder="1" applyAlignment="1">
      <alignment horizontal="right"/>
    </xf>
    <xf numFmtId="165" fontId="42" fillId="8" borderId="0" xfId="0" applyNumberFormat="1" applyFont="1" applyFill="1" applyAlignment="1">
      <alignment horizontal="right"/>
    </xf>
    <xf numFmtId="167" fontId="64" fillId="8" borderId="7" xfId="0" applyNumberFormat="1" applyFont="1" applyFill="1" applyBorder="1" applyAlignment="1">
      <alignment horizontal="right"/>
    </xf>
    <xf numFmtId="167" fontId="49" fillId="8" borderId="8" xfId="0" applyNumberFormat="1" applyFont="1" applyFill="1" applyBorder="1" applyAlignment="1">
      <alignment horizontal="right"/>
    </xf>
    <xf numFmtId="0" fontId="48" fillId="8" borderId="10" xfId="0" applyFont="1" applyFill="1" applyBorder="1"/>
    <xf numFmtId="168" fontId="48" fillId="8" borderId="2" xfId="0" applyNumberFormat="1" applyFont="1" applyFill="1" applyBorder="1" applyAlignment="1">
      <alignment horizontal="right"/>
    </xf>
    <xf numFmtId="168" fontId="48" fillId="8" borderId="11" xfId="0" applyNumberFormat="1" applyFont="1" applyFill="1" applyBorder="1" applyAlignment="1">
      <alignment horizontal="right"/>
    </xf>
    <xf numFmtId="0" fontId="48" fillId="8" borderId="19" xfId="0" applyFont="1" applyFill="1" applyBorder="1" applyAlignment="1">
      <alignment horizontal="left"/>
    </xf>
    <xf numFmtId="168" fontId="48" fillId="8" borderId="0" xfId="0" applyNumberFormat="1" applyFont="1" applyFill="1" applyAlignment="1">
      <alignment horizontal="right"/>
    </xf>
    <xf numFmtId="168" fontId="48" fillId="8" borderId="15" xfId="0" applyNumberFormat="1" applyFont="1" applyFill="1" applyBorder="1" applyAlignment="1">
      <alignment horizontal="right"/>
    </xf>
    <xf numFmtId="0" fontId="48" fillId="8" borderId="12" xfId="0" applyFont="1" applyFill="1" applyBorder="1" applyAlignment="1">
      <alignment horizontal="left"/>
    </xf>
    <xf numFmtId="168" fontId="48" fillId="8" borderId="3" xfId="0" applyNumberFormat="1" applyFont="1" applyFill="1" applyBorder="1" applyAlignment="1">
      <alignment horizontal="right"/>
    </xf>
    <xf numFmtId="168" fontId="48" fillId="8" borderId="13" xfId="0" applyNumberFormat="1" applyFont="1" applyFill="1" applyBorder="1" applyAlignment="1">
      <alignment horizontal="right"/>
    </xf>
    <xf numFmtId="167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7" fontId="38" fillId="0" borderId="9" xfId="0" applyNumberFormat="1" applyFont="1" applyBorder="1" applyAlignment="1">
      <alignment horizontal="right"/>
    </xf>
    <xf numFmtId="183" fontId="49" fillId="8" borderId="2" xfId="0" applyNumberFormat="1" applyFont="1" applyFill="1" applyBorder="1" applyAlignment="1">
      <alignment horizontal="right"/>
    </xf>
    <xf numFmtId="183" fontId="49" fillId="8" borderId="9" xfId="0" applyNumberFormat="1" applyFont="1" applyFill="1" applyBorder="1" applyAlignment="1">
      <alignment horizontal="right"/>
    </xf>
    <xf numFmtId="0" fontId="38" fillId="8" borderId="29" xfId="0" applyFont="1" applyFill="1" applyBorder="1"/>
    <xf numFmtId="183" fontId="38" fillId="8" borderId="30" xfId="0" applyNumberFormat="1" applyFont="1" applyFill="1" applyBorder="1" applyAlignment="1">
      <alignment horizontal="right"/>
    </xf>
    <xf numFmtId="169" fontId="105" fillId="8" borderId="3" xfId="0" applyNumberFormat="1" applyFont="1" applyFill="1" applyBorder="1" applyAlignment="1">
      <alignment horizontal="right"/>
    </xf>
    <xf numFmtId="0" fontId="52" fillId="8" borderId="26" xfId="0" applyFont="1" applyFill="1" applyBorder="1"/>
    <xf numFmtId="169" fontId="52" fillId="8" borderId="27" xfId="0" applyNumberFormat="1" applyFont="1" applyFill="1" applyBorder="1" applyAlignment="1">
      <alignment horizontal="right"/>
    </xf>
    <xf numFmtId="0" fontId="80" fillId="0" borderId="0" xfId="0" applyFont="1"/>
    <xf numFmtId="167" fontId="103" fillId="0" borderId="9" xfId="0" applyNumberFormat="1" applyFont="1" applyBorder="1" applyAlignment="1">
      <alignment horizontal="right"/>
    </xf>
    <xf numFmtId="167" fontId="38" fillId="0" borderId="0" xfId="0" applyNumberFormat="1" applyFont="1" applyAlignment="1">
      <alignment horizontal="right"/>
    </xf>
    <xf numFmtId="183" fontId="49" fillId="8" borderId="0" xfId="0" applyNumberFormat="1" applyFont="1" applyFill="1" applyAlignment="1">
      <alignment horizontal="right"/>
    </xf>
    <xf numFmtId="0" fontId="38" fillId="8" borderId="19" xfId="0" applyFont="1" applyFill="1" applyBorder="1"/>
    <xf numFmtId="183" fontId="38" fillId="8" borderId="15" xfId="0" applyNumberFormat="1" applyFont="1" applyFill="1" applyBorder="1" applyAlignment="1">
      <alignment horizontal="right"/>
    </xf>
    <xf numFmtId="169" fontId="52" fillId="8" borderId="13" xfId="0" applyNumberFormat="1" applyFont="1" applyFill="1" applyBorder="1" applyAlignment="1">
      <alignment horizontal="right"/>
    </xf>
    <xf numFmtId="167" fontId="38" fillId="8" borderId="11" xfId="0" applyNumberFormat="1" applyFont="1" applyFill="1" applyBorder="1" applyAlignment="1">
      <alignment horizontal="right"/>
    </xf>
    <xf numFmtId="164" fontId="48" fillId="0" borderId="0" xfId="0" applyNumberFormat="1" applyFont="1" applyAlignment="1">
      <alignment horizontal="right"/>
    </xf>
    <xf numFmtId="167" fontId="103" fillId="0" borderId="0" xfId="0" applyNumberFormat="1" applyFont="1" applyAlignment="1">
      <alignment horizontal="right"/>
    </xf>
    <xf numFmtId="177" fontId="48" fillId="0" borderId="0" xfId="0" applyNumberFormat="1" applyFont="1" applyAlignment="1">
      <alignment horizontal="right"/>
    </xf>
    <xf numFmtId="183" fontId="49" fillId="8" borderId="30" xfId="0" applyNumberFormat="1" applyFont="1" applyFill="1" applyBorder="1" applyAlignment="1">
      <alignment horizontal="right"/>
    </xf>
    <xf numFmtId="183" fontId="49" fillId="8" borderId="11" xfId="0" applyNumberFormat="1" applyFont="1" applyFill="1" applyBorder="1" applyAlignment="1">
      <alignment horizontal="right"/>
    </xf>
    <xf numFmtId="0" fontId="105" fillId="8" borderId="12" xfId="0" applyFont="1" applyFill="1" applyBorder="1"/>
    <xf numFmtId="169" fontId="105" fillId="8" borderId="13" xfId="0" applyNumberFormat="1" applyFont="1" applyFill="1" applyBorder="1" applyAlignment="1">
      <alignment horizontal="right"/>
    </xf>
    <xf numFmtId="167" fontId="49" fillId="8" borderId="7" xfId="0" applyNumberFormat="1" applyFont="1" applyFill="1" applyBorder="1" applyAlignment="1">
      <alignment horizontal="right"/>
    </xf>
    <xf numFmtId="167" fontId="38" fillId="8" borderId="8" xfId="0" applyNumberFormat="1" applyFont="1" applyFill="1" applyBorder="1" applyAlignment="1">
      <alignment horizontal="right"/>
    </xf>
    <xf numFmtId="0" fontId="41" fillId="0" borderId="0" xfId="0" applyFont="1"/>
    <xf numFmtId="0" fontId="26" fillId="0" borderId="0" xfId="0" applyFont="1" applyAlignment="1">
      <alignment horizontal="center"/>
    </xf>
    <xf numFmtId="0" fontId="0" fillId="0" borderId="0" xfId="0"/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38" fillId="14" borderId="0" xfId="0" applyFont="1" applyFill="1" applyAlignment="1">
      <alignment horizontal="center"/>
    </xf>
    <xf numFmtId="0" fontId="32" fillId="3" borderId="0" xfId="1" applyFont="1" applyFill="1"/>
    <xf numFmtId="0" fontId="89" fillId="0" borderId="28" xfId="0" applyFont="1" applyBorder="1"/>
    <xf numFmtId="0" fontId="85" fillId="0" borderId="28" xfId="0" applyFont="1" applyBorder="1"/>
    <xf numFmtId="169" fontId="96" fillId="0" borderId="0" xfId="0" applyNumberFormat="1" applyFont="1"/>
    <xf numFmtId="0" fontId="82" fillId="9" borderId="0" xfId="0" applyFont="1" applyFill="1" applyAlignment="1">
      <alignment horizontal="centerContinuous"/>
    </xf>
    <xf numFmtId="168" fontId="82" fillId="9" borderId="0" xfId="0" applyNumberFormat="1" applyFont="1" applyFill="1" applyAlignment="1">
      <alignment horizontal="center"/>
    </xf>
    <xf numFmtId="168" fontId="91" fillId="0" borderId="0" xfId="0" applyNumberFormat="1" applyFont="1"/>
    <xf numFmtId="10" fontId="91" fillId="0" borderId="0" xfId="0" applyNumberFormat="1" applyFont="1"/>
    <xf numFmtId="167" fontId="85" fillId="0" borderId="0" xfId="0" applyNumberFormat="1" applyFont="1" applyBorder="1"/>
    <xf numFmtId="165" fontId="85" fillId="0" borderId="0" xfId="0" applyNumberFormat="1" applyFont="1" applyBorder="1"/>
    <xf numFmtId="165" fontId="85" fillId="0" borderId="28" xfId="0" applyNumberFormat="1" applyFont="1" applyBorder="1"/>
    <xf numFmtId="0" fontId="106" fillId="0" borderId="0" xfId="0" applyFont="1" applyAlignment="1"/>
    <xf numFmtId="0" fontId="84" fillId="8" borderId="21" xfId="0" applyFont="1" applyFill="1" applyBorder="1"/>
    <xf numFmtId="169" fontId="84" fillId="8" borderId="23" xfId="0" applyNumberFormat="1" applyFont="1" applyFill="1" applyBorder="1"/>
    <xf numFmtId="0" fontId="84" fillId="0" borderId="9" xfId="0" applyFont="1" applyBorder="1"/>
    <xf numFmtId="167" fontId="84" fillId="0" borderId="9" xfId="0" applyNumberFormat="1" applyFont="1" applyBorder="1"/>
    <xf numFmtId="169" fontId="84" fillId="0" borderId="9" xfId="0" applyNumberFormat="1" applyFont="1" applyBorder="1"/>
    <xf numFmtId="169" fontId="84" fillId="8" borderId="8" xfId="0" applyNumberFormat="1" applyFont="1" applyFill="1" applyBorder="1"/>
    <xf numFmtId="0" fontId="82" fillId="9" borderId="0" xfId="0" applyFont="1" applyFill="1" applyAlignment="1">
      <alignment horizontal="center" vertical="center" wrapText="1"/>
    </xf>
    <xf numFmtId="0" fontId="82" fillId="9" borderId="28" xfId="0" applyFont="1" applyFill="1" applyBorder="1" applyAlignment="1">
      <alignment horizontal="center" vertical="center" wrapText="1"/>
    </xf>
    <xf numFmtId="168" fontId="36" fillId="9" borderId="0" xfId="0" applyNumberFormat="1" applyFont="1" applyFill="1" applyBorder="1" applyAlignment="1">
      <alignment horizontal="center"/>
    </xf>
    <xf numFmtId="168" fontId="36" fillId="9" borderId="28" xfId="0" applyNumberFormat="1" applyFont="1" applyFill="1" applyBorder="1" applyAlignment="1">
      <alignment horizontal="center"/>
    </xf>
    <xf numFmtId="0" fontId="32" fillId="9" borderId="0" xfId="0" applyFont="1" applyFill="1" applyAlignment="1">
      <alignment horizontal="center" vertical="center" wrapText="1"/>
    </xf>
    <xf numFmtId="165" fontId="1" fillId="0" borderId="0" xfId="0" applyNumberFormat="1" applyFont="1" applyFill="1" applyBorder="1"/>
    <xf numFmtId="168" fontId="85" fillId="0" borderId="0" xfId="0" applyNumberFormat="1" applyFont="1" applyBorder="1"/>
    <xf numFmtId="168" fontId="1" fillId="0" borderId="0" xfId="0" applyNumberFormat="1" applyFont="1" applyFill="1" applyBorder="1"/>
    <xf numFmtId="168" fontId="85" fillId="0" borderId="28" xfId="0" applyNumberFormat="1" applyFont="1" applyBorder="1"/>
    <xf numFmtId="0" fontId="1" fillId="0" borderId="0" xfId="0" applyFont="1"/>
    <xf numFmtId="165" fontId="87" fillId="0" borderId="22" xfId="0" applyNumberFormat="1" applyFont="1" applyBorder="1" applyAlignment="1">
      <alignment horizontal="center"/>
    </xf>
    <xf numFmtId="0" fontId="107" fillId="0" borderId="0" xfId="0" applyFont="1"/>
    <xf numFmtId="1" fontId="40" fillId="0" borderId="0" xfId="0" applyNumberFormat="1" applyFont="1"/>
    <xf numFmtId="1" fontId="80" fillId="0" borderId="0" xfId="0" applyNumberFormat="1" applyFont="1"/>
    <xf numFmtId="169" fontId="85" fillId="0" borderId="0" xfId="0" applyNumberFormat="1" applyFont="1" applyBorder="1"/>
    <xf numFmtId="169" fontId="1" fillId="0" borderId="0" xfId="0" applyNumberFormat="1" applyFont="1" applyFill="1" applyBorder="1"/>
    <xf numFmtId="169" fontId="85" fillId="0" borderId="28" xfId="0" applyNumberFormat="1" applyFont="1" applyBorder="1"/>
    <xf numFmtId="0" fontId="38" fillId="14" borderId="0" xfId="0" applyFont="1" applyFill="1" applyAlignment="1">
      <alignment horizontal="right"/>
    </xf>
    <xf numFmtId="0" fontId="0" fillId="0" borderId="28" xfId="0" applyBorder="1"/>
    <xf numFmtId="0" fontId="86" fillId="0" borderId="0" xfId="0" applyFont="1" applyBorder="1"/>
    <xf numFmtId="165" fontId="86" fillId="0" borderId="0" xfId="0" applyNumberFormat="1" applyFont="1" applyBorder="1"/>
    <xf numFmtId="0" fontId="33" fillId="19" borderId="0" xfId="0" applyFont="1" applyFill="1"/>
    <xf numFmtId="0" fontId="36" fillId="20" borderId="0" xfId="0" applyFont="1" applyFill="1"/>
    <xf numFmtId="0" fontId="82" fillId="20" borderId="0" xfId="0" applyFont="1" applyFill="1"/>
    <xf numFmtId="169" fontId="48" fillId="0" borderId="0" xfId="0" applyNumberFormat="1" applyFont="1"/>
    <xf numFmtId="168" fontId="80" fillId="0" borderId="0" xfId="0" applyNumberFormat="1" applyFont="1"/>
    <xf numFmtId="165" fontId="82" fillId="9" borderId="0" xfId="0" applyNumberFormat="1" applyFont="1" applyFill="1" applyAlignment="1">
      <alignment horizontal="center"/>
    </xf>
    <xf numFmtId="169" fontId="80" fillId="0" borderId="0" xfId="0" applyNumberFormat="1" applyFont="1"/>
    <xf numFmtId="165" fontId="36" fillId="9" borderId="0" xfId="0" applyNumberFormat="1" applyFont="1" applyFill="1" applyBorder="1" applyAlignment="1">
      <alignment horizontal="center"/>
    </xf>
    <xf numFmtId="165" fontId="36" fillId="9" borderId="28" xfId="0" applyNumberFormat="1" applyFont="1" applyFill="1" applyBorder="1" applyAlignment="1">
      <alignment horizontal="center"/>
    </xf>
    <xf numFmtId="0" fontId="107" fillId="0" borderId="0" xfId="0" applyFont="1" applyAlignment="1">
      <alignment wrapText="1"/>
    </xf>
    <xf numFmtId="0" fontId="32" fillId="9" borderId="0" xfId="0" applyFont="1" applyFill="1" applyAlignment="1"/>
    <xf numFmtId="1" fontId="91" fillId="0" borderId="0" xfId="0" applyNumberFormat="1" applyFont="1"/>
    <xf numFmtId="0" fontId="106" fillId="0" borderId="0" xfId="0" applyFont="1"/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96">
    <dxf>
      <font>
        <color rgb="FF000000"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ill>
        <patternFill patternType="solid">
          <fgColor indexed="64"/>
          <bgColor rgb="FF72C487"/>
        </patternFill>
      </fill>
    </dxf>
    <dxf>
      <fill>
        <patternFill patternType="solid">
          <fgColor indexed="64"/>
          <bgColor rgb="FF80CA94"/>
        </patternFill>
      </fill>
    </dxf>
    <dxf>
      <fill>
        <patternFill patternType="solid">
          <fgColor indexed="64"/>
          <bgColor rgb="FF8FD0A0"/>
        </patternFill>
      </fill>
    </dxf>
    <dxf>
      <fill>
        <patternFill patternType="solid">
          <fgColor indexed="64"/>
          <bgColor rgb="FF9DD6AC"/>
        </patternFill>
      </fill>
    </dxf>
    <dxf>
      <fill>
        <patternFill patternType="solid">
          <fgColor indexed="64"/>
          <bgColor rgb="FFACDCB9"/>
        </patternFill>
      </fill>
    </dxf>
    <dxf>
      <fill>
        <patternFill patternType="solid">
          <fgColor indexed="64"/>
          <bgColor rgb="FFBAE2C5"/>
        </patternFill>
      </fill>
    </dxf>
    <dxf>
      <fill>
        <patternFill patternType="solid">
          <fgColor indexed="64"/>
          <bgColor rgb="FFC9E8D1"/>
        </patternFill>
      </fill>
    </dxf>
    <dxf>
      <fill>
        <patternFill patternType="solid">
          <fgColor indexed="64"/>
          <bgColor rgb="FFD7EEDE"/>
        </patternFill>
      </fill>
    </dxf>
    <dxf>
      <fill>
        <patternFill patternType="solid">
          <fgColor indexed="64"/>
          <bgColor rgb="FFE6F4EA"/>
        </patternFill>
      </fill>
    </dxf>
    <dxf>
      <font>
        <color rgb="FFFF0000"/>
      </font>
    </dxf>
    <dxf>
      <fill>
        <patternFill>
          <bgColor rgb="FFFFC7CE"/>
        </patternFill>
      </fill>
    </dxf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</dxfs>
  <tableStyles count="0" defaultTableStyle="TableStyleMedium2" defaultPivotStyle="PivotStyleLight16"/>
  <colors>
    <mruColors>
      <color rgb="FF7B0000"/>
      <color rgb="FFFFFFCC"/>
      <color rgb="FFFFE1E1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1409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DB3B94-B911-4F7B-B0AB-785D3CB703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3b052e-8b4d-4ba8-abc1-8ff9d17ca4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776" t="s">
        <v>0</v>
      </c>
      <c r="C24" s="777"/>
      <c r="D24" s="777"/>
      <c r="E24" s="777"/>
      <c r="F24" s="777"/>
      <c r="G24" s="777"/>
      <c r="H24" s="777"/>
      <c r="I24" s="777"/>
      <c r="J24" s="777"/>
      <c r="K24" s="777"/>
      <c r="L24" s="777"/>
      <c r="M24" s="777"/>
      <c r="N24" s="777"/>
      <c r="O24" s="777"/>
      <c r="P24" s="777"/>
      <c r="Q24" s="777"/>
    </row>
    <row r="25" spans="2:17" ht="25.5">
      <c r="B25" s="778" t="s">
        <v>1942</v>
      </c>
      <c r="C25" s="777"/>
      <c r="D25" s="777"/>
      <c r="E25" s="777"/>
      <c r="F25" s="777"/>
      <c r="G25" s="777"/>
      <c r="H25" s="777"/>
      <c r="I25" s="777"/>
      <c r="J25" s="777"/>
      <c r="K25" s="777"/>
      <c r="L25" s="777"/>
      <c r="M25" s="777"/>
      <c r="N25" s="777"/>
      <c r="O25" s="777"/>
      <c r="P25" s="777"/>
      <c r="Q25" s="777"/>
    </row>
    <row r="26" spans="2:17" ht="23.25">
      <c r="B26" s="779" t="str">
        <f ca="1">"As of "&amp;TEXT(TODAY(),"mm/dd/yy")</f>
        <v>As of 09/24/26</v>
      </c>
      <c r="C26" s="777"/>
      <c r="D26" s="777"/>
      <c r="E26" s="777"/>
      <c r="F26" s="777"/>
      <c r="G26" s="777"/>
      <c r="H26" s="777"/>
      <c r="I26" s="777"/>
      <c r="J26" s="777"/>
      <c r="K26" s="777"/>
      <c r="L26" s="777"/>
      <c r="M26" s="777"/>
      <c r="N26" s="777"/>
      <c r="O26" s="777"/>
      <c r="P26" s="777"/>
      <c r="Q26" s="777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1665-7FF2-41CB-B1A7-A1C671586FB2}">
  <sheetPr>
    <pageSetUpPr fitToPage="1"/>
  </sheetPr>
  <dimension ref="A1:H69"/>
  <sheetViews>
    <sheetView showGridLines="0" view="pageBreakPreview" topLeftCell="A9" zoomScale="130" zoomScaleNormal="100" zoomScaleSheetLayoutView="130" workbookViewId="0"/>
  </sheetViews>
  <sheetFormatPr defaultRowHeight="15"/>
  <cols>
    <col min="1" max="1" width="1.28515625" customWidth="1"/>
    <col min="2" max="2" width="47.5703125" customWidth="1"/>
    <col min="3" max="5" width="14" customWidth="1"/>
    <col min="6" max="6" width="8.7109375" customWidth="1"/>
    <col min="7" max="7" width="11.85546875" customWidth="1"/>
    <col min="8" max="8" width="11" customWidth="1"/>
  </cols>
  <sheetData>
    <row r="1" spans="1:8">
      <c r="A1" s="452"/>
      <c r="B1" s="452"/>
      <c r="C1" s="452"/>
      <c r="D1" s="452"/>
      <c r="E1" s="452"/>
      <c r="F1" s="452"/>
      <c r="G1" s="452"/>
      <c r="H1" s="452"/>
    </row>
    <row r="2" spans="1:8" ht="16.5">
      <c r="A2" s="452"/>
      <c r="B2" s="518" t="str">
        <f>Cover!$B$24</f>
        <v>Keystone Bookkeepers</v>
      </c>
      <c r="C2" s="452"/>
      <c r="D2" s="452"/>
      <c r="E2" s="452"/>
      <c r="F2" s="452"/>
      <c r="G2" s="452"/>
      <c r="H2" s="452"/>
    </row>
    <row r="3" spans="1:8">
      <c r="A3" s="452"/>
      <c r="B3" s="519" t="s">
        <v>1998</v>
      </c>
      <c r="C3" s="520"/>
      <c r="D3" s="520"/>
      <c r="E3" s="520"/>
      <c r="F3" s="452"/>
      <c r="G3" s="452" t="s">
        <v>276</v>
      </c>
      <c r="H3" s="534">
        <v>1</v>
      </c>
    </row>
    <row r="4" spans="1:8">
      <c r="A4" s="452"/>
      <c r="B4" s="452"/>
      <c r="C4" s="452"/>
      <c r="D4" s="452"/>
      <c r="E4" s="452"/>
      <c r="F4" s="452"/>
      <c r="G4" s="452"/>
      <c r="H4" s="452"/>
    </row>
    <row r="5" spans="1:8">
      <c r="B5" s="370" t="s">
        <v>1999</v>
      </c>
      <c r="C5" s="371" t="s">
        <v>2025</v>
      </c>
    </row>
    <row r="6" spans="1:8">
      <c r="A6" s="452"/>
      <c r="B6" s="542" t="s">
        <v>2357</v>
      </c>
      <c r="C6" s="637">
        <f>'P&amp;L Overview'!$K$16</f>
        <v>2998.5410200000001</v>
      </c>
      <c r="D6" s="542"/>
      <c r="E6" s="542"/>
      <c r="F6" s="452"/>
      <c r="G6" s="452"/>
      <c r="H6" s="452"/>
    </row>
    <row r="7" spans="1:8">
      <c r="A7" s="452"/>
      <c r="B7" s="559" t="s">
        <v>2032</v>
      </c>
      <c r="C7" s="549">
        <f>IFERROR($C$8/$C$6,0)</f>
        <v>1.0004865632953721</v>
      </c>
      <c r="D7" s="542"/>
      <c r="E7" s="542"/>
      <c r="F7" s="452"/>
      <c r="G7" s="452"/>
      <c r="H7" s="452"/>
    </row>
    <row r="8" spans="1:8">
      <c r="A8" s="452"/>
      <c r="B8" s="521" t="s">
        <v>2028</v>
      </c>
      <c r="C8" s="561">
        <v>3000</v>
      </c>
      <c r="D8" s="453"/>
      <c r="E8" s="453"/>
      <c r="F8" s="452"/>
      <c r="G8" s="452"/>
      <c r="H8" s="452"/>
    </row>
    <row r="9" spans="1:8">
      <c r="A9" s="452"/>
      <c r="B9" s="560" t="s">
        <v>2000</v>
      </c>
      <c r="C9" s="435">
        <v>650</v>
      </c>
      <c r="D9" s="452"/>
      <c r="E9" s="452"/>
      <c r="F9" s="452"/>
      <c r="G9" s="452"/>
      <c r="H9" s="452"/>
    </row>
    <row r="10" spans="1:8">
      <c r="A10" s="452"/>
      <c r="B10" s="537" t="s">
        <v>2024</v>
      </c>
      <c r="C10" s="526">
        <f>C8-C9</f>
        <v>2350</v>
      </c>
      <c r="D10" s="453"/>
      <c r="E10" s="453"/>
      <c r="F10" s="452"/>
      <c r="G10" s="452"/>
      <c r="H10" s="452"/>
    </row>
    <row r="11" spans="1:8" ht="3.95" customHeight="1">
      <c r="A11" s="452"/>
      <c r="B11" s="540"/>
      <c r="C11" s="541"/>
      <c r="D11" s="453"/>
      <c r="E11" s="453"/>
      <c r="F11" s="452"/>
      <c r="G11" s="452"/>
      <c r="H11" s="452"/>
    </row>
    <row r="12" spans="1:8">
      <c r="A12" s="452"/>
      <c r="B12" s="452" t="s">
        <v>2039</v>
      </c>
      <c r="C12" s="53">
        <f>'Offer Comparison'!$C$9</f>
        <v>60000</v>
      </c>
      <c r="D12" s="452"/>
      <c r="E12" s="452"/>
      <c r="F12" s="452"/>
      <c r="G12" s="452"/>
      <c r="H12" s="452"/>
    </row>
    <row r="13" spans="1:8">
      <c r="A13" s="452"/>
      <c r="B13" s="559" t="s">
        <v>2040</v>
      </c>
      <c r="C13" s="83">
        <f>$C$8</f>
        <v>3000</v>
      </c>
      <c r="D13" s="542"/>
      <c r="E13" s="542"/>
      <c r="F13" s="452"/>
      <c r="G13" s="452"/>
      <c r="H13" s="452"/>
    </row>
    <row r="14" spans="1:8">
      <c r="A14" s="452"/>
      <c r="B14" s="559" t="s">
        <v>2041</v>
      </c>
      <c r="C14" s="83">
        <f>$C$9</f>
        <v>650</v>
      </c>
      <c r="D14" s="542"/>
      <c r="E14" s="542"/>
      <c r="F14" s="452"/>
      <c r="G14" s="452"/>
      <c r="H14" s="452"/>
    </row>
    <row r="15" spans="1:8">
      <c r="A15" s="452"/>
      <c r="B15" s="537" t="s">
        <v>2001</v>
      </c>
      <c r="C15" s="551">
        <f>C12+C13-C14</f>
        <v>62350</v>
      </c>
      <c r="D15" s="540"/>
      <c r="E15" s="540"/>
      <c r="F15" s="452"/>
      <c r="G15" s="452"/>
      <c r="H15" s="452"/>
    </row>
    <row r="16" spans="1:8">
      <c r="A16" s="452"/>
      <c r="B16" s="452" t="s">
        <v>2002</v>
      </c>
      <c r="C16" s="528">
        <f>IFERROR($C$10/$C$15,0)</f>
        <v>3.7690457097032878E-2</v>
      </c>
      <c r="D16" s="452"/>
      <c r="E16" s="452"/>
      <c r="F16" s="452"/>
      <c r="G16" s="452"/>
      <c r="H16" s="452"/>
    </row>
    <row r="17" spans="1:8">
      <c r="A17" s="452"/>
      <c r="B17" s="452" t="s">
        <v>2003</v>
      </c>
      <c r="C17" s="433">
        <f>$C$8</f>
        <v>3000</v>
      </c>
      <c r="D17" s="452"/>
      <c r="E17" s="452"/>
      <c r="F17" s="452"/>
      <c r="G17" s="452"/>
      <c r="H17" s="452"/>
    </row>
    <row r="18" spans="1:8">
      <c r="A18" s="452"/>
      <c r="B18" s="542" t="s">
        <v>2046</v>
      </c>
      <c r="C18" s="543">
        <f>(1-$C$16)*$C$15</f>
        <v>60000</v>
      </c>
      <c r="D18" s="540"/>
      <c r="E18" s="540"/>
      <c r="F18" s="452"/>
      <c r="G18" s="452"/>
      <c r="H18" s="452"/>
    </row>
    <row r="19" spans="1:8" ht="3.95" customHeight="1">
      <c r="A19" s="452"/>
      <c r="B19" s="553"/>
      <c r="C19" s="154"/>
      <c r="D19" s="542"/>
      <c r="E19" s="542"/>
      <c r="F19" s="452"/>
      <c r="G19" s="452"/>
      <c r="H19" s="452"/>
    </row>
    <row r="20" spans="1:8">
      <c r="A20" s="452"/>
      <c r="B20" s="542" t="s">
        <v>2039</v>
      </c>
      <c r="C20" s="86">
        <f>$C$12</f>
        <v>60000</v>
      </c>
      <c r="D20" s="542"/>
      <c r="E20" s="542"/>
      <c r="F20" s="452"/>
      <c r="G20" s="452"/>
      <c r="H20" s="452"/>
    </row>
    <row r="21" spans="1:8">
      <c r="A21" s="452"/>
      <c r="B21" s="559" t="s">
        <v>2041</v>
      </c>
      <c r="C21" s="83">
        <f>$C$14</f>
        <v>650</v>
      </c>
      <c r="D21" s="542"/>
      <c r="E21" s="542"/>
      <c r="F21" s="452"/>
      <c r="G21" s="452"/>
      <c r="H21" s="452"/>
    </row>
    <row r="22" spans="1:8">
      <c r="A22" s="452"/>
      <c r="B22" s="537" t="s">
        <v>2047</v>
      </c>
      <c r="C22" s="551">
        <f>C20-C21</f>
        <v>59350</v>
      </c>
      <c r="D22" s="540"/>
      <c r="E22" s="540"/>
      <c r="F22" s="452"/>
      <c r="G22" s="452"/>
      <c r="H22" s="452"/>
    </row>
    <row r="23" spans="1:8" ht="3.95" customHeight="1">
      <c r="A23" s="452"/>
      <c r="B23" s="452"/>
      <c r="C23" s="433"/>
      <c r="D23" s="452"/>
      <c r="E23" s="452"/>
      <c r="F23" s="452"/>
      <c r="G23" s="452"/>
      <c r="H23" s="452"/>
    </row>
    <row r="24" spans="1:8">
      <c r="A24" s="452"/>
      <c r="B24" s="370" t="s">
        <v>2004</v>
      </c>
      <c r="C24" s="371" t="s">
        <v>2025</v>
      </c>
      <c r="D24" s="371" t="s">
        <v>2026</v>
      </c>
      <c r="E24" s="371" t="s">
        <v>2027</v>
      </c>
      <c r="F24" s="452"/>
      <c r="G24" s="452"/>
      <c r="H24" s="452"/>
    </row>
    <row r="25" spans="1:8">
      <c r="A25" s="452"/>
      <c r="B25" s="452" t="s">
        <v>2005</v>
      </c>
      <c r="C25" s="539">
        <v>1</v>
      </c>
      <c r="D25" s="539">
        <v>2</v>
      </c>
      <c r="E25" s="539">
        <v>3</v>
      </c>
      <c r="F25" s="452"/>
      <c r="G25" s="452"/>
      <c r="H25" s="452"/>
    </row>
    <row r="26" spans="1:8">
      <c r="A26" s="452"/>
      <c r="B26" s="452" t="s">
        <v>2006</v>
      </c>
      <c r="C26" s="431">
        <f>$C$17*C$25</f>
        <v>3000</v>
      </c>
      <c r="D26" s="431">
        <f>$C$17*D$25</f>
        <v>6000</v>
      </c>
      <c r="E26" s="431">
        <f>$C$17*E$25</f>
        <v>9000</v>
      </c>
      <c r="F26" s="452"/>
      <c r="G26" s="452"/>
      <c r="H26" s="452"/>
    </row>
    <row r="27" spans="1:8">
      <c r="A27" s="452"/>
      <c r="B27" s="452" t="s">
        <v>2007</v>
      </c>
      <c r="C27" s="529">
        <v>1</v>
      </c>
      <c r="D27" s="530">
        <f>$C$27</f>
        <v>1</v>
      </c>
      <c r="E27" s="530">
        <f>$C$27</f>
        <v>1</v>
      </c>
      <c r="F27" s="452"/>
      <c r="G27" s="452"/>
      <c r="H27" s="452"/>
    </row>
    <row r="28" spans="1:8">
      <c r="A28" s="452"/>
      <c r="B28" s="524" t="s">
        <v>2008</v>
      </c>
      <c r="C28" s="526">
        <f>C26*$C$27</f>
        <v>3000</v>
      </c>
      <c r="D28" s="526">
        <f>D26*$C$27</f>
        <v>6000</v>
      </c>
      <c r="E28" s="526">
        <f>E26*$C$27</f>
        <v>9000</v>
      </c>
      <c r="F28" s="452"/>
      <c r="G28" s="452"/>
      <c r="H28" s="452"/>
    </row>
    <row r="29" spans="1:8">
      <c r="A29" s="452"/>
      <c r="B29" s="560" t="s">
        <v>2009</v>
      </c>
      <c r="C29" s="433">
        <f>$C$28</f>
        <v>3000</v>
      </c>
      <c r="D29" s="433">
        <f>$C$28</f>
        <v>3000</v>
      </c>
      <c r="E29" s="433">
        <f>$C$28</f>
        <v>3000</v>
      </c>
      <c r="F29" s="452"/>
      <c r="G29" s="452"/>
      <c r="H29" s="452"/>
    </row>
    <row r="30" spans="1:8">
      <c r="A30" s="452"/>
      <c r="B30" s="521" t="s">
        <v>2010</v>
      </c>
      <c r="C30" s="525">
        <f>C28-C29</f>
        <v>0</v>
      </c>
      <c r="D30" s="525">
        <f>D28-D29</f>
        <v>3000</v>
      </c>
      <c r="E30" s="527">
        <f>E28-E29</f>
        <v>6000</v>
      </c>
      <c r="F30" s="452"/>
      <c r="G30" s="452"/>
      <c r="H30" s="452"/>
    </row>
    <row r="31" spans="1:8" ht="3.95" customHeight="1">
      <c r="A31" s="452"/>
      <c r="B31" s="452"/>
      <c r="C31" s="452"/>
      <c r="D31" s="452"/>
      <c r="E31" s="452"/>
      <c r="F31" s="452"/>
      <c r="G31" s="452"/>
      <c r="H31" s="452"/>
    </row>
    <row r="32" spans="1:8" ht="32.25" customHeight="1">
      <c r="A32" s="452"/>
      <c r="B32" s="536" t="s">
        <v>2069</v>
      </c>
      <c r="C32" s="535" t="s">
        <v>2068</v>
      </c>
      <c r="D32" s="535" t="str">
        <f>D$24</f>
        <v>2.0x Valuation</v>
      </c>
      <c r="E32" s="535" t="str">
        <f>E$24</f>
        <v>3.0x Valuation</v>
      </c>
      <c r="F32" s="452"/>
      <c r="G32" s="452"/>
      <c r="H32" s="452"/>
    </row>
    <row r="33" spans="1:8">
      <c r="A33" s="452"/>
      <c r="B33" s="452" t="s">
        <v>2012</v>
      </c>
      <c r="C33" s="533">
        <v>0.5</v>
      </c>
      <c r="D33" s="431">
        <f t="shared" ref="D33:E35" si="0">$C$22*(1+(D$25-1)*$C33)+$C$17*D$25</f>
        <v>95025</v>
      </c>
      <c r="E33" s="431">
        <f t="shared" si="0"/>
        <v>127700</v>
      </c>
      <c r="F33" s="452"/>
      <c r="G33" s="431"/>
      <c r="H33" s="452"/>
    </row>
    <row r="34" spans="1:8">
      <c r="A34" s="452"/>
      <c r="B34" s="452" t="s">
        <v>2013</v>
      </c>
      <c r="C34" s="533">
        <v>1</v>
      </c>
      <c r="D34" s="430">
        <f t="shared" si="0"/>
        <v>124700</v>
      </c>
      <c r="E34" s="430">
        <f t="shared" si="0"/>
        <v>187050</v>
      </c>
      <c r="F34" s="452"/>
      <c r="G34" s="431"/>
      <c r="H34" s="452"/>
    </row>
    <row r="35" spans="1:8">
      <c r="A35" s="452"/>
      <c r="B35" s="452" t="s">
        <v>2014</v>
      </c>
      <c r="C35" s="533">
        <v>1.5</v>
      </c>
      <c r="D35" s="430">
        <f t="shared" si="0"/>
        <v>154375</v>
      </c>
      <c r="E35" s="430">
        <f t="shared" si="0"/>
        <v>246400</v>
      </c>
      <c r="F35" s="452"/>
      <c r="G35" s="452"/>
      <c r="H35" s="452"/>
    </row>
    <row r="36" spans="1:8" ht="3.95" customHeight="1">
      <c r="A36" s="452"/>
      <c r="B36" s="452"/>
      <c r="C36" s="452"/>
      <c r="D36" s="452"/>
      <c r="E36" s="452"/>
      <c r="F36" s="452"/>
      <c r="G36" s="452"/>
      <c r="H36" s="452"/>
    </row>
    <row r="37" spans="1:8">
      <c r="A37" s="452"/>
      <c r="B37" s="370" t="s">
        <v>2070</v>
      </c>
      <c r="C37" s="371"/>
      <c r="D37" s="371" t="str">
        <f>+D$32</f>
        <v>2.0x Valuation</v>
      </c>
      <c r="E37" s="371" t="str">
        <f>+E$32</f>
        <v>3.0x Valuation</v>
      </c>
      <c r="F37" s="452"/>
      <c r="G37" s="452"/>
      <c r="H37" s="452"/>
    </row>
    <row r="38" spans="1:8">
      <c r="A38" s="452"/>
      <c r="B38" s="562" t="str">
        <f>$B33</f>
        <v>Topkey Grows Half as Fast as Keystone</v>
      </c>
      <c r="C38" s="542"/>
      <c r="D38" s="543">
        <f t="shared" ref="D38:E40" si="1">$C$9+$C$16*D33</f>
        <v>4231.5356856455492</v>
      </c>
      <c r="E38" s="543">
        <f t="shared" si="1"/>
        <v>5463.0713712910983</v>
      </c>
      <c r="F38" s="452"/>
      <c r="G38" s="452"/>
      <c r="H38" s="452"/>
    </row>
    <row r="39" spans="1:8">
      <c r="A39" s="452"/>
      <c r="B39" s="562" t="str">
        <f>$B34</f>
        <v>Topkey Keeps Pace with Keystone</v>
      </c>
      <c r="C39" s="542"/>
      <c r="D39" s="154">
        <f t="shared" si="1"/>
        <v>5350</v>
      </c>
      <c r="E39" s="154">
        <f t="shared" si="1"/>
        <v>7700</v>
      </c>
      <c r="F39" s="452"/>
      <c r="G39" s="452"/>
      <c r="H39" s="452"/>
    </row>
    <row r="40" spans="1:8">
      <c r="A40" s="452"/>
      <c r="B40" s="562" t="str">
        <f>$B35</f>
        <v>Topkey Outgrows Keystone</v>
      </c>
      <c r="C40" s="542"/>
      <c r="D40" s="154">
        <f t="shared" si="1"/>
        <v>6468.4643143544508</v>
      </c>
      <c r="E40" s="154">
        <f t="shared" si="1"/>
        <v>9936.9286287089017</v>
      </c>
      <c r="F40" s="452"/>
      <c r="G40" s="452"/>
      <c r="H40" s="452"/>
    </row>
    <row r="41" spans="1:8" ht="3.95" customHeight="1">
      <c r="A41" s="452"/>
      <c r="B41" s="452"/>
      <c r="C41" s="452"/>
      <c r="D41" s="452"/>
      <c r="E41" s="452"/>
      <c r="F41" s="452"/>
      <c r="G41" s="452"/>
      <c r="H41" s="452"/>
    </row>
    <row r="42" spans="1:8">
      <c r="A42" s="452"/>
      <c r="B42" s="558" t="s">
        <v>2072</v>
      </c>
      <c r="C42" s="76"/>
      <c r="D42" s="371" t="str">
        <f>+D$32</f>
        <v>2.0x Valuation</v>
      </c>
      <c r="E42" s="371" t="str">
        <f>+E$32</f>
        <v>3.0x Valuation</v>
      </c>
      <c r="F42" s="452"/>
      <c r="G42" s="452"/>
      <c r="H42" s="452"/>
    </row>
    <row r="43" spans="1:8">
      <c r="A43" s="452"/>
      <c r="B43" s="578" t="str">
        <f>$B33</f>
        <v>Topkey Grows Half as Fast as Keystone</v>
      </c>
      <c r="C43" s="579"/>
      <c r="D43" s="580">
        <f t="shared" ref="D43:E45" si="2">D38-D$28</f>
        <v>-1768.4643143544508</v>
      </c>
      <c r="E43" s="581">
        <f t="shared" si="2"/>
        <v>-3536.9286287089017</v>
      </c>
      <c r="F43" s="452"/>
      <c r="G43" s="452"/>
      <c r="H43" s="452"/>
    </row>
    <row r="44" spans="1:8">
      <c r="A44" s="452"/>
      <c r="B44" s="531" t="str">
        <f>$B34</f>
        <v>Topkey Keeps Pace with Keystone</v>
      </c>
      <c r="C44" s="522"/>
      <c r="D44" s="554">
        <f t="shared" si="2"/>
        <v>-650</v>
      </c>
      <c r="E44" s="555">
        <f t="shared" si="2"/>
        <v>-1300</v>
      </c>
      <c r="F44" s="452"/>
      <c r="G44" s="452"/>
      <c r="H44" s="452"/>
    </row>
    <row r="45" spans="1:8">
      <c r="A45" s="452"/>
      <c r="B45" s="532" t="str">
        <f>$B35</f>
        <v>Topkey Outgrows Keystone</v>
      </c>
      <c r="C45" s="523"/>
      <c r="D45" s="556">
        <f t="shared" si="2"/>
        <v>468.46431435445083</v>
      </c>
      <c r="E45" s="557">
        <f t="shared" si="2"/>
        <v>936.92862870890167</v>
      </c>
      <c r="F45" s="452"/>
      <c r="G45" s="452"/>
      <c r="H45" s="452"/>
    </row>
    <row r="46" spans="1:8" ht="3.95" customHeight="1">
      <c r="A46" s="452"/>
      <c r="B46" s="452"/>
      <c r="C46" s="452"/>
      <c r="D46" s="452"/>
      <c r="E46" s="452"/>
      <c r="F46" s="452"/>
      <c r="G46" s="452"/>
      <c r="H46" s="452"/>
    </row>
    <row r="47" spans="1:8">
      <c r="A47" s="452"/>
      <c r="B47" s="558" t="s">
        <v>2071</v>
      </c>
      <c r="C47" s="76"/>
      <c r="D47" s="371" t="str">
        <f>+D$32</f>
        <v>2.0x Valuation</v>
      </c>
      <c r="E47" s="371" t="str">
        <f>+E$32</f>
        <v>3.0x Valuation</v>
      </c>
      <c r="F47" s="452"/>
      <c r="G47" s="452"/>
      <c r="H47" s="452"/>
    </row>
    <row r="48" spans="1:8">
      <c r="A48" s="452"/>
      <c r="B48" s="542" t="s">
        <v>2048</v>
      </c>
      <c r="C48" s="542"/>
      <c r="D48" s="86">
        <f>D$28</f>
        <v>6000</v>
      </c>
      <c r="E48" s="86">
        <f>E$28</f>
        <v>9000</v>
      </c>
      <c r="F48" s="452"/>
      <c r="G48" s="452"/>
      <c r="H48" s="452"/>
    </row>
    <row r="49" spans="1:8">
      <c r="A49" s="452"/>
      <c r="B49" s="559" t="s">
        <v>2052</v>
      </c>
      <c r="C49" s="542"/>
      <c r="D49" s="83">
        <f>$C$9</f>
        <v>650</v>
      </c>
      <c r="E49" s="83">
        <f>$C$9</f>
        <v>650</v>
      </c>
      <c r="F49" s="452"/>
      <c r="G49" s="452"/>
      <c r="H49" s="452"/>
    </row>
    <row r="50" spans="1:8">
      <c r="A50" s="452"/>
      <c r="B50" s="537" t="s">
        <v>2053</v>
      </c>
      <c r="C50" s="537"/>
      <c r="D50" s="573">
        <f>D48-D49</f>
        <v>5350</v>
      </c>
      <c r="E50" s="573">
        <f>E48-E49</f>
        <v>8350</v>
      </c>
      <c r="F50" s="452"/>
      <c r="G50" s="452"/>
      <c r="H50" s="452"/>
    </row>
    <row r="51" spans="1:8">
      <c r="A51" s="452"/>
      <c r="B51" s="542" t="s">
        <v>2049</v>
      </c>
      <c r="C51" s="542"/>
      <c r="D51" s="154">
        <f>IFERROR(D50/$C$16,0)</f>
        <v>141945.74468085106</v>
      </c>
      <c r="E51" s="154">
        <f>IFERROR(E50/$C$16,0)</f>
        <v>221541.48936170214</v>
      </c>
      <c r="F51" s="452"/>
      <c r="G51" s="452"/>
      <c r="H51" s="452"/>
    </row>
    <row r="52" spans="1:8">
      <c r="A52" s="452"/>
      <c r="B52" s="559" t="s">
        <v>2050</v>
      </c>
      <c r="C52" s="542"/>
      <c r="D52" s="154">
        <f>$C$17*D$25</f>
        <v>6000</v>
      </c>
      <c r="E52" s="154">
        <f>$C$17*E$25</f>
        <v>9000</v>
      </c>
      <c r="F52" s="452"/>
      <c r="G52" s="452"/>
      <c r="H52" s="452"/>
    </row>
    <row r="53" spans="1:8">
      <c r="A53" s="452"/>
      <c r="B53" s="574" t="s">
        <v>2054</v>
      </c>
      <c r="C53" s="574"/>
      <c r="D53" s="575">
        <f>D51-D52</f>
        <v>135945.74468085106</v>
      </c>
      <c r="E53" s="575">
        <f>E51-E52</f>
        <v>212541.48936170214</v>
      </c>
      <c r="F53" s="452"/>
      <c r="G53" s="452"/>
      <c r="H53" s="452"/>
    </row>
    <row r="54" spans="1:8">
      <c r="A54" s="452"/>
      <c r="B54" s="563" t="s">
        <v>2051</v>
      </c>
      <c r="C54" s="564"/>
      <c r="D54" s="565">
        <f>IFERROR((D53/$C$22-1)/(D$25-1),0)</f>
        <v>1.2905769954650559</v>
      </c>
      <c r="E54" s="566">
        <f>IFERROR((E53/$C$22-1)/(E$25-1),0)</f>
        <v>1.2905769954650559</v>
      </c>
      <c r="F54" s="452"/>
      <c r="G54" s="452"/>
      <c r="H54" s="452"/>
    </row>
    <row r="55" spans="1:8">
      <c r="A55" s="452"/>
      <c r="B55" s="542"/>
      <c r="C55" s="542"/>
      <c r="D55" s="542"/>
      <c r="E55" s="542"/>
      <c r="F55" s="452"/>
      <c r="G55" s="452"/>
      <c r="H55" s="452"/>
    </row>
    <row r="56" spans="1:8">
      <c r="A56" s="452"/>
      <c r="B56" s="416" t="s">
        <v>2015</v>
      </c>
      <c r="C56" s="416"/>
      <c r="D56" s="416"/>
      <c r="E56" s="416"/>
      <c r="F56" s="452"/>
      <c r="G56" s="452"/>
      <c r="H56" s="452"/>
    </row>
    <row r="57" spans="1:8">
      <c r="A57" s="452"/>
      <c r="B57" s="447" t="s">
        <v>2016</v>
      </c>
      <c r="C57" s="447" t="s">
        <v>1197</v>
      </c>
      <c r="D57" s="447" t="s">
        <v>287</v>
      </c>
      <c r="E57" s="452"/>
      <c r="F57" s="452"/>
      <c r="G57" s="452"/>
      <c r="H57" s="452"/>
    </row>
    <row r="58" spans="1:8">
      <c r="A58" s="452"/>
      <c r="B58" s="542" t="s">
        <v>2358</v>
      </c>
      <c r="C58" s="545">
        <f>$C$6</f>
        <v>2998.5410200000001</v>
      </c>
      <c r="D58" s="542" t="s">
        <v>2359</v>
      </c>
      <c r="E58" s="452"/>
      <c r="F58" s="452"/>
      <c r="G58" s="452"/>
      <c r="H58" s="452"/>
    </row>
    <row r="59" spans="1:8">
      <c r="A59" s="452"/>
      <c r="B59" s="542" t="s">
        <v>2029</v>
      </c>
      <c r="C59" s="550">
        <f>$C$7</f>
        <v>1.0004865632953721</v>
      </c>
      <c r="D59" s="542" t="s">
        <v>2360</v>
      </c>
      <c r="E59" s="452"/>
      <c r="F59" s="452"/>
      <c r="G59" s="452"/>
      <c r="H59" s="452"/>
    </row>
    <row r="60" spans="1:8">
      <c r="A60" s="452"/>
      <c r="B60" s="542" t="s">
        <v>2030</v>
      </c>
      <c r="C60" s="545">
        <f>$C$8</f>
        <v>3000</v>
      </c>
      <c r="D60" s="542" t="s">
        <v>2033</v>
      </c>
      <c r="E60" s="452"/>
      <c r="F60" s="452"/>
      <c r="G60" s="452"/>
      <c r="H60" s="452"/>
    </row>
    <row r="61" spans="1:8">
      <c r="A61" s="452"/>
      <c r="B61" s="542" t="s">
        <v>2017</v>
      </c>
      <c r="C61" s="545">
        <f>$C$9</f>
        <v>650</v>
      </c>
      <c r="D61" s="542" t="s">
        <v>2018</v>
      </c>
      <c r="E61" s="452"/>
      <c r="F61" s="452"/>
      <c r="G61" s="452"/>
      <c r="H61" s="452"/>
    </row>
    <row r="62" spans="1:8">
      <c r="A62" s="452"/>
      <c r="B62" s="542" t="s">
        <v>2042</v>
      </c>
      <c r="C62" s="546">
        <f>$C$12</f>
        <v>60000</v>
      </c>
      <c r="D62" s="542" t="s">
        <v>2043</v>
      </c>
      <c r="E62" s="452"/>
      <c r="F62" s="452"/>
      <c r="G62" s="452"/>
      <c r="H62" s="452"/>
    </row>
    <row r="63" spans="1:8">
      <c r="A63" s="452"/>
      <c r="B63" s="542" t="s">
        <v>2020</v>
      </c>
      <c r="C63" s="547">
        <f>$C$27</f>
        <v>1</v>
      </c>
      <c r="D63" s="542" t="s">
        <v>2021</v>
      </c>
      <c r="E63" s="452"/>
      <c r="F63" s="452"/>
      <c r="G63" s="452"/>
      <c r="H63" s="452"/>
    </row>
    <row r="64" spans="1:8">
      <c r="A64" s="452"/>
      <c r="B64" s="542" t="s">
        <v>2034</v>
      </c>
      <c r="C64" s="548">
        <f>$C$33</f>
        <v>0.5</v>
      </c>
      <c r="D64" s="542" t="s">
        <v>2035</v>
      </c>
      <c r="E64" s="452"/>
      <c r="F64" s="452"/>
      <c r="G64" s="452"/>
      <c r="H64" s="452"/>
    </row>
    <row r="65" spans="1:8">
      <c r="A65" s="452"/>
      <c r="B65" s="542" t="s">
        <v>2036</v>
      </c>
      <c r="C65" s="548">
        <f>$C$34</f>
        <v>1</v>
      </c>
      <c r="D65" s="542" t="s">
        <v>2037</v>
      </c>
      <c r="E65" s="452"/>
      <c r="F65" s="452"/>
      <c r="G65" s="452"/>
      <c r="H65" s="452"/>
    </row>
    <row r="66" spans="1:8">
      <c r="A66" s="452"/>
      <c r="B66" s="542" t="s">
        <v>2038</v>
      </c>
      <c r="C66" s="548">
        <f>$C$35</f>
        <v>1.5</v>
      </c>
      <c r="D66" s="542" t="s">
        <v>2022</v>
      </c>
      <c r="E66" s="452"/>
      <c r="F66" s="452"/>
      <c r="G66" s="452"/>
      <c r="H66" s="452"/>
    </row>
    <row r="67" spans="1:8">
      <c r="A67" s="452"/>
      <c r="B67" s="542" t="s">
        <v>2031</v>
      </c>
      <c r="C67" s="572" t="str">
        <f>D$25&amp;"x / "&amp;E$25&amp;"x"</f>
        <v>2x / 3x</v>
      </c>
      <c r="D67" s="542" t="s">
        <v>2023</v>
      </c>
      <c r="E67" s="452"/>
      <c r="F67" s="452"/>
      <c r="G67" s="452"/>
      <c r="H67" s="452"/>
    </row>
    <row r="68" spans="1:8">
      <c r="B68" s="542" t="s">
        <v>2044</v>
      </c>
      <c r="C68" s="545">
        <f>$C$22</f>
        <v>59350</v>
      </c>
      <c r="D68" s="542" t="s">
        <v>2361</v>
      </c>
    </row>
    <row r="69" spans="1:8">
      <c r="B69" s="542" t="s">
        <v>2019</v>
      </c>
      <c r="C69" s="545">
        <f>$C$15</f>
        <v>62350</v>
      </c>
      <c r="D69" s="542" t="s">
        <v>2045</v>
      </c>
    </row>
  </sheetData>
  <conditionalFormatting sqref="B6:E23 B25:E31 B33:E36 B38:E41 B43:E46 B48:E54">
    <cfRule type="expression" dxfId="95" priority="1">
      <formula>$H$3=1</formula>
    </cfRule>
  </conditionalFormatting>
  <pageMargins left="0.7" right="0.7" top="0.75" bottom="0.75" header="0.3" footer="0.3"/>
  <pageSetup scale="96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6233-BF7D-490F-A2FE-AB65339831E6}">
  <sheetPr>
    <pageSetUpPr fitToPage="1"/>
  </sheetPr>
  <dimension ref="A1:Q138"/>
  <sheetViews>
    <sheetView showGridLines="0" tabSelected="1" view="pageBreakPreview" zoomScaleNormal="100" zoomScaleSheetLayoutView="100" workbookViewId="0"/>
  </sheetViews>
  <sheetFormatPr defaultRowHeight="15"/>
  <cols>
    <col min="1" max="1" width="1.28515625" customWidth="1"/>
    <col min="2" max="2" width="51.42578125" customWidth="1"/>
    <col min="3" max="5" width="11.85546875" customWidth="1"/>
    <col min="6" max="6" width="2.85546875" customWidth="1"/>
    <col min="7" max="7" width="62.85546875" customWidth="1"/>
    <col min="8" max="9" width="12.42578125" customWidth="1"/>
    <col min="11" max="11" width="21" customWidth="1"/>
    <col min="12" max="17" width="8.5703125" customWidth="1"/>
  </cols>
  <sheetData>
    <row r="1" spans="1:17">
      <c r="A1" s="542"/>
      <c r="B1" s="542"/>
      <c r="C1" s="542"/>
      <c r="D1" s="542"/>
      <c r="E1" s="542"/>
      <c r="F1" s="542"/>
      <c r="G1" s="542"/>
      <c r="H1" s="542"/>
      <c r="I1" s="542"/>
    </row>
    <row r="2" spans="1:17" ht="16.5">
      <c r="A2" s="542"/>
      <c r="B2" s="567" t="str">
        <f>Cover!$B$24</f>
        <v>Keystone Bookkeepers</v>
      </c>
      <c r="C2" s="542"/>
      <c r="D2" s="542"/>
      <c r="E2" s="542"/>
      <c r="F2" s="542"/>
      <c r="G2" s="542"/>
      <c r="H2" s="542"/>
      <c r="I2" s="542"/>
      <c r="J2" s="2"/>
      <c r="K2" s="2"/>
      <c r="L2" s="2"/>
      <c r="M2" s="2"/>
      <c r="N2" s="2"/>
      <c r="O2" s="2"/>
      <c r="P2" s="2"/>
      <c r="Q2" s="2"/>
    </row>
    <row r="3" spans="1:17">
      <c r="A3" s="542"/>
      <c r="B3" s="696" t="s">
        <v>2381</v>
      </c>
      <c r="C3" s="697"/>
      <c r="D3" s="697"/>
      <c r="E3" s="697"/>
      <c r="F3" s="542"/>
      <c r="G3" s="542"/>
      <c r="H3" s="542" t="s">
        <v>276</v>
      </c>
      <c r="I3" s="698">
        <v>0</v>
      </c>
      <c r="J3" s="2"/>
      <c r="K3" s="2"/>
      <c r="L3" s="2"/>
      <c r="M3" s="2"/>
      <c r="N3" s="2"/>
      <c r="O3" s="2"/>
      <c r="P3" s="2"/>
      <c r="Q3" s="2"/>
    </row>
    <row r="4" spans="1:17">
      <c r="A4" s="542"/>
      <c r="B4" s="542"/>
      <c r="C4" s="542"/>
      <c r="D4" s="542"/>
      <c r="E4" s="542"/>
      <c r="F4" s="542"/>
      <c r="G4" s="542"/>
      <c r="H4" s="542"/>
      <c r="I4" s="542"/>
      <c r="J4" s="2"/>
      <c r="K4" s="2"/>
      <c r="L4" s="2"/>
      <c r="M4" s="2"/>
      <c r="N4" s="2"/>
      <c r="O4" s="2"/>
      <c r="P4" s="2"/>
      <c r="Q4" s="2"/>
    </row>
    <row r="5" spans="1:17">
      <c r="A5" s="542"/>
      <c r="B5" s="536" t="s">
        <v>2428</v>
      </c>
      <c r="C5" s="620" t="s">
        <v>2382</v>
      </c>
      <c r="D5" s="620" t="s">
        <v>2383</v>
      </c>
      <c r="E5" s="620" t="s">
        <v>1918</v>
      </c>
      <c r="F5" s="542"/>
      <c r="G5" s="540" t="s">
        <v>1808</v>
      </c>
      <c r="H5" s="542"/>
      <c r="I5" s="542"/>
      <c r="J5" s="2"/>
      <c r="K5" s="2"/>
      <c r="L5" s="2"/>
      <c r="M5" s="2"/>
      <c r="N5" s="2"/>
      <c r="O5" s="2"/>
      <c r="P5" s="2"/>
      <c r="Q5" s="2"/>
    </row>
    <row r="6" spans="1:17">
      <c r="A6" s="542"/>
      <c r="B6" s="570" t="s">
        <v>2384</v>
      </c>
      <c r="C6" s="703"/>
      <c r="D6" s="703"/>
      <c r="E6" s="703"/>
      <c r="F6" s="542"/>
      <c r="G6" s="542"/>
      <c r="H6" s="542"/>
      <c r="I6" s="542"/>
      <c r="J6" s="2"/>
      <c r="K6" s="2"/>
      <c r="L6" s="2"/>
      <c r="M6" s="2"/>
      <c r="N6" s="2"/>
      <c r="O6" s="2"/>
      <c r="P6" s="2"/>
      <c r="Q6" s="2"/>
    </row>
    <row r="7" spans="1:17">
      <c r="A7" s="542"/>
      <c r="B7" s="542" t="s">
        <v>2059</v>
      </c>
      <c r="C7" s="576">
        <v>5</v>
      </c>
      <c r="D7" s="546">
        <f>C7</f>
        <v>5</v>
      </c>
      <c r="E7" s="680">
        <f t="shared" ref="E7:E15" si="0">C7-D7</f>
        <v>0</v>
      </c>
      <c r="F7" s="542"/>
      <c r="G7" s="542" t="s">
        <v>2431</v>
      </c>
      <c r="H7" s="542"/>
      <c r="I7" s="542"/>
      <c r="J7" s="2"/>
      <c r="K7" s="2"/>
      <c r="L7" s="2"/>
      <c r="M7" s="2"/>
      <c r="N7" s="2"/>
      <c r="O7" s="2"/>
      <c r="P7" s="2"/>
      <c r="Q7" s="2"/>
    </row>
    <row r="8" spans="1:17">
      <c r="A8" s="542"/>
      <c r="B8" s="542" t="s">
        <v>2363</v>
      </c>
      <c r="C8" s="640">
        <v>0.05</v>
      </c>
      <c r="D8" s="548">
        <f>C8</f>
        <v>0.05</v>
      </c>
      <c r="E8" s="699">
        <f t="shared" si="0"/>
        <v>0</v>
      </c>
      <c r="F8" s="542"/>
      <c r="G8" s="542" t="s">
        <v>2431</v>
      </c>
      <c r="H8" s="542"/>
      <c r="I8" s="542"/>
      <c r="J8" s="2"/>
      <c r="K8" s="2"/>
      <c r="L8" s="2"/>
      <c r="M8" s="2"/>
      <c r="N8" s="2"/>
      <c r="O8" s="2"/>
      <c r="P8" s="2"/>
      <c r="Q8" s="2"/>
    </row>
    <row r="9" spans="1:17">
      <c r="A9" s="542"/>
      <c r="B9" s="542" t="s">
        <v>2385</v>
      </c>
      <c r="C9" s="722">
        <v>60000</v>
      </c>
      <c r="D9" s="545">
        <f>C9</f>
        <v>60000</v>
      </c>
      <c r="E9" s="608">
        <f t="shared" si="0"/>
        <v>0</v>
      </c>
      <c r="F9" s="542"/>
      <c r="G9" s="542" t="s">
        <v>2429</v>
      </c>
      <c r="H9" s="542"/>
      <c r="I9" s="542"/>
      <c r="J9" s="2"/>
      <c r="K9" s="2"/>
      <c r="L9" s="2"/>
      <c r="M9" s="2"/>
      <c r="N9" s="2"/>
      <c r="O9" s="2"/>
      <c r="P9" s="2"/>
      <c r="Q9" s="2"/>
    </row>
    <row r="10" spans="1:17">
      <c r="A10" s="542"/>
      <c r="B10" s="542" t="s">
        <v>2386</v>
      </c>
      <c r="C10" s="705">
        <f>'Partnership Analysis'!$C$19</f>
        <v>2.0219039595619215</v>
      </c>
      <c r="D10" s="705">
        <f>'100% Buyout Analysis'!$C$18</f>
        <v>2.0084033613445382</v>
      </c>
      <c r="E10" s="699">
        <f t="shared" si="0"/>
        <v>1.3500598217383253E-2</v>
      </c>
      <c r="F10" s="542"/>
      <c r="G10" s="542" t="s">
        <v>2387</v>
      </c>
      <c r="H10" s="542"/>
      <c r="I10" s="542"/>
      <c r="J10" s="2"/>
      <c r="K10" s="2"/>
      <c r="L10" s="2"/>
      <c r="M10" s="2"/>
      <c r="N10" s="2"/>
      <c r="O10" s="2"/>
      <c r="P10" s="2"/>
      <c r="Q10" s="2"/>
    </row>
    <row r="11" spans="1:17">
      <c r="A11" s="542"/>
      <c r="B11" s="542" t="s">
        <v>2426</v>
      </c>
      <c r="C11" s="699">
        <f>IFERROR('Partnership Analysis'!$C$28/'Partnership Analysis'!$C$47,0)</f>
        <v>0.99837391551943799</v>
      </c>
      <c r="D11" s="699">
        <f>IFERROR('100% Buyout Analysis'!$C$27/'100% Buyout Analysis'!$C$46,0)</f>
        <v>0.99837391551943799</v>
      </c>
      <c r="E11" s="699">
        <f t="shared" si="0"/>
        <v>0</v>
      </c>
      <c r="F11" s="542"/>
      <c r="G11" s="542" t="s">
        <v>2388</v>
      </c>
      <c r="H11" s="542"/>
      <c r="I11" s="542"/>
      <c r="J11" s="2"/>
      <c r="K11" s="2"/>
      <c r="L11" s="2"/>
      <c r="M11" s="2"/>
      <c r="N11" s="2"/>
      <c r="O11" s="2"/>
      <c r="P11" s="2"/>
      <c r="Q11" s="2"/>
    </row>
    <row r="12" spans="1:17">
      <c r="A12" s="542"/>
      <c r="B12" s="542" t="s">
        <v>2427</v>
      </c>
      <c r="C12" s="699">
        <f>IFERROR('Partnership Analysis'!$C$42/'Partnership Analysis'!$C$47,0)</f>
        <v>1.3311652206925839</v>
      </c>
      <c r="D12" s="699">
        <f>IFERROR('100% Buyout Analysis'!$C$41/'100% Buyout Analysis'!$C$46,0)</f>
        <v>1.3311652206925839</v>
      </c>
      <c r="E12" s="699">
        <f t="shared" si="0"/>
        <v>0</v>
      </c>
      <c r="F12" s="542"/>
      <c r="G12" s="542" t="s">
        <v>2388</v>
      </c>
      <c r="H12" s="542"/>
      <c r="I12" s="542"/>
      <c r="J12" s="2"/>
      <c r="K12" s="2"/>
      <c r="L12" s="2"/>
      <c r="M12" s="2"/>
      <c r="N12" s="2"/>
      <c r="O12" s="2"/>
      <c r="P12" s="2"/>
      <c r="Q12" s="2"/>
    </row>
    <row r="13" spans="1:17">
      <c r="A13" s="542"/>
      <c r="B13" s="542" t="s">
        <v>2389</v>
      </c>
      <c r="C13" s="724">
        <v>1</v>
      </c>
      <c r="D13" s="726">
        <f>C13</f>
        <v>1</v>
      </c>
      <c r="E13" s="700">
        <f t="shared" si="0"/>
        <v>0</v>
      </c>
      <c r="F13" s="542"/>
      <c r="G13" s="542" t="s">
        <v>2431</v>
      </c>
      <c r="H13" s="542"/>
      <c r="I13" s="542"/>
      <c r="J13" s="2"/>
      <c r="K13" s="2"/>
      <c r="L13" s="2"/>
      <c r="M13" s="2"/>
      <c r="N13" s="2"/>
      <c r="O13" s="2"/>
      <c r="P13" s="2"/>
      <c r="Q13" s="2"/>
    </row>
    <row r="14" spans="1:17">
      <c r="A14" s="542"/>
      <c r="B14" s="542" t="s">
        <v>2390</v>
      </c>
      <c r="C14" s="724">
        <v>1.25</v>
      </c>
      <c r="D14" s="726">
        <f>C14</f>
        <v>1.25</v>
      </c>
      <c r="E14" s="700">
        <f t="shared" si="0"/>
        <v>0</v>
      </c>
      <c r="F14" s="542"/>
      <c r="G14" s="542" t="s">
        <v>2431</v>
      </c>
      <c r="H14" s="542"/>
      <c r="I14" s="542"/>
      <c r="J14" s="2"/>
      <c r="K14" s="2"/>
      <c r="L14" s="2"/>
      <c r="M14" s="2"/>
      <c r="N14" s="2"/>
      <c r="O14" s="2"/>
      <c r="P14" s="2"/>
      <c r="Q14" s="2"/>
    </row>
    <row r="15" spans="1:17">
      <c r="A15" s="542"/>
      <c r="B15" s="542" t="s">
        <v>2391</v>
      </c>
      <c r="C15" s="724">
        <v>2</v>
      </c>
      <c r="D15" s="726">
        <f>C15</f>
        <v>2</v>
      </c>
      <c r="E15" s="700">
        <f t="shared" si="0"/>
        <v>0</v>
      </c>
      <c r="F15" s="542"/>
      <c r="G15" s="542" t="s">
        <v>2431</v>
      </c>
      <c r="H15" s="542"/>
      <c r="I15" s="542"/>
      <c r="J15" s="2"/>
      <c r="K15" s="2"/>
      <c r="L15" s="2"/>
      <c r="M15" s="2"/>
      <c r="N15" s="2"/>
      <c r="O15" s="2"/>
      <c r="P15" s="2"/>
      <c r="Q15" s="2"/>
    </row>
    <row r="16" spans="1:17" ht="3.95" customHeight="1">
      <c r="A16" s="542"/>
      <c r="B16" s="542"/>
      <c r="C16" s="572"/>
      <c r="D16" s="572"/>
      <c r="E16" s="572"/>
      <c r="F16" s="542"/>
      <c r="G16" s="542"/>
      <c r="H16" s="542"/>
      <c r="I16" s="542"/>
      <c r="J16" s="2"/>
      <c r="K16" s="2"/>
      <c r="L16" s="2"/>
      <c r="M16" s="2"/>
      <c r="N16" s="2"/>
      <c r="O16" s="2"/>
      <c r="P16" s="2"/>
      <c r="Q16" s="2"/>
    </row>
    <row r="17" spans="1:17">
      <c r="A17" s="542"/>
      <c r="B17" s="570" t="s">
        <v>2392</v>
      </c>
      <c r="C17" s="703"/>
      <c r="D17" s="703"/>
      <c r="E17" s="703"/>
      <c r="F17" s="542"/>
      <c r="G17" s="542"/>
      <c r="H17" s="542"/>
      <c r="I17" s="542"/>
      <c r="J17" s="2"/>
      <c r="K17" s="2"/>
      <c r="L17" s="2"/>
      <c r="M17" s="2"/>
      <c r="N17" s="2"/>
      <c r="O17" s="2"/>
      <c r="P17" s="2"/>
      <c r="Q17" s="2"/>
    </row>
    <row r="18" spans="1:17">
      <c r="A18" s="542"/>
      <c r="B18" s="542" t="s">
        <v>2186</v>
      </c>
      <c r="C18" s="706">
        <f>'Partnership Analysis'!$C$185</f>
        <v>3000</v>
      </c>
      <c r="D18" s="706">
        <f>'100% Buyout Analysis'!$C$173</f>
        <v>3000</v>
      </c>
      <c r="E18" s="608">
        <f t="shared" ref="E18:E27" si="1">C18-D18</f>
        <v>0</v>
      </c>
      <c r="F18" s="542"/>
      <c r="G18" s="542"/>
      <c r="H18" s="542"/>
      <c r="I18" s="542"/>
      <c r="J18" s="2"/>
      <c r="K18" s="2"/>
      <c r="L18" s="2"/>
      <c r="M18" s="2"/>
      <c r="N18" s="2"/>
      <c r="O18" s="2"/>
      <c r="P18" s="2"/>
      <c r="Q18" s="2"/>
    </row>
    <row r="19" spans="1:17">
      <c r="A19" s="542"/>
      <c r="B19" s="542" t="s">
        <v>2188</v>
      </c>
      <c r="C19" s="705">
        <f>'Partnership Analysis'!$C$186</f>
        <v>0.3</v>
      </c>
      <c r="D19" s="699">
        <f>1-'100% Buyout Analysis'!$C$96</f>
        <v>0</v>
      </c>
      <c r="E19" s="699">
        <f t="shared" si="1"/>
        <v>0.3</v>
      </c>
      <c r="F19" s="542"/>
      <c r="G19" s="542" t="s">
        <v>2393</v>
      </c>
      <c r="H19" s="542"/>
      <c r="I19" s="542"/>
      <c r="J19" s="2"/>
      <c r="K19" s="2"/>
      <c r="L19" s="2"/>
      <c r="M19" s="2"/>
      <c r="N19" s="2"/>
      <c r="O19" s="2"/>
      <c r="P19" s="2"/>
      <c r="Q19" s="2"/>
    </row>
    <row r="20" spans="1:17">
      <c r="A20" s="542"/>
      <c r="B20" s="542" t="s">
        <v>2394</v>
      </c>
      <c r="C20" s="705">
        <f>'Partnership Analysis'!$C$187</f>
        <v>0.7</v>
      </c>
      <c r="D20" s="705">
        <f>'100% Buyout Analysis'!$C$96</f>
        <v>1</v>
      </c>
      <c r="E20" s="699">
        <f t="shared" si="1"/>
        <v>-0.30000000000000004</v>
      </c>
      <c r="F20" s="542"/>
      <c r="G20" s="542"/>
      <c r="H20" s="542"/>
      <c r="I20" s="542"/>
      <c r="J20" s="2"/>
      <c r="K20" s="2"/>
      <c r="L20" s="2"/>
      <c r="M20" s="2"/>
      <c r="N20" s="2"/>
      <c r="O20" s="2"/>
      <c r="P20" s="2"/>
      <c r="Q20" s="2"/>
    </row>
    <row r="21" spans="1:17">
      <c r="A21" s="542"/>
      <c r="B21" s="542" t="s">
        <v>2395</v>
      </c>
      <c r="C21" s="704">
        <f>'Partnership Analysis'!$C$188</f>
        <v>2100</v>
      </c>
      <c r="D21" s="704">
        <f>'100% Buyout Analysis'!$C$173</f>
        <v>3000</v>
      </c>
      <c r="E21" s="680">
        <f t="shared" si="1"/>
        <v>-900</v>
      </c>
      <c r="F21" s="542"/>
      <c r="G21" s="542"/>
      <c r="H21" s="542"/>
      <c r="I21" s="542"/>
      <c r="J21" s="2"/>
      <c r="K21" s="2"/>
      <c r="L21" s="2"/>
      <c r="M21" s="2"/>
      <c r="N21" s="2"/>
      <c r="O21" s="2"/>
      <c r="P21" s="2"/>
      <c r="Q21" s="2"/>
    </row>
    <row r="22" spans="1:17">
      <c r="A22" s="542"/>
      <c r="B22" s="559" t="s">
        <v>2000</v>
      </c>
      <c r="C22" s="704">
        <f>'Partnership Analysis'!$C$189</f>
        <v>650</v>
      </c>
      <c r="D22" s="704">
        <f>'100% Buyout Analysis'!$C$174</f>
        <v>500</v>
      </c>
      <c r="E22" s="680">
        <f t="shared" si="1"/>
        <v>150</v>
      </c>
      <c r="F22" s="542"/>
      <c r="G22" s="542"/>
      <c r="H22" s="542"/>
      <c r="I22" s="542"/>
      <c r="J22" s="2"/>
      <c r="K22" s="2"/>
      <c r="L22" s="2"/>
      <c r="M22" s="2"/>
      <c r="N22" s="2"/>
      <c r="O22" s="2"/>
      <c r="P22" s="2"/>
      <c r="Q22" s="2"/>
    </row>
    <row r="23" spans="1:17">
      <c r="A23" s="542"/>
      <c r="B23" s="577" t="s">
        <v>2193</v>
      </c>
      <c r="C23" s="731">
        <f>'Partnership Analysis'!$C$190</f>
        <v>1450</v>
      </c>
      <c r="D23" s="731">
        <f>'100% Buyout Analysis'!$C$175</f>
        <v>2500</v>
      </c>
      <c r="E23" s="732">
        <f t="shared" si="1"/>
        <v>-1050</v>
      </c>
      <c r="F23" s="542"/>
      <c r="G23" s="542"/>
      <c r="H23" s="542"/>
      <c r="I23" s="542"/>
      <c r="J23" s="2"/>
      <c r="K23" s="2"/>
      <c r="L23" s="2"/>
      <c r="M23" s="2"/>
      <c r="N23" s="2"/>
      <c r="O23" s="2"/>
      <c r="P23" s="2"/>
      <c r="Q23" s="2"/>
    </row>
    <row r="24" spans="1:17">
      <c r="A24" s="542"/>
      <c r="B24" s="733" t="s">
        <v>2536</v>
      </c>
      <c r="C24" s="734">
        <f>'Partnership Analysis'!$C$58</f>
        <v>0</v>
      </c>
      <c r="D24" s="734">
        <f>'100% Buyout Analysis'!$C$57</f>
        <v>500</v>
      </c>
      <c r="E24" s="735">
        <f t="shared" si="1"/>
        <v>-500</v>
      </c>
      <c r="F24" s="542"/>
      <c r="G24" s="542" t="s">
        <v>2430</v>
      </c>
      <c r="H24" s="542"/>
      <c r="I24" s="542"/>
      <c r="J24" s="2"/>
      <c r="K24" s="2"/>
      <c r="L24" s="2"/>
      <c r="M24" s="2"/>
      <c r="N24" s="2"/>
      <c r="O24" s="2"/>
      <c r="P24" s="2"/>
      <c r="Q24" s="2"/>
    </row>
    <row r="25" spans="1:17">
      <c r="A25" s="542"/>
      <c r="B25" s="733" t="s">
        <v>2065</v>
      </c>
      <c r="C25" s="736">
        <f>C22</f>
        <v>650</v>
      </c>
      <c r="D25" s="736">
        <f>D22</f>
        <v>500</v>
      </c>
      <c r="E25" s="735">
        <f t="shared" si="1"/>
        <v>150</v>
      </c>
      <c r="F25" s="542"/>
      <c r="G25" s="542" t="s">
        <v>2448</v>
      </c>
      <c r="H25" s="542"/>
      <c r="I25" s="542"/>
      <c r="J25" s="2"/>
      <c r="K25" s="2"/>
      <c r="L25" s="2"/>
      <c r="M25" s="2"/>
      <c r="N25" s="2"/>
      <c r="O25" s="2"/>
      <c r="P25" s="2"/>
      <c r="Q25" s="2"/>
    </row>
    <row r="26" spans="1:17">
      <c r="A26" s="542"/>
      <c r="B26" s="538" t="s">
        <v>2296</v>
      </c>
      <c r="C26" s="737">
        <f>'Partnership Analysis'!$C$106</f>
        <v>2100</v>
      </c>
      <c r="D26" s="737">
        <f>'100% Buyout Analysis'!$C$95</f>
        <v>3500</v>
      </c>
      <c r="E26" s="738">
        <f t="shared" si="1"/>
        <v>-1400</v>
      </c>
      <c r="F26" s="542"/>
      <c r="G26" s="542" t="s">
        <v>2538</v>
      </c>
      <c r="H26" s="542"/>
      <c r="I26" s="542"/>
      <c r="J26" s="2"/>
      <c r="K26" s="2"/>
      <c r="L26" s="2"/>
      <c r="M26" s="2"/>
      <c r="N26" s="2"/>
      <c r="O26" s="2"/>
      <c r="P26" s="2"/>
      <c r="Q26" s="2"/>
    </row>
    <row r="27" spans="1:17">
      <c r="A27" s="542"/>
      <c r="B27" s="542" t="s">
        <v>2396</v>
      </c>
      <c r="C27" s="699">
        <f>IFERROR((C22+C24)/C26,0)</f>
        <v>0.30952380952380953</v>
      </c>
      <c r="D27" s="699">
        <f>IFERROR((D22+D24)/D26,0)</f>
        <v>0.2857142857142857</v>
      </c>
      <c r="E27" s="699">
        <f t="shared" si="1"/>
        <v>2.3809523809523836E-2</v>
      </c>
      <c r="F27" s="542"/>
      <c r="G27" s="542"/>
      <c r="H27" s="542"/>
      <c r="I27" s="542"/>
      <c r="J27" s="2"/>
      <c r="K27" s="2"/>
      <c r="L27" s="2"/>
      <c r="M27" s="2"/>
      <c r="N27" s="2"/>
      <c r="O27" s="2"/>
      <c r="P27" s="2"/>
      <c r="Q27" s="2"/>
    </row>
    <row r="28" spans="1:17" ht="3.95" customHeight="1">
      <c r="A28" s="542"/>
      <c r="B28" s="542"/>
      <c r="C28" s="572"/>
      <c r="D28" s="572"/>
      <c r="E28" s="572"/>
      <c r="F28" s="542"/>
      <c r="G28" s="542"/>
      <c r="H28" s="542"/>
      <c r="I28" s="542"/>
      <c r="J28" s="2"/>
      <c r="K28" s="2"/>
      <c r="L28" s="2"/>
      <c r="M28" s="2"/>
      <c r="N28" s="2"/>
      <c r="O28" s="2"/>
      <c r="P28" s="2"/>
      <c r="Q28" s="2"/>
    </row>
    <row r="29" spans="1:17">
      <c r="A29" s="542"/>
      <c r="B29" s="570" t="s">
        <v>2181</v>
      </c>
      <c r="C29" s="703"/>
      <c r="D29" s="703"/>
      <c r="E29" s="703"/>
      <c r="F29" s="542"/>
      <c r="G29" s="542"/>
      <c r="H29" s="542"/>
      <c r="I29" s="542"/>
      <c r="J29" s="2"/>
      <c r="K29" s="2"/>
      <c r="L29" s="2"/>
      <c r="M29" s="2"/>
      <c r="N29" s="2"/>
      <c r="O29" s="2"/>
      <c r="P29" s="2"/>
      <c r="Q29" s="2"/>
    </row>
    <row r="30" spans="1:17" ht="3.95" customHeight="1">
      <c r="A30" s="542"/>
      <c r="B30" s="540"/>
      <c r="C30" s="572"/>
      <c r="D30" s="572"/>
      <c r="E30" s="572"/>
      <c r="F30" s="542"/>
      <c r="G30" s="542"/>
      <c r="H30" s="542"/>
      <c r="I30" s="542"/>
      <c r="J30" s="2"/>
      <c r="K30" s="2"/>
      <c r="L30" s="2"/>
      <c r="M30" s="2"/>
      <c r="N30" s="2"/>
      <c r="O30" s="2"/>
      <c r="P30" s="2"/>
      <c r="Q30" s="2"/>
    </row>
    <row r="31" spans="1:17">
      <c r="A31" s="542"/>
      <c r="B31" s="739" t="s">
        <v>2420</v>
      </c>
      <c r="C31" s="740">
        <f t="shared" ref="C31:D35" si="2">IFERROR(C94/C$99,0)</f>
        <v>0.46170498037315788</v>
      </c>
      <c r="D31" s="740">
        <f t="shared" si="2"/>
        <v>0</v>
      </c>
      <c r="E31" s="741">
        <f>C31-D31</f>
        <v>0.46170498037315788</v>
      </c>
      <c r="F31" s="542"/>
      <c r="G31" s="542"/>
      <c r="H31" s="542"/>
      <c r="I31" s="542"/>
      <c r="J31" s="2"/>
      <c r="K31" s="2"/>
      <c r="L31" s="2"/>
      <c r="M31" s="2"/>
      <c r="N31" s="2"/>
      <c r="O31" s="2"/>
      <c r="P31" s="2"/>
      <c r="Q31" s="2"/>
    </row>
    <row r="32" spans="1:17">
      <c r="A32" s="542"/>
      <c r="B32" s="742" t="s">
        <v>2445</v>
      </c>
      <c r="C32" s="743">
        <f t="shared" si="2"/>
        <v>2.4149662453204091E-2</v>
      </c>
      <c r="D32" s="743">
        <f t="shared" si="2"/>
        <v>6.3750321230987034E-2</v>
      </c>
      <c r="E32" s="744">
        <f>C32-D32</f>
        <v>-3.9600658777782946E-2</v>
      </c>
      <c r="F32" s="542"/>
      <c r="G32" s="542"/>
      <c r="H32" s="542"/>
      <c r="I32" s="542"/>
      <c r="J32" s="2"/>
      <c r="K32" s="2"/>
      <c r="L32" s="2"/>
      <c r="M32" s="2"/>
      <c r="N32" s="2"/>
      <c r="O32" s="2"/>
      <c r="P32" s="2"/>
      <c r="Q32" s="2"/>
    </row>
    <row r="33" spans="1:17">
      <c r="A33" s="542"/>
      <c r="B33" s="742" t="s">
        <v>2446</v>
      </c>
      <c r="C33" s="743">
        <f t="shared" si="2"/>
        <v>0.44258975908565013</v>
      </c>
      <c r="D33" s="743">
        <f t="shared" si="2"/>
        <v>0.81624843821928039</v>
      </c>
      <c r="E33" s="744">
        <f>C33-D33</f>
        <v>-0.37365867913363027</v>
      </c>
      <c r="F33" s="542"/>
      <c r="G33" s="542"/>
      <c r="H33" s="542"/>
      <c r="I33" s="542"/>
      <c r="J33" s="2"/>
      <c r="K33" s="2"/>
      <c r="L33" s="2"/>
      <c r="M33" s="2"/>
      <c r="N33" s="2"/>
      <c r="O33" s="2"/>
      <c r="P33" s="2"/>
      <c r="Q33" s="2"/>
    </row>
    <row r="34" spans="1:17">
      <c r="A34" s="542"/>
      <c r="B34" s="742" t="s">
        <v>2057</v>
      </c>
      <c r="C34" s="743">
        <f t="shared" si="2"/>
        <v>7.1555598087987948E-2</v>
      </c>
      <c r="D34" s="743">
        <f t="shared" si="2"/>
        <v>6.0000620274866238E-2</v>
      </c>
      <c r="E34" s="744">
        <f>C34-D34</f>
        <v>1.155497781312171E-2</v>
      </c>
      <c r="F34" s="542"/>
      <c r="G34" s="542"/>
      <c r="H34" s="542"/>
      <c r="I34" s="542"/>
      <c r="J34" s="2"/>
      <c r="K34" s="2"/>
      <c r="L34" s="2"/>
      <c r="M34" s="2"/>
      <c r="N34" s="2"/>
      <c r="O34" s="2"/>
      <c r="P34" s="2"/>
      <c r="Q34" s="2"/>
    </row>
    <row r="35" spans="1:17">
      <c r="A35" s="542"/>
      <c r="B35" s="745" t="s">
        <v>2447</v>
      </c>
      <c r="C35" s="746">
        <f t="shared" si="2"/>
        <v>0</v>
      </c>
      <c r="D35" s="746">
        <f t="shared" si="2"/>
        <v>6.0000620274866238E-2</v>
      </c>
      <c r="E35" s="747">
        <f>C35-D35</f>
        <v>-6.0000620274866238E-2</v>
      </c>
      <c r="F35" s="542"/>
      <c r="G35" s="542"/>
      <c r="H35" s="542"/>
      <c r="I35" s="542"/>
      <c r="J35" s="2"/>
      <c r="K35" s="2"/>
      <c r="L35" s="2"/>
      <c r="M35" s="2"/>
      <c r="N35" s="2"/>
      <c r="O35" s="2"/>
      <c r="P35" s="2"/>
      <c r="Q35" s="2"/>
    </row>
    <row r="36" spans="1:17" ht="3.95" customHeight="1">
      <c r="A36" s="542"/>
      <c r="B36" s="542"/>
      <c r="C36" s="572"/>
      <c r="D36" s="572"/>
      <c r="E36" s="572"/>
      <c r="F36" s="542"/>
      <c r="G36" s="542"/>
      <c r="H36" s="542"/>
      <c r="I36" s="542"/>
      <c r="J36" s="2"/>
      <c r="K36" s="2"/>
      <c r="L36" s="2"/>
      <c r="M36" s="2"/>
      <c r="N36" s="2"/>
      <c r="O36" s="2"/>
      <c r="P36" s="2"/>
      <c r="Q36" s="2"/>
    </row>
    <row r="37" spans="1:17">
      <c r="A37" s="542"/>
      <c r="B37" s="570" t="s">
        <v>2402</v>
      </c>
      <c r="C37" s="703"/>
      <c r="D37" s="703"/>
      <c r="E37" s="703"/>
      <c r="F37" s="542"/>
      <c r="G37" s="542"/>
      <c r="H37" s="542"/>
      <c r="I37" s="542"/>
      <c r="J37" s="2"/>
      <c r="K37" s="758" t="s">
        <v>2469</v>
      </c>
      <c r="L37" s="758">
        <v>0</v>
      </c>
      <c r="M37" s="758">
        <v>1</v>
      </c>
      <c r="N37" s="758">
        <v>2</v>
      </c>
      <c r="O37" s="758">
        <v>3</v>
      </c>
      <c r="P37" s="758">
        <v>4</v>
      </c>
      <c r="Q37" s="758">
        <v>5</v>
      </c>
    </row>
    <row r="38" spans="1:17" ht="15" customHeight="1">
      <c r="A38" s="542"/>
      <c r="B38" s="684" t="s">
        <v>2449</v>
      </c>
      <c r="C38" s="545">
        <f t="shared" ref="C38:D40" si="3">C22</f>
        <v>650</v>
      </c>
      <c r="D38" s="545">
        <f t="shared" si="3"/>
        <v>500</v>
      </c>
      <c r="E38" s="748">
        <f t="shared" ref="E38:E53" si="4">C38-D38</f>
        <v>150</v>
      </c>
      <c r="F38" s="684"/>
      <c r="G38" s="684"/>
      <c r="H38" s="542"/>
      <c r="I38" s="542"/>
      <c r="J38" s="2"/>
      <c r="K38" s="758" t="s">
        <v>2470</v>
      </c>
      <c r="L38" s="367">
        <f>-(L$37=0)*($C$22+$C$23)-(L$37=$L$40)*$C$24+(L$37=$C$7)*$C$42</f>
        <v>-2100</v>
      </c>
      <c r="M38" s="367">
        <f t="shared" ref="M38:Q38" si="5">-(M$37=0)*($C$22+$C$23)-(M$37=$L$40)*$C$24+(M$37=$C$7)*$C$42</f>
        <v>0</v>
      </c>
      <c r="N38" s="367">
        <f t="shared" si="5"/>
        <v>0</v>
      </c>
      <c r="O38" s="367">
        <f t="shared" si="5"/>
        <v>0</v>
      </c>
      <c r="P38" s="367">
        <f t="shared" si="5"/>
        <v>0</v>
      </c>
      <c r="Q38" s="367">
        <f t="shared" si="5"/>
        <v>9786.1323541016918</v>
      </c>
    </row>
    <row r="39" spans="1:17" ht="15" customHeight="1">
      <c r="A39" s="542"/>
      <c r="B39" s="723" t="s">
        <v>2450</v>
      </c>
      <c r="C39" s="546">
        <f t="shared" si="3"/>
        <v>1450</v>
      </c>
      <c r="D39" s="546">
        <f t="shared" si="3"/>
        <v>2500</v>
      </c>
      <c r="E39" s="749">
        <f t="shared" si="4"/>
        <v>-1050</v>
      </c>
      <c r="F39" s="684"/>
      <c r="G39" s="684"/>
      <c r="H39" s="542"/>
      <c r="I39" s="542"/>
      <c r="J39" s="2"/>
      <c r="K39" s="758" t="s">
        <v>2471</v>
      </c>
      <c r="L39" s="367">
        <f>-(L$37=0)*($D$22+$D$23)-(L$37=$L$40)*$D$24+(L$37=$D$7)*$D$42</f>
        <v>-3000</v>
      </c>
      <c r="M39" s="367">
        <f t="shared" ref="M39:Q39" si="6">-(M$37=0)*($D$22+$D$23)-(M$37=$L$40)*$D$24+(M$37=$D$7)*$D$42</f>
        <v>0</v>
      </c>
      <c r="N39" s="367">
        <f t="shared" si="6"/>
        <v>0</v>
      </c>
      <c r="O39" s="367">
        <f t="shared" si="6"/>
        <v>-500</v>
      </c>
      <c r="P39" s="367">
        <f t="shared" si="6"/>
        <v>0</v>
      </c>
      <c r="Q39" s="367">
        <f t="shared" si="6"/>
        <v>13980.189077288132</v>
      </c>
    </row>
    <row r="40" spans="1:17" ht="15" customHeight="1">
      <c r="A40" s="542"/>
      <c r="B40" s="723" t="s">
        <v>2537</v>
      </c>
      <c r="C40" s="546">
        <f t="shared" si="3"/>
        <v>0</v>
      </c>
      <c r="D40" s="546">
        <f t="shared" si="3"/>
        <v>500</v>
      </c>
      <c r="E40" s="749">
        <f t="shared" si="4"/>
        <v>-500</v>
      </c>
      <c r="F40" s="684"/>
      <c r="G40" s="684"/>
      <c r="H40" s="542"/>
      <c r="I40" s="542"/>
      <c r="J40" s="2"/>
      <c r="K40" s="758" t="s">
        <v>2472</v>
      </c>
      <c r="L40" s="775">
        <f>'100% Buyout Analysis'!$C$45</f>
        <v>3</v>
      </c>
      <c r="M40" s="758" t="s">
        <v>2540</v>
      </c>
      <c r="N40" s="758"/>
      <c r="O40" s="758"/>
      <c r="P40" s="758"/>
      <c r="Q40" s="758"/>
    </row>
    <row r="41" spans="1:17" ht="15" customHeight="1">
      <c r="A41" s="542"/>
      <c r="B41" s="692" t="s">
        <v>2451</v>
      </c>
      <c r="C41" s="715">
        <f>SUM(C38:C40)</f>
        <v>2100</v>
      </c>
      <c r="D41" s="715">
        <f>SUM(D38:D40)</f>
        <v>3500</v>
      </c>
      <c r="E41" s="750">
        <f t="shared" si="4"/>
        <v>-1400</v>
      </c>
      <c r="F41" s="684"/>
      <c r="G41" s="684" t="s">
        <v>2452</v>
      </c>
      <c r="H41" s="542"/>
      <c r="I41" s="542"/>
      <c r="J41" s="2"/>
      <c r="K41" s="2"/>
      <c r="L41" s="2"/>
      <c r="M41" s="2"/>
      <c r="N41" s="2"/>
      <c r="O41" s="2"/>
      <c r="P41" s="2"/>
      <c r="Q41" s="2"/>
    </row>
    <row r="42" spans="1:17" ht="15" customHeight="1">
      <c r="A42" s="542"/>
      <c r="B42" s="684" t="s">
        <v>2453</v>
      </c>
      <c r="C42" s="704">
        <f>'Partnership Analysis'!$D$82</f>
        <v>9786.1323541016918</v>
      </c>
      <c r="D42" s="704">
        <f>'100% Buyout Analysis'!$D$76</f>
        <v>13980.189077288132</v>
      </c>
      <c r="E42" s="749">
        <f t="shared" si="4"/>
        <v>-4194.0567231864406</v>
      </c>
      <c r="F42" s="684"/>
      <c r="G42" s="684" t="s">
        <v>2454</v>
      </c>
      <c r="H42" s="542"/>
      <c r="I42" s="542"/>
      <c r="J42" s="2"/>
      <c r="K42" s="2"/>
      <c r="L42" s="2"/>
      <c r="M42" s="2"/>
      <c r="N42" s="2"/>
      <c r="O42" s="2"/>
      <c r="P42" s="2"/>
      <c r="Q42" s="2"/>
    </row>
    <row r="43" spans="1:17" ht="15" customHeight="1">
      <c r="A43" s="542"/>
      <c r="B43" s="753" t="s">
        <v>2455</v>
      </c>
      <c r="C43" s="752">
        <f>IFERROR(C42/C41,0)</f>
        <v>4.6600630257627103</v>
      </c>
      <c r="D43" s="752">
        <f>IFERROR(D42/D41,0)</f>
        <v>3.9943397363680377</v>
      </c>
      <c r="E43" s="754">
        <f t="shared" si="4"/>
        <v>0.66572328939467251</v>
      </c>
      <c r="F43" s="684"/>
      <c r="G43" s="684" t="s">
        <v>2456</v>
      </c>
      <c r="H43" s="542"/>
      <c r="I43" s="542"/>
      <c r="J43" s="2"/>
      <c r="K43" s="2"/>
      <c r="L43" s="2"/>
      <c r="M43" s="2"/>
      <c r="N43" s="2"/>
      <c r="O43" s="2"/>
      <c r="P43" s="2"/>
      <c r="Q43" s="2"/>
    </row>
    <row r="44" spans="1:17" ht="15" customHeight="1">
      <c r="A44" s="542"/>
      <c r="B44" s="756" t="s">
        <v>2457</v>
      </c>
      <c r="C44" s="719">
        <f>IFERROR(IRR($L38:$Q38),0)</f>
        <v>0.36043675908506367</v>
      </c>
      <c r="D44" s="719">
        <f>IFERROR(IRR($L39:$Q39),0)</f>
        <v>0.34242961148605366</v>
      </c>
      <c r="E44" s="757">
        <f t="shared" si="4"/>
        <v>1.8007147599010009E-2</v>
      </c>
      <c r="F44" s="684"/>
      <c r="G44" s="684" t="s">
        <v>2458</v>
      </c>
      <c r="H44" s="542"/>
      <c r="I44" s="542"/>
      <c r="J44" s="2"/>
      <c r="K44" s="2"/>
      <c r="L44" s="2"/>
      <c r="M44" s="2"/>
      <c r="N44" s="2"/>
      <c r="O44" s="2"/>
      <c r="P44" s="2"/>
      <c r="Q44" s="2"/>
    </row>
    <row r="45" spans="1:17" ht="15" customHeight="1">
      <c r="A45" s="542"/>
      <c r="B45" s="559" t="s">
        <v>2524</v>
      </c>
      <c r="C45" s="700">
        <f>IFERROR(C119/(C38+C39),0)</f>
        <v>2.3809523809523814</v>
      </c>
      <c r="D45" s="700">
        <f>IFERROR(D119/(D38+D39),0)</f>
        <v>2.6666666666666674</v>
      </c>
      <c r="E45" s="700">
        <f t="shared" si="4"/>
        <v>-0.28571428571428603</v>
      </c>
      <c r="F45" s="542"/>
      <c r="G45" s="542" t="s">
        <v>2525</v>
      </c>
      <c r="H45" s="542"/>
      <c r="I45" s="542"/>
      <c r="J45" s="2"/>
      <c r="K45" s="2"/>
      <c r="L45" s="2"/>
      <c r="M45" s="2"/>
      <c r="N45" s="2"/>
      <c r="O45" s="2"/>
      <c r="P45" s="2"/>
      <c r="Q45" s="2"/>
    </row>
    <row r="46" spans="1:17" ht="15" customHeight="1">
      <c r="A46" s="542"/>
      <c r="B46" s="559" t="s">
        <v>2526</v>
      </c>
      <c r="C46" s="701">
        <f>IFERROR(C45^(1/C$7)-1,0)</f>
        <v>0.18946082182210611</v>
      </c>
      <c r="D46" s="701">
        <f>IFERROR(D45^(1/D$7)-1,0)</f>
        <v>0.21672868378641152</v>
      </c>
      <c r="E46" s="701">
        <f t="shared" si="4"/>
        <v>-2.7267861964305418E-2</v>
      </c>
      <c r="F46" s="542"/>
      <c r="G46" s="542" t="s">
        <v>2527</v>
      </c>
      <c r="H46" s="542"/>
      <c r="I46" s="542"/>
      <c r="J46" s="2"/>
      <c r="K46" s="2"/>
      <c r="L46" s="2"/>
      <c r="M46" s="2"/>
      <c r="N46" s="2"/>
      <c r="O46" s="2"/>
      <c r="P46" s="2"/>
      <c r="Q46" s="2"/>
    </row>
    <row r="47" spans="1:17" ht="15" customHeight="1">
      <c r="A47" s="542"/>
      <c r="B47" s="577" t="s">
        <v>2528</v>
      </c>
      <c r="C47" s="751">
        <f>C43-C45</f>
        <v>2.2791106448103289</v>
      </c>
      <c r="D47" s="751">
        <f>D43-D45</f>
        <v>1.3276730697013703</v>
      </c>
      <c r="E47" s="770">
        <f t="shared" si="4"/>
        <v>0.95143757510895854</v>
      </c>
      <c r="F47" s="542"/>
      <c r="G47" s="542" t="s">
        <v>2529</v>
      </c>
      <c r="H47" s="542"/>
      <c r="I47" s="542"/>
      <c r="J47" s="2"/>
      <c r="K47" s="2"/>
      <c r="L47" s="2"/>
      <c r="M47" s="2"/>
      <c r="N47" s="2"/>
      <c r="O47" s="2"/>
      <c r="P47" s="2"/>
      <c r="Q47" s="2"/>
    </row>
    <row r="48" spans="1:17" ht="15" customHeight="1">
      <c r="A48" s="542"/>
      <c r="B48" s="771" t="s">
        <v>2530</v>
      </c>
      <c r="C48" s="755">
        <f>C44-C46</f>
        <v>0.17097593726295757</v>
      </c>
      <c r="D48" s="755">
        <f>D44-D46</f>
        <v>0.12570092769964214</v>
      </c>
      <c r="E48" s="772">
        <f t="shared" si="4"/>
        <v>4.5275009563315427E-2</v>
      </c>
      <c r="F48" s="542"/>
      <c r="G48" s="542" t="s">
        <v>2531</v>
      </c>
      <c r="H48" s="542"/>
      <c r="I48" s="542"/>
      <c r="J48" s="2"/>
      <c r="K48" s="2"/>
      <c r="L48" s="2"/>
      <c r="M48" s="2"/>
      <c r="N48" s="2"/>
      <c r="O48" s="2"/>
      <c r="P48" s="2"/>
      <c r="Q48" s="2"/>
    </row>
    <row r="49" spans="1:17" ht="15" customHeight="1">
      <c r="A49" s="542"/>
      <c r="B49" s="684" t="s">
        <v>2459</v>
      </c>
      <c r="C49" s="680">
        <f>C$138*('Partnership Analysis'!$D$81+'Partnership Analysis'!$D$82)</f>
        <v>175439.53692731974</v>
      </c>
      <c r="D49" s="680">
        <f>D$138*('100% Buyout Analysis'!$D$75+'100% Buyout Analysis'!$D$76)</f>
        <v>175997.93243848681</v>
      </c>
      <c r="E49" s="749">
        <f t="shared" si="4"/>
        <v>-558.39551116706571</v>
      </c>
      <c r="F49" s="684"/>
      <c r="G49" s="684" t="s">
        <v>2460</v>
      </c>
      <c r="H49" s="542"/>
      <c r="I49" s="542"/>
      <c r="J49" s="2"/>
      <c r="K49" s="2"/>
      <c r="L49" s="2"/>
      <c r="M49" s="2"/>
      <c r="N49" s="2"/>
      <c r="O49" s="2"/>
      <c r="P49" s="2"/>
      <c r="Q49" s="2"/>
    </row>
    <row r="50" spans="1:17" ht="15" customHeight="1">
      <c r="A50" s="542"/>
      <c r="B50" s="723" t="s">
        <v>2461</v>
      </c>
      <c r="C50" s="680">
        <f>(1-C$8)*('Partnership Analysis'!$D$81+C22+C24)</f>
        <v>171000.00000000003</v>
      </c>
      <c r="D50" s="680">
        <f>(1-D$8)*('100% Buyout Analysis'!$D$75+D22+D24)</f>
        <v>171000.00000000003</v>
      </c>
      <c r="E50" s="749">
        <f t="shared" si="4"/>
        <v>0</v>
      </c>
      <c r="F50" s="684"/>
      <c r="G50" s="684" t="s">
        <v>2462</v>
      </c>
      <c r="H50" s="542"/>
      <c r="I50" s="542"/>
      <c r="J50" s="2"/>
      <c r="K50" s="2"/>
      <c r="L50" s="2"/>
      <c r="M50" s="2"/>
      <c r="N50" s="2"/>
      <c r="O50" s="2"/>
      <c r="P50" s="2"/>
      <c r="Q50" s="2"/>
    </row>
    <row r="51" spans="1:17" ht="15" customHeight="1">
      <c r="A51" s="542"/>
      <c r="B51" s="104" t="s">
        <v>2463</v>
      </c>
      <c r="C51" s="709">
        <f>C49-C50</f>
        <v>4439.5369273197139</v>
      </c>
      <c r="D51" s="709">
        <f>D49-D50</f>
        <v>4997.9324384867796</v>
      </c>
      <c r="E51" s="765">
        <f t="shared" si="4"/>
        <v>-558.39551116706571</v>
      </c>
      <c r="F51" s="684"/>
      <c r="G51" s="684" t="s">
        <v>2464</v>
      </c>
      <c r="H51" s="542"/>
      <c r="I51" s="542"/>
      <c r="J51" s="2"/>
      <c r="K51" s="2"/>
      <c r="L51" s="2"/>
      <c r="M51" s="2"/>
      <c r="N51" s="2"/>
      <c r="O51" s="2"/>
      <c r="P51" s="2"/>
      <c r="Q51" s="2"/>
    </row>
    <row r="52" spans="1:17" ht="15" customHeight="1">
      <c r="A52" s="542"/>
      <c r="B52" s="762" t="s">
        <v>2465</v>
      </c>
      <c r="C52" s="761">
        <f>IFERROR((C41+C51)/C41,0)</f>
        <v>3.1140652034855782</v>
      </c>
      <c r="D52" s="761">
        <f>IFERROR((D41+D51)/D41,0)</f>
        <v>2.4279806967105086</v>
      </c>
      <c r="E52" s="763">
        <f t="shared" si="4"/>
        <v>0.6860845067750696</v>
      </c>
      <c r="F52" s="684"/>
      <c r="G52" s="684" t="s">
        <v>2466</v>
      </c>
      <c r="H52" s="542"/>
      <c r="I52" s="542"/>
      <c r="J52" s="2"/>
      <c r="K52" s="2"/>
      <c r="L52" s="2"/>
      <c r="M52" s="2"/>
      <c r="N52" s="2"/>
      <c r="O52" s="2"/>
      <c r="P52" s="2"/>
      <c r="Q52" s="2"/>
    </row>
    <row r="53" spans="1:17" ht="15" customHeight="1">
      <c r="A53" s="542"/>
      <c r="B53" s="107" t="s">
        <v>2467</v>
      </c>
      <c r="C53" s="755">
        <f>IFERROR(C52^(1/C$7)-1,0)</f>
        <v>0.25506304000579672</v>
      </c>
      <c r="D53" s="755">
        <f>IFERROR(D52^(1/D$7)-1,0)</f>
        <v>0.19412295203952645</v>
      </c>
      <c r="E53" s="764">
        <f t="shared" si="4"/>
        <v>6.0940087966270262E-2</v>
      </c>
      <c r="F53" s="684"/>
      <c r="G53" s="684" t="s">
        <v>2468</v>
      </c>
      <c r="H53" s="542"/>
      <c r="I53" s="542"/>
      <c r="J53" s="2"/>
      <c r="K53" s="2"/>
      <c r="L53" s="2"/>
      <c r="M53" s="2"/>
      <c r="N53" s="2"/>
      <c r="O53" s="2"/>
      <c r="P53" s="2"/>
      <c r="Q53" s="2"/>
    </row>
    <row r="54" spans="1:17" ht="3.95" customHeight="1">
      <c r="A54" s="542"/>
      <c r="B54" s="542"/>
      <c r="C54" s="572"/>
      <c r="D54" s="572"/>
      <c r="E54" s="572"/>
      <c r="F54" s="542"/>
      <c r="G54" s="542"/>
      <c r="H54" s="542"/>
      <c r="I54" s="542"/>
      <c r="J54" s="2"/>
      <c r="K54" s="2"/>
      <c r="L54" s="2"/>
      <c r="M54" s="2"/>
      <c r="N54" s="2"/>
      <c r="O54" s="2"/>
      <c r="P54" s="2"/>
      <c r="Q54" s="2"/>
    </row>
    <row r="55" spans="1:17" ht="15" customHeight="1">
      <c r="A55" s="542"/>
      <c r="B55" s="831" t="s">
        <v>2741</v>
      </c>
      <c r="C55" s="620"/>
      <c r="D55" s="620"/>
      <c r="E55" s="620"/>
      <c r="F55" s="542"/>
      <c r="G55" s="542"/>
      <c r="H55" s="542"/>
      <c r="I55" s="542"/>
      <c r="J55" s="2"/>
      <c r="K55" s="2"/>
      <c r="L55" s="2"/>
      <c r="M55" s="2"/>
      <c r="N55" s="2"/>
      <c r="O55" s="2"/>
      <c r="P55" s="2"/>
      <c r="Q55" s="2"/>
    </row>
    <row r="56" spans="1:17" ht="26.25" customHeight="1">
      <c r="A56" s="542"/>
      <c r="B56" s="536"/>
      <c r="C56" s="620" t="s">
        <v>2510</v>
      </c>
      <c r="D56" s="620" t="s">
        <v>2511</v>
      </c>
      <c r="E56" s="620" t="s">
        <v>2518</v>
      </c>
      <c r="F56" s="542"/>
      <c r="G56" s="542" t="s">
        <v>2521</v>
      </c>
      <c r="H56" s="542"/>
      <c r="I56" s="542"/>
      <c r="J56" s="2"/>
      <c r="K56" s="2"/>
      <c r="L56" s="2"/>
      <c r="M56" s="2"/>
      <c r="N56" s="2"/>
      <c r="O56" s="2"/>
      <c r="P56" s="2"/>
      <c r="Q56" s="2"/>
    </row>
    <row r="57" spans="1:17" ht="15" customHeight="1">
      <c r="A57" s="542"/>
      <c r="B57" s="542" t="s">
        <v>2394</v>
      </c>
      <c r="C57" s="548">
        <f>C20</f>
        <v>0.7</v>
      </c>
      <c r="D57" s="548">
        <f>D20</f>
        <v>1</v>
      </c>
      <c r="E57" s="699">
        <f>D57-C57</f>
        <v>0.30000000000000004</v>
      </c>
      <c r="F57" s="542"/>
      <c r="G57" s="542"/>
      <c r="H57" s="542"/>
      <c r="I57" s="542"/>
      <c r="J57" s="2"/>
      <c r="K57" s="2"/>
      <c r="L57" s="2"/>
      <c r="M57" s="2"/>
      <c r="N57" s="2"/>
      <c r="O57" s="2"/>
      <c r="P57" s="2"/>
      <c r="Q57" s="2"/>
    </row>
    <row r="58" spans="1:17" ht="15" customHeight="1">
      <c r="A58" s="542"/>
      <c r="B58" s="708" t="s">
        <v>2451</v>
      </c>
      <c r="C58" s="759">
        <f>C41</f>
        <v>2100</v>
      </c>
      <c r="D58" s="759">
        <f>D41</f>
        <v>3500</v>
      </c>
      <c r="E58" s="715">
        <f>D58-C58</f>
        <v>1400</v>
      </c>
      <c r="F58" s="542"/>
      <c r="G58" s="542" t="s">
        <v>2519</v>
      </c>
      <c r="H58" s="542"/>
      <c r="I58" s="542"/>
      <c r="J58" s="2"/>
      <c r="K58" s="2"/>
      <c r="L58" s="2"/>
      <c r="M58" s="2"/>
      <c r="N58" s="2"/>
      <c r="O58" s="2"/>
      <c r="P58" s="2"/>
      <c r="Q58" s="2"/>
    </row>
    <row r="59" spans="1:17" ht="15" customHeight="1">
      <c r="A59" s="542"/>
      <c r="B59" s="542" t="s">
        <v>2512</v>
      </c>
      <c r="C59" s="768">
        <f>IFERROR(C58/(C57*100),0)</f>
        <v>30</v>
      </c>
      <c r="D59" s="768">
        <f>IFERROR(D58/(D57*100),0)</f>
        <v>35</v>
      </c>
      <c r="E59" s="768">
        <f>IFERROR(E58/(E57*100),0)</f>
        <v>46.666666666666664</v>
      </c>
      <c r="F59" s="542"/>
      <c r="G59" s="542" t="s">
        <v>2513</v>
      </c>
      <c r="H59" s="542"/>
      <c r="I59" s="542"/>
      <c r="J59" s="2"/>
      <c r="K59" s="2"/>
      <c r="L59" s="2"/>
      <c r="M59" s="2"/>
      <c r="N59" s="2"/>
      <c r="O59" s="2"/>
      <c r="P59" s="2"/>
      <c r="Q59" s="2"/>
    </row>
    <row r="60" spans="1:17" ht="15" customHeight="1">
      <c r="A60" s="542"/>
      <c r="B60" s="542" t="s">
        <v>2514</v>
      </c>
      <c r="C60" s="699">
        <f>IFERROR(C39/C58,0)</f>
        <v>0.69047619047619047</v>
      </c>
      <c r="D60" s="699">
        <f>IFERROR(D39/D58,0)</f>
        <v>0.7142857142857143</v>
      </c>
      <c r="E60" s="699">
        <f>IFERROR((D39-C39)/E58,0)</f>
        <v>0.75</v>
      </c>
      <c r="F60" s="542"/>
      <c r="G60" s="542" t="s">
        <v>2515</v>
      </c>
      <c r="H60" s="542"/>
      <c r="I60" s="542"/>
      <c r="J60" s="2"/>
      <c r="K60" s="2"/>
      <c r="L60" s="2"/>
      <c r="M60" s="2"/>
      <c r="N60" s="2"/>
      <c r="O60" s="2"/>
      <c r="P60" s="2"/>
      <c r="Q60" s="2"/>
    </row>
    <row r="61" spans="1:17" ht="15" customHeight="1">
      <c r="A61" s="542"/>
      <c r="B61" s="542" t="s">
        <v>2516</v>
      </c>
      <c r="C61" s="546">
        <f>C42</f>
        <v>9786.1323541016918</v>
      </c>
      <c r="D61" s="546">
        <f>D42</f>
        <v>13980.189077288132</v>
      </c>
      <c r="E61" s="680">
        <f>D61-C61</f>
        <v>4194.0567231864406</v>
      </c>
      <c r="F61" s="542"/>
      <c r="G61" s="542"/>
      <c r="H61" s="542"/>
      <c r="I61" s="542"/>
      <c r="J61" s="2"/>
      <c r="K61" s="2"/>
      <c r="L61" s="2"/>
      <c r="M61" s="2"/>
      <c r="N61" s="2"/>
      <c r="O61" s="2"/>
      <c r="P61" s="2"/>
      <c r="Q61" s="2"/>
    </row>
    <row r="62" spans="1:17" ht="15" customHeight="1">
      <c r="A62" s="542"/>
      <c r="B62" s="542" t="s">
        <v>2455</v>
      </c>
      <c r="C62" s="700">
        <f>IFERROR(C61/C58,0)</f>
        <v>4.6600630257627103</v>
      </c>
      <c r="D62" s="700">
        <f>IFERROR(D61/D58,0)</f>
        <v>3.9943397363680377</v>
      </c>
      <c r="E62" s="700">
        <f>IFERROR(E61/E58,0)</f>
        <v>2.995754802276029</v>
      </c>
      <c r="F62" s="542"/>
      <c r="G62" s="542" t="s">
        <v>2517</v>
      </c>
      <c r="H62" s="542"/>
      <c r="I62" s="542"/>
      <c r="J62" s="2"/>
      <c r="K62" s="2"/>
      <c r="L62" s="2"/>
      <c r="M62" s="2"/>
      <c r="N62" s="2"/>
      <c r="O62" s="2"/>
      <c r="P62" s="2"/>
      <c r="Q62" s="2"/>
    </row>
    <row r="63" spans="1:17" ht="15" customHeight="1">
      <c r="A63" s="542"/>
      <c r="B63" s="542" t="s">
        <v>2532</v>
      </c>
      <c r="C63" s="726">
        <f>C45</f>
        <v>2.3809523809523814</v>
      </c>
      <c r="D63" s="726">
        <f>D45</f>
        <v>2.6666666666666674</v>
      </c>
      <c r="E63" s="700" t="s">
        <v>2418</v>
      </c>
      <c r="F63" s="542"/>
      <c r="G63" s="542" t="s">
        <v>2533</v>
      </c>
      <c r="H63" s="542"/>
      <c r="I63" s="542"/>
      <c r="J63" s="2"/>
      <c r="K63" s="2"/>
      <c r="L63" s="2"/>
      <c r="M63" s="2"/>
      <c r="N63" s="2"/>
      <c r="O63" s="2"/>
      <c r="P63" s="2"/>
      <c r="Q63" s="2"/>
    </row>
    <row r="64" spans="1:17" ht="15" customHeight="1">
      <c r="A64" s="542"/>
      <c r="B64" s="708" t="s">
        <v>2463</v>
      </c>
      <c r="C64" s="759">
        <f>C51</f>
        <v>4439.5369273197139</v>
      </c>
      <c r="D64" s="759">
        <f>D51</f>
        <v>4997.9324384867796</v>
      </c>
      <c r="E64" s="715">
        <f>D64-C64</f>
        <v>558.39551116706571</v>
      </c>
      <c r="F64" s="542"/>
      <c r="G64" s="542" t="s">
        <v>2520</v>
      </c>
      <c r="H64" s="542"/>
      <c r="I64" s="542"/>
      <c r="J64" s="2"/>
      <c r="K64" s="2"/>
      <c r="L64" s="2"/>
      <c r="M64" s="2"/>
      <c r="N64" s="2"/>
      <c r="O64" s="2"/>
      <c r="P64" s="2"/>
      <c r="Q64" s="2"/>
    </row>
    <row r="65" spans="1:17" ht="15" customHeight="1">
      <c r="A65" s="542"/>
      <c r="B65" s="716" t="s">
        <v>2465</v>
      </c>
      <c r="C65" s="752">
        <f>IFERROR((C58+C64)/C58,0)</f>
        <v>3.1140652034855782</v>
      </c>
      <c r="D65" s="752">
        <f>IFERROR((D58+D64)/D58,0)</f>
        <v>2.4279806967105086</v>
      </c>
      <c r="E65" s="769">
        <f>IFERROR((E58+E64)/E58,0)</f>
        <v>1.398853936547904</v>
      </c>
      <c r="F65" s="542"/>
      <c r="G65" s="542" t="s">
        <v>2466</v>
      </c>
      <c r="H65" s="542"/>
      <c r="I65" s="542"/>
      <c r="J65" s="2"/>
      <c r="K65" s="2"/>
      <c r="L65" s="2"/>
      <c r="M65" s="2"/>
      <c r="N65" s="2"/>
      <c r="O65" s="2"/>
      <c r="P65" s="2"/>
      <c r="Q65" s="2"/>
    </row>
    <row r="66" spans="1:17" ht="15" customHeight="1">
      <c r="A66" s="542"/>
      <c r="B66" s="718" t="s">
        <v>2467</v>
      </c>
      <c r="C66" s="719">
        <f>IFERROR(C65^(1/C$7)-1,0)</f>
        <v>0.25506304000579672</v>
      </c>
      <c r="D66" s="719">
        <f>IFERROR(D65^(1/D$7)-1,0)</f>
        <v>0.19412295203952645</v>
      </c>
      <c r="E66" s="720">
        <f>IFERROR(E65^(1/D$7)-1,0)</f>
        <v>6.943519816012933E-2</v>
      </c>
      <c r="F66" s="542"/>
      <c r="G66" s="542" t="s">
        <v>2468</v>
      </c>
      <c r="H66" s="542"/>
      <c r="I66" s="542"/>
      <c r="J66" s="2"/>
      <c r="K66" s="2"/>
      <c r="L66" s="2"/>
      <c r="M66" s="2"/>
      <c r="N66" s="2"/>
      <c r="O66" s="2"/>
      <c r="P66" s="2"/>
      <c r="Q66" s="2"/>
    </row>
    <row r="67" spans="1:17" ht="3.95" customHeight="1">
      <c r="A67" s="542"/>
      <c r="B67" s="542"/>
      <c r="C67" s="542"/>
      <c r="D67" s="542"/>
      <c r="E67" s="542"/>
      <c r="F67" s="542"/>
      <c r="G67" s="542"/>
      <c r="H67" s="542"/>
      <c r="I67" s="542"/>
      <c r="J67" s="2"/>
      <c r="K67" s="2"/>
      <c r="L67" s="2"/>
      <c r="M67" s="2"/>
      <c r="N67" s="2"/>
      <c r="O67" s="2"/>
      <c r="P67" s="2"/>
      <c r="Q67" s="2"/>
    </row>
    <row r="68" spans="1:17">
      <c r="A68" s="542"/>
      <c r="B68" s="570" t="s">
        <v>2403</v>
      </c>
      <c r="C68" s="703"/>
      <c r="D68" s="703"/>
      <c r="E68" s="703"/>
      <c r="F68" s="542"/>
      <c r="G68" s="542"/>
      <c r="H68" s="542"/>
      <c r="I68" s="542"/>
      <c r="J68" s="2"/>
      <c r="K68" s="758" t="s">
        <v>2469</v>
      </c>
      <c r="L68" s="758">
        <v>0</v>
      </c>
      <c r="M68" s="758">
        <v>1</v>
      </c>
      <c r="N68" s="758">
        <v>2</v>
      </c>
      <c r="O68" s="758">
        <v>3</v>
      </c>
      <c r="P68" s="758">
        <v>4</v>
      </c>
      <c r="Q68" s="758">
        <v>5</v>
      </c>
    </row>
    <row r="69" spans="1:17" ht="15" customHeight="1">
      <c r="A69" s="542"/>
      <c r="B69" s="214" t="s">
        <v>2473</v>
      </c>
      <c r="C69" s="767">
        <f>C18</f>
        <v>3000</v>
      </c>
      <c r="D69" s="767">
        <f>D18</f>
        <v>3000</v>
      </c>
      <c r="E69" s="760">
        <f t="shared" ref="E69:E78" si="7">C69-D69</f>
        <v>0</v>
      </c>
      <c r="F69" s="684"/>
      <c r="G69" s="684" t="s">
        <v>2474</v>
      </c>
      <c r="H69" s="542"/>
      <c r="I69" s="542"/>
      <c r="J69" s="2"/>
      <c r="K69" s="758" t="s">
        <v>2470</v>
      </c>
      <c r="L69" s="367">
        <f>-(L$68=0)*($C$69-$C$70)+(L$68=$L$40)*$C$71+(L$68=$C$7)*($C$72+$C$73)</f>
        <v>-2350</v>
      </c>
      <c r="M69" s="367">
        <f t="shared" ref="M69:Q69" si="8">-(M$68=0)*($C$69-$C$70)+(M$68=$L$40)*$C$71+(M$68=$C$7)*($C$72+$C$73)</f>
        <v>0</v>
      </c>
      <c r="N69" s="367">
        <f t="shared" si="8"/>
        <v>0</v>
      </c>
      <c r="O69" s="367">
        <f t="shared" si="8"/>
        <v>0</v>
      </c>
      <c r="P69" s="367">
        <f t="shared" si="8"/>
        <v>0</v>
      </c>
      <c r="Q69" s="367">
        <f t="shared" si="8"/>
        <v>8433.8455322633326</v>
      </c>
    </row>
    <row r="70" spans="1:17" ht="15" customHeight="1">
      <c r="A70" s="542"/>
      <c r="B70" s="684" t="s">
        <v>2449</v>
      </c>
      <c r="C70" s="546">
        <f>C97</f>
        <v>650</v>
      </c>
      <c r="D70" s="546">
        <f>D97</f>
        <v>500</v>
      </c>
      <c r="E70" s="749">
        <f t="shared" si="7"/>
        <v>150</v>
      </c>
      <c r="F70" s="684"/>
      <c r="G70" s="684"/>
      <c r="H70" s="542"/>
      <c r="I70" s="542"/>
      <c r="J70" s="2"/>
      <c r="K70" s="758" t="s">
        <v>2471</v>
      </c>
      <c r="L70" s="367">
        <f>-(L$68=0)*($D$69-$D$70)+(L$68=$L$40)*$D$71+(L$68=$D$7)*($D$72+$D$73)</f>
        <v>-2500</v>
      </c>
      <c r="M70" s="367">
        <f t="shared" ref="M70:Q70" si="9">-(M$68=0)*($D$69-$D$70)+(M$68=$L$40)*$D$71+(M$68=$D$7)*($D$72+$D$73)</f>
        <v>0</v>
      </c>
      <c r="N70" s="367">
        <f t="shared" si="9"/>
        <v>0</v>
      </c>
      <c r="O70" s="367">
        <f t="shared" si="9"/>
        <v>500</v>
      </c>
      <c r="P70" s="367">
        <f t="shared" si="9"/>
        <v>0</v>
      </c>
      <c r="Q70" s="367">
        <f t="shared" si="9"/>
        <v>7333.2471849369504</v>
      </c>
    </row>
    <row r="71" spans="1:17" ht="15" customHeight="1">
      <c r="A71" s="542"/>
      <c r="B71" s="723" t="s">
        <v>2537</v>
      </c>
      <c r="C71" s="546">
        <f>C98</f>
        <v>0</v>
      </c>
      <c r="D71" s="546">
        <f>D98</f>
        <v>500</v>
      </c>
      <c r="E71" s="749">
        <f t="shared" si="7"/>
        <v>-500</v>
      </c>
      <c r="F71" s="684"/>
      <c r="G71" s="684"/>
      <c r="H71" s="542"/>
      <c r="I71" s="542"/>
      <c r="J71" s="2"/>
      <c r="K71" s="2"/>
      <c r="L71" s="2"/>
      <c r="M71" s="2"/>
      <c r="N71" s="2"/>
      <c r="O71" s="2"/>
      <c r="P71" s="2"/>
      <c r="Q71" s="2"/>
    </row>
    <row r="72" spans="1:17" ht="15" customHeight="1">
      <c r="A72" s="542"/>
      <c r="B72" s="723" t="s">
        <v>2475</v>
      </c>
      <c r="C72" s="546">
        <f>C94</f>
        <v>4194.0567231864397</v>
      </c>
      <c r="D72" s="546">
        <f>D94</f>
        <v>0</v>
      </c>
      <c r="E72" s="749">
        <f t="shared" si="7"/>
        <v>4194.0567231864397</v>
      </c>
      <c r="F72" s="684"/>
      <c r="G72" s="684" t="s">
        <v>2476</v>
      </c>
      <c r="H72" s="542"/>
      <c r="I72" s="542"/>
      <c r="J72" s="2"/>
      <c r="K72" s="2"/>
      <c r="L72" s="2"/>
      <c r="M72" s="2"/>
      <c r="N72" s="2"/>
      <c r="O72" s="2"/>
      <c r="P72" s="2"/>
      <c r="Q72" s="2"/>
    </row>
    <row r="73" spans="1:17" ht="15" customHeight="1">
      <c r="A73" s="542"/>
      <c r="B73" s="723" t="s">
        <v>2477</v>
      </c>
      <c r="C73" s="680">
        <f>C95+C96</f>
        <v>4239.7888090768929</v>
      </c>
      <c r="D73" s="680">
        <f>D95+D96</f>
        <v>7333.2471849369504</v>
      </c>
      <c r="E73" s="749">
        <f t="shared" si="7"/>
        <v>-3093.4583758600575</v>
      </c>
      <c r="F73" s="684"/>
      <c r="G73" s="684" t="s">
        <v>2478</v>
      </c>
      <c r="H73" s="542"/>
      <c r="I73" s="542"/>
      <c r="J73" s="2"/>
      <c r="K73" s="2"/>
      <c r="L73" s="2"/>
      <c r="M73" s="2"/>
      <c r="N73" s="2"/>
      <c r="O73" s="2"/>
      <c r="P73" s="2"/>
      <c r="Q73" s="2"/>
    </row>
    <row r="74" spans="1:17" ht="15" customHeight="1">
      <c r="A74" s="542"/>
      <c r="B74" s="104" t="s">
        <v>2479</v>
      </c>
      <c r="C74" s="709">
        <f>SUM(C70:C73)</f>
        <v>9083.8455322633326</v>
      </c>
      <c r="D74" s="709">
        <f>SUM(D70:D73)</f>
        <v>8333.2471849369504</v>
      </c>
      <c r="E74" s="765">
        <f t="shared" si="7"/>
        <v>750.59834732638228</v>
      </c>
      <c r="F74" s="684"/>
      <c r="G74" s="684" t="s">
        <v>2534</v>
      </c>
      <c r="H74" s="542"/>
      <c r="I74" s="542"/>
      <c r="J74" s="2"/>
      <c r="K74" s="2"/>
      <c r="L74" s="2"/>
      <c r="M74" s="2"/>
      <c r="N74" s="2"/>
      <c r="O74" s="2"/>
      <c r="P74" s="2"/>
      <c r="Q74" s="2"/>
    </row>
    <row r="75" spans="1:17" ht="15" customHeight="1">
      <c r="A75" s="542"/>
      <c r="B75" s="762" t="s">
        <v>2539</v>
      </c>
      <c r="C75" s="761">
        <f>IFERROR(C74/C69,0)</f>
        <v>3.0279485107544444</v>
      </c>
      <c r="D75" s="761">
        <f>IFERROR(D74/D69,0)</f>
        <v>2.7777490616456499</v>
      </c>
      <c r="E75" s="763">
        <f t="shared" si="7"/>
        <v>0.25019944910879444</v>
      </c>
      <c r="F75" s="684"/>
      <c r="G75" s="684" t="s">
        <v>2480</v>
      </c>
      <c r="H75" s="542"/>
      <c r="I75" s="542"/>
      <c r="J75" s="2"/>
      <c r="K75" s="2"/>
      <c r="L75" s="2"/>
      <c r="M75" s="2"/>
      <c r="N75" s="2"/>
      <c r="O75" s="2"/>
      <c r="P75" s="2"/>
      <c r="Q75" s="2"/>
    </row>
    <row r="76" spans="1:17" ht="15" customHeight="1">
      <c r="A76" s="542"/>
      <c r="B76" s="107" t="s">
        <v>2541</v>
      </c>
      <c r="C76" s="755">
        <f>IFERROR(IRR($L69:$Q69),0)</f>
        <v>0.29119416880747617</v>
      </c>
      <c r="D76" s="755">
        <f>IFERROR(IRR($L70:$Q70),0)</f>
        <v>0.26613900142438429</v>
      </c>
      <c r="E76" s="764">
        <f t="shared" si="7"/>
        <v>2.5055167383091881E-2</v>
      </c>
      <c r="F76" s="684"/>
      <c r="G76" s="684" t="s">
        <v>2535</v>
      </c>
      <c r="H76" s="542"/>
      <c r="I76" s="542"/>
      <c r="J76" s="2"/>
      <c r="K76" s="2"/>
      <c r="L76" s="2"/>
      <c r="M76" s="2"/>
      <c r="N76" s="2"/>
      <c r="O76" s="2"/>
      <c r="P76" s="2"/>
      <c r="Q76" s="2"/>
    </row>
    <row r="77" spans="1:17" ht="15" customHeight="1">
      <c r="A77" s="542"/>
      <c r="B77" s="723" t="s">
        <v>2481</v>
      </c>
      <c r="C77" s="546">
        <f>C82</f>
        <v>7490.2576987288121</v>
      </c>
      <c r="D77" s="546">
        <f>D82</f>
        <v>7490.2576987288121</v>
      </c>
      <c r="E77" s="749">
        <f t="shared" si="7"/>
        <v>0</v>
      </c>
      <c r="F77" s="684"/>
      <c r="G77" s="684" t="s">
        <v>2482</v>
      </c>
      <c r="H77" s="542"/>
      <c r="I77" s="542"/>
      <c r="J77" s="2"/>
      <c r="K77" s="2"/>
      <c r="L77" s="2"/>
      <c r="M77" s="2"/>
      <c r="N77" s="2"/>
      <c r="O77" s="2"/>
      <c r="P77" s="2"/>
      <c r="Q77" s="2"/>
    </row>
    <row r="78" spans="1:17" ht="15" customHeight="1">
      <c r="A78" s="542"/>
      <c r="B78" s="60" t="s">
        <v>2483</v>
      </c>
      <c r="C78" s="773">
        <f>C74-C77</f>
        <v>1593.5878335345205</v>
      </c>
      <c r="D78" s="773">
        <f>D74-D77</f>
        <v>842.98948620813826</v>
      </c>
      <c r="E78" s="774">
        <f t="shared" si="7"/>
        <v>750.59834732638228</v>
      </c>
      <c r="F78" s="684"/>
      <c r="G78" s="684" t="s">
        <v>2484</v>
      </c>
      <c r="H78" s="542"/>
      <c r="I78" s="542"/>
      <c r="J78" s="2"/>
      <c r="K78" s="2"/>
      <c r="L78" s="2"/>
      <c r="M78" s="2"/>
      <c r="N78" s="2"/>
      <c r="O78" s="2"/>
      <c r="P78" s="2"/>
      <c r="Q78" s="2"/>
    </row>
    <row r="79" spans="1:17" ht="3.95" customHeight="1">
      <c r="A79" s="542"/>
      <c r="B79" s="542"/>
      <c r="C79" s="572"/>
      <c r="D79" s="572"/>
      <c r="E79" s="572"/>
      <c r="F79" s="542"/>
      <c r="G79" s="542"/>
      <c r="H79" s="542"/>
      <c r="I79" s="542"/>
      <c r="J79" s="2"/>
      <c r="K79" s="2"/>
      <c r="L79" s="2"/>
      <c r="M79" s="2"/>
      <c r="N79" s="2"/>
      <c r="O79" s="2"/>
      <c r="P79" s="2"/>
      <c r="Q79" s="2"/>
    </row>
    <row r="80" spans="1:17">
      <c r="A80" s="542"/>
      <c r="B80" s="570" t="s">
        <v>2404</v>
      </c>
      <c r="C80" s="703"/>
      <c r="D80" s="703"/>
      <c r="E80" s="703"/>
      <c r="F80" s="542"/>
      <c r="G80" s="542"/>
      <c r="H80" s="542"/>
      <c r="I80" s="542"/>
      <c r="J80" s="2"/>
      <c r="K80" s="2"/>
      <c r="L80" s="2"/>
      <c r="M80" s="2"/>
      <c r="N80" s="2"/>
      <c r="O80" s="2"/>
      <c r="P80" s="2"/>
      <c r="Q80" s="2"/>
    </row>
    <row r="81" spans="1:17">
      <c r="A81" s="542"/>
      <c r="B81" s="542" t="s">
        <v>2405</v>
      </c>
      <c r="C81" s="706">
        <f>'Partnership Analysis'!$D$92</f>
        <v>9083.8455322633326</v>
      </c>
      <c r="D81" s="706">
        <f>'100% Buyout Analysis'!$D$81</f>
        <v>8333.2471849369504</v>
      </c>
      <c r="E81" s="608">
        <f>C81-D81</f>
        <v>750.59834732638228</v>
      </c>
      <c r="F81" s="542"/>
      <c r="G81" s="542"/>
      <c r="H81" s="542"/>
      <c r="I81" s="542"/>
      <c r="J81" s="2"/>
      <c r="K81" s="2"/>
      <c r="L81" s="2"/>
      <c r="M81" s="2"/>
      <c r="N81" s="2"/>
      <c r="O81" s="2"/>
      <c r="P81" s="2"/>
      <c r="Q81" s="2"/>
    </row>
    <row r="82" spans="1:17">
      <c r="A82" s="542"/>
      <c r="B82" s="559" t="s">
        <v>2406</v>
      </c>
      <c r="C82" s="704">
        <f>'Partnership Analysis'!$D$74</f>
        <v>7490.2576987288121</v>
      </c>
      <c r="D82" s="704">
        <f>'100% Buyout Analysis'!$D$72</f>
        <v>7490.2576987288121</v>
      </c>
      <c r="E82" s="680">
        <f>C82-D82</f>
        <v>0</v>
      </c>
      <c r="F82" s="542"/>
      <c r="G82" s="542"/>
      <c r="H82" s="542"/>
      <c r="I82" s="542"/>
      <c r="J82" s="2"/>
      <c r="K82" s="2"/>
      <c r="L82" s="2"/>
      <c r="M82" s="2"/>
      <c r="N82" s="2"/>
      <c r="O82" s="2"/>
      <c r="P82" s="2"/>
      <c r="Q82" s="2"/>
    </row>
    <row r="83" spans="1:17">
      <c r="A83" s="542"/>
      <c r="B83" s="716" t="s">
        <v>2407</v>
      </c>
      <c r="C83" s="710">
        <f>C81-C82</f>
        <v>1593.5878335345205</v>
      </c>
      <c r="D83" s="710">
        <f>D81-D82</f>
        <v>842.98948620813826</v>
      </c>
      <c r="E83" s="717">
        <f>C83-D83</f>
        <v>750.59834732638228</v>
      </c>
      <c r="F83" s="542"/>
      <c r="G83" s="542"/>
      <c r="H83" s="542"/>
      <c r="I83" s="542"/>
      <c r="J83" s="2"/>
      <c r="K83" s="2"/>
      <c r="L83" s="2"/>
      <c r="M83" s="2"/>
      <c r="N83" s="2"/>
      <c r="O83" s="2"/>
      <c r="P83" s="2"/>
      <c r="Q83" s="2"/>
    </row>
    <row r="84" spans="1:17">
      <c r="A84" s="542"/>
      <c r="B84" s="718" t="s">
        <v>2408</v>
      </c>
      <c r="C84" s="719">
        <f>IFERROR(C81/C82-1,0)</f>
        <v>0.21275474057521038</v>
      </c>
      <c r="D84" s="719">
        <f>IFERROR(D81/D82-1,0)</f>
        <v>0.1125447908622963</v>
      </c>
      <c r="E84" s="720"/>
      <c r="F84" s="542"/>
      <c r="G84" s="542"/>
      <c r="H84" s="542"/>
      <c r="I84" s="542"/>
      <c r="J84" s="2"/>
      <c r="K84" s="2"/>
      <c r="L84" s="2"/>
      <c r="M84" s="2"/>
      <c r="N84" s="2"/>
      <c r="O84" s="2"/>
      <c r="P84" s="2"/>
      <c r="Q84" s="2"/>
    </row>
    <row r="85" spans="1:17">
      <c r="A85" s="542"/>
      <c r="B85" s="542" t="s">
        <v>2409</v>
      </c>
      <c r="C85" s="707">
        <f>'Partnership Analysis'!$D$97</f>
        <v>3.0279485107544444</v>
      </c>
      <c r="D85" s="707">
        <f>'100% Buyout Analysis'!$D$86</f>
        <v>2.7777490616456499</v>
      </c>
      <c r="E85" s="700">
        <f t="shared" ref="E85:E90" si="10">C85-D85</f>
        <v>0.25019944910879444</v>
      </c>
      <c r="F85" s="542"/>
      <c r="G85" s="542"/>
      <c r="H85" s="542"/>
      <c r="I85" s="542"/>
      <c r="J85" s="2"/>
      <c r="K85" s="2"/>
      <c r="L85" s="2"/>
      <c r="M85" s="2"/>
      <c r="N85" s="2"/>
      <c r="O85" s="2"/>
      <c r="P85" s="2"/>
      <c r="Q85" s="2"/>
    </row>
    <row r="86" spans="1:17">
      <c r="A86" s="542"/>
      <c r="B86" s="559" t="s">
        <v>2410</v>
      </c>
      <c r="C86" s="700">
        <f>IFERROR('Partnership Analysis'!$D$74/'Partnership Analysis'!$C$74,0)</f>
        <v>2.4967525662429373</v>
      </c>
      <c r="D86" s="700">
        <f>IFERROR('100% Buyout Analysis'!$D$72/'100% Buyout Analysis'!$C$72,0)</f>
        <v>2.4967525662429373</v>
      </c>
      <c r="E86" s="700">
        <f t="shared" si="10"/>
        <v>0</v>
      </c>
      <c r="F86" s="542"/>
      <c r="G86" s="542" t="s">
        <v>2411</v>
      </c>
      <c r="H86" s="542"/>
      <c r="I86" s="542"/>
      <c r="J86" s="2"/>
      <c r="K86" s="2"/>
      <c r="L86" s="2"/>
      <c r="M86" s="2"/>
      <c r="N86" s="2"/>
      <c r="O86" s="2"/>
      <c r="P86" s="2"/>
      <c r="Q86" s="2"/>
    </row>
    <row r="87" spans="1:17">
      <c r="A87" s="542"/>
      <c r="B87" s="538" t="s">
        <v>2412</v>
      </c>
      <c r="C87" s="727">
        <f>C85-C86</f>
        <v>0.53119594451150709</v>
      </c>
      <c r="D87" s="727">
        <f>D85-D86</f>
        <v>0.28099649540271265</v>
      </c>
      <c r="E87" s="728">
        <f t="shared" si="10"/>
        <v>0.25019944910879444</v>
      </c>
      <c r="F87" s="542"/>
      <c r="G87" s="542"/>
      <c r="H87" s="542"/>
      <c r="I87" s="542"/>
      <c r="J87" s="2"/>
      <c r="K87" s="2"/>
      <c r="L87" s="2"/>
      <c r="M87" s="2"/>
      <c r="N87" s="2"/>
      <c r="O87" s="2"/>
      <c r="P87" s="2"/>
      <c r="Q87" s="2"/>
    </row>
    <row r="88" spans="1:17">
      <c r="A88" s="542"/>
      <c r="B88" s="542" t="s">
        <v>2413</v>
      </c>
      <c r="C88" s="714">
        <f>'Partnership Analysis'!$D$98</f>
        <v>0.29119416880747639</v>
      </c>
      <c r="D88" s="714">
        <f>'100% Buyout Analysis'!$D$87</f>
        <v>0.26613900142438429</v>
      </c>
      <c r="E88" s="701">
        <f t="shared" si="10"/>
        <v>2.5055167383092103E-2</v>
      </c>
      <c r="F88" s="542"/>
      <c r="G88" s="542" t="s">
        <v>2414</v>
      </c>
      <c r="H88" s="542"/>
      <c r="I88" s="542"/>
      <c r="J88" s="2"/>
      <c r="K88" s="2"/>
      <c r="L88" s="2"/>
      <c r="M88" s="2"/>
      <c r="N88" s="2"/>
      <c r="O88" s="2"/>
      <c r="P88" s="2"/>
      <c r="Q88" s="2"/>
    </row>
    <row r="89" spans="1:17">
      <c r="A89" s="542"/>
      <c r="B89" s="559" t="s">
        <v>2415</v>
      </c>
      <c r="C89" s="701">
        <f>IFERROR(C86^(1/C$7)-1,0)</f>
        <v>0.20081222595661186</v>
      </c>
      <c r="D89" s="701">
        <f>IFERROR(D86^(1/D$7)-1,0)</f>
        <v>0.20081222595661186</v>
      </c>
      <c r="E89" s="701">
        <f t="shared" si="10"/>
        <v>0</v>
      </c>
      <c r="F89" s="542"/>
      <c r="G89" s="542"/>
      <c r="H89" s="542"/>
      <c r="I89" s="542"/>
      <c r="J89" s="2"/>
      <c r="K89" s="2"/>
      <c r="L89" s="2"/>
      <c r="M89" s="2"/>
      <c r="N89" s="2"/>
      <c r="O89" s="2"/>
      <c r="P89" s="2"/>
      <c r="Q89" s="2"/>
    </row>
    <row r="90" spans="1:17">
      <c r="A90" s="542"/>
      <c r="B90" s="538" t="s">
        <v>2416</v>
      </c>
      <c r="C90" s="729">
        <f>C88-C89</f>
        <v>9.0381942850864538E-2</v>
      </c>
      <c r="D90" s="729">
        <f>D88-D89</f>
        <v>6.5326775467772435E-2</v>
      </c>
      <c r="E90" s="730">
        <f t="shared" si="10"/>
        <v>2.5055167383092103E-2</v>
      </c>
      <c r="F90" s="542"/>
      <c r="G90" s="542"/>
      <c r="H90" s="542"/>
      <c r="I90" s="542"/>
      <c r="J90" s="2"/>
      <c r="K90" s="2"/>
      <c r="L90" s="2"/>
      <c r="M90" s="2"/>
      <c r="N90" s="2"/>
      <c r="O90" s="2"/>
      <c r="P90" s="2"/>
      <c r="Q90" s="2"/>
    </row>
    <row r="91" spans="1:17">
      <c r="A91" s="542"/>
      <c r="B91" s="542" t="s">
        <v>2417</v>
      </c>
      <c r="C91" s="680">
        <f>C74-C81</f>
        <v>0</v>
      </c>
      <c r="D91" s="680">
        <f>D74-D81</f>
        <v>0</v>
      </c>
      <c r="E91" s="680"/>
      <c r="F91" s="542"/>
      <c r="G91" s="542" t="s">
        <v>2119</v>
      </c>
      <c r="H91" s="542"/>
      <c r="I91" s="542"/>
      <c r="J91" s="2"/>
      <c r="K91" s="2"/>
      <c r="L91" s="2"/>
      <c r="M91" s="2"/>
      <c r="N91" s="2"/>
      <c r="O91" s="2"/>
      <c r="P91" s="2"/>
      <c r="Q91" s="2"/>
    </row>
    <row r="92" spans="1:17" ht="3.95" customHeight="1">
      <c r="A92" s="542"/>
      <c r="B92" s="542"/>
      <c r="C92" s="572"/>
      <c r="D92" s="572"/>
      <c r="E92" s="572"/>
      <c r="F92" s="542"/>
      <c r="G92" s="542"/>
      <c r="H92" s="542"/>
      <c r="I92" s="542"/>
      <c r="J92" s="2"/>
      <c r="K92" s="2"/>
      <c r="L92" s="2"/>
      <c r="M92" s="2"/>
      <c r="N92" s="2"/>
      <c r="O92" s="2"/>
      <c r="P92" s="2"/>
      <c r="Q92" s="2"/>
    </row>
    <row r="93" spans="1:17">
      <c r="A93" s="542"/>
      <c r="B93" s="570" t="s">
        <v>2181</v>
      </c>
      <c r="C93" s="703"/>
      <c r="D93" s="703"/>
      <c r="E93" s="703"/>
      <c r="F93" s="542"/>
      <c r="G93" s="542"/>
      <c r="H93" s="542"/>
      <c r="I93" s="542"/>
      <c r="J93" s="2"/>
      <c r="K93" s="2"/>
      <c r="L93" s="2"/>
      <c r="M93" s="2"/>
      <c r="N93" s="2"/>
      <c r="O93" s="2"/>
      <c r="P93" s="2"/>
      <c r="Q93" s="2"/>
    </row>
    <row r="94" spans="1:17">
      <c r="A94" s="542"/>
      <c r="B94" s="542" t="s">
        <v>2420</v>
      </c>
      <c r="C94" s="706">
        <f>'Partnership Analysis'!$D$87</f>
        <v>4194.0567231864397</v>
      </c>
      <c r="D94" s="722">
        <v>0</v>
      </c>
      <c r="E94" s="608">
        <f t="shared" ref="E94:E99" si="11">C94-D94</f>
        <v>4194.0567231864397</v>
      </c>
      <c r="F94" s="542"/>
      <c r="G94" s="542" t="s">
        <v>2421</v>
      </c>
      <c r="H94" s="542"/>
      <c r="I94" s="542"/>
      <c r="J94" s="2"/>
      <c r="K94" s="2"/>
      <c r="L94" s="2"/>
      <c r="M94" s="2"/>
      <c r="N94" s="2"/>
      <c r="O94" s="2"/>
      <c r="P94" s="2"/>
      <c r="Q94" s="2"/>
    </row>
    <row r="95" spans="1:17">
      <c r="A95" s="542"/>
      <c r="B95" s="559" t="s">
        <v>2422</v>
      </c>
      <c r="C95" s="704">
        <f>'Partnership Analysis'!$D$88</f>
        <v>219.37180338120552</v>
      </c>
      <c r="D95" s="704">
        <f>'100% Buyout Analysis'!$C$118</f>
        <v>531.247184936949</v>
      </c>
      <c r="E95" s="680">
        <f t="shared" si="11"/>
        <v>-311.8753815557435</v>
      </c>
      <c r="F95" s="542"/>
      <c r="G95" s="542"/>
      <c r="H95" s="542"/>
      <c r="I95" s="542"/>
      <c r="J95" s="2"/>
      <c r="K95" s="2"/>
      <c r="L95" s="2"/>
      <c r="M95" s="2"/>
      <c r="N95" s="2"/>
      <c r="O95" s="2"/>
      <c r="P95" s="2"/>
      <c r="Q95" s="2"/>
    </row>
    <row r="96" spans="1:17">
      <c r="A96" s="542"/>
      <c r="B96" s="559" t="s">
        <v>2423</v>
      </c>
      <c r="C96" s="704">
        <f>'Partnership Analysis'!$D$89</f>
        <v>4020.4170056956877</v>
      </c>
      <c r="D96" s="704">
        <f>'100% Buyout Analysis'!$C$117</f>
        <v>6802.0000000000009</v>
      </c>
      <c r="E96" s="680">
        <f t="shared" si="11"/>
        <v>-2781.5829943043132</v>
      </c>
      <c r="F96" s="542"/>
      <c r="G96" s="542"/>
      <c r="H96" s="542"/>
      <c r="I96" s="542"/>
      <c r="J96" s="2"/>
      <c r="K96" s="2"/>
      <c r="L96" s="2"/>
      <c r="M96" s="2"/>
      <c r="N96" s="2"/>
      <c r="O96" s="2"/>
      <c r="P96" s="2"/>
      <c r="Q96" s="2"/>
    </row>
    <row r="97" spans="1:17">
      <c r="A97" s="542"/>
      <c r="B97" s="559" t="s">
        <v>2065</v>
      </c>
      <c r="C97" s="704">
        <f>'Partnership Analysis'!$D$90</f>
        <v>650</v>
      </c>
      <c r="D97" s="704">
        <f>'100% Buyout Analysis'!$C$119</f>
        <v>500</v>
      </c>
      <c r="E97" s="680">
        <f t="shared" si="11"/>
        <v>150</v>
      </c>
      <c r="F97" s="542"/>
      <c r="G97" s="542"/>
      <c r="H97" s="542"/>
      <c r="I97" s="542"/>
      <c r="J97" s="2"/>
      <c r="K97" s="2"/>
      <c r="L97" s="2"/>
      <c r="M97" s="2"/>
      <c r="N97" s="2"/>
      <c r="O97" s="2"/>
      <c r="P97" s="2"/>
      <c r="Q97" s="2"/>
    </row>
    <row r="98" spans="1:17">
      <c r="A98" s="542"/>
      <c r="B98" s="559" t="s">
        <v>2292</v>
      </c>
      <c r="C98" s="704">
        <f>'Partnership Analysis'!$D$91</f>
        <v>0</v>
      </c>
      <c r="D98" s="704">
        <f>'100% Buyout Analysis'!$C$120</f>
        <v>500</v>
      </c>
      <c r="E98" s="680">
        <f t="shared" si="11"/>
        <v>-500</v>
      </c>
      <c r="F98" s="542"/>
      <c r="G98" s="542"/>
      <c r="H98" s="542"/>
      <c r="I98" s="542"/>
      <c r="J98" s="2"/>
      <c r="K98" s="2"/>
      <c r="L98" s="2"/>
      <c r="M98" s="2"/>
      <c r="N98" s="2"/>
      <c r="O98" s="2"/>
      <c r="P98" s="2"/>
      <c r="Q98" s="2"/>
    </row>
    <row r="99" spans="1:17">
      <c r="A99" s="542"/>
      <c r="B99" s="712" t="s">
        <v>2424</v>
      </c>
      <c r="C99" s="711">
        <f>SUM(C94:C98)</f>
        <v>9083.8455322633326</v>
      </c>
      <c r="D99" s="711">
        <f>SUM(D94:D98)</f>
        <v>8333.2471849369504</v>
      </c>
      <c r="E99" s="713">
        <f t="shared" si="11"/>
        <v>750.59834732638228</v>
      </c>
      <c r="F99" s="542"/>
      <c r="G99" s="542"/>
      <c r="H99" s="542"/>
      <c r="I99" s="542"/>
      <c r="J99" s="2"/>
      <c r="K99" s="2"/>
      <c r="L99" s="2"/>
      <c r="M99" s="2"/>
      <c r="N99" s="2"/>
      <c r="O99" s="2"/>
      <c r="P99" s="2"/>
      <c r="Q99" s="2"/>
    </row>
    <row r="100" spans="1:17">
      <c r="A100" s="542"/>
      <c r="B100" s="542" t="s">
        <v>2425</v>
      </c>
      <c r="C100" s="680">
        <f>C99-C81</f>
        <v>0</v>
      </c>
      <c r="D100" s="680">
        <f>D99-D81</f>
        <v>0</v>
      </c>
      <c r="E100" s="680"/>
      <c r="F100" s="542"/>
      <c r="G100" s="542" t="s">
        <v>2119</v>
      </c>
      <c r="H100" s="542"/>
      <c r="I100" s="542"/>
      <c r="J100" s="2"/>
      <c r="K100" s="2"/>
      <c r="L100" s="2"/>
      <c r="M100" s="2"/>
      <c r="N100" s="2"/>
      <c r="O100" s="2"/>
      <c r="P100" s="2"/>
      <c r="Q100" s="2"/>
    </row>
    <row r="101" spans="1:17" ht="3.95" customHeight="1">
      <c r="A101" s="542"/>
      <c r="B101" s="542"/>
      <c r="C101" s="572"/>
      <c r="D101" s="572"/>
      <c r="E101" s="572"/>
      <c r="F101" s="542"/>
      <c r="G101" s="542"/>
      <c r="H101" s="542"/>
      <c r="I101" s="542"/>
      <c r="J101" s="2"/>
      <c r="K101" s="2"/>
      <c r="L101" s="2"/>
      <c r="M101" s="2"/>
      <c r="N101" s="2"/>
      <c r="O101" s="2"/>
      <c r="P101" s="2"/>
      <c r="Q101" s="2"/>
    </row>
    <row r="102" spans="1:17">
      <c r="A102" s="542"/>
      <c r="B102" s="570" t="s">
        <v>2485</v>
      </c>
      <c r="C102" s="703"/>
      <c r="D102" s="703"/>
      <c r="E102" s="703"/>
      <c r="F102" s="542"/>
      <c r="G102" s="542"/>
      <c r="H102" s="542"/>
      <c r="I102" s="542"/>
      <c r="J102" s="2"/>
      <c r="K102" s="2"/>
      <c r="L102" s="2"/>
      <c r="M102" s="2"/>
      <c r="N102" s="2"/>
      <c r="O102" s="2"/>
      <c r="P102" s="2"/>
      <c r="Q102" s="2"/>
    </row>
    <row r="103" spans="1:17">
      <c r="A103" s="542"/>
      <c r="B103" s="542" t="s">
        <v>2100</v>
      </c>
      <c r="C103" s="707">
        <f>'Partnership Analysis'!$C$136</f>
        <v>1.2778458633955196</v>
      </c>
      <c r="D103" s="700" t="s">
        <v>2418</v>
      </c>
      <c r="E103" s="700" t="str">
        <f>IF(ISNUMBER(D103),C103-D103,"n/m")</f>
        <v>n/m</v>
      </c>
      <c r="F103" s="542"/>
      <c r="G103" s="542" t="s">
        <v>2419</v>
      </c>
      <c r="H103" s="542"/>
      <c r="I103" s="542"/>
      <c r="J103" s="2"/>
      <c r="K103" s="2"/>
      <c r="L103" s="2"/>
      <c r="M103" s="2"/>
      <c r="N103" s="2"/>
      <c r="O103" s="2"/>
      <c r="P103" s="2"/>
      <c r="Q103" s="2"/>
    </row>
    <row r="104" spans="1:17">
      <c r="A104" s="542"/>
      <c r="B104" s="542" t="s">
        <v>2147</v>
      </c>
      <c r="C104" s="706">
        <f>'Partnership Analysis'!$C$137</f>
        <v>108260.36488515696</v>
      </c>
      <c r="D104" s="706">
        <f>'100% Buyout Analysis'!$C$133</f>
        <v>156816.06615241745</v>
      </c>
      <c r="E104" s="608">
        <f>C104-D104</f>
        <v>-48555.701267260491</v>
      </c>
      <c r="F104" s="542"/>
      <c r="G104" s="542"/>
      <c r="H104" s="542"/>
      <c r="I104" s="542"/>
      <c r="J104" s="2"/>
      <c r="K104" s="2"/>
      <c r="L104" s="2"/>
      <c r="M104" s="2"/>
      <c r="N104" s="2"/>
      <c r="O104" s="2"/>
      <c r="P104" s="2"/>
      <c r="Q104" s="2"/>
    </row>
    <row r="105" spans="1:17">
      <c r="A105" s="542"/>
      <c r="B105" s="542" t="s">
        <v>2148</v>
      </c>
      <c r="C105" s="721">
        <f>'Partnership Analysis'!$C$138</f>
        <v>11.591141430944759</v>
      </c>
      <c r="D105" s="721">
        <f>'100% Buyout Analysis'!$C$134</f>
        <v>16.796090480248772</v>
      </c>
      <c r="E105" s="702">
        <f>C105-D105</f>
        <v>-5.2049490493040125</v>
      </c>
      <c r="F105" s="542"/>
      <c r="G105" s="542"/>
      <c r="H105" s="542"/>
      <c r="I105" s="542"/>
      <c r="J105" s="2"/>
      <c r="K105" s="2"/>
      <c r="L105" s="2"/>
      <c r="M105" s="2"/>
      <c r="N105" s="2"/>
      <c r="O105" s="2"/>
      <c r="P105" s="2"/>
      <c r="Q105" s="2"/>
    </row>
    <row r="106" spans="1:17">
      <c r="A106" s="542"/>
      <c r="B106" s="542" t="s">
        <v>2149</v>
      </c>
      <c r="C106" s="704">
        <f>'Partnership Analysis'!$C$139</f>
        <v>52.986228625586691</v>
      </c>
      <c r="D106" s="704">
        <f>'100% Buyout Analysis'!$C$135</f>
        <v>105.96740499845221</v>
      </c>
      <c r="E106" s="680">
        <f>C106-D106</f>
        <v>-52.981176372865519</v>
      </c>
      <c r="F106" s="542"/>
      <c r="G106" s="542"/>
      <c r="H106" s="542"/>
      <c r="I106" s="542"/>
      <c r="J106" s="2"/>
      <c r="K106" s="2"/>
      <c r="L106" s="2"/>
      <c r="M106" s="2"/>
      <c r="N106" s="2"/>
      <c r="O106" s="2"/>
      <c r="P106" s="2"/>
      <c r="Q106" s="2"/>
    </row>
    <row r="107" spans="1:17">
      <c r="A107" s="542"/>
      <c r="B107" s="542" t="s">
        <v>2366</v>
      </c>
      <c r="C107" s="705">
        <f>'Partnership Analysis'!$C$141</f>
        <v>0.40707166324338928</v>
      </c>
      <c r="D107" s="705">
        <f>'100% Buyout Analysis'!$C$136</f>
        <v>0.15920673907497873</v>
      </c>
      <c r="E107" s="699">
        <f>C107-D107</f>
        <v>0.24786492416841055</v>
      </c>
      <c r="F107" s="542"/>
      <c r="G107" s="542"/>
      <c r="H107" s="542"/>
      <c r="I107" s="542"/>
      <c r="J107" s="2"/>
      <c r="K107" s="2"/>
      <c r="L107" s="2"/>
      <c r="M107" s="2"/>
      <c r="N107" s="2"/>
      <c r="O107" s="2"/>
      <c r="P107" s="2"/>
      <c r="Q107" s="2"/>
    </row>
    <row r="108" spans="1:17">
      <c r="A108" s="542"/>
      <c r="B108" s="542" t="s">
        <v>2150</v>
      </c>
      <c r="C108" s="714">
        <f>'Partnership Analysis'!$C$140</f>
        <v>0.12774199395700969</v>
      </c>
      <c r="D108" s="714">
        <f>'100% Buyout Analysis'!$C$137</f>
        <v>0.21465018998633023</v>
      </c>
      <c r="E108" s="701">
        <f>C108-D108</f>
        <v>-8.6908196029320539E-2</v>
      </c>
      <c r="F108" s="542"/>
      <c r="G108" s="542"/>
      <c r="H108" s="542"/>
      <c r="I108" s="542"/>
      <c r="J108" s="2"/>
      <c r="K108" s="2"/>
      <c r="L108" s="2"/>
      <c r="M108" s="2"/>
      <c r="N108" s="2"/>
      <c r="O108" s="2"/>
      <c r="P108" s="2"/>
      <c r="Q108" s="2"/>
    </row>
    <row r="109" spans="1:17" ht="3.95" customHeight="1">
      <c r="A109" s="542"/>
      <c r="B109" s="542"/>
      <c r="C109" s="572"/>
      <c r="D109" s="572"/>
      <c r="E109" s="572"/>
      <c r="F109" s="542"/>
      <c r="G109" s="542"/>
      <c r="H109" s="542"/>
      <c r="I109" s="542"/>
      <c r="J109" s="2"/>
      <c r="K109" s="2"/>
      <c r="L109" s="2"/>
      <c r="M109" s="2"/>
      <c r="N109" s="2"/>
      <c r="O109" s="2"/>
      <c r="P109" s="2"/>
      <c r="Q109" s="2"/>
    </row>
    <row r="110" spans="1:17">
      <c r="A110" s="542"/>
      <c r="B110" s="570" t="s">
        <v>2486</v>
      </c>
      <c r="C110" s="703"/>
      <c r="D110" s="703"/>
      <c r="E110" s="703"/>
      <c r="F110" s="542"/>
      <c r="G110" s="542"/>
      <c r="H110" s="542"/>
      <c r="I110" s="542"/>
      <c r="J110" s="2"/>
      <c r="K110" s="2"/>
      <c r="L110" s="2"/>
      <c r="M110" s="2"/>
      <c r="N110" s="2"/>
      <c r="O110" s="2"/>
      <c r="P110" s="2"/>
      <c r="Q110" s="2"/>
    </row>
    <row r="111" spans="1:17">
      <c r="A111" s="542"/>
      <c r="B111" s="542" t="s">
        <v>2432</v>
      </c>
      <c r="C111" s="700">
        <f>'Partnership Analysis'!$D$136-C103</f>
        <v>0.72215413660448036</v>
      </c>
      <c r="D111" s="700" t="s">
        <v>2418</v>
      </c>
      <c r="E111" s="700" t="str">
        <f>IF(ISNUMBER(D111),C111-D111,"n/m")</f>
        <v>n/m</v>
      </c>
      <c r="F111" s="542"/>
      <c r="G111" s="542" t="s">
        <v>2433</v>
      </c>
      <c r="H111" s="542"/>
      <c r="I111" s="542"/>
      <c r="J111" s="2"/>
      <c r="K111" s="2"/>
      <c r="L111" s="2"/>
      <c r="M111" s="2"/>
      <c r="N111" s="2"/>
      <c r="O111" s="2"/>
      <c r="P111" s="2"/>
      <c r="Q111" s="2"/>
    </row>
    <row r="112" spans="1:17">
      <c r="A112" s="542"/>
      <c r="B112" s="542" t="s">
        <v>2434</v>
      </c>
      <c r="C112" s="608">
        <f>'Partnership Analysis'!$D$137-C104</f>
        <v>71089.635114843069</v>
      </c>
      <c r="D112" s="608">
        <f>'100% Buyout Analysis'!$D$133-D104</f>
        <v>22183.933847582579</v>
      </c>
      <c r="E112" s="608">
        <f>C112-D112</f>
        <v>48905.701267260491</v>
      </c>
      <c r="F112" s="542"/>
      <c r="G112" s="542" t="s">
        <v>2435</v>
      </c>
      <c r="H112" s="542"/>
      <c r="I112" s="542"/>
      <c r="J112" s="2"/>
      <c r="K112" s="2"/>
      <c r="L112" s="2"/>
      <c r="M112" s="2"/>
      <c r="N112" s="2"/>
      <c r="O112" s="2"/>
      <c r="P112" s="2"/>
      <c r="Q112" s="2"/>
    </row>
    <row r="113" spans="1:17">
      <c r="A113" s="542"/>
      <c r="B113" s="542" t="s">
        <v>2436</v>
      </c>
      <c r="C113" s="702">
        <f>'Partnership Analysis'!$D$138-C105</f>
        <v>7.5659466916606064</v>
      </c>
      <c r="D113" s="702">
        <f>'100% Buyout Analysis'!$D$134-D105</f>
        <v>2.3609976423565939</v>
      </c>
      <c r="E113" s="702">
        <f>C113-D113</f>
        <v>5.2049490493040125</v>
      </c>
      <c r="F113" s="542"/>
      <c r="G113" s="542" t="s">
        <v>2437</v>
      </c>
      <c r="H113" s="542"/>
      <c r="I113" s="542"/>
      <c r="J113" s="2"/>
      <c r="K113" s="2"/>
      <c r="L113" s="2"/>
      <c r="M113" s="2"/>
      <c r="N113" s="2"/>
      <c r="O113" s="2"/>
      <c r="P113" s="2"/>
      <c r="Q113" s="2"/>
    </row>
    <row r="114" spans="1:17">
      <c r="A114" s="542"/>
      <c r="B114" s="542" t="s">
        <v>2438</v>
      </c>
      <c r="C114" s="680">
        <f>'Partnership Analysis'!$D$139-C106</f>
        <v>77.013771374413309</v>
      </c>
      <c r="D114" s="680">
        <f>'100% Buyout Analysis'!$D$135-D106</f>
        <v>24.03259500154779</v>
      </c>
      <c r="E114" s="680">
        <f>C114-D114</f>
        <v>52.981176372865519</v>
      </c>
      <c r="F114" s="542"/>
      <c r="G114" s="542" t="s">
        <v>2439</v>
      </c>
      <c r="H114" s="542"/>
      <c r="I114" s="542"/>
      <c r="J114" s="2"/>
      <c r="K114" s="2"/>
      <c r="L114" s="2"/>
      <c r="M114" s="2"/>
      <c r="N114" s="2"/>
      <c r="O114" s="2"/>
      <c r="P114" s="2"/>
      <c r="Q114" s="2"/>
    </row>
    <row r="115" spans="1:17">
      <c r="A115" s="542"/>
      <c r="B115" s="542" t="s">
        <v>2440</v>
      </c>
      <c r="C115" s="701">
        <f>C107-'Partnership Analysis'!$D$141</f>
        <v>0.35707166324338929</v>
      </c>
      <c r="D115" s="701">
        <f>D107-'100% Buyout Analysis'!$D$136</f>
        <v>0.10920673907497873</v>
      </c>
      <c r="E115" s="701">
        <f>C115-D115</f>
        <v>0.24786492416841055</v>
      </c>
      <c r="F115" s="542"/>
      <c r="G115" s="542" t="s">
        <v>2441</v>
      </c>
      <c r="H115" s="542"/>
      <c r="I115" s="542"/>
      <c r="J115" s="2"/>
      <c r="K115" s="2"/>
      <c r="L115" s="2"/>
      <c r="M115" s="2"/>
      <c r="N115" s="2"/>
      <c r="O115" s="2"/>
      <c r="P115" s="2"/>
      <c r="Q115" s="2"/>
    </row>
    <row r="116" spans="1:17">
      <c r="A116" s="542"/>
      <c r="B116" s="542" t="s">
        <v>2442</v>
      </c>
      <c r="C116" s="701">
        <f>'Partnership Analysis'!$D$140-C108</f>
        <v>0.11980275210184033</v>
      </c>
      <c r="D116" s="701">
        <f>'100% Buyout Analysis'!$D$137-D108</f>
        <v>3.2473409273357623E-2</v>
      </c>
      <c r="E116" s="701">
        <f>C116-D116</f>
        <v>8.7329342828482703E-2</v>
      </c>
      <c r="F116" s="542"/>
      <c r="G116" s="542" t="s">
        <v>2443</v>
      </c>
      <c r="H116" s="542"/>
      <c r="I116" s="542"/>
      <c r="J116" s="2"/>
      <c r="K116" s="2"/>
      <c r="L116" s="2"/>
      <c r="M116" s="2"/>
      <c r="N116" s="2"/>
      <c r="O116" s="2"/>
      <c r="P116" s="2"/>
      <c r="Q116" s="2"/>
    </row>
    <row r="117" spans="1:17" ht="3.9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5" customHeight="1">
      <c r="B118" s="570" t="s">
        <v>2487</v>
      </c>
      <c r="C118" s="703"/>
      <c r="D118" s="703"/>
      <c r="E118" s="703"/>
      <c r="F118" s="542"/>
      <c r="G118" s="542" t="s">
        <v>2522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5" customHeight="1">
      <c r="B119" s="542" t="s">
        <v>2488</v>
      </c>
      <c r="C119" s="608">
        <f>C22+C$135/(1-C$135)*('Partnership Analysis'!$D$81+C22+C24)</f>
        <v>5000.0000000000009</v>
      </c>
      <c r="D119" s="608">
        <f>D22+D$135/(1-D$135)*('100% Buyout Analysis'!$D$75+D22+D24)</f>
        <v>8000.0000000000018</v>
      </c>
      <c r="E119" s="608">
        <f t="shared" ref="E119:E124" si="12">C119-D119</f>
        <v>-3000.0000000000009</v>
      </c>
      <c r="F119" s="542"/>
      <c r="G119" s="542" t="s">
        <v>2523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5" customHeight="1">
      <c r="B120" s="542" t="s">
        <v>2489</v>
      </c>
      <c r="C120" s="680">
        <f>IFERROR(C119/C$20/C$15,0)</f>
        <v>3571.4285714285725</v>
      </c>
      <c r="D120" s="680">
        <f>IFERROR(D119/D$20/D$15,0)</f>
        <v>4000.0000000000009</v>
      </c>
      <c r="E120" s="680">
        <f t="shared" si="12"/>
        <v>-428.57142857142844</v>
      </c>
      <c r="F120" s="542"/>
      <c r="G120" s="542" t="s">
        <v>2490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5" customHeight="1">
      <c r="B121" s="542" t="s">
        <v>2080</v>
      </c>
      <c r="C121" s="700">
        <f>IFERROR(C119/C$20/('Partnership Analysis'!$C$47+'Partnership Analysis'!$C$42),0)</f>
        <v>1.0218541542419126</v>
      </c>
      <c r="D121" s="700">
        <f>IFERROR(D119/D$20/('100% Buyout Analysis'!$C$46+'100% Buyout Analysis'!$C$41),0)</f>
        <v>1.144476652750942</v>
      </c>
      <c r="E121" s="700">
        <f t="shared" si="12"/>
        <v>-0.1226224985090294</v>
      </c>
      <c r="F121" s="542"/>
      <c r="G121" s="542" t="s">
        <v>2491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5" customHeight="1">
      <c r="B122" s="542" t="s">
        <v>2492</v>
      </c>
      <c r="C122" s="766">
        <f>IFERROR((C120-'Partnership Analysis'!$C$47)/'Partnership Analysis'!$C$36/C$7,0)</f>
        <v>6.8891979877330503</v>
      </c>
      <c r="D122" s="766">
        <f>IFERROR((D120-'100% Buyout Analysis'!$C$46)/'100% Buyout Analysis'!$C$35/D$7,0)</f>
        <v>12.042937872552807</v>
      </c>
      <c r="E122" s="766">
        <f t="shared" si="12"/>
        <v>-5.1537398848197569</v>
      </c>
      <c r="F122" s="542"/>
      <c r="G122" s="542" t="s">
        <v>2493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5" customHeight="1">
      <c r="B123" s="542" t="s">
        <v>2494</v>
      </c>
      <c r="C123" s="766">
        <f>IFERROR((C120-'Partnership Analysis'!$C$47)/'Partnership Analysis'!$C$41,0)</f>
        <v>2.3870314642857182</v>
      </c>
      <c r="D123" s="766">
        <f>IFERROR((D120-'100% Buyout Analysis'!$C$46)/'100% Buyout Analysis'!$C$40,0)</f>
        <v>4.1727457500000034</v>
      </c>
      <c r="E123" s="766">
        <f t="shared" si="12"/>
        <v>-1.7857142857142851</v>
      </c>
      <c r="F123" s="542"/>
      <c r="G123" s="542" t="s">
        <v>2495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5" customHeight="1">
      <c r="B124" s="542" t="s">
        <v>2496</v>
      </c>
      <c r="C124" s="701">
        <f>IFERROR((C120/'Partnership Analysis'!$C$47)^(1/C$7)-1,0)</f>
        <v>3.5586534725546626E-2</v>
      </c>
      <c r="D124" s="701">
        <f>IFERROR((D120/'100% Buyout Analysis'!$C$46)^(1/D$7)-1,0)</f>
        <v>5.9326896882016866E-2</v>
      </c>
      <c r="E124" s="701">
        <f t="shared" si="12"/>
        <v>-2.3740362156470241E-2</v>
      </c>
      <c r="F124" s="542"/>
      <c r="G124" s="542" t="s">
        <v>2497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3.95" customHeight="1">
      <c r="B125" s="542"/>
      <c r="C125" s="572"/>
      <c r="D125" s="572"/>
      <c r="E125" s="572"/>
      <c r="F125" s="542"/>
      <c r="G125" s="54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5" customHeight="1">
      <c r="B126" s="570" t="s">
        <v>2498</v>
      </c>
      <c r="C126" s="703"/>
      <c r="D126" s="703"/>
      <c r="E126" s="703"/>
      <c r="F126" s="542"/>
      <c r="G126" s="54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5" customHeight="1">
      <c r="B127" s="542" t="s">
        <v>2499</v>
      </c>
      <c r="C127" s="608">
        <f>C42-C119</f>
        <v>4786.1323541016909</v>
      </c>
      <c r="D127" s="608">
        <f>D42-D119</f>
        <v>5980.1890772881306</v>
      </c>
      <c r="E127" s="608">
        <f t="shared" ref="E127:E132" si="13">C127-D127</f>
        <v>-1194.0567231864397</v>
      </c>
      <c r="F127" s="542"/>
      <c r="G127" s="542" t="s">
        <v>2500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5" customHeight="1">
      <c r="B128" s="542" t="s">
        <v>2501</v>
      </c>
      <c r="C128" s="680">
        <f>'Partnership Analysis'!$C$47+'Partnership Analysis'!$C$42-C120</f>
        <v>3418.6659672154938</v>
      </c>
      <c r="D128" s="680">
        <f>'100% Buyout Analysis'!$C$46+'100% Buyout Analysis'!$C$41-D120</f>
        <v>2990.0945386440653</v>
      </c>
      <c r="E128" s="680">
        <f t="shared" si="13"/>
        <v>428.57142857142844</v>
      </c>
      <c r="F128" s="542"/>
      <c r="G128" s="542" t="s">
        <v>2502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5" customHeight="1">
      <c r="B129" s="542" t="s">
        <v>2503</v>
      </c>
      <c r="C129" s="700">
        <f>C$15-C121</f>
        <v>0.97814584575808738</v>
      </c>
      <c r="D129" s="700">
        <f>D$15-D121</f>
        <v>0.85552334724905799</v>
      </c>
      <c r="E129" s="700">
        <f t="shared" si="13"/>
        <v>0.1226224985090294</v>
      </c>
      <c r="F129" s="542"/>
      <c r="G129" s="542" t="s">
        <v>2504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5" customHeight="1">
      <c r="B130" s="542" t="s">
        <v>2505</v>
      </c>
      <c r="C130" s="766">
        <f>'Partnership Analysis'!$C$40-C122</f>
        <v>41.110802012266952</v>
      </c>
      <c r="D130" s="766">
        <f>'100% Buyout Analysis'!$C$39-D122</f>
        <v>35.957062127447195</v>
      </c>
      <c r="E130" s="766">
        <f t="shared" si="13"/>
        <v>5.1537398848197569</v>
      </c>
      <c r="F130" s="542"/>
      <c r="G130" s="542" t="s">
        <v>2506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5" customHeight="1">
      <c r="B131" s="542" t="s">
        <v>2507</v>
      </c>
      <c r="C131" s="766">
        <f>'Partnership Analysis'!$C$36-C123</f>
        <v>14.244441530064558</v>
      </c>
      <c r="D131" s="766">
        <f>'100% Buyout Analysis'!$C$35-D123</f>
        <v>12.458727244350271</v>
      </c>
      <c r="E131" s="766">
        <f t="shared" si="13"/>
        <v>1.7857142857142865</v>
      </c>
      <c r="F131" s="542"/>
      <c r="G131" s="542" t="s">
        <v>2508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5" customHeight="1">
      <c r="B132" s="542" t="s">
        <v>2509</v>
      </c>
      <c r="C132" s="701">
        <f>IFERROR((('Partnership Analysis'!$C$47+'Partnership Analysis'!$C$42)/'Partnership Analysis'!$C$47)^(1/C$7)-1,0)-C124</f>
        <v>0.14885768000358879</v>
      </c>
      <c r="D132" s="701">
        <f>IFERROR((('100% Buyout Analysis'!$C$46+'100% Buyout Analysis'!$C$41)/'100% Buyout Analysis'!$C$46)^(1/D$7)-1,0)-D124</f>
        <v>0.12511731784711855</v>
      </c>
      <c r="E132" s="701">
        <f t="shared" si="13"/>
        <v>2.3740362156470241E-2</v>
      </c>
      <c r="F132" s="542"/>
      <c r="G132" s="542" t="s">
        <v>2443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3.9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>
      <c r="B134" s="570" t="s">
        <v>2444</v>
      </c>
      <c r="C134" s="703"/>
      <c r="D134" s="703"/>
      <c r="E134" s="70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>
      <c r="A135" s="542"/>
      <c r="B135" s="542" t="s">
        <v>2397</v>
      </c>
      <c r="C135" s="714">
        <f>'Partnership Analysis'!$C$193</f>
        <v>2.3596419853539462E-2</v>
      </c>
      <c r="D135" s="714">
        <f>'100% Buyout Analysis'!$C$178</f>
        <v>0.04</v>
      </c>
      <c r="E135" s="701">
        <f>C135-D135</f>
        <v>-1.6403580146460539E-2</v>
      </c>
      <c r="F135" s="542"/>
      <c r="G135" s="542"/>
      <c r="H135" s="542"/>
      <c r="I135" s="542"/>
      <c r="J135" s="2"/>
      <c r="K135" s="2"/>
      <c r="L135" s="2"/>
      <c r="M135" s="2"/>
      <c r="N135" s="2"/>
      <c r="O135" s="2"/>
      <c r="P135" s="2"/>
      <c r="Q135" s="2"/>
    </row>
    <row r="136" spans="1:17">
      <c r="A136" s="542"/>
      <c r="B136" s="542" t="s">
        <v>2369</v>
      </c>
      <c r="C136" s="714">
        <f>'Partnership Analysis'!$D$193</f>
        <v>2.2416598860862488E-2</v>
      </c>
      <c r="D136" s="714">
        <f>'100% Buyout Analysis'!$D$178</f>
        <v>3.7999999999999999E-2</v>
      </c>
      <c r="E136" s="701">
        <f>C136-D136</f>
        <v>-1.5583401139137511E-2</v>
      </c>
      <c r="F136" s="542"/>
      <c r="G136" s="542"/>
      <c r="H136" s="542"/>
      <c r="I136" s="542"/>
      <c r="J136" s="2"/>
      <c r="K136" s="2"/>
      <c r="L136" s="2"/>
      <c r="M136" s="2"/>
      <c r="N136" s="2"/>
      <c r="O136" s="2"/>
      <c r="P136" s="2"/>
      <c r="Q136" s="2"/>
    </row>
    <row r="137" spans="1:17">
      <c r="A137" s="542"/>
      <c r="B137" s="542" t="s">
        <v>2398</v>
      </c>
      <c r="C137" s="701">
        <f>1-C135</f>
        <v>0.97640358014646056</v>
      </c>
      <c r="D137" s="701">
        <f>1-D135</f>
        <v>0.96</v>
      </c>
      <c r="E137" s="701">
        <f>C137-D137</f>
        <v>1.6403580146460595E-2</v>
      </c>
      <c r="F137" s="542"/>
      <c r="G137" s="542" t="s">
        <v>2399</v>
      </c>
      <c r="H137" s="542"/>
      <c r="I137" s="542"/>
      <c r="J137" s="2"/>
      <c r="K137" s="2"/>
      <c r="L137" s="2"/>
      <c r="M137" s="2"/>
      <c r="N137" s="2"/>
      <c r="O137" s="2"/>
      <c r="P137" s="2"/>
      <c r="Q137" s="2"/>
    </row>
    <row r="138" spans="1:17">
      <c r="A138" s="542"/>
      <c r="B138" s="542" t="s">
        <v>2400</v>
      </c>
      <c r="C138" s="701">
        <f>C137*(1-C$8)</f>
        <v>0.92758340113913751</v>
      </c>
      <c r="D138" s="701">
        <f>D137*(1-D$8)</f>
        <v>0.91199999999999992</v>
      </c>
      <c r="E138" s="701">
        <f>C138-D138</f>
        <v>1.5583401139137587E-2</v>
      </c>
      <c r="F138" s="542"/>
      <c r="G138" s="542" t="s">
        <v>2401</v>
      </c>
      <c r="H138" s="542"/>
      <c r="I138" s="542"/>
      <c r="J138" s="2"/>
      <c r="K138" s="2"/>
      <c r="L138" s="2"/>
      <c r="M138" s="2"/>
      <c r="N138" s="2"/>
      <c r="O138" s="2"/>
      <c r="P138" s="2"/>
      <c r="Q138" s="2"/>
    </row>
  </sheetData>
  <conditionalFormatting sqref="B6:E54">
    <cfRule type="expression" dxfId="94" priority="1">
      <formula>$I$3=1</formula>
    </cfRule>
  </conditionalFormatting>
  <conditionalFormatting sqref="B57:E138">
    <cfRule type="expression" dxfId="93" priority="2">
      <formula>$I$3=1</formula>
    </cfRule>
  </conditionalFormatting>
  <pageMargins left="0.7" right="0.7" top="0.75" bottom="0.75" header="0.3" footer="0.3"/>
  <pageSetup scale="8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7B78-536B-42ED-838B-72A05FC9CBDE}">
  <sheetPr>
    <pageSetUpPr fitToPage="1"/>
  </sheetPr>
  <dimension ref="A1:BB297"/>
  <sheetViews>
    <sheetView showGridLines="0" view="pageBreakPreview" zoomScaleNormal="100" zoomScaleSheetLayoutView="100" workbookViewId="0"/>
  </sheetViews>
  <sheetFormatPr defaultRowHeight="15" outlineLevelRow="1"/>
  <cols>
    <col min="1" max="1" width="1.7109375" customWidth="1"/>
    <col min="2" max="2" width="9" customWidth="1"/>
    <col min="3" max="12" width="8.7109375" customWidth="1"/>
    <col min="13" max="13" width="3.140625" customWidth="1"/>
    <col min="14" max="14" width="16.85546875" customWidth="1"/>
    <col min="15" max="15" width="18.140625" customWidth="1"/>
    <col min="16" max="16" width="24.5703125" customWidth="1"/>
    <col min="17" max="17" width="29.42578125" customWidth="1"/>
    <col min="18" max="18" width="23.7109375" customWidth="1"/>
    <col min="26" max="34" width="8.7109375" customWidth="1"/>
    <col min="35" max="35" width="1.7109375" customWidth="1"/>
    <col min="36" max="44" width="8.7109375" customWidth="1"/>
  </cols>
  <sheetData>
    <row r="1" spans="1:54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</row>
    <row r="2" spans="1:54" ht="16.5">
      <c r="A2" s="417"/>
      <c r="B2" s="449" t="str">
        <f>Cover!$B$24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</row>
    <row r="3" spans="1:54">
      <c r="A3" s="417"/>
      <c r="B3" s="783" t="s">
        <v>2542</v>
      </c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809"/>
      <c r="N3" s="417" t="s">
        <v>276</v>
      </c>
      <c r="O3" s="810">
        <v>0</v>
      </c>
      <c r="P3" s="417"/>
      <c r="Q3" s="417"/>
    </row>
    <row r="4" spans="1:54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</row>
    <row r="5" spans="1:54">
      <c r="A5" s="417"/>
      <c r="B5" s="822" t="s">
        <v>2649</v>
      </c>
      <c r="C5" s="823"/>
      <c r="D5" s="823"/>
      <c r="E5" s="823"/>
      <c r="F5" s="823"/>
      <c r="G5" s="823"/>
      <c r="H5" s="823"/>
      <c r="I5" s="823"/>
      <c r="J5" s="823"/>
      <c r="K5" s="823"/>
      <c r="L5" s="823"/>
      <c r="M5" s="417"/>
      <c r="N5" s="417"/>
      <c r="O5" s="417"/>
      <c r="P5" s="417"/>
      <c r="Q5" s="417"/>
    </row>
    <row r="6" spans="1:54">
      <c r="A6" s="417"/>
      <c r="B6" s="148" t="s">
        <v>2639</v>
      </c>
      <c r="C6" s="417"/>
      <c r="D6" s="417"/>
      <c r="E6" s="417"/>
      <c r="F6" s="417"/>
      <c r="G6" s="417"/>
      <c r="H6" s="417"/>
      <c r="I6" s="417"/>
      <c r="J6" s="417"/>
      <c r="K6" s="417"/>
      <c r="L6" s="417"/>
      <c r="M6" s="417"/>
      <c r="N6" s="417"/>
      <c r="O6" s="417"/>
      <c r="P6" s="417"/>
      <c r="Q6" s="417"/>
    </row>
    <row r="7" spans="1:54" ht="2.1" customHeight="1">
      <c r="A7" s="417"/>
      <c r="B7" s="417"/>
      <c r="C7" s="417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</row>
    <row r="8" spans="1:54" ht="12.75" customHeight="1">
      <c r="A8" s="417"/>
      <c r="B8" s="454"/>
      <c r="C8" s="454"/>
      <c r="D8" s="786" t="s">
        <v>2637</v>
      </c>
      <c r="E8" s="786"/>
      <c r="F8" s="786"/>
      <c r="G8" s="786"/>
      <c r="H8" s="786"/>
      <c r="I8" s="786"/>
      <c r="J8" s="786"/>
      <c r="K8" s="786"/>
      <c r="L8" s="786"/>
      <c r="M8" s="417"/>
      <c r="N8" s="417"/>
      <c r="O8" s="417"/>
      <c r="P8" s="417"/>
      <c r="Q8" s="417"/>
      <c r="S8" s="811" t="s">
        <v>2647</v>
      </c>
      <c r="T8" s="758"/>
      <c r="U8" s="758"/>
      <c r="V8" s="758"/>
      <c r="W8" s="758"/>
      <c r="X8" s="758"/>
      <c r="Z8" s="811" t="s">
        <v>2664</v>
      </c>
      <c r="AA8" s="758"/>
      <c r="AB8" s="758"/>
      <c r="AC8" s="758"/>
      <c r="AD8" s="758"/>
      <c r="AE8" s="758"/>
      <c r="AF8" s="758"/>
      <c r="AG8" s="758"/>
      <c r="AH8" s="758"/>
    </row>
    <row r="9" spans="1:54" ht="12.75" customHeight="1">
      <c r="A9" s="417"/>
      <c r="B9" s="454"/>
      <c r="C9" s="454"/>
      <c r="D9" s="787">
        <f>E9-$G$274</f>
        <v>1</v>
      </c>
      <c r="E9" s="787">
        <f>F9-$G$274</f>
        <v>1.25</v>
      </c>
      <c r="F9" s="787">
        <f>G9-$G$274</f>
        <v>1.5</v>
      </c>
      <c r="G9" s="787">
        <f>H9-$G$274</f>
        <v>1.75</v>
      </c>
      <c r="H9" s="787">
        <f>$G$273</f>
        <v>2</v>
      </c>
      <c r="I9" s="787">
        <f>H9+$G$274</f>
        <v>2.25</v>
      </c>
      <c r="J9" s="787">
        <f>I9+$G$274</f>
        <v>2.5</v>
      </c>
      <c r="K9" s="787">
        <f>J9+$G$274</f>
        <v>2.75</v>
      </c>
      <c r="L9" s="787">
        <f>K9+$G$274</f>
        <v>3</v>
      </c>
      <c r="M9" s="417"/>
      <c r="N9" s="793" t="s">
        <v>2561</v>
      </c>
      <c r="O9" s="793" t="s">
        <v>2562</v>
      </c>
      <c r="P9" s="793" t="s">
        <v>2563</v>
      </c>
      <c r="Q9" s="793" t="s">
        <v>2564</v>
      </c>
      <c r="R9" s="793" t="s">
        <v>2565</v>
      </c>
      <c r="S9" s="812">
        <v>0</v>
      </c>
      <c r="T9" s="813">
        <f>S9+1</f>
        <v>1</v>
      </c>
      <c r="U9" s="813">
        <f>T9+1</f>
        <v>2</v>
      </c>
      <c r="V9" s="813">
        <f>U9+1</f>
        <v>3</v>
      </c>
      <c r="W9" s="813">
        <f>V9+1</f>
        <v>4</v>
      </c>
      <c r="X9" s="813">
        <f>W9+1</f>
        <v>5</v>
      </c>
      <c r="Z9" s="825">
        <f>D$9</f>
        <v>1</v>
      </c>
      <c r="AA9" s="825">
        <f t="shared" ref="AA9:AH9" si="0">E$9</f>
        <v>1.25</v>
      </c>
      <c r="AB9" s="825">
        <f t="shared" si="0"/>
        <v>1.5</v>
      </c>
      <c r="AC9" s="825">
        <f t="shared" si="0"/>
        <v>1.75</v>
      </c>
      <c r="AD9" s="825">
        <f t="shared" si="0"/>
        <v>2</v>
      </c>
      <c r="AE9" s="825">
        <f t="shared" si="0"/>
        <v>2.25</v>
      </c>
      <c r="AF9" s="825">
        <f t="shared" si="0"/>
        <v>2.5</v>
      </c>
      <c r="AG9" s="825">
        <f t="shared" si="0"/>
        <v>2.75</v>
      </c>
      <c r="AH9" s="825">
        <f t="shared" si="0"/>
        <v>3</v>
      </c>
      <c r="AT9" s="833" t="s">
        <v>2748</v>
      </c>
      <c r="AU9" s="427"/>
      <c r="AV9" s="427"/>
      <c r="AW9" s="427"/>
      <c r="AX9" s="427"/>
      <c r="AY9" s="427"/>
      <c r="AZ9" s="427"/>
      <c r="BA9" s="427"/>
      <c r="BB9" s="427"/>
    </row>
    <row r="10" spans="1:54">
      <c r="A10" s="417"/>
      <c r="B10" s="804" t="s">
        <v>2638</v>
      </c>
      <c r="C10" s="802">
        <f>C11-$G$272</f>
        <v>0.15000000000000002</v>
      </c>
      <c r="D10" s="790">
        <f>ROUND(Z10,$G$285)</f>
        <v>3400</v>
      </c>
      <c r="E10" s="790">
        <f t="shared" ref="E10:E16" si="1">ROUND(AA10,$G$285)</f>
        <v>3800</v>
      </c>
      <c r="F10" s="790">
        <f t="shared" ref="F10:F16" si="2">ROUND(AB10,$G$285)</f>
        <v>4200</v>
      </c>
      <c r="G10" s="790">
        <f t="shared" ref="G10:G16" si="3">ROUND(AC10,$G$285)</f>
        <v>4600</v>
      </c>
      <c r="H10" s="790">
        <f t="shared" ref="H10:H16" si="4">ROUND(AD10,$G$285)</f>
        <v>5000</v>
      </c>
      <c r="I10" s="790">
        <f t="shared" ref="I10:I16" si="5">ROUND(AE10,$G$285)</f>
        <v>5400</v>
      </c>
      <c r="J10" s="790">
        <f t="shared" ref="J10:J16" si="6">ROUND(AF10,$G$285)</f>
        <v>5800</v>
      </c>
      <c r="K10" s="790">
        <f t="shared" ref="K10:K16" si="7">ROUND(AG10,$G$285)</f>
        <v>6200</v>
      </c>
      <c r="L10" s="790">
        <f t="shared" ref="L10:L16" si="8">ROUND(AH10,$G$285)</f>
        <v>6600</v>
      </c>
      <c r="M10" s="417"/>
      <c r="N10" s="788">
        <f>$C10</f>
        <v>0.15000000000000002</v>
      </c>
      <c r="O10" s="428">
        <f>$G$263*(1-N10)*$G$266</f>
        <v>789.28571428571433</v>
      </c>
      <c r="P10" s="428">
        <f>$G$263*(1-N10)-O10</f>
        <v>1760.7142857142858</v>
      </c>
      <c r="Q10" s="428">
        <f>$G$265-O10</f>
        <v>59210.714285714283</v>
      </c>
      <c r="R10" s="789">
        <f>IFERROR(P10/(Q10+$G$263*(1-N10)),0)*(1-$G$267)</f>
        <v>2.708321286069508E-2</v>
      </c>
      <c r="Z10" s="367">
        <f>$O10+$G$268+$N10*$G$264+$R10*($Q10*(1+D$9)+$G$264*(1-$N10))-$G$263</f>
        <v>3415.3810042675477</v>
      </c>
      <c r="AA10" s="367">
        <f>$O10+$G$268+$N10*$G$264+$R10*($Q10*(1+E$9)+$G$264*(1-$N10))-$G$263</f>
        <v>3816.2850989259969</v>
      </c>
      <c r="AB10" s="367">
        <f>$O10+$G$268+$N10*$G$264+$R10*($Q10*(1+F$9)+$G$264*(1-$N10))-$G$263</f>
        <v>4217.1891935844469</v>
      </c>
      <c r="AC10" s="367">
        <f>$O10+$G$268+$N10*$G$264+$R10*($Q10*(1+G$9)+$G$264*(1-$N10))-$G$263</f>
        <v>4618.093288242897</v>
      </c>
      <c r="AD10" s="367">
        <f>$O10+$G$268+$N10*$G$264+$R10*($Q10*(1+H$9)+$G$264*(1-$N10))-$G$263</f>
        <v>5018.997382901347</v>
      </c>
      <c r="AE10" s="367">
        <f>$O10+$G$268+$N10*$G$264+$R10*($Q10*(1+I$9)+$G$264*(1-$N10))-$G$263</f>
        <v>5419.9014775597971</v>
      </c>
      <c r="AF10" s="367">
        <f>$O10+$G$268+$N10*$G$264+$R10*($Q10*(1+J$9)+$G$264*(1-$N10))-$G$263</f>
        <v>5820.8055722182471</v>
      </c>
      <c r="AG10" s="367">
        <f>$O10+$G$268+$N10*$G$264+$R10*($Q10*(1+K$9)+$G$264*(1-$N10))-$G$263</f>
        <v>6221.7096668766953</v>
      </c>
      <c r="AH10" s="367">
        <f>$O10+$G$268+$N10*$G$264+$R10*($Q10*(1+L$9)+$G$264*(1-$N10))-$G$263</f>
        <v>6622.6137615351454</v>
      </c>
      <c r="AT10" s="832">
        <f>IF(Z50&lt;$G$282,0,MIN($G$279,1+IFERROR(INT((Z50-$G$282)/$G$284),0)))</f>
        <v>0</v>
      </c>
      <c r="AU10" s="832">
        <f t="shared" ref="AU10:BB10" si="9">IF(AA50&lt;$G$282,0,MIN($G$279,1+IFERROR(INT((AA50-$G$282)/$G$284),0)))</f>
        <v>0</v>
      </c>
      <c r="AV10" s="832">
        <f t="shared" si="9"/>
        <v>0</v>
      </c>
      <c r="AW10" s="832">
        <f t="shared" si="9"/>
        <v>0</v>
      </c>
      <c r="AX10" s="832">
        <f t="shared" si="9"/>
        <v>0</v>
      </c>
      <c r="AY10" s="832">
        <f t="shared" si="9"/>
        <v>0</v>
      </c>
      <c r="AZ10" s="832">
        <f t="shared" si="9"/>
        <v>2</v>
      </c>
      <c r="BA10" s="832">
        <f t="shared" si="9"/>
        <v>3</v>
      </c>
      <c r="BB10" s="832">
        <f t="shared" si="9"/>
        <v>5</v>
      </c>
    </row>
    <row r="11" spans="1:54">
      <c r="A11" s="417"/>
      <c r="B11" s="800"/>
      <c r="C11" s="802">
        <f>C12-$G$272</f>
        <v>0.2</v>
      </c>
      <c r="D11" s="791">
        <f t="shared" ref="D11:D16" si="10">ROUND(Z11,$G$285)</f>
        <v>3900</v>
      </c>
      <c r="E11" s="791">
        <f t="shared" si="1"/>
        <v>4200</v>
      </c>
      <c r="F11" s="791">
        <f t="shared" si="2"/>
        <v>4600</v>
      </c>
      <c r="G11" s="791">
        <f t="shared" si="3"/>
        <v>5000</v>
      </c>
      <c r="H11" s="791">
        <f t="shared" si="4"/>
        <v>5400</v>
      </c>
      <c r="I11" s="791">
        <f t="shared" si="5"/>
        <v>5700</v>
      </c>
      <c r="J11" s="791">
        <f t="shared" si="6"/>
        <v>6100</v>
      </c>
      <c r="K11" s="791">
        <f t="shared" si="7"/>
        <v>6500</v>
      </c>
      <c r="L11" s="791">
        <f t="shared" si="8"/>
        <v>6900</v>
      </c>
      <c r="M11" s="417"/>
      <c r="N11" s="788">
        <f>$C11</f>
        <v>0.2</v>
      </c>
      <c r="O11" s="428">
        <f>$G$263*(1-N11)*$G$266</f>
        <v>742.85714285714289</v>
      </c>
      <c r="P11" s="428">
        <f>$G$263*(1-N11)-O11</f>
        <v>1657.1428571428571</v>
      </c>
      <c r="Q11" s="428">
        <f>$G$265-O11</f>
        <v>59257.142857142855</v>
      </c>
      <c r="R11" s="789">
        <f>IFERROR(P11/(Q11+$G$263*(1-N11)),0)*(1-$G$267)</f>
        <v>2.5532900834105653E-2</v>
      </c>
      <c r="Z11" s="367">
        <f>$O11+$G$268+$N11*$G$264+$R11*($Q11*(1+D$9)+$G$264*(1-$N11))-$G$263</f>
        <v>3850.4722879644469</v>
      </c>
      <c r="AA11" s="367">
        <f>$O11+$G$268+$N11*$G$264+$R11*($Q11*(1+E$9)+$G$264*(1-$N11))-$G$263</f>
        <v>4228.7239760354114</v>
      </c>
      <c r="AB11" s="367">
        <f>$O11+$G$268+$N11*$G$264+$R11*($Q11*(1+F$9)+$G$264*(1-$N11))-$G$263</f>
        <v>4606.9756641063768</v>
      </c>
      <c r="AC11" s="367">
        <f>$O11+$G$268+$N11*$G$264+$R11*($Q11*(1+G$9)+$G$264*(1-$N11))-$G$263</f>
        <v>4985.2273521773423</v>
      </c>
      <c r="AD11" s="367">
        <f>$O11+$G$268+$N11*$G$264+$R11*($Q11*(1+H$9)+$G$264*(1-$N11))-$G$263</f>
        <v>5363.4790402483086</v>
      </c>
      <c r="AE11" s="367">
        <f>$O11+$G$268+$N11*$G$264+$R11*($Q11*(1+I$9)+$G$264*(1-$N11))-$G$263</f>
        <v>5741.7307283192731</v>
      </c>
      <c r="AF11" s="367">
        <f>$O11+$G$268+$N11*$G$264+$R11*($Q11*(1+J$9)+$G$264*(1-$N11))-$G$263</f>
        <v>6119.9824163902376</v>
      </c>
      <c r="AG11" s="367">
        <f>$O11+$G$268+$N11*$G$264+$R11*($Q11*(1+K$9)+$G$264*(1-$N11))-$G$263</f>
        <v>6498.234104461204</v>
      </c>
      <c r="AH11" s="367">
        <f>$O11+$G$268+$N11*$G$264+$R11*($Q11*(1+L$9)+$G$264*(1-$N11))-$G$263</f>
        <v>6876.4857925321667</v>
      </c>
      <c r="AT11" s="832">
        <f t="shared" ref="AT11:BB11" si="11">IF(Z51&lt;$G$282,0,MIN($G$279,1+IFERROR(INT((Z51-$G$282)/$G$284),0)))</f>
        <v>0</v>
      </c>
      <c r="AU11" s="832">
        <f t="shared" si="11"/>
        <v>0</v>
      </c>
      <c r="AV11" s="832">
        <f t="shared" si="11"/>
        <v>0</v>
      </c>
      <c r="AW11" s="832">
        <f t="shared" si="11"/>
        <v>0</v>
      </c>
      <c r="AX11" s="832">
        <f t="shared" si="11"/>
        <v>0</v>
      </c>
      <c r="AY11" s="832">
        <f t="shared" si="11"/>
        <v>1</v>
      </c>
      <c r="AZ11" s="832">
        <f t="shared" si="11"/>
        <v>3</v>
      </c>
      <c r="BA11" s="832">
        <f t="shared" si="11"/>
        <v>4</v>
      </c>
      <c r="BB11" s="832">
        <f t="shared" si="11"/>
        <v>6</v>
      </c>
    </row>
    <row r="12" spans="1:54">
      <c r="A12" s="417"/>
      <c r="B12" s="800"/>
      <c r="C12" s="802">
        <f>C13-$G$272</f>
        <v>0.25</v>
      </c>
      <c r="D12" s="791">
        <f t="shared" si="10"/>
        <v>4300</v>
      </c>
      <c r="E12" s="791">
        <f t="shared" si="1"/>
        <v>4600</v>
      </c>
      <c r="F12" s="791">
        <f t="shared" si="2"/>
        <v>5000</v>
      </c>
      <c r="G12" s="791">
        <f t="shared" si="3"/>
        <v>5400</v>
      </c>
      <c r="H12" s="791">
        <f t="shared" si="4"/>
        <v>5700</v>
      </c>
      <c r="I12" s="791">
        <f t="shared" si="5"/>
        <v>6100</v>
      </c>
      <c r="J12" s="791">
        <f t="shared" si="6"/>
        <v>6400</v>
      </c>
      <c r="K12" s="791">
        <f t="shared" si="7"/>
        <v>6800</v>
      </c>
      <c r="L12" s="791">
        <f t="shared" si="8"/>
        <v>7100</v>
      </c>
      <c r="M12" s="417"/>
      <c r="N12" s="788">
        <f>$C12</f>
        <v>0.25</v>
      </c>
      <c r="O12" s="428">
        <f>$G$263*(1-N12)*$G$266</f>
        <v>696.42857142857144</v>
      </c>
      <c r="P12" s="428">
        <f>$G$263*(1-N12)-O12</f>
        <v>1553.5714285714284</v>
      </c>
      <c r="Q12" s="428">
        <f>$G$265-O12</f>
        <v>59303.571428571428</v>
      </c>
      <c r="R12" s="789">
        <f>IFERROR(P12/(Q12+$G$263*(1-N12)),0)*(1-$G$267)</f>
        <v>2.3977371627502176E-2</v>
      </c>
      <c r="Z12" s="367">
        <f>$O12+$G$268+$N12*$G$264+$R12*($Q12*(1+D$9)+$G$264*(1-$N12))-$G$263</f>
        <v>4286.769524409222</v>
      </c>
      <c r="AA12" s="367">
        <f>$O12+$G$268+$N12*$G$264+$R12*($Q12*(1+E$9)+$G$264*(1-$N12))-$G$263</f>
        <v>4642.2554671544658</v>
      </c>
      <c r="AB12" s="367">
        <f>$O12+$G$268+$N12*$G$264+$R12*($Q12*(1+F$9)+$G$264*(1-$N12))-$G$263</f>
        <v>4997.7414098997106</v>
      </c>
      <c r="AC12" s="367">
        <f>$O12+$G$268+$N12*$G$264+$R12*($Q12*(1+G$9)+$G$264*(1-$N12))-$G$263</f>
        <v>5353.2273526449553</v>
      </c>
      <c r="AD12" s="367">
        <f>$O12+$G$268+$N12*$G$264+$R12*($Q12*(1+H$9)+$G$264*(1-$N12))-$G$263</f>
        <v>5708.7132953902001</v>
      </c>
      <c r="AE12" s="367">
        <f>$O12+$G$268+$N12*$G$264+$R12*($Q12*(1+I$9)+$G$264*(1-$N12))-$G$263</f>
        <v>6064.199238135443</v>
      </c>
      <c r="AF12" s="367">
        <f>$O12+$G$268+$N12*$G$264+$R12*($Q12*(1+J$9)+$G$264*(1-$N12))-$G$263</f>
        <v>6419.6851808806878</v>
      </c>
      <c r="AG12" s="367">
        <f>$O12+$G$268+$N12*$G$264+$R12*($Q12*(1+K$9)+$G$264*(1-$N12))-$G$263</f>
        <v>6775.1711236259325</v>
      </c>
      <c r="AH12" s="367">
        <f>$O12+$G$268+$N12*$G$264+$R12*($Q12*(1+L$9)+$G$264*(1-$N12))-$G$263</f>
        <v>7130.6570663711755</v>
      </c>
      <c r="AT12" s="832">
        <f t="shared" ref="AT12:BB12" si="12">IF(Z52&lt;$G$282,0,MIN($G$279,1+IFERROR(INT((Z52-$G$282)/$G$284),0)))</f>
        <v>0</v>
      </c>
      <c r="AU12" s="832">
        <f t="shared" si="12"/>
        <v>0</v>
      </c>
      <c r="AV12" s="832">
        <f t="shared" si="12"/>
        <v>0</v>
      </c>
      <c r="AW12" s="832">
        <f t="shared" si="12"/>
        <v>0</v>
      </c>
      <c r="AX12" s="832">
        <f t="shared" si="12"/>
        <v>1</v>
      </c>
      <c r="AY12" s="832">
        <f t="shared" si="12"/>
        <v>3</v>
      </c>
      <c r="AZ12" s="832">
        <f t="shared" si="12"/>
        <v>4</v>
      </c>
      <c r="BA12" s="832">
        <f t="shared" si="12"/>
        <v>5</v>
      </c>
      <c r="BB12" s="832">
        <f t="shared" si="12"/>
        <v>7</v>
      </c>
    </row>
    <row r="13" spans="1:54">
      <c r="A13" s="417"/>
      <c r="B13" s="800"/>
      <c r="C13" s="802">
        <f>$G$271</f>
        <v>0.3</v>
      </c>
      <c r="D13" s="791">
        <f t="shared" si="10"/>
        <v>4700</v>
      </c>
      <c r="E13" s="791">
        <f t="shared" si="1"/>
        <v>5100</v>
      </c>
      <c r="F13" s="791">
        <f t="shared" si="2"/>
        <v>5400</v>
      </c>
      <c r="G13" s="791">
        <f t="shared" si="3"/>
        <v>5700</v>
      </c>
      <c r="H13" s="805">
        <f t="shared" si="4"/>
        <v>6100</v>
      </c>
      <c r="I13" s="791">
        <f t="shared" si="5"/>
        <v>6400</v>
      </c>
      <c r="J13" s="791">
        <f t="shared" si="6"/>
        <v>6700</v>
      </c>
      <c r="K13" s="791">
        <f t="shared" si="7"/>
        <v>7100</v>
      </c>
      <c r="L13" s="791">
        <f t="shared" si="8"/>
        <v>7400</v>
      </c>
      <c r="M13" s="417"/>
      <c r="N13" s="788">
        <f>$C13</f>
        <v>0.3</v>
      </c>
      <c r="O13" s="428">
        <f>$G$263*(1-N13)*$G$266</f>
        <v>650</v>
      </c>
      <c r="P13" s="428">
        <f>$G$263*(1-N13)-O13</f>
        <v>1450</v>
      </c>
      <c r="Q13" s="428">
        <f>$G$265-O13</f>
        <v>59350</v>
      </c>
      <c r="R13" s="789">
        <f>IFERROR(P13/(Q13+$G$263*(1-N13)),0)*(1-$G$267)</f>
        <v>2.2416598860862488E-2</v>
      </c>
      <c r="Z13" s="367">
        <f>$O13+$G$268+$N13*$G$264+$R13*($Q13*(1+D$9)+$G$264*(1-$N13))-$G$263</f>
        <v>4724.2788113520228</v>
      </c>
      <c r="AA13" s="367">
        <f>$O13+$G$268+$N13*$G$264+$R13*($Q13*(1+E$9)+$G$264*(1-$N13))-$G$263</f>
        <v>5056.88509695007</v>
      </c>
      <c r="AB13" s="367">
        <f>$O13+$G$268+$N13*$G$264+$R13*($Q13*(1+F$9)+$G$264*(1-$N13))-$G$263</f>
        <v>5389.4913825481162</v>
      </c>
      <c r="AC13" s="367">
        <f>$O13+$G$268+$N13*$G$264+$R13*($Q13*(1+G$9)+$G$264*(1-$N13))-$G$263</f>
        <v>5722.0976681461652</v>
      </c>
      <c r="AD13" s="367">
        <f>$O13+$G$268+$N13*$G$264+$R13*($Q13*(1+H$9)+$G$264*(1-$N13))-$G$263</f>
        <v>6054.7039537442106</v>
      </c>
      <c r="AE13" s="367">
        <f>$O13+$G$268+$N13*$G$264+$R13*($Q13*(1+I$9)+$G$264*(1-$N13))-$G$263</f>
        <v>6387.3102393422596</v>
      </c>
      <c r="AF13" s="367">
        <f>$O13+$G$268+$N13*$G$264+$R13*($Q13*(1+J$9)+$G$264*(1-$N13))-$G$263</f>
        <v>6719.916524940305</v>
      </c>
      <c r="AG13" s="367">
        <f>$O13+$G$268+$N13*$G$264+$R13*($Q13*(1+K$9)+$G$264*(1-$N13))-$G$263</f>
        <v>7052.522810538354</v>
      </c>
      <c r="AH13" s="367">
        <f>$O13+$G$268+$N13*$G$264+$R13*($Q13*(1+L$9)+$G$264*(1-$N13))-$G$263</f>
        <v>7385.1290961363993</v>
      </c>
      <c r="AT13" s="832">
        <f t="shared" ref="AT13:BB13" si="13">IF(Z53&lt;$G$282,0,MIN($G$279,1+IFERROR(INT((Z53-$G$282)/$G$284),0)))</f>
        <v>0</v>
      </c>
      <c r="AU13" s="832">
        <f t="shared" si="13"/>
        <v>0</v>
      </c>
      <c r="AV13" s="832">
        <f t="shared" si="13"/>
        <v>0</v>
      </c>
      <c r="AW13" s="832">
        <f t="shared" si="13"/>
        <v>1</v>
      </c>
      <c r="AX13" s="832">
        <f t="shared" si="13"/>
        <v>3</v>
      </c>
      <c r="AY13" s="832">
        <f t="shared" si="13"/>
        <v>4</v>
      </c>
      <c r="AZ13" s="832">
        <f t="shared" si="13"/>
        <v>5</v>
      </c>
      <c r="BA13" s="832">
        <f t="shared" si="13"/>
        <v>6</v>
      </c>
      <c r="BB13" s="832">
        <f t="shared" si="13"/>
        <v>8</v>
      </c>
    </row>
    <row r="14" spans="1:54">
      <c r="A14" s="417"/>
      <c r="B14" s="800"/>
      <c r="C14" s="802">
        <f>C13+$G$272</f>
        <v>0.35</v>
      </c>
      <c r="D14" s="791">
        <f t="shared" si="10"/>
        <v>5200</v>
      </c>
      <c r="E14" s="791">
        <f t="shared" si="1"/>
        <v>5500</v>
      </c>
      <c r="F14" s="791">
        <f t="shared" si="2"/>
        <v>5800</v>
      </c>
      <c r="G14" s="791">
        <f t="shared" si="3"/>
        <v>6100</v>
      </c>
      <c r="H14" s="791">
        <f t="shared" si="4"/>
        <v>6400</v>
      </c>
      <c r="I14" s="791">
        <f t="shared" si="5"/>
        <v>6700</v>
      </c>
      <c r="J14" s="791">
        <f t="shared" si="6"/>
        <v>7000</v>
      </c>
      <c r="K14" s="791">
        <f t="shared" si="7"/>
        <v>7300</v>
      </c>
      <c r="L14" s="791">
        <f t="shared" si="8"/>
        <v>7600</v>
      </c>
      <c r="M14" s="417"/>
      <c r="N14" s="788">
        <f>$C14</f>
        <v>0.35</v>
      </c>
      <c r="O14" s="428">
        <f>$G$263*(1-N14)*$G$266</f>
        <v>603.57142857142856</v>
      </c>
      <c r="P14" s="428">
        <f>$G$263*(1-N14)-O14</f>
        <v>1346.4285714285716</v>
      </c>
      <c r="Q14" s="428">
        <f>$G$265-O14</f>
        <v>59396.428571428572</v>
      </c>
      <c r="R14" s="789">
        <f>IFERROR(P14/(Q14+$G$263*(1-N14)),0)*(1-$G$267)</f>
        <v>2.0850555976014439E-2</v>
      </c>
      <c r="Z14" s="367">
        <f>$O14+$G$268+$N14*$G$264+$R14*($Q14*(1+D$9)+$G$264*(1-$N14))-$G$263</f>
        <v>5163.0062877224245</v>
      </c>
      <c r="AA14" s="367">
        <f>$O14+$G$268+$N14*$G$264+$R14*($Q14*(1+E$9)+$G$264*(1-$N14))-$G$263</f>
        <v>5472.6184273984036</v>
      </c>
      <c r="AB14" s="367">
        <f>$O14+$G$268+$N14*$G$264+$R14*($Q14*(1+F$9)+$G$264*(1-$N14))-$G$263</f>
        <v>5782.2305670743808</v>
      </c>
      <c r="AC14" s="367">
        <f>$O14+$G$268+$N14*$G$264+$R14*($Q14*(1+G$9)+$G$264*(1-$N14))-$G$263</f>
        <v>6091.8427067503599</v>
      </c>
      <c r="AD14" s="367">
        <f>$O14+$G$268+$N14*$G$264+$R14*($Q14*(1+H$9)+$G$264*(1-$N14))-$G$263</f>
        <v>6401.4548464263389</v>
      </c>
      <c r="AE14" s="367">
        <f>$O14+$G$268+$N14*$G$264+$R14*($Q14*(1+I$9)+$G$264*(1-$N14))-$G$263</f>
        <v>6711.066986102318</v>
      </c>
      <c r="AF14" s="367">
        <f>$O14+$G$268+$N14*$G$264+$R14*($Q14*(1+J$9)+$G$264*(1-$N14))-$G$263</f>
        <v>7020.679125778297</v>
      </c>
      <c r="AG14" s="367">
        <f>$O14+$G$268+$N14*$G$264+$R14*($Q14*(1+K$9)+$G$264*(1-$N14))-$G$263</f>
        <v>7330.2912654542743</v>
      </c>
      <c r="AH14" s="367">
        <f>$O14+$G$268+$N14*$G$264+$R14*($Q14*(1+L$9)+$G$264*(1-$N14))-$G$263</f>
        <v>7639.9034051302551</v>
      </c>
      <c r="AT14" s="832">
        <f t="shared" ref="AT14:BB14" si="14">IF(Z54&lt;$G$282,0,MIN($G$279,1+IFERROR(INT((Z54-$G$282)/$G$284),0)))</f>
        <v>0</v>
      </c>
      <c r="AU14" s="832">
        <f t="shared" si="14"/>
        <v>0</v>
      </c>
      <c r="AV14" s="832">
        <f t="shared" si="14"/>
        <v>2</v>
      </c>
      <c r="AW14" s="832">
        <f t="shared" si="14"/>
        <v>3</v>
      </c>
      <c r="AX14" s="832">
        <f t="shared" si="14"/>
        <v>4</v>
      </c>
      <c r="AY14" s="832">
        <f t="shared" si="14"/>
        <v>5</v>
      </c>
      <c r="AZ14" s="832">
        <f t="shared" si="14"/>
        <v>6</v>
      </c>
      <c r="BA14" s="832">
        <f t="shared" si="14"/>
        <v>7</v>
      </c>
      <c r="BB14" s="832">
        <f t="shared" si="14"/>
        <v>9</v>
      </c>
    </row>
    <row r="15" spans="1:54">
      <c r="A15" s="417"/>
      <c r="B15" s="800"/>
      <c r="C15" s="802">
        <f>C14+$G$272</f>
        <v>0.39999999999999997</v>
      </c>
      <c r="D15" s="791">
        <f t="shared" si="10"/>
        <v>5600</v>
      </c>
      <c r="E15" s="791">
        <f t="shared" si="1"/>
        <v>5900</v>
      </c>
      <c r="F15" s="791">
        <f t="shared" si="2"/>
        <v>6200</v>
      </c>
      <c r="G15" s="791">
        <f t="shared" si="3"/>
        <v>6500</v>
      </c>
      <c r="H15" s="791">
        <f t="shared" si="4"/>
        <v>6700</v>
      </c>
      <c r="I15" s="791">
        <f t="shared" si="5"/>
        <v>7000</v>
      </c>
      <c r="J15" s="791">
        <f t="shared" si="6"/>
        <v>7300</v>
      </c>
      <c r="K15" s="791">
        <f t="shared" si="7"/>
        <v>7600</v>
      </c>
      <c r="L15" s="791">
        <f t="shared" si="8"/>
        <v>7900</v>
      </c>
      <c r="M15" s="417"/>
      <c r="N15" s="788">
        <f>$C15</f>
        <v>0.39999999999999997</v>
      </c>
      <c r="O15" s="428">
        <f>$G$263*(1-N15)*$G$266</f>
        <v>557.14285714285722</v>
      </c>
      <c r="P15" s="428">
        <f>$G$263*(1-N15)-O15</f>
        <v>1242.8571428571431</v>
      </c>
      <c r="Q15" s="428">
        <f>$G$265-O15</f>
        <v>59442.857142857145</v>
      </c>
      <c r="R15" s="789">
        <f>IFERROR(P15/(Q15+$G$263*(1-N15)),0)*(1-$G$267)</f>
        <v>1.9279216235129463E-2</v>
      </c>
      <c r="Z15" s="367">
        <f>$O15+$G$268+$N15*$G$264+$R15*($Q15*(1+D$9)+$G$264*(1-$N15))-$G$263</f>
        <v>5602.9581339776341</v>
      </c>
      <c r="AA15" s="367">
        <f>$O15+$G$268+$N15*$G$264+$R15*($Q15*(1+E$9)+$G$264*(1-$N15))-$G$263</f>
        <v>5889.4610581003981</v>
      </c>
      <c r="AB15" s="367">
        <f>$O15+$G$268+$N15*$G$264+$R15*($Q15*(1+F$9)+$G$264*(1-$N15))-$G$263</f>
        <v>6175.963982223162</v>
      </c>
      <c r="AC15" s="367">
        <f>$O15+$G$268+$N15*$G$264+$R15*($Q15*(1+G$9)+$G$264*(1-$N15))-$G$263</f>
        <v>6462.4669063459241</v>
      </c>
      <c r="AD15" s="367">
        <f>$O15+$G$268+$N15*$G$264+$R15*($Q15*(1+H$9)+$G$264*(1-$N15))-$G$263</f>
        <v>6748.9698304686863</v>
      </c>
      <c r="AE15" s="367">
        <f>$O15+$G$268+$N15*$G$264+$R15*($Q15*(1+I$9)+$G$264*(1-$N15))-$G$263</f>
        <v>7035.4727545914502</v>
      </c>
      <c r="AF15" s="367">
        <f>$O15+$G$268+$N15*$G$264+$R15*($Q15*(1+J$9)+$G$264*(1-$N15))-$G$263</f>
        <v>7321.9756787142142</v>
      </c>
      <c r="AG15" s="367">
        <f>$O15+$G$268+$N15*$G$264+$R15*($Q15*(1+K$9)+$G$264*(1-$N15))-$G$263</f>
        <v>7608.4786028369781</v>
      </c>
      <c r="AH15" s="367">
        <f>$O15+$G$268+$N15*$G$264+$R15*($Q15*(1+L$9)+$G$264*(1-$N15))-$G$263</f>
        <v>7894.9815269597402</v>
      </c>
      <c r="AT15" s="832">
        <f t="shared" ref="AT15:BB15" si="15">IF(Z55&lt;$G$282,0,MIN($G$279,1+IFERROR(INT((Z55-$G$282)/$G$284),0)))</f>
        <v>1</v>
      </c>
      <c r="AU15" s="832">
        <f t="shared" si="15"/>
        <v>2</v>
      </c>
      <c r="AV15" s="832">
        <f t="shared" si="15"/>
        <v>3</v>
      </c>
      <c r="AW15" s="832">
        <f t="shared" si="15"/>
        <v>4</v>
      </c>
      <c r="AX15" s="832">
        <f t="shared" si="15"/>
        <v>5</v>
      </c>
      <c r="AY15" s="832">
        <f t="shared" si="15"/>
        <v>6</v>
      </c>
      <c r="AZ15" s="832">
        <f t="shared" si="15"/>
        <v>7</v>
      </c>
      <c r="BA15" s="832">
        <f t="shared" si="15"/>
        <v>8</v>
      </c>
      <c r="BB15" s="832">
        <f t="shared" si="15"/>
        <v>10</v>
      </c>
    </row>
    <row r="16" spans="1:54">
      <c r="A16" s="417"/>
      <c r="B16" s="801"/>
      <c r="C16" s="803">
        <f>C15+$G$272</f>
        <v>0.44999999999999996</v>
      </c>
      <c r="D16" s="792">
        <f t="shared" si="10"/>
        <v>6000</v>
      </c>
      <c r="E16" s="792">
        <f t="shared" si="1"/>
        <v>6300</v>
      </c>
      <c r="F16" s="792">
        <f t="shared" si="2"/>
        <v>6600</v>
      </c>
      <c r="G16" s="792">
        <f t="shared" si="3"/>
        <v>6800</v>
      </c>
      <c r="H16" s="792">
        <f t="shared" si="4"/>
        <v>7100</v>
      </c>
      <c r="I16" s="792">
        <f t="shared" si="5"/>
        <v>7400</v>
      </c>
      <c r="J16" s="792">
        <f t="shared" si="6"/>
        <v>7600</v>
      </c>
      <c r="K16" s="792">
        <f t="shared" si="7"/>
        <v>7900</v>
      </c>
      <c r="L16" s="792">
        <f t="shared" si="8"/>
        <v>8200</v>
      </c>
      <c r="M16" s="417"/>
      <c r="N16" s="788">
        <f>$C16</f>
        <v>0.44999999999999996</v>
      </c>
      <c r="O16" s="428">
        <f>$G$263*(1-N16)*$G$266</f>
        <v>510.71428571428578</v>
      </c>
      <c r="P16" s="428">
        <f>$G$263*(1-N16)-O16</f>
        <v>1139.2857142857144</v>
      </c>
      <c r="Q16" s="428">
        <f>$G$265-O16</f>
        <v>59489.285714285717</v>
      </c>
      <c r="R16" s="789">
        <f>IFERROR(P16/(Q16+$G$263*(1-N16)),0)*(1-$G$267)</f>
        <v>1.7702552719200886E-2</v>
      </c>
      <c r="Z16" s="367">
        <f>$O16+$G$268+$N16*$G$264+$R16*($Q16*(1+D$9)+$G$264*(1-$N16))-$G$263</f>
        <v>6044.1405724542383</v>
      </c>
      <c r="AA16" s="367">
        <f>$O16+$G$268+$N16*$G$264+$R16*($Q16*(1+E$9)+$G$264*(1-$N16))-$G$263</f>
        <v>6307.4186266004253</v>
      </c>
      <c r="AB16" s="367">
        <f>$O16+$G$268+$N16*$G$264+$R16*($Q16*(1+F$9)+$G$264*(1-$N16))-$G$263</f>
        <v>6570.6966807466124</v>
      </c>
      <c r="AC16" s="367">
        <f>$O16+$G$268+$N16*$G$264+$R16*($Q16*(1+G$9)+$G$264*(1-$N16))-$G$263</f>
        <v>6833.9747348927995</v>
      </c>
      <c r="AD16" s="367">
        <f>$O16+$G$268+$N16*$G$264+$R16*($Q16*(1+H$9)+$G$264*(1-$N16))-$G$263</f>
        <v>7097.2527890389865</v>
      </c>
      <c r="AE16" s="367">
        <f>$O16+$G$268+$N16*$G$264+$R16*($Q16*(1+I$9)+$G$264*(1-$N16))-$G$263</f>
        <v>7360.5308431851718</v>
      </c>
      <c r="AF16" s="367">
        <f>$O16+$G$268+$N16*$G$264+$R16*($Q16*(1+J$9)+$G$264*(1-$N16))-$G$263</f>
        <v>7623.8088973313588</v>
      </c>
      <c r="AG16" s="367">
        <f>$O16+$G$268+$N16*$G$264+$R16*($Q16*(1+K$9)+$G$264*(1-$N16))-$G$263</f>
        <v>7887.0869514775459</v>
      </c>
      <c r="AH16" s="367">
        <f>$O16+$G$268+$N16*$G$264+$R16*($Q16*(1+L$9)+$G$264*(1-$N16))-$G$263</f>
        <v>8150.3650056237329</v>
      </c>
      <c r="AT16" s="832">
        <f t="shared" ref="AT16:BB16" si="16">IF(Z56&lt;$G$282,0,MIN($G$279,1+IFERROR(INT((Z56-$G$282)/$G$284),0)))</f>
        <v>3</v>
      </c>
      <c r="AU16" s="832">
        <f t="shared" si="16"/>
        <v>4</v>
      </c>
      <c r="AV16" s="832">
        <f t="shared" si="16"/>
        <v>5</v>
      </c>
      <c r="AW16" s="832">
        <f t="shared" si="16"/>
        <v>6</v>
      </c>
      <c r="AX16" s="832">
        <f t="shared" si="16"/>
        <v>7</v>
      </c>
      <c r="AY16" s="832">
        <f t="shared" si="16"/>
        <v>8</v>
      </c>
      <c r="AZ16" s="832">
        <f t="shared" si="16"/>
        <v>9</v>
      </c>
      <c r="BA16" s="832">
        <f t="shared" si="16"/>
        <v>10</v>
      </c>
      <c r="BB16" s="832">
        <f t="shared" si="16"/>
        <v>10</v>
      </c>
    </row>
    <row r="17" spans="1:54" hidden="1" outlineLevel="1">
      <c r="A17" s="417"/>
      <c r="B17" s="423" t="s">
        <v>2726</v>
      </c>
      <c r="C17" s="809"/>
      <c r="D17" s="417"/>
      <c r="E17" s="417"/>
      <c r="F17" s="417"/>
      <c r="G17" s="417"/>
      <c r="H17" s="417"/>
      <c r="I17" s="417"/>
      <c r="J17" s="417"/>
      <c r="K17" s="417"/>
      <c r="L17" s="417"/>
      <c r="M17" s="417"/>
      <c r="N17" s="788"/>
      <c r="O17" s="428"/>
      <c r="P17" s="428"/>
      <c r="Q17" s="428"/>
      <c r="R17" s="789"/>
    </row>
    <row r="18" spans="1:54" ht="3.95" customHeight="1" collapsed="1">
      <c r="A18" s="417"/>
      <c r="B18" s="417"/>
      <c r="C18" s="417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788">
        <f>$G$269</f>
        <v>0.3</v>
      </c>
      <c r="O18" s="428">
        <f>$G$263*(1-N18)*$G$266</f>
        <v>650</v>
      </c>
      <c r="P18" s="428">
        <f>$G$263*(1-N18)-O18</f>
        <v>1450</v>
      </c>
      <c r="Q18" s="428">
        <f>$G$265-O18</f>
        <v>59350</v>
      </c>
      <c r="R18" s="789">
        <f>IFERROR(P18/(Q18+$G$263*(1-N18)),0)*(1-$G$267)</f>
        <v>2.2416598860862488E-2</v>
      </c>
    </row>
    <row r="19" spans="1:54" ht="15" customHeight="1">
      <c r="A19" s="417"/>
      <c r="B19" s="148" t="s">
        <v>2640</v>
      </c>
      <c r="C19" s="417"/>
      <c r="D19" s="417"/>
      <c r="E19" s="417"/>
      <c r="F19" s="417"/>
      <c r="G19" s="417"/>
      <c r="H19" s="417"/>
      <c r="I19" s="417"/>
      <c r="J19" s="417"/>
      <c r="K19" s="417"/>
      <c r="L19" s="417"/>
      <c r="M19" s="417"/>
      <c r="N19" s="417"/>
      <c r="O19" s="417"/>
      <c r="P19" s="417"/>
      <c r="Q19" s="417"/>
    </row>
    <row r="20" spans="1:54" ht="2.1" customHeight="1">
      <c r="A20" s="417"/>
      <c r="B20" s="417"/>
      <c r="C20" s="417"/>
      <c r="D20" s="417"/>
      <c r="E20" s="417"/>
      <c r="F20" s="417"/>
      <c r="G20" s="417"/>
      <c r="H20" s="417"/>
      <c r="I20" s="417"/>
      <c r="J20" s="417"/>
      <c r="K20" s="417"/>
      <c r="L20" s="417"/>
      <c r="M20" s="417"/>
      <c r="N20" s="417"/>
      <c r="O20" s="417"/>
      <c r="P20" s="417"/>
      <c r="Q20" s="417"/>
    </row>
    <row r="21" spans="1:54" ht="12.75" customHeight="1">
      <c r="A21" s="417"/>
      <c r="B21" s="454"/>
      <c r="C21" s="454"/>
      <c r="D21" s="786" t="s">
        <v>2637</v>
      </c>
      <c r="E21" s="786"/>
      <c r="F21" s="786"/>
      <c r="G21" s="786"/>
      <c r="H21" s="786"/>
      <c r="I21" s="786"/>
      <c r="J21" s="786"/>
      <c r="K21" s="786"/>
      <c r="L21" s="786"/>
      <c r="M21" s="417"/>
      <c r="N21" s="417"/>
      <c r="O21" s="417"/>
      <c r="P21" s="417"/>
      <c r="Q21" s="417"/>
    </row>
    <row r="22" spans="1:54" ht="12.75" customHeight="1">
      <c r="A22" s="417"/>
      <c r="B22" s="454"/>
      <c r="C22" s="454"/>
      <c r="D22" s="787">
        <f>E22-$G$274</f>
        <v>1</v>
      </c>
      <c r="E22" s="787">
        <f>F22-$G$274</f>
        <v>1.25</v>
      </c>
      <c r="F22" s="787">
        <f>G22-$G$274</f>
        <v>1.5</v>
      </c>
      <c r="G22" s="787">
        <f>H22-$G$274</f>
        <v>1.75</v>
      </c>
      <c r="H22" s="787">
        <f>$G$273</f>
        <v>2</v>
      </c>
      <c r="I22" s="787">
        <f>H22+$G$274</f>
        <v>2.25</v>
      </c>
      <c r="J22" s="787">
        <f>I22+$G$274</f>
        <v>2.5</v>
      </c>
      <c r="K22" s="787">
        <f>J22+$G$274</f>
        <v>2.75</v>
      </c>
      <c r="L22" s="787">
        <f>K22+$G$274</f>
        <v>3</v>
      </c>
      <c r="M22" s="417"/>
      <c r="N22" s="417"/>
      <c r="O22" s="417"/>
      <c r="P22" s="417"/>
      <c r="Q22" s="417"/>
      <c r="AT22" s="833" t="s">
        <v>2748</v>
      </c>
      <c r="AU22" s="427"/>
      <c r="AV22" s="427"/>
      <c r="AW22" s="427"/>
      <c r="AX22" s="427"/>
      <c r="AY22" s="427"/>
      <c r="AZ22" s="427"/>
      <c r="BA22" s="427"/>
      <c r="BB22" s="427"/>
    </row>
    <row r="23" spans="1:54" ht="15" customHeight="1">
      <c r="A23" s="417"/>
      <c r="B23" s="804" t="s">
        <v>2638</v>
      </c>
      <c r="C23" s="802">
        <f>C24-$G$272</f>
        <v>0.15000000000000002</v>
      </c>
      <c r="D23" s="806">
        <f>IFERROR(Z10/$G$263,0)</f>
        <v>1.1384603347558493</v>
      </c>
      <c r="E23" s="806">
        <f t="shared" ref="E23:L23" si="17">IFERROR(AA10/$G$263,0)</f>
        <v>1.2720950329753322</v>
      </c>
      <c r="F23" s="806">
        <f t="shared" si="17"/>
        <v>1.4057297311948156</v>
      </c>
      <c r="G23" s="806">
        <f t="shared" si="17"/>
        <v>1.539364429414299</v>
      </c>
      <c r="H23" s="806">
        <f t="shared" si="17"/>
        <v>1.6729991276337823</v>
      </c>
      <c r="I23" s="806">
        <f t="shared" si="17"/>
        <v>1.8066338258532657</v>
      </c>
      <c r="J23" s="806">
        <f t="shared" si="17"/>
        <v>1.9402685240727491</v>
      </c>
      <c r="K23" s="806">
        <f t="shared" si="17"/>
        <v>2.0739032222922318</v>
      </c>
      <c r="L23" s="806">
        <f t="shared" si="17"/>
        <v>2.2075379205117152</v>
      </c>
      <c r="M23" s="417"/>
      <c r="N23" s="417"/>
      <c r="O23" s="417"/>
      <c r="P23" s="417"/>
      <c r="Q23" s="417"/>
      <c r="AT23" s="832">
        <f>IF(Z50&lt;$G$282,0,MIN($G$279,1+IFERROR(INT((Z50-$G$282)/$G$284),0)))</f>
        <v>0</v>
      </c>
      <c r="AU23" s="832">
        <f t="shared" ref="AU23:BB23" si="18">IF(AA50&lt;$G$282,0,MIN($G$279,1+IFERROR(INT((AA50-$G$282)/$G$284),0)))</f>
        <v>0</v>
      </c>
      <c r="AV23" s="832">
        <f t="shared" si="18"/>
        <v>0</v>
      </c>
      <c r="AW23" s="832">
        <f t="shared" si="18"/>
        <v>0</v>
      </c>
      <c r="AX23" s="832">
        <f t="shared" si="18"/>
        <v>0</v>
      </c>
      <c r="AY23" s="832">
        <f t="shared" si="18"/>
        <v>0</v>
      </c>
      <c r="AZ23" s="832">
        <f t="shared" si="18"/>
        <v>2</v>
      </c>
      <c r="BA23" s="832">
        <f t="shared" si="18"/>
        <v>3</v>
      </c>
      <c r="BB23" s="832">
        <f t="shared" si="18"/>
        <v>5</v>
      </c>
    </row>
    <row r="24" spans="1:54" ht="15" customHeight="1">
      <c r="A24" s="417"/>
      <c r="B24" s="800"/>
      <c r="C24" s="802">
        <f>C25-$G$272</f>
        <v>0.2</v>
      </c>
      <c r="D24" s="806">
        <f t="shared" ref="D24:L24" si="19">IFERROR(Z11/$G$263,0)</f>
        <v>1.2834907626548155</v>
      </c>
      <c r="E24" s="806">
        <f t="shared" si="19"/>
        <v>1.4095746586784705</v>
      </c>
      <c r="F24" s="806">
        <f t="shared" si="19"/>
        <v>1.5356585547021255</v>
      </c>
      <c r="G24" s="806">
        <f t="shared" si="19"/>
        <v>1.6617424507257808</v>
      </c>
      <c r="H24" s="806">
        <f t="shared" si="19"/>
        <v>1.7878263467494362</v>
      </c>
      <c r="I24" s="806">
        <f t="shared" si="19"/>
        <v>1.913910242773091</v>
      </c>
      <c r="J24" s="806">
        <f t="shared" si="19"/>
        <v>2.0399941387967457</v>
      </c>
      <c r="K24" s="806">
        <f t="shared" si="19"/>
        <v>2.1660780348204014</v>
      </c>
      <c r="L24" s="806">
        <f t="shared" si="19"/>
        <v>2.2921619308440557</v>
      </c>
      <c r="M24" s="417"/>
      <c r="N24" s="417"/>
      <c r="O24" s="417"/>
      <c r="P24" s="417"/>
      <c r="Q24" s="417"/>
      <c r="AT24" s="832">
        <f t="shared" ref="AT24:BB24" si="20">IF(Z51&lt;$G$282,0,MIN($G$279,1+IFERROR(INT((Z51-$G$282)/$G$284),0)))</f>
        <v>0</v>
      </c>
      <c r="AU24" s="832">
        <f t="shared" si="20"/>
        <v>0</v>
      </c>
      <c r="AV24" s="832">
        <f t="shared" si="20"/>
        <v>0</v>
      </c>
      <c r="AW24" s="832">
        <f t="shared" si="20"/>
        <v>0</v>
      </c>
      <c r="AX24" s="832">
        <f t="shared" si="20"/>
        <v>0</v>
      </c>
      <c r="AY24" s="832">
        <f t="shared" si="20"/>
        <v>1</v>
      </c>
      <c r="AZ24" s="832">
        <f t="shared" si="20"/>
        <v>3</v>
      </c>
      <c r="BA24" s="832">
        <f t="shared" si="20"/>
        <v>4</v>
      </c>
      <c r="BB24" s="832">
        <f t="shared" si="20"/>
        <v>6</v>
      </c>
    </row>
    <row r="25" spans="1:54" ht="15" customHeight="1">
      <c r="B25" s="800"/>
      <c r="C25" s="802">
        <f>C26-$G$272</f>
        <v>0.25</v>
      </c>
      <c r="D25" s="806">
        <f t="shared" ref="D25:L25" si="21">IFERROR(Z12/$G$263,0)</f>
        <v>1.428923174803074</v>
      </c>
      <c r="E25" s="806">
        <f t="shared" si="21"/>
        <v>1.5474184890514886</v>
      </c>
      <c r="F25" s="806">
        <f t="shared" si="21"/>
        <v>1.6659138032999035</v>
      </c>
      <c r="G25" s="806">
        <f t="shared" si="21"/>
        <v>1.7844091175483185</v>
      </c>
      <c r="H25" s="806">
        <f t="shared" si="21"/>
        <v>1.9029044317967334</v>
      </c>
      <c r="I25" s="806">
        <f t="shared" si="21"/>
        <v>2.0213997460451476</v>
      </c>
      <c r="J25" s="806">
        <f t="shared" si="21"/>
        <v>2.1398950602935627</v>
      </c>
      <c r="K25" s="806">
        <f t="shared" si="21"/>
        <v>2.2583903745419773</v>
      </c>
      <c r="L25" s="806">
        <f t="shared" si="21"/>
        <v>2.376885688790392</v>
      </c>
      <c r="AT25" s="832">
        <f t="shared" ref="AT25:BB25" si="22">IF(Z52&lt;$G$282,0,MIN($G$279,1+IFERROR(INT((Z52-$G$282)/$G$284),0)))</f>
        <v>0</v>
      </c>
      <c r="AU25" s="832">
        <f t="shared" si="22"/>
        <v>0</v>
      </c>
      <c r="AV25" s="832">
        <f t="shared" si="22"/>
        <v>0</v>
      </c>
      <c r="AW25" s="832">
        <f t="shared" si="22"/>
        <v>0</v>
      </c>
      <c r="AX25" s="832">
        <f t="shared" si="22"/>
        <v>1</v>
      </c>
      <c r="AY25" s="832">
        <f t="shared" si="22"/>
        <v>3</v>
      </c>
      <c r="AZ25" s="832">
        <f t="shared" si="22"/>
        <v>4</v>
      </c>
      <c r="BA25" s="832">
        <f t="shared" si="22"/>
        <v>5</v>
      </c>
      <c r="BB25" s="832">
        <f t="shared" si="22"/>
        <v>7</v>
      </c>
    </row>
    <row r="26" spans="1:54" ht="15" customHeight="1">
      <c r="B26" s="800"/>
      <c r="C26" s="802">
        <f>$G$271</f>
        <v>0.3</v>
      </c>
      <c r="D26" s="806">
        <f t="shared" ref="D26:L26" si="23">IFERROR(Z13/$G$263,0)</f>
        <v>1.5747596037840077</v>
      </c>
      <c r="E26" s="806">
        <f t="shared" si="23"/>
        <v>1.6856283656500233</v>
      </c>
      <c r="F26" s="806">
        <f t="shared" si="23"/>
        <v>1.7964971275160388</v>
      </c>
      <c r="G26" s="806">
        <f t="shared" si="23"/>
        <v>1.9073658893820551</v>
      </c>
      <c r="H26" s="807">
        <f t="shared" si="23"/>
        <v>2.0182346512480702</v>
      </c>
      <c r="I26" s="806">
        <f t="shared" si="23"/>
        <v>2.1291034131140867</v>
      </c>
      <c r="J26" s="806">
        <f t="shared" si="23"/>
        <v>2.2399721749801018</v>
      </c>
      <c r="K26" s="806">
        <f t="shared" si="23"/>
        <v>2.3508409368461178</v>
      </c>
      <c r="L26" s="806">
        <f t="shared" si="23"/>
        <v>2.461709698712133</v>
      </c>
      <c r="AT26" s="832">
        <f t="shared" ref="AT26:BB26" si="24">IF(Z53&lt;$G$282,0,MIN($G$279,1+IFERROR(INT((Z53-$G$282)/$G$284),0)))</f>
        <v>0</v>
      </c>
      <c r="AU26" s="832">
        <f t="shared" si="24"/>
        <v>0</v>
      </c>
      <c r="AV26" s="832">
        <f t="shared" si="24"/>
        <v>0</v>
      </c>
      <c r="AW26" s="832">
        <f t="shared" si="24"/>
        <v>1</v>
      </c>
      <c r="AX26" s="832">
        <f t="shared" si="24"/>
        <v>3</v>
      </c>
      <c r="AY26" s="832">
        <f t="shared" si="24"/>
        <v>4</v>
      </c>
      <c r="AZ26" s="832">
        <f t="shared" si="24"/>
        <v>5</v>
      </c>
      <c r="BA26" s="832">
        <f t="shared" si="24"/>
        <v>6</v>
      </c>
      <c r="BB26" s="832">
        <f t="shared" si="24"/>
        <v>8</v>
      </c>
    </row>
    <row r="27" spans="1:54" ht="15" customHeight="1">
      <c r="B27" s="800"/>
      <c r="C27" s="802">
        <f>C26+$G$272</f>
        <v>0.35</v>
      </c>
      <c r="D27" s="806">
        <f t="shared" ref="D27:L27" si="25">IFERROR(Z14/$G$263,0)</f>
        <v>1.7210020959074748</v>
      </c>
      <c r="E27" s="806">
        <f t="shared" si="25"/>
        <v>1.8242061424661344</v>
      </c>
      <c r="F27" s="806">
        <f t="shared" si="25"/>
        <v>1.9274101890247937</v>
      </c>
      <c r="G27" s="806">
        <f t="shared" si="25"/>
        <v>2.0306142355834531</v>
      </c>
      <c r="H27" s="806">
        <f t="shared" si="25"/>
        <v>2.133818282142113</v>
      </c>
      <c r="I27" s="806">
        <f t="shared" si="25"/>
        <v>2.2370223287007724</v>
      </c>
      <c r="J27" s="806">
        <f t="shared" si="25"/>
        <v>2.3402263752594323</v>
      </c>
      <c r="K27" s="806">
        <f t="shared" si="25"/>
        <v>2.4434304218180913</v>
      </c>
      <c r="L27" s="806">
        <f t="shared" si="25"/>
        <v>2.5466344683767517</v>
      </c>
      <c r="AT27" s="832">
        <f t="shared" ref="AT27:BB27" si="26">IF(Z54&lt;$G$282,0,MIN($G$279,1+IFERROR(INT((Z54-$G$282)/$G$284),0)))</f>
        <v>0</v>
      </c>
      <c r="AU27" s="832">
        <f t="shared" si="26"/>
        <v>0</v>
      </c>
      <c r="AV27" s="832">
        <f t="shared" si="26"/>
        <v>2</v>
      </c>
      <c r="AW27" s="832">
        <f t="shared" si="26"/>
        <v>3</v>
      </c>
      <c r="AX27" s="832">
        <f t="shared" si="26"/>
        <v>4</v>
      </c>
      <c r="AY27" s="832">
        <f t="shared" si="26"/>
        <v>5</v>
      </c>
      <c r="AZ27" s="832">
        <f t="shared" si="26"/>
        <v>6</v>
      </c>
      <c r="BA27" s="832">
        <f t="shared" si="26"/>
        <v>7</v>
      </c>
      <c r="BB27" s="832">
        <f t="shared" si="26"/>
        <v>9</v>
      </c>
    </row>
    <row r="28" spans="1:54" ht="15" customHeight="1">
      <c r="B28" s="800"/>
      <c r="C28" s="802">
        <f>C27+$G$272</f>
        <v>0.39999999999999997</v>
      </c>
      <c r="D28" s="806">
        <f t="shared" ref="D28:L28" si="27">IFERROR(Z15/$G$263,0)</f>
        <v>1.8676527113258781</v>
      </c>
      <c r="E28" s="806">
        <f t="shared" si="27"/>
        <v>1.963153686033466</v>
      </c>
      <c r="F28" s="806">
        <f t="shared" si="27"/>
        <v>2.0586546607410541</v>
      </c>
      <c r="G28" s="806">
        <f t="shared" si="27"/>
        <v>2.1541556354486415</v>
      </c>
      <c r="H28" s="806">
        <f t="shared" si="27"/>
        <v>2.249656610156229</v>
      </c>
      <c r="I28" s="806">
        <f t="shared" si="27"/>
        <v>2.3451575848638169</v>
      </c>
      <c r="J28" s="806">
        <f t="shared" si="27"/>
        <v>2.4406585595714048</v>
      </c>
      <c r="K28" s="806">
        <f t="shared" si="27"/>
        <v>2.5361595342789927</v>
      </c>
      <c r="L28" s="806">
        <f t="shared" si="27"/>
        <v>2.6316605089865801</v>
      </c>
      <c r="AT28" s="832">
        <f t="shared" ref="AT28:BB28" si="28">IF(Z55&lt;$G$282,0,MIN($G$279,1+IFERROR(INT((Z55-$G$282)/$G$284),0)))</f>
        <v>1</v>
      </c>
      <c r="AU28" s="832">
        <f t="shared" si="28"/>
        <v>2</v>
      </c>
      <c r="AV28" s="832">
        <f t="shared" si="28"/>
        <v>3</v>
      </c>
      <c r="AW28" s="832">
        <f t="shared" si="28"/>
        <v>4</v>
      </c>
      <c r="AX28" s="832">
        <f t="shared" si="28"/>
        <v>5</v>
      </c>
      <c r="AY28" s="832">
        <f t="shared" si="28"/>
        <v>6</v>
      </c>
      <c r="AZ28" s="832">
        <f t="shared" si="28"/>
        <v>7</v>
      </c>
      <c r="BA28" s="832">
        <f t="shared" si="28"/>
        <v>8</v>
      </c>
      <c r="BB28" s="832">
        <f t="shared" si="28"/>
        <v>10</v>
      </c>
    </row>
    <row r="29" spans="1:54" ht="15" customHeight="1">
      <c r="B29" s="801"/>
      <c r="C29" s="803">
        <f>C28+$G$272</f>
        <v>0.44999999999999996</v>
      </c>
      <c r="D29" s="808">
        <f t="shared" ref="D29:L29" si="29">IFERROR(Z16/$G$263,0)</f>
        <v>2.0147135241514129</v>
      </c>
      <c r="E29" s="808">
        <f t="shared" si="29"/>
        <v>2.1024728755334752</v>
      </c>
      <c r="F29" s="808">
        <f t="shared" si="29"/>
        <v>2.1902322269155374</v>
      </c>
      <c r="G29" s="808">
        <f t="shared" si="29"/>
        <v>2.2779915782975997</v>
      </c>
      <c r="H29" s="808">
        <f t="shared" si="29"/>
        <v>2.3657509296796624</v>
      </c>
      <c r="I29" s="808">
        <f t="shared" si="29"/>
        <v>2.4535102810617238</v>
      </c>
      <c r="J29" s="808">
        <f t="shared" si="29"/>
        <v>2.5412696324437865</v>
      </c>
      <c r="K29" s="808">
        <f t="shared" si="29"/>
        <v>2.6290289838258487</v>
      </c>
      <c r="L29" s="808">
        <f t="shared" si="29"/>
        <v>2.716788335207911</v>
      </c>
      <c r="AT29" s="832">
        <f t="shared" ref="AT29:BB29" si="30">IF(Z56&lt;$G$282,0,MIN($G$279,1+IFERROR(INT((Z56-$G$282)/$G$284),0)))</f>
        <v>3</v>
      </c>
      <c r="AU29" s="832">
        <f t="shared" si="30"/>
        <v>4</v>
      </c>
      <c r="AV29" s="832">
        <f t="shared" si="30"/>
        <v>5</v>
      </c>
      <c r="AW29" s="832">
        <f t="shared" si="30"/>
        <v>6</v>
      </c>
      <c r="AX29" s="832">
        <f t="shared" si="30"/>
        <v>7</v>
      </c>
      <c r="AY29" s="832">
        <f t="shared" si="30"/>
        <v>8</v>
      </c>
      <c r="AZ29" s="832">
        <f t="shared" si="30"/>
        <v>9</v>
      </c>
      <c r="BA29" s="832">
        <f t="shared" si="30"/>
        <v>10</v>
      </c>
      <c r="BB29" s="832">
        <f t="shared" si="30"/>
        <v>10</v>
      </c>
    </row>
    <row r="30" spans="1:54" ht="15" hidden="1" customHeight="1" outlineLevel="1">
      <c r="B30" s="423" t="s">
        <v>2727</v>
      </c>
      <c r="D30" s="417"/>
      <c r="E30" s="417"/>
      <c r="F30" s="417"/>
      <c r="G30" s="417"/>
      <c r="H30" s="417"/>
      <c r="I30" s="417"/>
      <c r="J30" s="417"/>
      <c r="K30" s="417"/>
      <c r="L30" s="417"/>
    </row>
    <row r="31" spans="1:54" ht="3.95" customHeight="1" collapsed="1"/>
    <row r="32" spans="1:54" ht="15" customHeight="1">
      <c r="A32" s="417"/>
      <c r="B32" s="148" t="s">
        <v>2643</v>
      </c>
      <c r="C32" s="417"/>
      <c r="D32" s="417"/>
      <c r="E32" s="417"/>
      <c r="F32" s="417"/>
      <c r="G32" s="417"/>
      <c r="H32" s="417"/>
      <c r="I32" s="417"/>
      <c r="J32" s="417"/>
      <c r="K32" s="417"/>
      <c r="L32" s="417"/>
      <c r="M32" s="417"/>
    </row>
    <row r="33" spans="1:54" ht="2.1" customHeight="1">
      <c r="A33" s="417"/>
      <c r="B33" s="417"/>
      <c r="C33" s="417"/>
      <c r="D33" s="417"/>
      <c r="E33" s="417"/>
      <c r="F33" s="417"/>
      <c r="G33" s="417"/>
      <c r="H33" s="417"/>
      <c r="I33" s="417"/>
      <c r="J33" s="417"/>
      <c r="K33" s="417"/>
      <c r="L33" s="417"/>
      <c r="M33" s="417"/>
    </row>
    <row r="34" spans="1:54" ht="12.75" customHeight="1">
      <c r="A34" s="417"/>
      <c r="B34" s="454"/>
      <c r="C34" s="454"/>
      <c r="D34" s="786" t="s">
        <v>2637</v>
      </c>
      <c r="E34" s="786"/>
      <c r="F34" s="786"/>
      <c r="G34" s="786"/>
      <c r="H34" s="786"/>
      <c r="I34" s="786"/>
      <c r="J34" s="786"/>
      <c r="K34" s="786"/>
      <c r="L34" s="786"/>
      <c r="M34" s="417"/>
    </row>
    <row r="35" spans="1:54" ht="12.75" customHeight="1">
      <c r="A35" s="417"/>
      <c r="B35" s="454"/>
      <c r="C35" s="454"/>
      <c r="D35" s="787">
        <f>E35-$G$274</f>
        <v>1</v>
      </c>
      <c r="E35" s="787">
        <f>F35-$G$274</f>
        <v>1.25</v>
      </c>
      <c r="F35" s="787">
        <f>G35-$G$274</f>
        <v>1.5</v>
      </c>
      <c r="G35" s="787">
        <f>H35-$G$274</f>
        <v>1.75</v>
      </c>
      <c r="H35" s="787">
        <f>$G$273</f>
        <v>2</v>
      </c>
      <c r="I35" s="787">
        <f>H35+$G$274</f>
        <v>2.25</v>
      </c>
      <c r="J35" s="787">
        <f>I35+$G$274</f>
        <v>2.5</v>
      </c>
      <c r="K35" s="787">
        <f>J35+$G$274</f>
        <v>2.75</v>
      </c>
      <c r="L35" s="787">
        <f>K35+$G$274</f>
        <v>3</v>
      </c>
      <c r="M35" s="417"/>
      <c r="AT35" s="833" t="s">
        <v>2748</v>
      </c>
      <c r="AU35" s="427"/>
      <c r="AV35" s="427"/>
      <c r="AW35" s="427"/>
      <c r="AX35" s="427"/>
      <c r="AY35" s="427"/>
      <c r="AZ35" s="427"/>
      <c r="BA35" s="427"/>
      <c r="BB35" s="427"/>
    </row>
    <row r="36" spans="1:54" ht="15" customHeight="1">
      <c r="A36" s="417"/>
      <c r="B36" s="804" t="s">
        <v>2638</v>
      </c>
      <c r="C36" s="802">
        <f>C37-$G$272</f>
        <v>0.15000000000000002</v>
      </c>
      <c r="D36" s="814" cm="1">
        <f t="array" ref="D36">IFERROR(IRR(IF($S$9:$X$9=0,$O10-$G$263,0)+IF($S$9:$X$9=$G$277,$G$268,0)+IF($S$9:$X$9=$G$278,Z10+$G$263-$O10-$G$268,0)),0)</f>
        <v>0.20541028632598568</v>
      </c>
      <c r="E36" s="814" cm="1">
        <f t="array" ref="E36">IFERROR(IRR(IF($S$9:$X$9=0,$O10-$G$263,0)+IF($S$9:$X$9=$G$277,$G$268,0)+IF($S$9:$X$9=$G$278,AA10+$G$263-$O10-$G$268,0)),0)</f>
        <v>0.22211959056079533</v>
      </c>
      <c r="F36" s="814" cm="1">
        <f t="array" ref="F36">IFERROR(IRR(IF($S$9:$X$9=0,$O10-$G$263,0)+IF($S$9:$X$9=$G$277,$G$268,0)+IF($S$9:$X$9=$G$278,AB10+$G$263-$O10-$G$268,0)),0)</f>
        <v>0.23796209085864906</v>
      </c>
      <c r="G36" s="814" cm="1">
        <f t="array" ref="G36">IFERROR(IRR(IF($S$9:$X$9=0,$O10-$G$263,0)+IF($S$9:$X$9=$G$277,$G$268,0)+IF($S$9:$X$9=$G$278,AC10+$G$263-$O10-$G$268,0)),0)</f>
        <v>0.25303283472361415</v>
      </c>
      <c r="H36" s="814" cm="1">
        <f t="array" ref="H36">IFERROR(IRR(IF($S$9:$X$9=0,$O10-$G$263,0)+IF($S$9:$X$9=$G$277,$G$268,0)+IF($S$9:$X$9=$G$278,AD10+$G$263-$O10-$G$268,0)),0)</f>
        <v>0.26741158319228475</v>
      </c>
      <c r="I36" s="814" cm="1">
        <f t="array" ref="I36">IFERROR(IRR(IF($S$9:$X$9=0,$O10-$G$263,0)+IF($S$9:$X$9=$G$277,$G$268,0)+IF($S$9:$X$9=$G$278,AE10+$G$263-$O10-$G$268,0)),0)</f>
        <v>0.28116596708405428</v>
      </c>
      <c r="J36" s="814" cm="1">
        <f t="array" ref="J36">IFERROR(IRR(IF($S$9:$X$9=0,$O10-$G$263,0)+IF($S$9:$X$9=$G$277,$G$268,0)+IF($S$9:$X$9=$G$278,AF10+$G$263-$O10-$G$268,0)),0)</f>
        <v>0.29435386228955673</v>
      </c>
      <c r="K36" s="814" cm="1">
        <f t="array" ref="K36">IFERROR(IRR(IF($S$9:$X$9=0,$O10-$G$263,0)+IF($S$9:$X$9=$G$277,$G$268,0)+IF($S$9:$X$9=$G$278,AG10+$G$263-$O10-$G$268,0)),0)</f>
        <v>0.30702520621295526</v>
      </c>
      <c r="L36" s="814" cm="1">
        <f t="array" ref="L36">IFERROR(IRR(IF($S$9:$X$9=0,$O10-$G$263,0)+IF($S$9:$X$9=$G$277,$G$268,0)+IF($S$9:$X$9=$G$278,AH10+$G$263-$O10-$G$268,0)),0)</f>
        <v>0.31922340679111194</v>
      </c>
      <c r="M36" s="417"/>
      <c r="AT36" s="832">
        <f>IF(Z50&lt;$G$282,0,MIN($G$279,1+IFERROR(INT((Z50-$G$282)/$G$284),0)))</f>
        <v>0</v>
      </c>
      <c r="AU36" s="832">
        <f t="shared" ref="AU36:BB36" si="31">IF(AA50&lt;$G$282,0,MIN($G$279,1+IFERROR(INT((AA50-$G$282)/$G$284),0)))</f>
        <v>0</v>
      </c>
      <c r="AV36" s="832">
        <f t="shared" si="31"/>
        <v>0</v>
      </c>
      <c r="AW36" s="832">
        <f t="shared" si="31"/>
        <v>0</v>
      </c>
      <c r="AX36" s="832">
        <f t="shared" si="31"/>
        <v>0</v>
      </c>
      <c r="AY36" s="832">
        <f t="shared" si="31"/>
        <v>0</v>
      </c>
      <c r="AZ36" s="832">
        <f t="shared" si="31"/>
        <v>2</v>
      </c>
      <c r="BA36" s="832">
        <f t="shared" si="31"/>
        <v>3</v>
      </c>
      <c r="BB36" s="832">
        <f t="shared" si="31"/>
        <v>5</v>
      </c>
    </row>
    <row r="37" spans="1:54" ht="15" customHeight="1">
      <c r="A37" s="417"/>
      <c r="B37" s="800"/>
      <c r="C37" s="802">
        <f>C38-$G$272</f>
        <v>0.2</v>
      </c>
      <c r="D37" s="814" cm="1">
        <f t="array" ref="D37">IFERROR(IRR(IF($S$9:$X$9=0,$O11-$G$263,0)+IF($S$9:$X$9=$G$277,$G$268,0)+IF($S$9:$X$9=$G$278,Z11+$G$263-$O11-$G$268,0)),0)</f>
        <v>0.22028851343929001</v>
      </c>
      <c r="E37" s="814" cm="1">
        <f t="array" ref="E37">IFERROR(IRR(IF($S$9:$X$9=0,$O11-$G$263,0)+IF($S$9:$X$9=$G$277,$G$268,0)+IF($S$9:$X$9=$G$278,AA11+$G$263-$O11-$G$268,0)),0)</f>
        <v>0.23504219693428463</v>
      </c>
      <c r="F37" s="814" cm="1">
        <f t="array" ref="F37">IFERROR(IRR(IF($S$9:$X$9=0,$O11-$G$263,0)+IF($S$9:$X$9=$G$277,$G$268,0)+IF($S$9:$X$9=$G$278,AB11+$G$263-$O11-$G$268,0)),0)</f>
        <v>0.24912282830850518</v>
      </c>
      <c r="G37" s="814" cm="1">
        <f t="array" ref="G37">IFERROR(IRR(IF($S$9:$X$9=0,$O11-$G$263,0)+IF($S$9:$X$9=$G$277,$G$268,0)+IF($S$9:$X$9=$G$278,AC11+$G$263-$O11-$G$268,0)),0)</f>
        <v>0.2625957839492663</v>
      </c>
      <c r="H37" s="814" cm="1">
        <f t="array" ref="H37">IFERROR(IRR(IF($S$9:$X$9=0,$O11-$G$263,0)+IF($S$9:$X$9=$G$277,$G$268,0)+IF($S$9:$X$9=$G$278,AD11+$G$263-$O11-$G$268,0)),0)</f>
        <v>0.27551706533973652</v>
      </c>
      <c r="I37" s="814" cm="1">
        <f t="array" ref="I37">IFERROR(IRR(IF($S$9:$X$9=0,$O11-$G$263,0)+IF($S$9:$X$9=$G$277,$G$268,0)+IF($S$9:$X$9=$G$278,AE11+$G$263-$O11-$G$268,0)),0)</f>
        <v>0.28793503505988616</v>
      </c>
      <c r="J37" s="814" cm="1">
        <f t="array" ref="J37">IFERROR(IRR(IF($S$9:$X$9=0,$O11-$G$263,0)+IF($S$9:$X$9=$G$277,$G$268,0)+IF($S$9:$X$9=$G$278,AF11+$G$263-$O11-$G$268,0)),0)</f>
        <v>0.29989176551117014</v>
      </c>
      <c r="K37" s="814" cm="1">
        <f t="array" ref="K37">IFERROR(IRR(IF($S$9:$X$9=0,$O11-$G$263,0)+IF($S$9:$X$9=$G$277,$G$268,0)+IF($S$9:$X$9=$G$278,AG11+$G$263-$O11-$G$268,0)),0)</f>
        <v>0.31142410016512101</v>
      </c>
      <c r="L37" s="814" cm="1">
        <f t="array" ref="L37">IFERROR(IRR(IF($S$9:$X$9=0,$O11-$G$263,0)+IF($S$9:$X$9=$G$277,$G$268,0)+IF($S$9:$X$9=$G$278,AH11+$G$263-$O11-$G$268,0)),0)</f>
        <v>0.3225644981467457</v>
      </c>
      <c r="M37" s="417"/>
      <c r="AT37" s="832">
        <f t="shared" ref="AT37:BB37" si="32">IF(Z51&lt;$G$282,0,MIN($G$279,1+IFERROR(INT((Z51-$G$282)/$G$284),0)))</f>
        <v>0</v>
      </c>
      <c r="AU37" s="832">
        <f t="shared" si="32"/>
        <v>0</v>
      </c>
      <c r="AV37" s="832">
        <f t="shared" si="32"/>
        <v>0</v>
      </c>
      <c r="AW37" s="832">
        <f t="shared" si="32"/>
        <v>0</v>
      </c>
      <c r="AX37" s="832">
        <f t="shared" si="32"/>
        <v>0</v>
      </c>
      <c r="AY37" s="832">
        <f t="shared" si="32"/>
        <v>1</v>
      </c>
      <c r="AZ37" s="832">
        <f t="shared" si="32"/>
        <v>3</v>
      </c>
      <c r="BA37" s="832">
        <f t="shared" si="32"/>
        <v>4</v>
      </c>
      <c r="BB37" s="832">
        <f t="shared" si="32"/>
        <v>6</v>
      </c>
    </row>
    <row r="38" spans="1:54" ht="15" customHeight="1">
      <c r="A38" s="417"/>
      <c r="B38" s="800"/>
      <c r="C38" s="802">
        <f>C39-$G$272</f>
        <v>0.25</v>
      </c>
      <c r="D38" s="814" cm="1">
        <f t="array" ref="D38">IFERROR(IRR(IF($S$9:$X$9=0,$O12-$G$263,0)+IF($S$9:$X$9=$G$277,$G$268,0)+IF($S$9:$X$9=$G$278,Z12+$G$263-$O12-$G$268,0)),0)</f>
        <v>0.23396044946952377</v>
      </c>
      <c r="E38" s="814" cm="1">
        <f t="array" ref="E38">IFERROR(IRR(IF($S$9:$X$9=0,$O12-$G$263,0)+IF($S$9:$X$9=$G$277,$G$268,0)+IF($S$9:$X$9=$G$278,AA12+$G$263-$O12-$G$268,0)),0)</f>
        <v>0.24699426018745751</v>
      </c>
      <c r="F38" s="814" cm="1">
        <f t="array" ref="F38">IFERROR(IRR(IF($S$9:$X$9=0,$O12-$G$263,0)+IF($S$9:$X$9=$G$277,$G$268,0)+IF($S$9:$X$9=$G$278,AB12+$G$263-$O12-$G$268,0)),0)</f>
        <v>0.25950488062021027</v>
      </c>
      <c r="G38" s="814" cm="1">
        <f t="array" ref="G38">IFERROR(IRR(IF($S$9:$X$9=0,$O12-$G$263,0)+IF($S$9:$X$9=$G$277,$G$268,0)+IF($S$9:$X$9=$G$278,AC12+$G$263-$O12-$G$268,0)),0)</f>
        <v>0.27153731645172718</v>
      </c>
      <c r="H38" s="814" cm="1">
        <f t="array" ref="H38">IFERROR(IRR(IF($S$9:$X$9=0,$O12-$G$263,0)+IF($S$9:$X$9=$G$277,$G$268,0)+IF($S$9:$X$9=$G$278,AD12+$G$263-$O12-$G$268,0)),0)</f>
        <v>0.28313082457242977</v>
      </c>
      <c r="I38" s="814" cm="1">
        <f t="array" ref="I38">IFERROR(IRR(IF($S$9:$X$9=0,$O12-$G$263,0)+IF($S$9:$X$9=$G$277,$G$268,0)+IF($S$9:$X$9=$G$278,AE12+$G$263-$O12-$G$268,0)),0)</f>
        <v>0.29431986635861662</v>
      </c>
      <c r="J38" s="814" cm="1">
        <f t="array" ref="J38">IFERROR(IRR(IF($S$9:$X$9=0,$O12-$G$263,0)+IF($S$9:$X$9=$G$277,$G$268,0)+IF($S$9:$X$9=$G$278,AF12+$G$263-$O12-$G$268,0)),0)</f>
        <v>0.30513486960658787</v>
      </c>
      <c r="K38" s="814" cm="1">
        <f t="array" ref="K38">IFERROR(IRR(IF($S$9:$X$9=0,$O12-$G$263,0)+IF($S$9:$X$9=$G$277,$G$268,0)+IF($S$9:$X$9=$G$278,AG12+$G$263-$O12-$G$268,0)),0)</f>
        <v>0.31560284361775515</v>
      </c>
      <c r="L38" s="814" cm="1">
        <f t="array" ref="L38">IFERROR(IRR(IF($S$9:$X$9=0,$O12-$G$263,0)+IF($S$9:$X$9=$G$277,$G$268,0)+IF($S$9:$X$9=$G$278,AH12+$G$263-$O12-$G$268,0)),0)</f>
        <v>0.32574788042806135</v>
      </c>
      <c r="M38" s="417"/>
      <c r="AT38" s="832">
        <f t="shared" ref="AT38:BB38" si="33">IF(Z52&lt;$G$282,0,MIN($G$279,1+IFERROR(INT((Z52-$G$282)/$G$284),0)))</f>
        <v>0</v>
      </c>
      <c r="AU38" s="832">
        <f t="shared" si="33"/>
        <v>0</v>
      </c>
      <c r="AV38" s="832">
        <f t="shared" si="33"/>
        <v>0</v>
      </c>
      <c r="AW38" s="832">
        <f t="shared" si="33"/>
        <v>0</v>
      </c>
      <c r="AX38" s="832">
        <f t="shared" si="33"/>
        <v>1</v>
      </c>
      <c r="AY38" s="832">
        <f t="shared" si="33"/>
        <v>3</v>
      </c>
      <c r="AZ38" s="832">
        <f t="shared" si="33"/>
        <v>4</v>
      </c>
      <c r="BA38" s="832">
        <f t="shared" si="33"/>
        <v>5</v>
      </c>
      <c r="BB38" s="832">
        <f t="shared" si="33"/>
        <v>7</v>
      </c>
    </row>
    <row r="39" spans="1:54" ht="15" customHeight="1">
      <c r="A39" s="417"/>
      <c r="B39" s="800"/>
      <c r="C39" s="802">
        <f>$G$271</f>
        <v>0.3</v>
      </c>
      <c r="D39" s="814" cm="1">
        <f t="array" ref="D39">IFERROR(IRR(IF($S$9:$X$9=0,$O13-$G$263,0)+IF($S$9:$X$9=$G$277,$G$268,0)+IF($S$9:$X$9=$G$278,Z13+$G$263-$O13-$G$268,0)),0)</f>
        <v>0.2465877705208317</v>
      </c>
      <c r="E39" s="814" cm="1">
        <f t="array" ref="E39">IFERROR(IRR(IF($S$9:$X$9=0,$O13-$G$263,0)+IF($S$9:$X$9=$G$277,$G$268,0)+IF($S$9:$X$9=$G$278,AA13+$G$263-$O13-$G$268,0)),0)</f>
        <v>0.25809532644761735</v>
      </c>
      <c r="F39" s="814" cm="1">
        <f t="array" ref="F39">IFERROR(IRR(IF($S$9:$X$9=0,$O13-$G$263,0)+IF($S$9:$X$9=$G$277,$G$268,0)+IF($S$9:$X$9=$G$278,AB13+$G$263-$O13-$G$268,0)),0)</f>
        <v>0.26919663428937457</v>
      </c>
      <c r="G39" s="814" cm="1">
        <f t="array" ref="G39">IFERROR(IRR(IF($S$9:$X$9=0,$O13-$G$263,0)+IF($S$9:$X$9=$G$277,$G$268,0)+IF($S$9:$X$9=$G$278,AC13+$G$263-$O13-$G$268,0)),0)</f>
        <v>0.27992260452381434</v>
      </c>
      <c r="H39" s="815" cm="1">
        <f t="array" ref="H39">IFERROR(IRR(IF($S$9:$X$9=0,$O13-$G$263,0)+IF($S$9:$X$9=$G$277,$G$268,0)+IF($S$9:$X$9=$G$278,AD13+$G$263-$O13-$G$268,0)),0)</f>
        <v>0.29030063690656616</v>
      </c>
      <c r="I39" s="814" cm="1">
        <f t="array" ref="I39">IFERROR(IRR(IF($S$9:$X$9=0,$O13-$G$263,0)+IF($S$9:$X$9=$G$277,$G$268,0)+IF($S$9:$X$9=$G$278,AE13+$G$263-$O13-$G$268,0)),0)</f>
        <v>0.30035514059859558</v>
      </c>
      <c r="J39" s="814" cm="1">
        <f t="array" ref="J39">IFERROR(IRR(IF($S$9:$X$9=0,$O13-$G$263,0)+IF($S$9:$X$9=$G$277,$G$268,0)+IF($S$9:$X$9=$G$278,AF13+$G$263-$O13-$G$268,0)),0)</f>
        <v>0.31010796061540491</v>
      </c>
      <c r="K39" s="814" cm="1">
        <f t="array" ref="K39">IFERROR(IRR(IF($S$9:$X$9=0,$O13-$G$263,0)+IF($S$9:$X$9=$G$277,$G$268,0)+IF($S$9:$X$9=$G$278,AG13+$G$263-$O13-$G$268,0)),0)</f>
        <v>0.31957873015915217</v>
      </c>
      <c r="L39" s="814" cm="1">
        <f t="array" ref="L39">IFERROR(IRR(IF($S$9:$X$9=0,$O13-$G$263,0)+IF($S$9:$X$9=$G$277,$G$268,0)+IF($S$9:$X$9=$G$278,AH13+$G$263-$O13-$G$268,0)),0)</f>
        <v>0.32878516403783498</v>
      </c>
      <c r="M39" s="417"/>
      <c r="AT39" s="832">
        <f t="shared" ref="AT39:BB39" si="34">IF(Z53&lt;$G$282,0,MIN($G$279,1+IFERROR(INT((Z53-$G$282)/$G$284),0)))</f>
        <v>0</v>
      </c>
      <c r="AU39" s="832">
        <f t="shared" si="34"/>
        <v>0</v>
      </c>
      <c r="AV39" s="832">
        <f t="shared" si="34"/>
        <v>0</v>
      </c>
      <c r="AW39" s="832">
        <f t="shared" si="34"/>
        <v>1</v>
      </c>
      <c r="AX39" s="832">
        <f t="shared" si="34"/>
        <v>3</v>
      </c>
      <c r="AY39" s="832">
        <f t="shared" si="34"/>
        <v>4</v>
      </c>
      <c r="AZ39" s="832">
        <f t="shared" si="34"/>
        <v>5</v>
      </c>
      <c r="BA39" s="832">
        <f t="shared" si="34"/>
        <v>6</v>
      </c>
      <c r="BB39" s="832">
        <f t="shared" si="34"/>
        <v>8</v>
      </c>
    </row>
    <row r="40" spans="1:54" ht="15" customHeight="1">
      <c r="A40" s="417"/>
      <c r="B40" s="800"/>
      <c r="C40" s="802">
        <f>C39+$G$272</f>
        <v>0.35</v>
      </c>
      <c r="D40" s="814" cm="1">
        <f t="array" ref="D40">IFERROR(IRR(IF($S$9:$X$9=0,$O14-$G$263,0)+IF($S$9:$X$9=$G$277,$G$268,0)+IF($S$9:$X$9=$G$278,Z14+$G$263-$O14-$G$268,0)),0)</f>
        <v>0.25830223510385086</v>
      </c>
      <c r="E40" s="814" cm="1">
        <f t="array" ref="E40">IFERROR(IRR(IF($S$9:$X$9=0,$O14-$G$263,0)+IF($S$9:$X$9=$G$277,$G$268,0)+IF($S$9:$X$9=$G$278,AA14+$G$263-$O14-$G$268,0)),0)</f>
        <v>0.26844467636555525</v>
      </c>
      <c r="F40" s="814" cm="1">
        <f t="array" ref="F40">IFERROR(IRR(IF($S$9:$X$9=0,$O14-$G$263,0)+IF($S$9:$X$9=$G$277,$G$268,0)+IF($S$9:$X$9=$G$278,AB14+$G$263-$O14-$G$268,0)),0)</f>
        <v>0.27827272978360984</v>
      </c>
      <c r="G40" s="814" cm="1">
        <f t="array" ref="G40">IFERROR(IRR(IF($S$9:$X$9=0,$O14-$G$263,0)+IF($S$9:$X$9=$G$277,$G$268,0)+IF($S$9:$X$9=$G$278,AC14+$G$263-$O14-$G$268,0)),0)</f>
        <v>0.28780750701439728</v>
      </c>
      <c r="H40" s="814" cm="1">
        <f t="array" ref="H40">IFERROR(IRR(IF($S$9:$X$9=0,$O14-$G$263,0)+IF($S$9:$X$9=$G$277,$G$268,0)+IF($S$9:$X$9=$G$278,AD14+$G$263-$O14-$G$268,0)),0)</f>
        <v>0.29706799346792967</v>
      </c>
      <c r="I40" s="814" cm="1">
        <f t="array" ref="I40">IFERROR(IRR(IF($S$9:$X$9=0,$O14-$G$263,0)+IF($S$9:$X$9=$G$277,$G$268,0)+IF($S$9:$X$9=$G$278,AE14+$G$263-$O14-$G$268,0)),0)</f>
        <v>0.30607132888845623</v>
      </c>
      <c r="J40" s="814" cm="1">
        <f t="array" ref="J40">IFERROR(IRR(IF($S$9:$X$9=0,$O14-$G$263,0)+IF($S$9:$X$9=$G$277,$G$268,0)+IF($S$9:$X$9=$G$278,AF14+$G$263-$O14-$G$268,0)),0)</f>
        <v>0.31483304267691503</v>
      </c>
      <c r="K40" s="814" cm="1">
        <f t="array" ref="K40">IFERROR(IRR(IF($S$9:$X$9=0,$O14-$G$263,0)+IF($S$9:$X$9=$G$277,$G$268,0)+IF($S$9:$X$9=$G$278,AG14+$G$263-$O14-$G$268,0)),0)</f>
        <v>0.32336725262539034</v>
      </c>
      <c r="L40" s="814" cm="1">
        <f t="array" ref="L40">IFERROR(IRR(IF($S$9:$X$9=0,$O14-$G$263,0)+IF($S$9:$X$9=$G$277,$G$268,0)+IF($S$9:$X$9=$G$278,AH14+$G$263-$O14-$G$268,0)),0)</f>
        <v>0.33168683357325435</v>
      </c>
      <c r="M40" s="417"/>
      <c r="AT40" s="832">
        <f t="shared" ref="AT40:BB40" si="35">IF(Z54&lt;$G$282,0,MIN($G$279,1+IFERROR(INT((Z54-$G$282)/$G$284),0)))</f>
        <v>0</v>
      </c>
      <c r="AU40" s="832">
        <f t="shared" si="35"/>
        <v>0</v>
      </c>
      <c r="AV40" s="832">
        <f t="shared" si="35"/>
        <v>2</v>
      </c>
      <c r="AW40" s="832">
        <f t="shared" si="35"/>
        <v>3</v>
      </c>
      <c r="AX40" s="832">
        <f t="shared" si="35"/>
        <v>4</v>
      </c>
      <c r="AY40" s="832">
        <f t="shared" si="35"/>
        <v>5</v>
      </c>
      <c r="AZ40" s="832">
        <f t="shared" si="35"/>
        <v>6</v>
      </c>
      <c r="BA40" s="832">
        <f t="shared" si="35"/>
        <v>7</v>
      </c>
      <c r="BB40" s="832">
        <f t="shared" si="35"/>
        <v>9</v>
      </c>
    </row>
    <row r="41" spans="1:54" ht="15" customHeight="1">
      <c r="A41" s="417"/>
      <c r="B41" s="800"/>
      <c r="C41" s="802">
        <f>C40+$G$272</f>
        <v>0.39999999999999997</v>
      </c>
      <c r="D41" s="814" cm="1">
        <f t="array" ref="D41">IFERROR(IRR(IF($S$9:$X$9=0,$O15-$G$263,0)+IF($S$9:$X$9=$G$277,$G$268,0)+IF($S$9:$X$9=$G$278,Z15+$G$263-$O15-$G$268,0)),0)</f>
        <v>0.26921266586423176</v>
      </c>
      <c r="E41" s="814" cm="1">
        <f t="array" ref="E41">IFERROR(IRR(IF($S$9:$X$9=0,$O15-$G$263,0)+IF($S$9:$X$9=$G$277,$G$268,0)+IF($S$9:$X$9=$G$278,AA15+$G$263-$O15-$G$268,0)),0)</f>
        <v>0.27812566390733884</v>
      </c>
      <c r="F41" s="814" cm="1">
        <f t="array" ref="F41">IFERROR(IRR(IF($S$9:$X$9=0,$O15-$G$263,0)+IF($S$9:$X$9=$G$277,$G$268,0)+IF($S$9:$X$9=$G$278,AB15+$G$263-$O15-$G$268,0)),0)</f>
        <v>0.2867967620328804</v>
      </c>
      <c r="G41" s="814" cm="1">
        <f t="array" ref="G41">IFERROR(IRR(IF($S$9:$X$9=0,$O15-$G$263,0)+IF($S$9:$X$9=$G$277,$G$268,0)+IF($S$9:$X$9=$G$278,AC15+$G$263-$O15-$G$268,0)),0)</f>
        <v>0.29524024877801791</v>
      </c>
      <c r="H41" s="814" cm="1">
        <f t="array" ref="H41">IFERROR(IRR(IF($S$9:$X$9=0,$O15-$G$263,0)+IF($S$9:$X$9=$G$277,$G$268,0)+IF($S$9:$X$9=$G$278,AD15+$G$263-$O15-$G$268,0)),0)</f>
        <v>0.30346914139578174</v>
      </c>
      <c r="I41" s="814" cm="1">
        <f t="array" ref="I41">IFERROR(IRR(IF($S$9:$X$9=0,$O15-$G$263,0)+IF($S$9:$X$9=$G$277,$G$268,0)+IF($S$9:$X$9=$G$278,AE15+$G$263-$O15-$G$268,0)),0)</f>
        <v>0.31149533461315171</v>
      </c>
      <c r="J41" s="814" cm="1">
        <f t="array" ref="J41">IFERROR(IRR(IF($S$9:$X$9=0,$O15-$G$263,0)+IF($S$9:$X$9=$G$277,$G$268,0)+IF($S$9:$X$9=$G$278,AF15+$G$263-$O15-$G$268,0)),0)</f>
        <v>0.31932972812817328</v>
      </c>
      <c r="K41" s="814" cm="1">
        <f t="array" ref="K41">IFERROR(IRR(IF($S$9:$X$9=0,$O15-$G$263,0)+IF($S$9:$X$9=$G$277,$G$268,0)+IF($S$9:$X$9=$G$278,AG15+$G$263-$O15-$G$268,0)),0)</f>
        <v>0.32698233628494089</v>
      </c>
      <c r="L41" s="814" cm="1">
        <f t="array" ref="L41">IFERROR(IRR(IF($S$9:$X$9=0,$O15-$G$263,0)+IF($S$9:$X$9=$G$277,$G$268,0)+IF($S$9:$X$9=$G$278,AH15+$G$263-$O15-$G$268,0)),0)</f>
        <v>0.33446238293313124</v>
      </c>
      <c r="M41" s="417"/>
      <c r="AT41" s="832">
        <f t="shared" ref="AT41:BB41" si="36">IF(Z55&lt;$G$282,0,MIN($G$279,1+IFERROR(INT((Z55-$G$282)/$G$284),0)))</f>
        <v>1</v>
      </c>
      <c r="AU41" s="832">
        <f t="shared" si="36"/>
        <v>2</v>
      </c>
      <c r="AV41" s="832">
        <f t="shared" si="36"/>
        <v>3</v>
      </c>
      <c r="AW41" s="832">
        <f t="shared" si="36"/>
        <v>4</v>
      </c>
      <c r="AX41" s="832">
        <f t="shared" si="36"/>
        <v>5</v>
      </c>
      <c r="AY41" s="832">
        <f t="shared" si="36"/>
        <v>6</v>
      </c>
      <c r="AZ41" s="832">
        <f t="shared" si="36"/>
        <v>7</v>
      </c>
      <c r="BA41" s="832">
        <f t="shared" si="36"/>
        <v>8</v>
      </c>
      <c r="BB41" s="832">
        <f t="shared" si="36"/>
        <v>10</v>
      </c>
    </row>
    <row r="42" spans="1:54" ht="15" customHeight="1">
      <c r="A42" s="417"/>
      <c r="B42" s="801"/>
      <c r="C42" s="803">
        <f>C41+$G$272</f>
        <v>0.44999999999999996</v>
      </c>
      <c r="D42" s="816" cm="1">
        <f t="array" ref="D42">IFERROR(IRR(IF($S$9:$X$9=0,$O16-$G$263,0)+IF($S$9:$X$9=$G$277,$G$268,0)+IF($S$9:$X$9=$G$278,Z16+$G$263-$O16-$G$268,0)),0)</f>
        <v>0.2794099941922692</v>
      </c>
      <c r="E42" s="816" cm="1">
        <f t="array" ref="E42">IFERROR(IRR(IF($S$9:$X$9=0,$O16-$G$263,0)+IF($S$9:$X$9=$G$277,$G$268,0)+IF($S$9:$X$9=$G$278,AA16+$G$263-$O16-$G$268,0)),0)</f>
        <v>0.2872089469822463</v>
      </c>
      <c r="F42" s="816" cm="1">
        <f t="array" ref="F42">IFERROR(IRR(IF($S$9:$X$9=0,$O16-$G$263,0)+IF($S$9:$X$9=$G$277,$G$268,0)+IF($S$9:$X$9=$G$278,AB16+$G$263-$O16-$G$268,0)),0)</f>
        <v>0.29482334647409503</v>
      </c>
      <c r="G42" s="816" cm="1">
        <f t="array" ref="G42">IFERROR(IRR(IF($S$9:$X$9=0,$O16-$G$263,0)+IF($S$9:$X$9=$G$277,$G$268,0)+IF($S$9:$X$9=$G$278,AC16+$G$263-$O16-$G$268,0)),0)</f>
        <v>0.30226273745177812</v>
      </c>
      <c r="H42" s="816" cm="1">
        <f t="array" ref="H42">IFERROR(IRR(IF($S$9:$X$9=0,$O16-$G$263,0)+IF($S$9:$X$9=$G$277,$G$268,0)+IF($S$9:$X$9=$G$278,AD16+$G$263-$O16-$G$268,0)),0)</f>
        <v>0.30953591818140436</v>
      </c>
      <c r="I42" s="816" cm="1">
        <f t="array" ref="I42">IFERROR(IRR(IF($S$9:$X$9=0,$O16-$G$263,0)+IF($S$9:$X$9=$G$277,$G$268,0)+IF($S$9:$X$9=$G$278,AE16+$G$263-$O16-$G$268,0)),0)</f>
        <v>0.31665101754108815</v>
      </c>
      <c r="J42" s="816" cm="1">
        <f t="array" ref="J42">IFERROR(IRR(IF($S$9:$X$9=0,$O16-$G$263,0)+IF($S$9:$X$9=$G$277,$G$268,0)+IF($S$9:$X$9=$G$278,AF16+$G$263-$O16-$G$268,0)),0)</f>
        <v>0.32361556229296062</v>
      </c>
      <c r="K42" s="816" cm="1">
        <f t="array" ref="K42">IFERROR(IRR(IF($S$9:$X$9=0,$O16-$G$263,0)+IF($S$9:$X$9=$G$277,$G$268,0)+IF($S$9:$X$9=$G$278,AG16+$G$263-$O16-$G$268,0)),0)</f>
        <v>0.33043653605951695</v>
      </c>
      <c r="L42" s="816" cm="1">
        <f t="array" ref="L42">IFERROR(IRR(IF($S$9:$X$9=0,$O16-$G$263,0)+IF($S$9:$X$9=$G$277,$G$268,0)+IF($S$9:$X$9=$G$278,AH16+$G$263-$O16-$G$268,0)),0)</f>
        <v>0.33712043118176505</v>
      </c>
      <c r="M42" s="417"/>
      <c r="AT42" s="832">
        <f t="shared" ref="AT42:BB42" si="37">IF(Z56&lt;$G$282,0,MIN($G$279,1+IFERROR(INT((Z56-$G$282)/$G$284),0)))</f>
        <v>3</v>
      </c>
      <c r="AU42" s="832">
        <f t="shared" si="37"/>
        <v>4</v>
      </c>
      <c r="AV42" s="832">
        <f t="shared" si="37"/>
        <v>5</v>
      </c>
      <c r="AW42" s="832">
        <f t="shared" si="37"/>
        <v>6</v>
      </c>
      <c r="AX42" s="832">
        <f t="shared" si="37"/>
        <v>7</v>
      </c>
      <c r="AY42" s="832">
        <f t="shared" si="37"/>
        <v>8</v>
      </c>
      <c r="AZ42" s="832">
        <f t="shared" si="37"/>
        <v>9</v>
      </c>
      <c r="BA42" s="832">
        <f t="shared" si="37"/>
        <v>10</v>
      </c>
      <c r="BB42" s="832">
        <f t="shared" si="37"/>
        <v>10</v>
      </c>
    </row>
    <row r="43" spans="1:54" ht="15" hidden="1" customHeight="1" outlineLevel="1">
      <c r="A43" s="417"/>
      <c r="B43" s="423" t="s">
        <v>2648</v>
      </c>
      <c r="D43" s="417"/>
      <c r="E43" s="417"/>
      <c r="F43" s="417"/>
      <c r="G43" s="417"/>
      <c r="H43" s="417"/>
      <c r="I43" s="417"/>
      <c r="J43" s="417"/>
      <c r="K43" s="417"/>
      <c r="L43" s="417"/>
      <c r="M43" s="417"/>
    </row>
    <row r="44" spans="1:54" ht="3.95" customHeight="1" collapsed="1">
      <c r="A44" s="417"/>
      <c r="B44" s="423"/>
      <c r="D44" s="417"/>
      <c r="E44" s="417"/>
      <c r="F44" s="417"/>
      <c r="G44" s="417"/>
      <c r="H44" s="417"/>
      <c r="I44" s="417"/>
      <c r="J44" s="417"/>
      <c r="K44" s="417"/>
      <c r="L44" s="417"/>
      <c r="M44" s="417"/>
    </row>
    <row r="45" spans="1:54">
      <c r="A45" s="417"/>
      <c r="B45" s="821" t="s">
        <v>2650</v>
      </c>
      <c r="C45" s="821"/>
      <c r="D45" s="821"/>
      <c r="E45" s="821"/>
      <c r="F45" s="821"/>
      <c r="G45" s="821"/>
      <c r="H45" s="821"/>
      <c r="I45" s="821"/>
      <c r="J45" s="821"/>
      <c r="K45" s="821"/>
      <c r="L45" s="821"/>
      <c r="M45" s="417"/>
      <c r="N45" s="417"/>
      <c r="O45" s="417"/>
      <c r="P45" s="417"/>
      <c r="Q45" s="417"/>
    </row>
    <row r="46" spans="1:54" ht="15" customHeight="1">
      <c r="A46" s="417"/>
      <c r="B46" s="148" t="s">
        <v>2659</v>
      </c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</row>
    <row r="47" spans="1:54" ht="2.1" customHeight="1">
      <c r="A47" s="417"/>
      <c r="B47" s="417"/>
      <c r="C47" s="417"/>
      <c r="D47" s="417"/>
      <c r="E47" s="417"/>
      <c r="F47" s="417"/>
      <c r="G47" s="417"/>
      <c r="H47" s="417"/>
      <c r="I47" s="417"/>
      <c r="J47" s="417"/>
      <c r="K47" s="417"/>
      <c r="L47" s="417"/>
      <c r="M47" s="417"/>
      <c r="N47" s="417"/>
      <c r="O47" s="417"/>
      <c r="P47" s="417"/>
      <c r="Q47" s="417"/>
    </row>
    <row r="48" spans="1:54" ht="12.75" customHeight="1">
      <c r="A48" s="417"/>
      <c r="B48" s="454"/>
      <c r="C48" s="454"/>
      <c r="D48" s="786" t="s">
        <v>2637</v>
      </c>
      <c r="E48" s="786"/>
      <c r="F48" s="786"/>
      <c r="G48" s="786"/>
      <c r="H48" s="786"/>
      <c r="I48" s="786"/>
      <c r="J48" s="786"/>
      <c r="K48" s="786"/>
      <c r="L48" s="786"/>
      <c r="M48" s="417"/>
      <c r="N48" s="417"/>
      <c r="O48" s="417"/>
      <c r="P48" s="417"/>
      <c r="Q48" s="417"/>
      <c r="Z48" s="811" t="s">
        <v>2665</v>
      </c>
      <c r="AA48" s="758"/>
      <c r="AB48" s="758"/>
      <c r="AC48" s="758"/>
      <c r="AD48" s="758"/>
      <c r="AE48" s="758"/>
      <c r="AF48" s="758"/>
      <c r="AG48" s="758"/>
      <c r="AH48" s="758"/>
    </row>
    <row r="49" spans="1:54" ht="12.75" customHeight="1">
      <c r="A49" s="417"/>
      <c r="B49" s="454"/>
      <c r="C49" s="454"/>
      <c r="D49" s="787">
        <f>E49-$G$274</f>
        <v>1</v>
      </c>
      <c r="E49" s="787">
        <f>F49-$G$274</f>
        <v>1.25</v>
      </c>
      <c r="F49" s="787">
        <f>G49-$G$274</f>
        <v>1.5</v>
      </c>
      <c r="G49" s="787">
        <f>H49-$G$274</f>
        <v>1.75</v>
      </c>
      <c r="H49" s="787">
        <f>$G$273</f>
        <v>2</v>
      </c>
      <c r="I49" s="787">
        <f>H49+$G$274</f>
        <v>2.25</v>
      </c>
      <c r="J49" s="787">
        <f>I49+$G$274</f>
        <v>2.5</v>
      </c>
      <c r="K49" s="787">
        <f>J49+$G$274</f>
        <v>2.75</v>
      </c>
      <c r="L49" s="787">
        <f>K49+$G$274</f>
        <v>3</v>
      </c>
      <c r="M49" s="417"/>
      <c r="N49" s="417"/>
      <c r="O49" s="417"/>
      <c r="P49" s="417"/>
      <c r="Q49" s="417"/>
      <c r="Z49" s="825">
        <f>D$9</f>
        <v>1</v>
      </c>
      <c r="AA49" s="825">
        <f t="shared" ref="AA49:AH49" si="38">E$9</f>
        <v>1.25</v>
      </c>
      <c r="AB49" s="825">
        <f t="shared" si="38"/>
        <v>1.5</v>
      </c>
      <c r="AC49" s="825">
        <f t="shared" si="38"/>
        <v>1.75</v>
      </c>
      <c r="AD49" s="825">
        <f t="shared" si="38"/>
        <v>2</v>
      </c>
      <c r="AE49" s="825">
        <f t="shared" si="38"/>
        <v>2.25</v>
      </c>
      <c r="AF49" s="825">
        <f t="shared" si="38"/>
        <v>2.5</v>
      </c>
      <c r="AG49" s="825">
        <f t="shared" si="38"/>
        <v>2.75</v>
      </c>
      <c r="AH49" s="825">
        <f t="shared" si="38"/>
        <v>3</v>
      </c>
      <c r="AT49" s="833" t="s">
        <v>2748</v>
      </c>
      <c r="AU49" s="427"/>
      <c r="AV49" s="427"/>
      <c r="AW49" s="427"/>
      <c r="AX49" s="427"/>
      <c r="AY49" s="427"/>
      <c r="AZ49" s="427"/>
      <c r="BA49" s="427"/>
      <c r="BB49" s="427"/>
    </row>
    <row r="50" spans="1:54" ht="15" customHeight="1">
      <c r="A50" s="417"/>
      <c r="B50" s="804" t="s">
        <v>2638</v>
      </c>
      <c r="C50" s="802">
        <f>C51-$G$272</f>
        <v>0.15000000000000002</v>
      </c>
      <c r="D50" s="790">
        <f>ROUND(Z50,$G$285)</f>
        <v>-1100</v>
      </c>
      <c r="E50" s="790">
        <f t="shared" ref="E50:E56" si="39">ROUND(AA50,$G$285)</f>
        <v>-700</v>
      </c>
      <c r="F50" s="790">
        <f t="shared" ref="F50:F56" si="40">ROUND(AB50,$G$285)</f>
        <v>-300</v>
      </c>
      <c r="G50" s="790">
        <f t="shared" ref="G50:G56" si="41">ROUND(AC50,$G$285)</f>
        <v>100</v>
      </c>
      <c r="H50" s="790">
        <f t="shared" ref="H50:H56" si="42">ROUND(AD50,$G$285)</f>
        <v>500</v>
      </c>
      <c r="I50" s="790">
        <f t="shared" ref="I50:I56" si="43">ROUND(AE50,$G$285)</f>
        <v>900</v>
      </c>
      <c r="J50" s="790">
        <f t="shared" ref="J50:J56" si="44">ROUND(AF50,$G$285)</f>
        <v>1300</v>
      </c>
      <c r="K50" s="790">
        <f t="shared" ref="K50:K56" si="45">ROUND(AG50,$G$285)</f>
        <v>1700</v>
      </c>
      <c r="L50" s="790">
        <f t="shared" ref="L50:L56" si="46">ROUND(AH50,$G$285)</f>
        <v>2100</v>
      </c>
      <c r="M50" s="417"/>
      <c r="N50" s="417"/>
      <c r="O50" s="417"/>
      <c r="P50" s="417"/>
      <c r="Q50" s="417"/>
      <c r="Z50" s="367">
        <f>Z10+$G$263-$G$280</f>
        <v>-1074.8766944612644</v>
      </c>
      <c r="AA50" s="367">
        <f t="shared" ref="AA50:AH50" si="47">AA10+$G$263-$G$280</f>
        <v>-673.97259980281524</v>
      </c>
      <c r="AB50" s="367">
        <f t="shared" si="47"/>
        <v>-273.06850514436519</v>
      </c>
      <c r="AC50" s="367">
        <f t="shared" si="47"/>
        <v>127.83558951408486</v>
      </c>
      <c r="AD50" s="367">
        <f t="shared" si="47"/>
        <v>528.73968417253491</v>
      </c>
      <c r="AE50" s="367">
        <f t="shared" si="47"/>
        <v>929.64377883098496</v>
      </c>
      <c r="AF50" s="367">
        <f t="shared" si="47"/>
        <v>1330.547873489435</v>
      </c>
      <c r="AG50" s="367">
        <f t="shared" si="47"/>
        <v>1731.4519681478832</v>
      </c>
      <c r="AH50" s="367">
        <f t="shared" si="47"/>
        <v>2132.3560628063333</v>
      </c>
      <c r="AT50" s="832">
        <f>IF(Z50&lt;$G$282,0,MIN($G$279,1+IFERROR(INT((Z50-$G$282)/$G$284),0)))</f>
        <v>0</v>
      </c>
      <c r="AU50" s="832">
        <f t="shared" ref="AU50:AU56" si="48">IF(AA50&lt;$G$282,0,MIN($G$279,1+IFERROR(INT((AA50-$G$282)/$G$284),0)))</f>
        <v>0</v>
      </c>
      <c r="AV50" s="832">
        <f t="shared" ref="AV50:AV56" si="49">IF(AB50&lt;$G$282,0,MIN($G$279,1+IFERROR(INT((AB50-$G$282)/$G$284),0)))</f>
        <v>0</v>
      </c>
      <c r="AW50" s="832">
        <f t="shared" ref="AW50:AW56" si="50">IF(AC50&lt;$G$282,0,MIN($G$279,1+IFERROR(INT((AC50-$G$282)/$G$284),0)))</f>
        <v>0</v>
      </c>
      <c r="AX50" s="832">
        <f t="shared" ref="AX50:AX56" si="51">IF(AD50&lt;$G$282,0,MIN($G$279,1+IFERROR(INT((AD50-$G$282)/$G$284),0)))</f>
        <v>0</v>
      </c>
      <c r="AY50" s="832">
        <f t="shared" ref="AY50:AY56" si="52">IF(AE50&lt;$G$282,0,MIN($G$279,1+IFERROR(INT((AE50-$G$282)/$G$284),0)))</f>
        <v>0</v>
      </c>
      <c r="AZ50" s="832">
        <f t="shared" ref="AZ50:AZ56" si="53">IF(AF50&lt;$G$282,0,MIN($G$279,1+IFERROR(INT((AF50-$G$282)/$G$284),0)))</f>
        <v>2</v>
      </c>
      <c r="BA50" s="832">
        <f t="shared" ref="BA50:BA56" si="54">IF(AG50&lt;$G$282,0,MIN($G$279,1+IFERROR(INT((AG50-$G$282)/$G$284),0)))</f>
        <v>3</v>
      </c>
      <c r="BB50" s="832">
        <f t="shared" ref="BB50:BB56" si="55">IF(AH50&lt;$G$282,0,MIN($G$279,1+IFERROR(INT((AH50-$G$282)/$G$284),0)))</f>
        <v>5</v>
      </c>
    </row>
    <row r="51" spans="1:54" ht="15" customHeight="1">
      <c r="A51" s="417"/>
      <c r="B51" s="800"/>
      <c r="C51" s="802">
        <f>C52-$G$272</f>
        <v>0.2</v>
      </c>
      <c r="D51" s="791">
        <f t="shared" ref="D51:D56" si="56">ROUND(Z51,$G$285)</f>
        <v>-600</v>
      </c>
      <c r="E51" s="791">
        <f t="shared" si="39"/>
        <v>-300</v>
      </c>
      <c r="F51" s="791">
        <f t="shared" si="40"/>
        <v>100</v>
      </c>
      <c r="G51" s="791">
        <f t="shared" si="41"/>
        <v>500</v>
      </c>
      <c r="H51" s="791">
        <f t="shared" si="42"/>
        <v>900</v>
      </c>
      <c r="I51" s="791">
        <f t="shared" si="43"/>
        <v>1300</v>
      </c>
      <c r="J51" s="791">
        <f t="shared" si="44"/>
        <v>1600</v>
      </c>
      <c r="K51" s="791">
        <f t="shared" si="45"/>
        <v>2000</v>
      </c>
      <c r="L51" s="791">
        <f t="shared" si="46"/>
        <v>2400</v>
      </c>
      <c r="M51" s="417"/>
      <c r="N51" s="417"/>
      <c r="O51" s="417"/>
      <c r="P51" s="417"/>
      <c r="Q51" s="417"/>
      <c r="Z51" s="367">
        <f t="shared" ref="Z51:AH51" si="57">Z11+$G$263-$G$280</f>
        <v>-639.78541076436522</v>
      </c>
      <c r="AA51" s="367">
        <f t="shared" si="57"/>
        <v>-261.5337226934007</v>
      </c>
      <c r="AB51" s="367">
        <f t="shared" si="57"/>
        <v>116.71796537756472</v>
      </c>
      <c r="AC51" s="367">
        <f t="shared" si="57"/>
        <v>494.96965344853015</v>
      </c>
      <c r="AD51" s="367">
        <f t="shared" si="57"/>
        <v>873.22134151949649</v>
      </c>
      <c r="AE51" s="367">
        <f t="shared" si="57"/>
        <v>1251.473029590461</v>
      </c>
      <c r="AF51" s="367">
        <f t="shared" si="57"/>
        <v>1629.7247176614255</v>
      </c>
      <c r="AG51" s="367">
        <f t="shared" si="57"/>
        <v>2007.9764057323919</v>
      </c>
      <c r="AH51" s="367">
        <f t="shared" si="57"/>
        <v>2386.2280938033546</v>
      </c>
      <c r="AT51" s="832">
        <f t="shared" ref="AT51:AT56" si="58">IF(Z51&lt;$G$282,0,MIN($G$279,1+IFERROR(INT((Z51-$G$282)/$G$284),0)))</f>
        <v>0</v>
      </c>
      <c r="AU51" s="832">
        <f t="shared" si="48"/>
        <v>0</v>
      </c>
      <c r="AV51" s="832">
        <f t="shared" si="49"/>
        <v>0</v>
      </c>
      <c r="AW51" s="832">
        <f t="shared" si="50"/>
        <v>0</v>
      </c>
      <c r="AX51" s="832">
        <f t="shared" si="51"/>
        <v>0</v>
      </c>
      <c r="AY51" s="832">
        <f t="shared" si="52"/>
        <v>1</v>
      </c>
      <c r="AZ51" s="832">
        <f t="shared" si="53"/>
        <v>3</v>
      </c>
      <c r="BA51" s="832">
        <f t="shared" si="54"/>
        <v>4</v>
      </c>
      <c r="BB51" s="832">
        <f t="shared" si="55"/>
        <v>6</v>
      </c>
    </row>
    <row r="52" spans="1:54" ht="15" customHeight="1">
      <c r="A52" s="417"/>
      <c r="B52" s="800"/>
      <c r="C52" s="802">
        <f>C53-$G$272</f>
        <v>0.25</v>
      </c>
      <c r="D52" s="791">
        <f t="shared" si="56"/>
        <v>-200</v>
      </c>
      <c r="E52" s="791">
        <f t="shared" si="39"/>
        <v>200</v>
      </c>
      <c r="F52" s="791">
        <f t="shared" si="40"/>
        <v>500</v>
      </c>
      <c r="G52" s="791">
        <f t="shared" si="41"/>
        <v>900</v>
      </c>
      <c r="H52" s="791">
        <f t="shared" si="42"/>
        <v>1200</v>
      </c>
      <c r="I52" s="791">
        <f t="shared" si="43"/>
        <v>1600</v>
      </c>
      <c r="J52" s="791">
        <f t="shared" si="44"/>
        <v>1900</v>
      </c>
      <c r="K52" s="791">
        <f t="shared" si="45"/>
        <v>2300</v>
      </c>
      <c r="L52" s="791">
        <f t="shared" si="46"/>
        <v>2600</v>
      </c>
      <c r="M52" s="417"/>
      <c r="N52" s="417"/>
      <c r="O52" s="417"/>
      <c r="P52" s="417"/>
      <c r="Q52" s="417"/>
      <c r="Z52" s="367">
        <f t="shared" ref="Z52:AH52" si="59">Z12+$G$263-$G$280</f>
        <v>-203.48817431959014</v>
      </c>
      <c r="AA52" s="367">
        <f t="shared" si="59"/>
        <v>151.9977684256537</v>
      </c>
      <c r="AB52" s="367">
        <f t="shared" si="59"/>
        <v>507.48371117089846</v>
      </c>
      <c r="AC52" s="367">
        <f t="shared" si="59"/>
        <v>862.96965391614322</v>
      </c>
      <c r="AD52" s="367">
        <f t="shared" si="59"/>
        <v>1218.455596661388</v>
      </c>
      <c r="AE52" s="367">
        <f t="shared" si="59"/>
        <v>1573.9415394066309</v>
      </c>
      <c r="AF52" s="367">
        <f t="shared" si="59"/>
        <v>1929.4274821518757</v>
      </c>
      <c r="AG52" s="367">
        <f t="shared" si="59"/>
        <v>2284.9134248971204</v>
      </c>
      <c r="AH52" s="367">
        <f t="shared" si="59"/>
        <v>2640.3993676423634</v>
      </c>
      <c r="AT52" s="832">
        <f t="shared" si="58"/>
        <v>0</v>
      </c>
      <c r="AU52" s="832">
        <f t="shared" si="48"/>
        <v>0</v>
      </c>
      <c r="AV52" s="832">
        <f t="shared" si="49"/>
        <v>0</v>
      </c>
      <c r="AW52" s="832">
        <f t="shared" si="50"/>
        <v>0</v>
      </c>
      <c r="AX52" s="832">
        <f t="shared" si="51"/>
        <v>1</v>
      </c>
      <c r="AY52" s="832">
        <f t="shared" si="52"/>
        <v>3</v>
      </c>
      <c r="AZ52" s="832">
        <f t="shared" si="53"/>
        <v>4</v>
      </c>
      <c r="BA52" s="832">
        <f t="shared" si="54"/>
        <v>5</v>
      </c>
      <c r="BB52" s="832">
        <f t="shared" si="55"/>
        <v>7</v>
      </c>
    </row>
    <row r="53" spans="1:54" ht="15" customHeight="1">
      <c r="A53" s="417"/>
      <c r="B53" s="800"/>
      <c r="C53" s="802">
        <f>$G$271</f>
        <v>0.3</v>
      </c>
      <c r="D53" s="791">
        <f t="shared" si="56"/>
        <v>200</v>
      </c>
      <c r="E53" s="791">
        <f t="shared" si="39"/>
        <v>600</v>
      </c>
      <c r="F53" s="791">
        <f t="shared" si="40"/>
        <v>900</v>
      </c>
      <c r="G53" s="791">
        <f t="shared" si="41"/>
        <v>1200</v>
      </c>
      <c r="H53" s="805">
        <f t="shared" si="42"/>
        <v>1600</v>
      </c>
      <c r="I53" s="791">
        <f t="shared" si="43"/>
        <v>1900</v>
      </c>
      <c r="J53" s="791">
        <f t="shared" si="44"/>
        <v>2200</v>
      </c>
      <c r="K53" s="791">
        <f t="shared" si="45"/>
        <v>2600</v>
      </c>
      <c r="L53" s="791">
        <f t="shared" si="46"/>
        <v>2900</v>
      </c>
      <c r="M53" s="417"/>
      <c r="N53" s="417"/>
      <c r="O53" s="417"/>
      <c r="P53" s="417"/>
      <c r="Q53" s="417"/>
      <c r="Z53" s="367">
        <f t="shared" ref="Z53:AH53" si="60">Z13+$G$263-$G$280</f>
        <v>234.02111262321068</v>
      </c>
      <c r="AA53" s="367">
        <f t="shared" si="60"/>
        <v>566.62739822125786</v>
      </c>
      <c r="AB53" s="367">
        <f t="shared" si="60"/>
        <v>899.23368381930413</v>
      </c>
      <c r="AC53" s="367">
        <f t="shared" si="60"/>
        <v>1231.8399694173531</v>
      </c>
      <c r="AD53" s="367">
        <f t="shared" si="60"/>
        <v>1564.4462550153985</v>
      </c>
      <c r="AE53" s="367">
        <f t="shared" si="60"/>
        <v>1897.0525406134475</v>
      </c>
      <c r="AF53" s="367">
        <f t="shared" si="60"/>
        <v>2229.6588262114929</v>
      </c>
      <c r="AG53" s="367">
        <f t="shared" si="60"/>
        <v>2562.2651118095418</v>
      </c>
      <c r="AH53" s="367">
        <f t="shared" si="60"/>
        <v>2894.8713974075872</v>
      </c>
      <c r="AT53" s="832">
        <f t="shared" si="58"/>
        <v>0</v>
      </c>
      <c r="AU53" s="832">
        <f t="shared" si="48"/>
        <v>0</v>
      </c>
      <c r="AV53" s="832">
        <f t="shared" si="49"/>
        <v>0</v>
      </c>
      <c r="AW53" s="832">
        <f t="shared" si="50"/>
        <v>1</v>
      </c>
      <c r="AX53" s="832">
        <f t="shared" si="51"/>
        <v>3</v>
      </c>
      <c r="AY53" s="832">
        <f t="shared" si="52"/>
        <v>4</v>
      </c>
      <c r="AZ53" s="832">
        <f t="shared" si="53"/>
        <v>5</v>
      </c>
      <c r="BA53" s="832">
        <f t="shared" si="54"/>
        <v>6</v>
      </c>
      <c r="BB53" s="832">
        <f t="shared" si="55"/>
        <v>8</v>
      </c>
    </row>
    <row r="54" spans="1:54" ht="15" customHeight="1">
      <c r="A54" s="417"/>
      <c r="B54" s="800"/>
      <c r="C54" s="802">
        <f>C53+$G$272</f>
        <v>0.35</v>
      </c>
      <c r="D54" s="791">
        <f t="shared" si="56"/>
        <v>700</v>
      </c>
      <c r="E54" s="791">
        <f t="shared" si="39"/>
        <v>1000</v>
      </c>
      <c r="F54" s="791">
        <f t="shared" si="40"/>
        <v>1300</v>
      </c>
      <c r="G54" s="791">
        <f t="shared" si="41"/>
        <v>1600</v>
      </c>
      <c r="H54" s="791">
        <f t="shared" si="42"/>
        <v>1900</v>
      </c>
      <c r="I54" s="791">
        <f t="shared" si="43"/>
        <v>2200</v>
      </c>
      <c r="J54" s="791">
        <f t="shared" si="44"/>
        <v>2500</v>
      </c>
      <c r="K54" s="791">
        <f t="shared" si="45"/>
        <v>2800</v>
      </c>
      <c r="L54" s="791">
        <f t="shared" si="46"/>
        <v>3100</v>
      </c>
      <c r="M54" s="417"/>
      <c r="N54" s="417"/>
      <c r="O54" s="417"/>
      <c r="P54" s="417"/>
      <c r="Q54" s="417"/>
      <c r="Z54" s="367">
        <f t="shared" ref="Z54:AH54" si="61">Z14+$G$263-$G$280</f>
        <v>672.74858899361243</v>
      </c>
      <c r="AA54" s="367">
        <f t="shared" si="61"/>
        <v>982.36072866959148</v>
      </c>
      <c r="AB54" s="367">
        <f t="shared" si="61"/>
        <v>1291.9728683455687</v>
      </c>
      <c r="AC54" s="367">
        <f t="shared" si="61"/>
        <v>1601.5850080215478</v>
      </c>
      <c r="AD54" s="367">
        <f t="shared" si="61"/>
        <v>1911.1971476975268</v>
      </c>
      <c r="AE54" s="367">
        <f t="shared" si="61"/>
        <v>2220.8092873735059</v>
      </c>
      <c r="AF54" s="367">
        <f t="shared" si="61"/>
        <v>2530.4214270494849</v>
      </c>
      <c r="AG54" s="367">
        <f t="shared" si="61"/>
        <v>2840.0335667254622</v>
      </c>
      <c r="AH54" s="367">
        <f t="shared" si="61"/>
        <v>3149.645706401443</v>
      </c>
      <c r="AT54" s="832">
        <f t="shared" si="58"/>
        <v>0</v>
      </c>
      <c r="AU54" s="832">
        <f t="shared" si="48"/>
        <v>0</v>
      </c>
      <c r="AV54" s="832">
        <f t="shared" si="49"/>
        <v>2</v>
      </c>
      <c r="AW54" s="832">
        <f t="shared" si="50"/>
        <v>3</v>
      </c>
      <c r="AX54" s="832">
        <f t="shared" si="51"/>
        <v>4</v>
      </c>
      <c r="AY54" s="832">
        <f t="shared" si="52"/>
        <v>5</v>
      </c>
      <c r="AZ54" s="832">
        <f t="shared" si="53"/>
        <v>6</v>
      </c>
      <c r="BA54" s="832">
        <f t="shared" si="54"/>
        <v>7</v>
      </c>
      <c r="BB54" s="832">
        <f t="shared" si="55"/>
        <v>9</v>
      </c>
    </row>
    <row r="55" spans="1:54" ht="15" customHeight="1">
      <c r="A55" s="417"/>
      <c r="B55" s="800"/>
      <c r="C55" s="802">
        <f>C54+$G$272</f>
        <v>0.39999999999999997</v>
      </c>
      <c r="D55" s="791">
        <f t="shared" si="56"/>
        <v>1100</v>
      </c>
      <c r="E55" s="791">
        <f t="shared" si="39"/>
        <v>1400</v>
      </c>
      <c r="F55" s="791">
        <f t="shared" si="40"/>
        <v>1700</v>
      </c>
      <c r="G55" s="791">
        <f t="shared" si="41"/>
        <v>2000</v>
      </c>
      <c r="H55" s="791">
        <f t="shared" si="42"/>
        <v>2300</v>
      </c>
      <c r="I55" s="791">
        <f t="shared" si="43"/>
        <v>2500</v>
      </c>
      <c r="J55" s="791">
        <f t="shared" si="44"/>
        <v>2800</v>
      </c>
      <c r="K55" s="791">
        <f t="shared" si="45"/>
        <v>3100</v>
      </c>
      <c r="L55" s="791">
        <f t="shared" si="46"/>
        <v>3400</v>
      </c>
      <c r="M55" s="417"/>
      <c r="N55" s="417"/>
      <c r="O55" s="417"/>
      <c r="P55" s="417"/>
      <c r="Q55" s="417"/>
      <c r="Z55" s="367">
        <f t="shared" ref="Z55:AH55" si="62">Z15+$G$263-$G$280</f>
        <v>1112.700435248822</v>
      </c>
      <c r="AA55" s="367">
        <f t="shared" si="62"/>
        <v>1399.203359371586</v>
      </c>
      <c r="AB55" s="367">
        <f t="shared" si="62"/>
        <v>1685.7062834943499</v>
      </c>
      <c r="AC55" s="367">
        <f t="shared" si="62"/>
        <v>1972.209207617112</v>
      </c>
      <c r="AD55" s="367">
        <f t="shared" si="62"/>
        <v>2258.7121317398742</v>
      </c>
      <c r="AE55" s="367">
        <f t="shared" si="62"/>
        <v>2545.2150558626381</v>
      </c>
      <c r="AF55" s="367">
        <f t="shared" si="62"/>
        <v>2831.7179799854021</v>
      </c>
      <c r="AG55" s="367">
        <f t="shared" si="62"/>
        <v>3118.220904108166</v>
      </c>
      <c r="AH55" s="367">
        <f t="shared" si="62"/>
        <v>3404.7238282309281</v>
      </c>
      <c r="AT55" s="832">
        <f t="shared" si="58"/>
        <v>1</v>
      </c>
      <c r="AU55" s="832">
        <f t="shared" si="48"/>
        <v>2</v>
      </c>
      <c r="AV55" s="832">
        <f t="shared" si="49"/>
        <v>3</v>
      </c>
      <c r="AW55" s="832">
        <f t="shared" si="50"/>
        <v>4</v>
      </c>
      <c r="AX55" s="832">
        <f t="shared" si="51"/>
        <v>5</v>
      </c>
      <c r="AY55" s="832">
        <f t="shared" si="52"/>
        <v>6</v>
      </c>
      <c r="AZ55" s="832">
        <f t="shared" si="53"/>
        <v>7</v>
      </c>
      <c r="BA55" s="832">
        <f t="shared" si="54"/>
        <v>8</v>
      </c>
      <c r="BB55" s="832">
        <f t="shared" si="55"/>
        <v>10</v>
      </c>
    </row>
    <row r="56" spans="1:54" ht="15" customHeight="1">
      <c r="A56" s="417"/>
      <c r="B56" s="801"/>
      <c r="C56" s="803">
        <f>C55+$G$272</f>
        <v>0.44999999999999996</v>
      </c>
      <c r="D56" s="792">
        <f t="shared" si="56"/>
        <v>1600</v>
      </c>
      <c r="E56" s="792">
        <f t="shared" si="39"/>
        <v>1800</v>
      </c>
      <c r="F56" s="792">
        <f t="shared" si="40"/>
        <v>2100</v>
      </c>
      <c r="G56" s="792">
        <f t="shared" si="41"/>
        <v>2300</v>
      </c>
      <c r="H56" s="792">
        <f t="shared" si="42"/>
        <v>2600</v>
      </c>
      <c r="I56" s="792">
        <f t="shared" si="43"/>
        <v>2900</v>
      </c>
      <c r="J56" s="792">
        <f t="shared" si="44"/>
        <v>3100</v>
      </c>
      <c r="K56" s="792">
        <f t="shared" si="45"/>
        <v>3400</v>
      </c>
      <c r="L56" s="792">
        <f t="shared" si="46"/>
        <v>3700</v>
      </c>
      <c r="M56" s="417"/>
      <c r="N56" s="417"/>
      <c r="O56" s="417"/>
      <c r="P56" s="417"/>
      <c r="Q56" s="417"/>
      <c r="Z56" s="367">
        <f t="shared" ref="Z56:AH56" si="63">Z16+$G$263-$G$280</f>
        <v>1553.8828737254262</v>
      </c>
      <c r="AA56" s="367">
        <f t="shared" si="63"/>
        <v>1817.1609278716132</v>
      </c>
      <c r="AB56" s="367">
        <f t="shared" si="63"/>
        <v>2080.4389820178003</v>
      </c>
      <c r="AC56" s="367">
        <f t="shared" si="63"/>
        <v>2343.7170361639874</v>
      </c>
      <c r="AD56" s="367">
        <f t="shared" si="63"/>
        <v>2606.9950903101744</v>
      </c>
      <c r="AE56" s="367">
        <f t="shared" si="63"/>
        <v>2870.2731444563597</v>
      </c>
      <c r="AF56" s="367">
        <f t="shared" si="63"/>
        <v>3133.5511986025467</v>
      </c>
      <c r="AG56" s="367">
        <f t="shared" si="63"/>
        <v>3396.8292527487338</v>
      </c>
      <c r="AH56" s="367">
        <f t="shared" si="63"/>
        <v>3660.1073068949208</v>
      </c>
      <c r="AT56" s="832">
        <f t="shared" si="58"/>
        <v>3</v>
      </c>
      <c r="AU56" s="832">
        <f t="shared" si="48"/>
        <v>4</v>
      </c>
      <c r="AV56" s="832">
        <f t="shared" si="49"/>
        <v>5</v>
      </c>
      <c r="AW56" s="832">
        <f t="shared" si="50"/>
        <v>6</v>
      </c>
      <c r="AX56" s="832">
        <f t="shared" si="51"/>
        <v>7</v>
      </c>
      <c r="AY56" s="832">
        <f t="shared" si="52"/>
        <v>8</v>
      </c>
      <c r="AZ56" s="832">
        <f t="shared" si="53"/>
        <v>9</v>
      </c>
      <c r="BA56" s="832">
        <f t="shared" si="54"/>
        <v>10</v>
      </c>
      <c r="BB56" s="832">
        <f t="shared" si="55"/>
        <v>10</v>
      </c>
    </row>
    <row r="57" spans="1:54" ht="15" hidden="1" customHeight="1" outlineLevel="1">
      <c r="A57" s="417"/>
      <c r="B57" s="423" t="s">
        <v>2728</v>
      </c>
      <c r="C57" s="809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</row>
    <row r="58" spans="1:54" ht="3.95" customHeight="1" collapsed="1">
      <c r="A58" s="417"/>
      <c r="B58" s="417"/>
      <c r="C58" s="417"/>
      <c r="D58" s="417"/>
      <c r="E58" s="417"/>
      <c r="F58" s="417"/>
      <c r="G58" s="417"/>
      <c r="H58" s="417"/>
      <c r="I58" s="417"/>
      <c r="J58" s="417"/>
      <c r="K58" s="417"/>
      <c r="L58" s="417"/>
      <c r="M58" s="417"/>
      <c r="N58" s="417"/>
      <c r="O58" s="417"/>
      <c r="P58" s="417"/>
      <c r="Q58" s="417"/>
    </row>
    <row r="59" spans="1:54" ht="15" customHeight="1">
      <c r="A59" s="417"/>
      <c r="B59" s="148" t="s">
        <v>2660</v>
      </c>
      <c r="C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</row>
    <row r="60" spans="1:54" ht="2.1" customHeight="1">
      <c r="A60" s="417"/>
      <c r="B60" s="417"/>
      <c r="C60" s="417"/>
      <c r="D60" s="417"/>
      <c r="E60" s="417"/>
      <c r="F60" s="417"/>
      <c r="G60" s="417"/>
      <c r="H60" s="417"/>
      <c r="I60" s="417"/>
      <c r="J60" s="417"/>
      <c r="K60" s="417"/>
      <c r="L60" s="417"/>
      <c r="M60" s="417"/>
      <c r="N60" s="417"/>
      <c r="O60" s="417"/>
      <c r="P60" s="417"/>
      <c r="Q60" s="417"/>
    </row>
    <row r="61" spans="1:54" ht="12.75" customHeight="1">
      <c r="A61" s="417"/>
      <c r="B61" s="454"/>
      <c r="C61" s="454"/>
      <c r="D61" s="786" t="s">
        <v>2637</v>
      </c>
      <c r="E61" s="786"/>
      <c r="F61" s="786"/>
      <c r="G61" s="786"/>
      <c r="H61" s="786"/>
      <c r="I61" s="786"/>
      <c r="J61" s="786"/>
      <c r="K61" s="786"/>
      <c r="L61" s="786"/>
      <c r="M61" s="417"/>
      <c r="N61" s="417"/>
      <c r="O61" s="417"/>
      <c r="P61" s="417"/>
      <c r="Q61" s="417"/>
    </row>
    <row r="62" spans="1:54" ht="12.75" customHeight="1">
      <c r="A62" s="417"/>
      <c r="B62" s="454"/>
      <c r="C62" s="454"/>
      <c r="D62" s="787">
        <f>E62-$G$274</f>
        <v>1</v>
      </c>
      <c r="E62" s="787">
        <f>F62-$G$274</f>
        <v>1.25</v>
      </c>
      <c r="F62" s="787">
        <f>G62-$G$274</f>
        <v>1.5</v>
      </c>
      <c r="G62" s="787">
        <f>H62-$G$274</f>
        <v>1.75</v>
      </c>
      <c r="H62" s="787">
        <f>$G$273</f>
        <v>2</v>
      </c>
      <c r="I62" s="787">
        <f>H62+$G$274</f>
        <v>2.25</v>
      </c>
      <c r="J62" s="787">
        <f>I62+$G$274</f>
        <v>2.5</v>
      </c>
      <c r="K62" s="787">
        <f>J62+$G$274</f>
        <v>2.75</v>
      </c>
      <c r="L62" s="787">
        <f>K62+$G$274</f>
        <v>3</v>
      </c>
      <c r="M62" s="417"/>
      <c r="N62" s="417"/>
      <c r="O62" s="417"/>
      <c r="P62" s="417"/>
      <c r="Q62" s="417"/>
      <c r="AT62" s="833" t="s">
        <v>2748</v>
      </c>
      <c r="AU62" s="427"/>
      <c r="AV62" s="427"/>
      <c r="AW62" s="427"/>
      <c r="AX62" s="427"/>
      <c r="AY62" s="427"/>
      <c r="AZ62" s="427"/>
      <c r="BA62" s="427"/>
      <c r="BB62" s="427"/>
    </row>
    <row r="63" spans="1:54" ht="15" customHeight="1">
      <c r="A63" s="417"/>
      <c r="B63" s="804" t="s">
        <v>2638</v>
      </c>
      <c r="C63" s="802">
        <f>C64-$G$272</f>
        <v>0.15000000000000002</v>
      </c>
      <c r="D63" s="806">
        <f>IFERROR(Z50/$G$280,0)</f>
        <v>-0.14350329957855576</v>
      </c>
      <c r="E63" s="806">
        <f t="shared" ref="E63:L63" si="64">IFERROR(AA50/$G$280,0)</f>
        <v>-8.9979894806182251E-2</v>
      </c>
      <c r="F63" s="806">
        <f t="shared" si="64"/>
        <v>-3.6456490033808617E-2</v>
      </c>
      <c r="G63" s="806">
        <f t="shared" si="64"/>
        <v>1.7066914738565017E-2</v>
      </c>
      <c r="H63" s="806">
        <f t="shared" si="64"/>
        <v>7.0590319510938651E-2</v>
      </c>
      <c r="I63" s="806">
        <f t="shared" si="64"/>
        <v>0.12411372428331229</v>
      </c>
      <c r="J63" s="806">
        <f t="shared" si="64"/>
        <v>0.17763712905568591</v>
      </c>
      <c r="K63" s="806">
        <f t="shared" si="64"/>
        <v>0.23116053382805932</v>
      </c>
      <c r="L63" s="806">
        <f t="shared" si="64"/>
        <v>0.28468393860043295</v>
      </c>
      <c r="M63" s="417"/>
      <c r="N63" s="417"/>
      <c r="O63" s="417"/>
      <c r="P63" s="417"/>
      <c r="Q63" s="417"/>
      <c r="AT63" s="832">
        <f>IF(Z50&lt;$G$282,0,MIN($G$279,1+IFERROR(INT((Z50-$G$282)/$G$284),0)))</f>
        <v>0</v>
      </c>
      <c r="AU63" s="832">
        <f t="shared" ref="AU63:BB63" si="65">IF(AA50&lt;$G$282,0,MIN($G$279,1+IFERROR(INT((AA50-$G$282)/$G$284),0)))</f>
        <v>0</v>
      </c>
      <c r="AV63" s="832">
        <f t="shared" si="65"/>
        <v>0</v>
      </c>
      <c r="AW63" s="832">
        <f t="shared" si="65"/>
        <v>0</v>
      </c>
      <c r="AX63" s="832">
        <f t="shared" si="65"/>
        <v>0</v>
      </c>
      <c r="AY63" s="832">
        <f t="shared" si="65"/>
        <v>0</v>
      </c>
      <c r="AZ63" s="832">
        <f t="shared" si="65"/>
        <v>2</v>
      </c>
      <c r="BA63" s="832">
        <f t="shared" si="65"/>
        <v>3</v>
      </c>
      <c r="BB63" s="832">
        <f t="shared" si="65"/>
        <v>5</v>
      </c>
    </row>
    <row r="64" spans="1:54" ht="15" customHeight="1">
      <c r="A64" s="417"/>
      <c r="B64" s="800"/>
      <c r="C64" s="802">
        <f>C65-$G$272</f>
        <v>0.2</v>
      </c>
      <c r="D64" s="806">
        <f t="shared" ref="D64:L64" si="66">IFERROR(Z51/$G$280,0)</f>
        <v>-8.5415674132672981E-2</v>
      </c>
      <c r="E64" s="806">
        <f t="shared" si="66"/>
        <v>-3.4916518658334832E-2</v>
      </c>
      <c r="F64" s="806">
        <f t="shared" si="66"/>
        <v>1.5582636816003432E-2</v>
      </c>
      <c r="G64" s="806">
        <f t="shared" si="66"/>
        <v>6.6081792290341695E-2</v>
      </c>
      <c r="H64" s="806">
        <f t="shared" si="66"/>
        <v>0.11658094776468009</v>
      </c>
      <c r="I64" s="806">
        <f t="shared" si="66"/>
        <v>0.16708010323901823</v>
      </c>
      <c r="J64" s="806">
        <f t="shared" si="66"/>
        <v>0.21757925871335637</v>
      </c>
      <c r="K64" s="806">
        <f t="shared" si="66"/>
        <v>0.26807841418769474</v>
      </c>
      <c r="L64" s="806">
        <f t="shared" si="66"/>
        <v>0.31857756966203266</v>
      </c>
      <c r="M64" s="417"/>
      <c r="N64" s="417"/>
      <c r="O64" s="417"/>
      <c r="P64" s="417"/>
      <c r="Q64" s="417"/>
      <c r="AT64" s="832">
        <f t="shared" ref="AT64:BB64" si="67">IF(Z51&lt;$G$282,0,MIN($G$279,1+IFERROR(INT((Z51-$G$282)/$G$284),0)))</f>
        <v>0</v>
      </c>
      <c r="AU64" s="832">
        <f t="shared" si="67"/>
        <v>0</v>
      </c>
      <c r="AV64" s="832">
        <f t="shared" si="67"/>
        <v>0</v>
      </c>
      <c r="AW64" s="832">
        <f t="shared" si="67"/>
        <v>0</v>
      </c>
      <c r="AX64" s="832">
        <f t="shared" si="67"/>
        <v>0</v>
      </c>
      <c r="AY64" s="832">
        <f t="shared" si="67"/>
        <v>1</v>
      </c>
      <c r="AZ64" s="832">
        <f t="shared" si="67"/>
        <v>3</v>
      </c>
      <c r="BA64" s="832">
        <f t="shared" si="67"/>
        <v>4</v>
      </c>
      <c r="BB64" s="832">
        <f t="shared" si="67"/>
        <v>6</v>
      </c>
    </row>
    <row r="65" spans="1:54" ht="15" customHeight="1">
      <c r="A65" s="417"/>
      <c r="B65" s="800"/>
      <c r="C65" s="802">
        <f>C66-$G$272</f>
        <v>0.25</v>
      </c>
      <c r="D65" s="806">
        <f t="shared" ref="D65:L65" si="68">IFERROR(Z52/$G$280,0)</f>
        <v>-2.7167045848652784E-2</v>
      </c>
      <c r="E65" s="806">
        <f t="shared" si="68"/>
        <v>2.0292728840484296E-2</v>
      </c>
      <c r="F65" s="806">
        <f t="shared" si="68"/>
        <v>6.7752503529621505E-2</v>
      </c>
      <c r="G65" s="806">
        <f t="shared" si="68"/>
        <v>0.11521227821875871</v>
      </c>
      <c r="H65" s="806">
        <f t="shared" si="68"/>
        <v>0.16267205290789591</v>
      </c>
      <c r="I65" s="806">
        <f t="shared" si="68"/>
        <v>0.21013182759703286</v>
      </c>
      <c r="J65" s="806">
        <f t="shared" si="68"/>
        <v>0.25759160228617006</v>
      </c>
      <c r="K65" s="806">
        <f t="shared" si="68"/>
        <v>0.30505137697530726</v>
      </c>
      <c r="L65" s="806">
        <f t="shared" si="68"/>
        <v>0.35251115166444424</v>
      </c>
      <c r="M65" s="417"/>
      <c r="N65" s="417"/>
      <c r="O65" s="417"/>
      <c r="P65" s="417"/>
      <c r="Q65" s="417"/>
      <c r="AT65" s="832">
        <f t="shared" ref="AT65:BB65" si="69">IF(Z52&lt;$G$282,0,MIN($G$279,1+IFERROR(INT((Z52-$G$282)/$G$284),0)))</f>
        <v>0</v>
      </c>
      <c r="AU65" s="832">
        <f t="shared" si="69"/>
        <v>0</v>
      </c>
      <c r="AV65" s="832">
        <f t="shared" si="69"/>
        <v>0</v>
      </c>
      <c r="AW65" s="832">
        <f t="shared" si="69"/>
        <v>0</v>
      </c>
      <c r="AX65" s="832">
        <f t="shared" si="69"/>
        <v>1</v>
      </c>
      <c r="AY65" s="832">
        <f t="shared" si="69"/>
        <v>3</v>
      </c>
      <c r="AZ65" s="832">
        <f t="shared" si="69"/>
        <v>4</v>
      </c>
      <c r="BA65" s="832">
        <f t="shared" si="69"/>
        <v>5</v>
      </c>
      <c r="BB65" s="832">
        <f t="shared" si="69"/>
        <v>7</v>
      </c>
    </row>
    <row r="66" spans="1:54" ht="15" customHeight="1">
      <c r="A66" s="417"/>
      <c r="B66" s="800"/>
      <c r="C66" s="802">
        <f>$G$271</f>
        <v>0.3</v>
      </c>
      <c r="D66" s="806">
        <f t="shared" ref="D66:L66" si="70">IFERROR(Z53/$G$280,0)</f>
        <v>3.1243399364340552E-2</v>
      </c>
      <c r="E66" s="806">
        <f t="shared" si="70"/>
        <v>7.5648585270627122E-2</v>
      </c>
      <c r="F66" s="806">
        <f t="shared" si="70"/>
        <v>0.12005377117691358</v>
      </c>
      <c r="G66" s="806">
        <f t="shared" si="70"/>
        <v>0.16445895708320041</v>
      </c>
      <c r="H66" s="807">
        <f t="shared" si="70"/>
        <v>0.20886414298948675</v>
      </c>
      <c r="I66" s="806">
        <f t="shared" si="70"/>
        <v>0.25326932889577358</v>
      </c>
      <c r="J66" s="806">
        <f t="shared" si="70"/>
        <v>0.29767451480205992</v>
      </c>
      <c r="K66" s="806">
        <f t="shared" si="70"/>
        <v>0.3420797007083467</v>
      </c>
      <c r="L66" s="806">
        <f t="shared" si="70"/>
        <v>0.38648488661463304</v>
      </c>
      <c r="M66" s="417"/>
      <c r="N66" s="417"/>
      <c r="O66" s="417"/>
      <c r="P66" s="417"/>
      <c r="Q66" s="417"/>
      <c r="AT66" s="832">
        <f t="shared" ref="AT66:BB66" si="71">IF(Z53&lt;$G$282,0,MIN($G$279,1+IFERROR(INT((Z53-$G$282)/$G$284),0)))</f>
        <v>0</v>
      </c>
      <c r="AU66" s="832">
        <f t="shared" si="71"/>
        <v>0</v>
      </c>
      <c r="AV66" s="832">
        <f t="shared" si="71"/>
        <v>0</v>
      </c>
      <c r="AW66" s="832">
        <f t="shared" si="71"/>
        <v>1</v>
      </c>
      <c r="AX66" s="832">
        <f t="shared" si="71"/>
        <v>3</v>
      </c>
      <c r="AY66" s="832">
        <f t="shared" si="71"/>
        <v>4</v>
      </c>
      <c r="AZ66" s="832">
        <f t="shared" si="71"/>
        <v>5</v>
      </c>
      <c r="BA66" s="832">
        <f t="shared" si="71"/>
        <v>6</v>
      </c>
      <c r="BB66" s="832">
        <f t="shared" si="71"/>
        <v>8</v>
      </c>
    </row>
    <row r="67" spans="1:54" ht="15" customHeight="1">
      <c r="A67" s="417"/>
      <c r="B67" s="800"/>
      <c r="C67" s="802">
        <f>C66+$G$272</f>
        <v>0.35</v>
      </c>
      <c r="D67" s="806">
        <f t="shared" ref="D67:L67" si="72">IFERROR(Z54/$G$280,0)</f>
        <v>8.9816481094874223E-2</v>
      </c>
      <c r="E67" s="806">
        <f t="shared" si="72"/>
        <v>0.13115179319348519</v>
      </c>
      <c r="F67" s="806">
        <f t="shared" si="72"/>
        <v>0.17248710529209593</v>
      </c>
      <c r="G67" s="806">
        <f t="shared" si="72"/>
        <v>0.2138224173907069</v>
      </c>
      <c r="H67" s="806">
        <f t="shared" si="72"/>
        <v>0.25515772948931786</v>
      </c>
      <c r="I67" s="806">
        <f t="shared" si="72"/>
        <v>0.29649304158792883</v>
      </c>
      <c r="J67" s="806">
        <f t="shared" si="72"/>
        <v>0.3378283536865398</v>
      </c>
      <c r="K67" s="806">
        <f t="shared" si="72"/>
        <v>0.37916366578515054</v>
      </c>
      <c r="L67" s="806">
        <f t="shared" si="72"/>
        <v>0.42049897788376178</v>
      </c>
      <c r="M67" s="417"/>
      <c r="N67" s="417"/>
      <c r="O67" s="417"/>
      <c r="P67" s="417"/>
      <c r="Q67" s="417"/>
      <c r="AT67" s="832">
        <f t="shared" ref="AT67:BB67" si="73">IF(Z54&lt;$G$282,0,MIN($G$279,1+IFERROR(INT((Z54-$G$282)/$G$284),0)))</f>
        <v>0</v>
      </c>
      <c r="AU67" s="832">
        <f t="shared" si="73"/>
        <v>0</v>
      </c>
      <c r="AV67" s="832">
        <f t="shared" si="73"/>
        <v>2</v>
      </c>
      <c r="AW67" s="832">
        <f t="shared" si="73"/>
        <v>3</v>
      </c>
      <c r="AX67" s="832">
        <f t="shared" si="73"/>
        <v>4</v>
      </c>
      <c r="AY67" s="832">
        <f t="shared" si="73"/>
        <v>5</v>
      </c>
      <c r="AZ67" s="832">
        <f t="shared" si="73"/>
        <v>6</v>
      </c>
      <c r="BA67" s="832">
        <f t="shared" si="73"/>
        <v>7</v>
      </c>
      <c r="BB67" s="832">
        <f t="shared" si="73"/>
        <v>9</v>
      </c>
    </row>
    <row r="68" spans="1:54" ht="15" customHeight="1">
      <c r="A68" s="417"/>
      <c r="B68" s="800"/>
      <c r="C68" s="802">
        <f>C67+$G$272</f>
        <v>0.39999999999999997</v>
      </c>
      <c r="D68" s="806">
        <f t="shared" ref="D68:L68" si="74">IFERROR(Z55/$G$280,0)</f>
        <v>0.14855302447573476</v>
      </c>
      <c r="E68" s="806">
        <f t="shared" si="74"/>
        <v>0.18680310019360855</v>
      </c>
      <c r="F68" s="806">
        <f t="shared" si="74"/>
        <v>0.2250531759114823</v>
      </c>
      <c r="G68" s="806">
        <f t="shared" si="74"/>
        <v>0.26330325162935581</v>
      </c>
      <c r="H68" s="806">
        <f t="shared" si="74"/>
        <v>0.30155332734722934</v>
      </c>
      <c r="I68" s="806">
        <f t="shared" si="74"/>
        <v>0.33980340306510309</v>
      </c>
      <c r="J68" s="806">
        <f t="shared" si="74"/>
        <v>0.37805347878297685</v>
      </c>
      <c r="K68" s="806">
        <f t="shared" si="74"/>
        <v>0.4163035545008506</v>
      </c>
      <c r="L68" s="806">
        <f t="shared" si="74"/>
        <v>0.45455363021872414</v>
      </c>
      <c r="M68" s="417"/>
      <c r="N68" s="417"/>
      <c r="O68" s="417"/>
      <c r="P68" s="417"/>
      <c r="Q68" s="417"/>
      <c r="AT68" s="832">
        <f t="shared" ref="AT68:BB68" si="75">IF(Z55&lt;$G$282,0,MIN($G$279,1+IFERROR(INT((Z55-$G$282)/$G$284),0)))</f>
        <v>1</v>
      </c>
      <c r="AU68" s="832">
        <f t="shared" si="75"/>
        <v>2</v>
      </c>
      <c r="AV68" s="832">
        <f t="shared" si="75"/>
        <v>3</v>
      </c>
      <c r="AW68" s="832">
        <f t="shared" si="75"/>
        <v>4</v>
      </c>
      <c r="AX68" s="832">
        <f t="shared" si="75"/>
        <v>5</v>
      </c>
      <c r="AY68" s="832">
        <f t="shared" si="75"/>
        <v>6</v>
      </c>
      <c r="AZ68" s="832">
        <f t="shared" si="75"/>
        <v>7</v>
      </c>
      <c r="BA68" s="832">
        <f t="shared" si="75"/>
        <v>8</v>
      </c>
      <c r="BB68" s="832">
        <f t="shared" si="75"/>
        <v>10</v>
      </c>
    </row>
    <row r="69" spans="1:54" ht="15" customHeight="1">
      <c r="A69" s="417"/>
      <c r="B69" s="801"/>
      <c r="C69" s="803">
        <f>C68+$G$272</f>
        <v>0.44999999999999996</v>
      </c>
      <c r="D69" s="808">
        <f t="shared" ref="D69:L69" si="76">IFERROR(Z56/$G$280,0)</f>
        <v>0.20745386023088885</v>
      </c>
      <c r="E69" s="808">
        <f t="shared" si="76"/>
        <v>0.24260325892125281</v>
      </c>
      <c r="F69" s="808">
        <f t="shared" si="76"/>
        <v>0.27775265761161677</v>
      </c>
      <c r="G69" s="808">
        <f t="shared" si="76"/>
        <v>0.3129020563019807</v>
      </c>
      <c r="H69" s="808">
        <f t="shared" si="76"/>
        <v>0.34805145499234469</v>
      </c>
      <c r="I69" s="808">
        <f t="shared" si="76"/>
        <v>0.3832008536827084</v>
      </c>
      <c r="J69" s="808">
        <f t="shared" si="76"/>
        <v>0.41835025237307238</v>
      </c>
      <c r="K69" s="808">
        <f t="shared" si="76"/>
        <v>0.45349965106343632</v>
      </c>
      <c r="L69" s="808">
        <f t="shared" si="76"/>
        <v>0.48864904975380025</v>
      </c>
      <c r="M69" s="417"/>
      <c r="N69" s="417"/>
      <c r="O69" s="417"/>
      <c r="P69" s="417"/>
      <c r="Q69" s="417"/>
      <c r="AT69" s="832">
        <f t="shared" ref="AT69:BB69" si="77">IF(Z56&lt;$G$282,0,MIN($G$279,1+IFERROR(INT((Z56-$G$282)/$G$284),0)))</f>
        <v>3</v>
      </c>
      <c r="AU69" s="832">
        <f t="shared" si="77"/>
        <v>4</v>
      </c>
      <c r="AV69" s="832">
        <f t="shared" si="77"/>
        <v>5</v>
      </c>
      <c r="AW69" s="832">
        <f t="shared" si="77"/>
        <v>6</v>
      </c>
      <c r="AX69" s="832">
        <f t="shared" si="77"/>
        <v>7</v>
      </c>
      <c r="AY69" s="832">
        <f t="shared" si="77"/>
        <v>8</v>
      </c>
      <c r="AZ69" s="832">
        <f t="shared" si="77"/>
        <v>9</v>
      </c>
      <c r="BA69" s="832">
        <f t="shared" si="77"/>
        <v>10</v>
      </c>
      <c r="BB69" s="832">
        <f t="shared" si="77"/>
        <v>10</v>
      </c>
    </row>
    <row r="70" spans="1:54" ht="15" hidden="1" customHeight="1" outlineLevel="1">
      <c r="A70" s="417"/>
      <c r="B70" s="423" t="s">
        <v>2729</v>
      </c>
      <c r="D70" s="417"/>
      <c r="E70" s="417"/>
      <c r="F70" s="417"/>
      <c r="G70" s="417"/>
      <c r="H70" s="417"/>
      <c r="I70" s="417"/>
      <c r="J70" s="417"/>
      <c r="K70" s="417"/>
      <c r="L70" s="417"/>
      <c r="M70" s="417"/>
      <c r="N70" s="417"/>
      <c r="O70" s="417"/>
      <c r="P70" s="417"/>
      <c r="Q70" s="417"/>
    </row>
    <row r="71" spans="1:54" ht="3.95" customHeight="1" collapsed="1">
      <c r="A71" s="417"/>
      <c r="M71" s="417"/>
      <c r="N71" s="417"/>
      <c r="O71" s="417"/>
      <c r="P71" s="417"/>
      <c r="Q71" s="417"/>
    </row>
    <row r="72" spans="1:54" ht="15" customHeight="1">
      <c r="A72" s="417"/>
      <c r="B72" s="148" t="s">
        <v>2661</v>
      </c>
      <c r="C72" s="417"/>
      <c r="D72" s="417"/>
      <c r="E72" s="417"/>
      <c r="F72" s="417"/>
      <c r="G72" s="417"/>
      <c r="H72" s="417"/>
      <c r="I72" s="417"/>
      <c r="J72" s="417"/>
      <c r="K72" s="417"/>
      <c r="L72" s="417"/>
      <c r="M72" s="417"/>
      <c r="N72" s="417"/>
      <c r="O72" s="417"/>
      <c r="P72" s="417"/>
      <c r="Q72" s="417"/>
    </row>
    <row r="73" spans="1:54" ht="2.1" customHeight="1">
      <c r="A73" s="417"/>
      <c r="B73" s="417"/>
      <c r="C73" s="417"/>
      <c r="D73" s="417"/>
      <c r="E73" s="417"/>
      <c r="F73" s="417"/>
      <c r="G73" s="417"/>
      <c r="H73" s="417"/>
      <c r="I73" s="417"/>
      <c r="J73" s="417"/>
      <c r="K73" s="417"/>
      <c r="L73" s="417"/>
      <c r="M73" s="417"/>
      <c r="N73" s="417"/>
      <c r="O73" s="417"/>
      <c r="P73" s="417"/>
      <c r="Q73" s="417"/>
    </row>
    <row r="74" spans="1:54" ht="12.75" customHeight="1">
      <c r="A74" s="417"/>
      <c r="B74" s="454"/>
      <c r="C74" s="454"/>
      <c r="D74" s="786" t="s">
        <v>2637</v>
      </c>
      <c r="E74" s="786"/>
      <c r="F74" s="786"/>
      <c r="G74" s="786"/>
      <c r="H74" s="786"/>
      <c r="I74" s="786"/>
      <c r="J74" s="786"/>
      <c r="K74" s="786"/>
      <c r="L74" s="786"/>
      <c r="M74" s="417"/>
      <c r="N74" s="417"/>
      <c r="O74" s="417"/>
      <c r="P74" s="417"/>
      <c r="Q74" s="417"/>
    </row>
    <row r="75" spans="1:54" ht="12.75" customHeight="1">
      <c r="A75" s="417"/>
      <c r="B75" s="454"/>
      <c r="C75" s="454"/>
      <c r="D75" s="787">
        <f>E75-$G$274</f>
        <v>1</v>
      </c>
      <c r="E75" s="787">
        <f>F75-$G$274</f>
        <v>1.25</v>
      </c>
      <c r="F75" s="787">
        <f>G75-$G$274</f>
        <v>1.5</v>
      </c>
      <c r="G75" s="787">
        <f>H75-$G$274</f>
        <v>1.75</v>
      </c>
      <c r="H75" s="787">
        <f>$G$273</f>
        <v>2</v>
      </c>
      <c r="I75" s="787">
        <f>H75+$G$274</f>
        <v>2.25</v>
      </c>
      <c r="J75" s="787">
        <f>I75+$G$274</f>
        <v>2.5</v>
      </c>
      <c r="K75" s="787">
        <f>J75+$G$274</f>
        <v>2.75</v>
      </c>
      <c r="L75" s="787">
        <f>K75+$G$274</f>
        <v>3</v>
      </c>
      <c r="M75" s="417"/>
      <c r="N75" s="417"/>
      <c r="O75" s="417"/>
      <c r="P75" s="417"/>
      <c r="Q75" s="417"/>
      <c r="AT75" s="833" t="s">
        <v>2748</v>
      </c>
      <c r="AU75" s="427"/>
      <c r="AV75" s="427"/>
      <c r="AW75" s="427"/>
      <c r="AX75" s="427"/>
      <c r="AY75" s="427"/>
      <c r="AZ75" s="427"/>
      <c r="BA75" s="427"/>
      <c r="BB75" s="427"/>
    </row>
    <row r="76" spans="1:54" ht="15" customHeight="1">
      <c r="A76" s="417"/>
      <c r="B76" s="804" t="s">
        <v>2638</v>
      </c>
      <c r="C76" s="802">
        <f>C77-$G$272</f>
        <v>0.15000000000000002</v>
      </c>
      <c r="D76" s="814">
        <f>D36-$G$281</f>
        <v>4.5980603693738242E-3</v>
      </c>
      <c r="E76" s="814">
        <f t="shared" ref="E76:L76" si="78">E36-$G$281</f>
        <v>2.1307364604183476E-2</v>
      </c>
      <c r="F76" s="814">
        <f t="shared" si="78"/>
        <v>3.71498649020372E-2</v>
      </c>
      <c r="G76" s="814">
        <f t="shared" si="78"/>
        <v>5.2220608767002297E-2</v>
      </c>
      <c r="H76" s="814">
        <f t="shared" si="78"/>
        <v>6.6599357235672896E-2</v>
      </c>
      <c r="I76" s="814">
        <f t="shared" si="78"/>
        <v>8.0353741127442424E-2</v>
      </c>
      <c r="J76" s="814">
        <f t="shared" si="78"/>
        <v>9.3541636332944877E-2</v>
      </c>
      <c r="K76" s="814">
        <f t="shared" si="78"/>
        <v>0.1062129802563434</v>
      </c>
      <c r="L76" s="814">
        <f t="shared" si="78"/>
        <v>0.11841118083450008</v>
      </c>
      <c r="M76" s="417"/>
      <c r="N76" s="417"/>
      <c r="O76" s="417"/>
      <c r="P76" s="417"/>
      <c r="Q76" s="417"/>
      <c r="AT76" s="832">
        <f>IF(Z50&lt;$G$282,0,MIN($G$279,1+IFERROR(INT((Z50-$G$282)/$G$284),0)))</f>
        <v>0</v>
      </c>
      <c r="AU76" s="832">
        <f t="shared" ref="AU76:BB76" si="79">IF(AA50&lt;$G$282,0,MIN($G$279,1+IFERROR(INT((AA50-$G$282)/$G$284),0)))</f>
        <v>0</v>
      </c>
      <c r="AV76" s="832">
        <f t="shared" si="79"/>
        <v>0</v>
      </c>
      <c r="AW76" s="832">
        <f t="shared" si="79"/>
        <v>0</v>
      </c>
      <c r="AX76" s="832">
        <f t="shared" si="79"/>
        <v>0</v>
      </c>
      <c r="AY76" s="832">
        <f t="shared" si="79"/>
        <v>0</v>
      </c>
      <c r="AZ76" s="832">
        <f t="shared" si="79"/>
        <v>2</v>
      </c>
      <c r="BA76" s="832">
        <f t="shared" si="79"/>
        <v>3</v>
      </c>
      <c r="BB76" s="832">
        <f t="shared" si="79"/>
        <v>5</v>
      </c>
    </row>
    <row r="77" spans="1:54" ht="15" customHeight="1">
      <c r="A77" s="417"/>
      <c r="B77" s="800"/>
      <c r="C77" s="802">
        <f>C78-$G$272</f>
        <v>0.2</v>
      </c>
      <c r="D77" s="814">
        <f t="shared" ref="D77:L77" si="80">D37-$G$281</f>
        <v>1.9476287482678156E-2</v>
      </c>
      <c r="E77" s="814">
        <f t="shared" si="80"/>
        <v>3.4229970977672775E-2</v>
      </c>
      <c r="F77" s="814">
        <f t="shared" si="80"/>
        <v>4.8310602351893328E-2</v>
      </c>
      <c r="G77" s="814">
        <f t="shared" si="80"/>
        <v>6.1783557992654448E-2</v>
      </c>
      <c r="H77" s="814">
        <f t="shared" si="80"/>
        <v>7.4704839383124666E-2</v>
      </c>
      <c r="I77" s="814">
        <f t="shared" si="80"/>
        <v>8.7122809103274301E-2</v>
      </c>
      <c r="J77" s="814">
        <f t="shared" si="80"/>
        <v>9.9079539554558282E-2</v>
      </c>
      <c r="K77" s="814">
        <f t="shared" si="80"/>
        <v>0.11061187420850915</v>
      </c>
      <c r="L77" s="814">
        <f t="shared" si="80"/>
        <v>0.12175227219013385</v>
      </c>
      <c r="M77" s="417"/>
      <c r="N77" s="417"/>
      <c r="O77" s="417"/>
      <c r="P77" s="417"/>
      <c r="Q77" s="417"/>
      <c r="AT77" s="832">
        <f t="shared" ref="AT77:BB77" si="81">IF(Z51&lt;$G$282,0,MIN($G$279,1+IFERROR(INT((Z51-$G$282)/$G$284),0)))</f>
        <v>0</v>
      </c>
      <c r="AU77" s="832">
        <f t="shared" si="81"/>
        <v>0</v>
      </c>
      <c r="AV77" s="832">
        <f t="shared" si="81"/>
        <v>0</v>
      </c>
      <c r="AW77" s="832">
        <f t="shared" si="81"/>
        <v>0</v>
      </c>
      <c r="AX77" s="832">
        <f t="shared" si="81"/>
        <v>0</v>
      </c>
      <c r="AY77" s="832">
        <f t="shared" si="81"/>
        <v>1</v>
      </c>
      <c r="AZ77" s="832">
        <f t="shared" si="81"/>
        <v>3</v>
      </c>
      <c r="BA77" s="832">
        <f t="shared" si="81"/>
        <v>4</v>
      </c>
      <c r="BB77" s="832">
        <f t="shared" si="81"/>
        <v>6</v>
      </c>
    </row>
    <row r="78" spans="1:54" ht="15" customHeight="1">
      <c r="A78" s="417"/>
      <c r="B78" s="800"/>
      <c r="C78" s="802">
        <f>C79-$G$272</f>
        <v>0.25</v>
      </c>
      <c r="D78" s="814">
        <f t="shared" ref="D78:L78" si="82">D38-$G$281</f>
        <v>3.3148223512911912E-2</v>
      </c>
      <c r="E78" s="814">
        <f t="shared" si="82"/>
        <v>4.6182034230845659E-2</v>
      </c>
      <c r="F78" s="814">
        <f t="shared" si="82"/>
        <v>5.8692654663598409E-2</v>
      </c>
      <c r="G78" s="814">
        <f t="shared" si="82"/>
        <v>7.0725090495115328E-2</v>
      </c>
      <c r="H78" s="814">
        <f t="shared" si="82"/>
        <v>8.2318598615817917E-2</v>
      </c>
      <c r="I78" s="814">
        <f t="shared" si="82"/>
        <v>9.3507640402004766E-2</v>
      </c>
      <c r="J78" s="814">
        <f t="shared" si="82"/>
        <v>0.10432264364997601</v>
      </c>
      <c r="K78" s="814">
        <f t="shared" si="82"/>
        <v>0.11479061766114329</v>
      </c>
      <c r="L78" s="814">
        <f t="shared" si="82"/>
        <v>0.1249356544714495</v>
      </c>
      <c r="M78" s="417"/>
      <c r="N78" s="417"/>
      <c r="O78" s="417"/>
      <c r="P78" s="417"/>
      <c r="Q78" s="417"/>
      <c r="AT78" s="832">
        <f t="shared" ref="AT78:BB78" si="83">IF(Z52&lt;$G$282,0,MIN($G$279,1+IFERROR(INT((Z52-$G$282)/$G$284),0)))</f>
        <v>0</v>
      </c>
      <c r="AU78" s="832">
        <f t="shared" si="83"/>
        <v>0</v>
      </c>
      <c r="AV78" s="832">
        <f t="shared" si="83"/>
        <v>0</v>
      </c>
      <c r="AW78" s="832">
        <f t="shared" si="83"/>
        <v>0</v>
      </c>
      <c r="AX78" s="832">
        <f t="shared" si="83"/>
        <v>1</v>
      </c>
      <c r="AY78" s="832">
        <f t="shared" si="83"/>
        <v>3</v>
      </c>
      <c r="AZ78" s="832">
        <f t="shared" si="83"/>
        <v>4</v>
      </c>
      <c r="BA78" s="832">
        <f t="shared" si="83"/>
        <v>5</v>
      </c>
      <c r="BB78" s="832">
        <f t="shared" si="83"/>
        <v>7</v>
      </c>
    </row>
    <row r="79" spans="1:54" ht="15" customHeight="1">
      <c r="A79" s="417"/>
      <c r="B79" s="800"/>
      <c r="C79" s="802">
        <f>$G$271</f>
        <v>0.3</v>
      </c>
      <c r="D79" s="814">
        <f t="shared" ref="D79:L79" si="84">D39-$G$281</f>
        <v>4.5775544564219839E-2</v>
      </c>
      <c r="E79" s="814">
        <f t="shared" si="84"/>
        <v>5.728310049100549E-2</v>
      </c>
      <c r="F79" s="814">
        <f t="shared" si="84"/>
        <v>6.8384408332762714E-2</v>
      </c>
      <c r="G79" s="814">
        <f t="shared" si="84"/>
        <v>7.9110378567202488E-2</v>
      </c>
      <c r="H79" s="815">
        <f t="shared" si="84"/>
        <v>8.94884109499543E-2</v>
      </c>
      <c r="I79" s="814">
        <f t="shared" si="84"/>
        <v>9.9542914641983726E-2</v>
      </c>
      <c r="J79" s="814">
        <f t="shared" si="84"/>
        <v>0.10929573465879305</v>
      </c>
      <c r="K79" s="814">
        <f t="shared" si="84"/>
        <v>0.11876650420254031</v>
      </c>
      <c r="L79" s="814">
        <f t="shared" si="84"/>
        <v>0.12797293808122312</v>
      </c>
      <c r="M79" s="417"/>
      <c r="N79" s="417"/>
      <c r="O79" s="417"/>
      <c r="P79" s="417"/>
      <c r="Q79" s="417"/>
      <c r="AT79" s="832">
        <f t="shared" ref="AT79:BB79" si="85">IF(Z53&lt;$G$282,0,MIN($G$279,1+IFERROR(INT((Z53-$G$282)/$G$284),0)))</f>
        <v>0</v>
      </c>
      <c r="AU79" s="832">
        <f t="shared" si="85"/>
        <v>0</v>
      </c>
      <c r="AV79" s="832">
        <f t="shared" si="85"/>
        <v>0</v>
      </c>
      <c r="AW79" s="832">
        <f t="shared" si="85"/>
        <v>1</v>
      </c>
      <c r="AX79" s="832">
        <f t="shared" si="85"/>
        <v>3</v>
      </c>
      <c r="AY79" s="832">
        <f t="shared" si="85"/>
        <v>4</v>
      </c>
      <c r="AZ79" s="832">
        <f t="shared" si="85"/>
        <v>5</v>
      </c>
      <c r="BA79" s="832">
        <f t="shared" si="85"/>
        <v>6</v>
      </c>
      <c r="BB79" s="832">
        <f t="shared" si="85"/>
        <v>8</v>
      </c>
    </row>
    <row r="80" spans="1:54" ht="15" customHeight="1">
      <c r="A80" s="417"/>
      <c r="B80" s="800"/>
      <c r="C80" s="802">
        <f>C79+$G$272</f>
        <v>0.35</v>
      </c>
      <c r="D80" s="814">
        <f t="shared" ref="D80:L80" si="86">D40-$G$281</f>
        <v>5.7490009147239007E-2</v>
      </c>
      <c r="E80" s="814">
        <f t="shared" si="86"/>
        <v>6.763245040894339E-2</v>
      </c>
      <c r="F80" s="814">
        <f t="shared" si="86"/>
        <v>7.7460503826997984E-2</v>
      </c>
      <c r="G80" s="814">
        <f t="shared" si="86"/>
        <v>8.6995281057785423E-2</v>
      </c>
      <c r="H80" s="814">
        <f t="shared" si="86"/>
        <v>9.6255767511317814E-2</v>
      </c>
      <c r="I80" s="814">
        <f t="shared" si="86"/>
        <v>0.10525910293184437</v>
      </c>
      <c r="J80" s="814">
        <f t="shared" si="86"/>
        <v>0.11402081672030318</v>
      </c>
      <c r="K80" s="814">
        <f t="shared" si="86"/>
        <v>0.12255502666877849</v>
      </c>
      <c r="L80" s="814">
        <f t="shared" si="86"/>
        <v>0.13087460761664249</v>
      </c>
      <c r="M80" s="417"/>
      <c r="N80" s="417"/>
      <c r="O80" s="417"/>
      <c r="P80" s="417"/>
      <c r="Q80" s="417"/>
      <c r="AT80" s="832">
        <f t="shared" ref="AT80:BB80" si="87">IF(Z54&lt;$G$282,0,MIN($G$279,1+IFERROR(INT((Z54-$G$282)/$G$284),0)))</f>
        <v>0</v>
      </c>
      <c r="AU80" s="832">
        <f t="shared" si="87"/>
        <v>0</v>
      </c>
      <c r="AV80" s="832">
        <f t="shared" si="87"/>
        <v>2</v>
      </c>
      <c r="AW80" s="832">
        <f t="shared" si="87"/>
        <v>3</v>
      </c>
      <c r="AX80" s="832">
        <f t="shared" si="87"/>
        <v>4</v>
      </c>
      <c r="AY80" s="832">
        <f t="shared" si="87"/>
        <v>5</v>
      </c>
      <c r="AZ80" s="832">
        <f t="shared" si="87"/>
        <v>6</v>
      </c>
      <c r="BA80" s="832">
        <f t="shared" si="87"/>
        <v>7</v>
      </c>
      <c r="BB80" s="832">
        <f t="shared" si="87"/>
        <v>9</v>
      </c>
    </row>
    <row r="81" spans="1:54" ht="15" customHeight="1">
      <c r="A81" s="417"/>
      <c r="B81" s="800"/>
      <c r="C81" s="802">
        <f>C80+$G$272</f>
        <v>0.39999999999999997</v>
      </c>
      <c r="D81" s="814">
        <f t="shared" ref="D81:L81" si="88">D41-$G$281</f>
        <v>6.8400439907619903E-2</v>
      </c>
      <c r="E81" s="814">
        <f t="shared" si="88"/>
        <v>7.7313437950726982E-2</v>
      </c>
      <c r="F81" s="814">
        <f t="shared" si="88"/>
        <v>8.5984536076268547E-2</v>
      </c>
      <c r="G81" s="814">
        <f t="shared" si="88"/>
        <v>9.4428022821406055E-2</v>
      </c>
      <c r="H81" s="814">
        <f t="shared" si="88"/>
        <v>0.10265691543916988</v>
      </c>
      <c r="I81" s="814">
        <f t="shared" si="88"/>
        <v>0.11068310865653985</v>
      </c>
      <c r="J81" s="814">
        <f t="shared" si="88"/>
        <v>0.11851750217156143</v>
      </c>
      <c r="K81" s="814">
        <f t="shared" si="88"/>
        <v>0.12617011032832903</v>
      </c>
      <c r="L81" s="814">
        <f t="shared" si="88"/>
        <v>0.13365015697651939</v>
      </c>
      <c r="M81" s="417"/>
      <c r="N81" s="417"/>
      <c r="O81" s="417"/>
      <c r="P81" s="417"/>
      <c r="Q81" s="417"/>
      <c r="AT81" s="832">
        <f t="shared" ref="AT81:BB81" si="89">IF(Z55&lt;$G$282,0,MIN($G$279,1+IFERROR(INT((Z55-$G$282)/$G$284),0)))</f>
        <v>1</v>
      </c>
      <c r="AU81" s="832">
        <f t="shared" si="89"/>
        <v>2</v>
      </c>
      <c r="AV81" s="832">
        <f t="shared" si="89"/>
        <v>3</v>
      </c>
      <c r="AW81" s="832">
        <f t="shared" si="89"/>
        <v>4</v>
      </c>
      <c r="AX81" s="832">
        <f t="shared" si="89"/>
        <v>5</v>
      </c>
      <c r="AY81" s="832">
        <f t="shared" si="89"/>
        <v>6</v>
      </c>
      <c r="AZ81" s="832">
        <f t="shared" si="89"/>
        <v>7</v>
      </c>
      <c r="BA81" s="832">
        <f t="shared" si="89"/>
        <v>8</v>
      </c>
      <c r="BB81" s="832">
        <f t="shared" si="89"/>
        <v>10</v>
      </c>
    </row>
    <row r="82" spans="1:54" ht="15" customHeight="1">
      <c r="A82" s="417"/>
      <c r="B82" s="801"/>
      <c r="C82" s="803">
        <f>C81+$G$272</f>
        <v>0.44999999999999996</v>
      </c>
      <c r="D82" s="816">
        <f t="shared" ref="D82:L82" si="90">D42-$G$281</f>
        <v>7.8597768235657339E-2</v>
      </c>
      <c r="E82" s="816">
        <f t="shared" si="90"/>
        <v>8.6396721025634449E-2</v>
      </c>
      <c r="F82" s="816">
        <f t="shared" si="90"/>
        <v>9.4011120517483171E-2</v>
      </c>
      <c r="G82" s="816">
        <f t="shared" si="90"/>
        <v>0.10145051149516626</v>
      </c>
      <c r="H82" s="816">
        <f t="shared" si="90"/>
        <v>0.1087236922247925</v>
      </c>
      <c r="I82" s="816">
        <f t="shared" si="90"/>
        <v>0.1158387915844763</v>
      </c>
      <c r="J82" s="816">
        <f t="shared" si="90"/>
        <v>0.12280333633634877</v>
      </c>
      <c r="K82" s="816">
        <f t="shared" si="90"/>
        <v>0.12962431010290509</v>
      </c>
      <c r="L82" s="816">
        <f t="shared" si="90"/>
        <v>0.13630820522515319</v>
      </c>
      <c r="M82" s="417"/>
      <c r="N82" s="417"/>
      <c r="O82" s="417"/>
      <c r="P82" s="417"/>
      <c r="Q82" s="417"/>
      <c r="AT82" s="832">
        <f t="shared" ref="AT82:BB82" si="91">IF(Z56&lt;$G$282,0,MIN($G$279,1+IFERROR(INT((Z56-$G$282)/$G$284),0)))</f>
        <v>3</v>
      </c>
      <c r="AU82" s="832">
        <f t="shared" si="91"/>
        <v>4</v>
      </c>
      <c r="AV82" s="832">
        <f t="shared" si="91"/>
        <v>5</v>
      </c>
      <c r="AW82" s="832">
        <f t="shared" si="91"/>
        <v>6</v>
      </c>
      <c r="AX82" s="832">
        <f t="shared" si="91"/>
        <v>7</v>
      </c>
      <c r="AY82" s="832">
        <f t="shared" si="91"/>
        <v>8</v>
      </c>
      <c r="AZ82" s="832">
        <f t="shared" si="91"/>
        <v>9</v>
      </c>
      <c r="BA82" s="832">
        <f t="shared" si="91"/>
        <v>10</v>
      </c>
      <c r="BB82" s="832">
        <f t="shared" si="91"/>
        <v>10</v>
      </c>
    </row>
    <row r="83" spans="1:54" ht="15" hidden="1" customHeight="1" outlineLevel="1">
      <c r="A83" s="417"/>
      <c r="B83" s="423" t="s">
        <v>2730</v>
      </c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</row>
    <row r="84" spans="1:54" ht="3.95" customHeight="1" collapsed="1">
      <c r="A84" s="417"/>
      <c r="B84" s="417"/>
      <c r="C84" s="417"/>
      <c r="D84" s="417"/>
      <c r="E84" s="417"/>
      <c r="F84" s="417"/>
      <c r="G84" s="417"/>
      <c r="H84" s="417"/>
      <c r="I84" s="417"/>
      <c r="J84" s="417"/>
      <c r="K84" s="417"/>
      <c r="L84" s="417"/>
      <c r="M84" s="417"/>
      <c r="N84" s="417"/>
      <c r="O84" s="417"/>
      <c r="P84" s="417"/>
      <c r="Q84" s="417"/>
    </row>
    <row r="85" spans="1:54" ht="15" customHeight="1">
      <c r="A85" s="417"/>
      <c r="B85" s="822" t="s">
        <v>2691</v>
      </c>
      <c r="C85" s="823"/>
      <c r="D85" s="823"/>
      <c r="E85" s="823"/>
      <c r="F85" s="823"/>
      <c r="G85" s="823"/>
      <c r="H85" s="823"/>
      <c r="I85" s="823"/>
      <c r="J85" s="823"/>
      <c r="K85" s="823"/>
      <c r="L85" s="823"/>
      <c r="M85" s="417"/>
      <c r="N85" s="417"/>
      <c r="O85" s="417"/>
      <c r="P85" s="417"/>
      <c r="Q85" s="417"/>
    </row>
    <row r="86" spans="1:54" ht="15" customHeight="1">
      <c r="A86" s="417"/>
      <c r="B86" s="148" t="s">
        <v>2685</v>
      </c>
      <c r="C86" s="417"/>
      <c r="D86" s="417"/>
      <c r="E86" s="417"/>
      <c r="F86" s="417"/>
      <c r="G86" s="417"/>
      <c r="H86" s="417"/>
      <c r="I86" s="417"/>
      <c r="J86" s="417"/>
      <c r="K86" s="417"/>
      <c r="L86" s="417"/>
      <c r="M86" s="417"/>
      <c r="N86" s="417"/>
      <c r="O86" s="417"/>
      <c r="P86" s="417"/>
      <c r="Q86" s="417"/>
    </row>
    <row r="87" spans="1:54" ht="2.1" customHeight="1">
      <c r="A87" s="417"/>
      <c r="B87" s="417"/>
      <c r="C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</row>
    <row r="88" spans="1:54" ht="12.75" customHeight="1">
      <c r="A88" s="417"/>
      <c r="B88" s="454"/>
      <c r="C88" s="454"/>
      <c r="D88" s="786" t="s">
        <v>2684</v>
      </c>
      <c r="E88" s="786"/>
      <c r="F88" s="786"/>
      <c r="G88" s="786"/>
      <c r="H88" s="786"/>
      <c r="I88" s="786"/>
      <c r="J88" s="786"/>
      <c r="K88" s="786"/>
      <c r="L88" s="786"/>
      <c r="M88" s="417"/>
      <c r="N88" s="417"/>
      <c r="O88" s="417"/>
      <c r="P88" s="417"/>
      <c r="Q88" s="417"/>
      <c r="Z88" s="811" t="s">
        <v>2694</v>
      </c>
      <c r="AA88" s="758"/>
      <c r="AB88" s="758"/>
      <c r="AC88" s="758"/>
      <c r="AD88" s="758"/>
      <c r="AE88" s="758"/>
      <c r="AF88" s="758"/>
      <c r="AG88" s="758"/>
      <c r="AH88" s="758"/>
      <c r="AJ88" s="811" t="s">
        <v>2693</v>
      </c>
      <c r="AK88" s="758"/>
      <c r="AL88" s="758"/>
      <c r="AM88" s="758"/>
      <c r="AN88" s="758"/>
      <c r="AO88" s="758"/>
      <c r="AP88" s="758"/>
      <c r="AQ88" s="758"/>
      <c r="AR88" s="758"/>
    </row>
    <row r="89" spans="1:54" ht="12.75" customHeight="1">
      <c r="A89" s="417"/>
      <c r="B89" s="454"/>
      <c r="C89" s="454"/>
      <c r="D89" s="826">
        <f>E89+$G$291</f>
        <v>64</v>
      </c>
      <c r="E89" s="826">
        <f>F89+$G$291</f>
        <v>60</v>
      </c>
      <c r="F89" s="826">
        <f>G89+$G$291</f>
        <v>56</v>
      </c>
      <c r="G89" s="826">
        <f>H89+$G$291</f>
        <v>52</v>
      </c>
      <c r="H89" s="826">
        <f>$G$290</f>
        <v>48</v>
      </c>
      <c r="I89" s="826">
        <f>H89-$G$291</f>
        <v>44</v>
      </c>
      <c r="J89" s="826">
        <f>I89-$G$291</f>
        <v>40</v>
      </c>
      <c r="K89" s="826">
        <f>J89-$G$291</f>
        <v>36</v>
      </c>
      <c r="L89" s="826">
        <f>K89-$G$291</f>
        <v>32</v>
      </c>
      <c r="M89" s="417"/>
      <c r="N89" s="793" t="s">
        <v>2561</v>
      </c>
      <c r="O89" s="793" t="s">
        <v>2562</v>
      </c>
      <c r="P89" s="793" t="s">
        <v>2563</v>
      </c>
      <c r="Q89" s="793" t="s">
        <v>2564</v>
      </c>
      <c r="R89" s="793" t="s">
        <v>2565</v>
      </c>
      <c r="Z89" s="367">
        <f>D$89</f>
        <v>64</v>
      </c>
      <c r="AA89" s="367">
        <f t="shared" ref="AA89:AH89" si="92">E$89</f>
        <v>60</v>
      </c>
      <c r="AB89" s="367">
        <f t="shared" si="92"/>
        <v>56</v>
      </c>
      <c r="AC89" s="367">
        <f t="shared" si="92"/>
        <v>52</v>
      </c>
      <c r="AD89" s="367">
        <f t="shared" si="92"/>
        <v>48</v>
      </c>
      <c r="AE89" s="367">
        <f t="shared" si="92"/>
        <v>44</v>
      </c>
      <c r="AF89" s="367">
        <f t="shared" si="92"/>
        <v>40</v>
      </c>
      <c r="AG89" s="367">
        <f t="shared" si="92"/>
        <v>36</v>
      </c>
      <c r="AH89" s="367">
        <f t="shared" si="92"/>
        <v>32</v>
      </c>
      <c r="AI89" s="688"/>
      <c r="AJ89" s="367">
        <f>D$89</f>
        <v>64</v>
      </c>
      <c r="AK89" s="367">
        <f t="shared" ref="AK89:AR89" si="93">E$89</f>
        <v>60</v>
      </c>
      <c r="AL89" s="367">
        <f t="shared" si="93"/>
        <v>56</v>
      </c>
      <c r="AM89" s="367">
        <f t="shared" si="93"/>
        <v>52</v>
      </c>
      <c r="AN89" s="367">
        <f t="shared" si="93"/>
        <v>48</v>
      </c>
      <c r="AO89" s="367">
        <f t="shared" si="93"/>
        <v>44</v>
      </c>
      <c r="AP89" s="367">
        <f t="shared" si="93"/>
        <v>40</v>
      </c>
      <c r="AQ89" s="367">
        <f t="shared" si="93"/>
        <v>36</v>
      </c>
      <c r="AR89" s="367">
        <f t="shared" si="93"/>
        <v>32</v>
      </c>
      <c r="AT89" s="833" t="s">
        <v>2748</v>
      </c>
      <c r="AU89" s="427"/>
      <c r="AV89" s="427"/>
      <c r="AW89" s="427"/>
      <c r="AX89" s="427"/>
      <c r="AY89" s="427"/>
      <c r="AZ89" s="427"/>
      <c r="BA89" s="427"/>
      <c r="BB89" s="427"/>
    </row>
    <row r="90" spans="1:54" ht="15" customHeight="1">
      <c r="A90" s="417"/>
      <c r="B90" s="804" t="s">
        <v>2638</v>
      </c>
      <c r="C90" s="802">
        <f>C91-$G$272</f>
        <v>0.15000000000000002</v>
      </c>
      <c r="D90" s="790">
        <f>ROUND(Z90,$G$285)</f>
        <v>5500</v>
      </c>
      <c r="E90" s="790">
        <f t="shared" ref="E90:E96" si="94">ROUND(AA90,$G$285)</f>
        <v>5400</v>
      </c>
      <c r="F90" s="790">
        <f t="shared" ref="F90:F96" si="95">ROUND(AB90,$G$285)</f>
        <v>5300</v>
      </c>
      <c r="G90" s="790">
        <f t="shared" ref="G90:G96" si="96">ROUND(AC90,$G$285)</f>
        <v>5200</v>
      </c>
      <c r="H90" s="790">
        <f t="shared" ref="H90:H96" si="97">ROUND(AD90,$G$285)</f>
        <v>5100</v>
      </c>
      <c r="I90" s="790">
        <f t="shared" ref="I90:I96" si="98">ROUND(AE90,$G$285)</f>
        <v>4900</v>
      </c>
      <c r="J90" s="790">
        <f t="shared" ref="J90:J96" si="99">ROUND(AF90,$G$285)</f>
        <v>4800</v>
      </c>
      <c r="K90" s="790">
        <f t="shared" ref="K90:K96" si="100">ROUND(AG90,$G$285)</f>
        <v>4700</v>
      </c>
      <c r="L90" s="790">
        <f t="shared" ref="L90:L96" si="101">ROUND(AH90,$G$285)</f>
        <v>4600</v>
      </c>
      <c r="M90" s="417"/>
      <c r="N90" s="788">
        <f>$C90</f>
        <v>0.15000000000000002</v>
      </c>
      <c r="O90" s="428">
        <f>$G$263*(1-N90)*$G$266</f>
        <v>789.28571428571433</v>
      </c>
      <c r="P90" s="428">
        <f>$G$263*(1-N90)-O90</f>
        <v>1760.7142857142858</v>
      </c>
      <c r="Q90" s="428">
        <f>$G$265-O90</f>
        <v>59210.714285714283</v>
      </c>
      <c r="R90" s="789">
        <f>IFERROR(P90/(Q90+$G$263*(1-N90)),0)*(1-$G$267)</f>
        <v>2.708321286069508E-2</v>
      </c>
      <c r="Z90" s="367">
        <f>$O90+$G$268+$N90*AJ$90+$R90*($Q90*(1+$G$270)+AJ$90*(1-$N90))-$G$263</f>
        <v>5514.5372694440157</v>
      </c>
      <c r="AA90" s="367">
        <f>$O90+$G$268+$N90*AK$90+$R90*($Q90*(1+$G$270)+AK$90*(1-$N90))-$G$263</f>
        <v>5399.4336848859566</v>
      </c>
      <c r="AB90" s="367">
        <f>$O90+$G$268+$N90*AL$90+$R90*($Q90*(1+$G$270)+AL$90*(1-$N90))-$G$263</f>
        <v>5284.3301003278957</v>
      </c>
      <c r="AC90" s="367">
        <f>$O90+$G$268+$N90*AM$90+$R90*($Q90*(1+$G$270)+AM$90*(1-$N90))-$G$263</f>
        <v>5169.2265157698366</v>
      </c>
      <c r="AD90" s="367">
        <f>$O90+$G$268+$N90*AN$90+$R90*($Q90*(1+$G$270)+AN$90*(1-$N90))-$G$263</f>
        <v>5054.1229312117757</v>
      </c>
      <c r="AE90" s="367">
        <f>$O90+$G$268+$N90*AO$90+$R90*($Q90*(1+$G$270)+AO$90*(1-$N90))-$G$263</f>
        <v>4939.0193466537166</v>
      </c>
      <c r="AF90" s="367">
        <f>$O90+$G$268+$N90*AP$90+$R90*($Q90*(1+$G$270)+AP$90*(1-$N90))-$G$263</f>
        <v>4823.9157620956557</v>
      </c>
      <c r="AG90" s="367">
        <f>$O90+$G$268+$N90*AQ$90+$R90*($Q90*(1+$G$270)+AQ$90*(1-$N90))-$G$263</f>
        <v>4708.8121775375967</v>
      </c>
      <c r="AH90" s="367">
        <f>$O90+$G$268+$N90*AR$90+$R90*($Q90*(1+$G$270)+AR$90*(1-$N90))-$G$263</f>
        <v>4593.7085929795358</v>
      </c>
      <c r="AJ90" s="367">
        <f>($G$286+AJ$89*$G$278*$G$287)*$G$288</f>
        <v>16641.224756384177</v>
      </c>
      <c r="AK90" s="367">
        <f t="shared" ref="AK90:AR90" si="102">($G$286+AK$89*$G$278*$G$287)*$G$288</f>
        <v>15975.965836610165</v>
      </c>
      <c r="AL90" s="367">
        <f t="shared" si="102"/>
        <v>15310.706916836156</v>
      </c>
      <c r="AM90" s="367">
        <f t="shared" si="102"/>
        <v>14645.447997062143</v>
      </c>
      <c r="AN90" s="367">
        <f t="shared" si="102"/>
        <v>13980.189077288132</v>
      </c>
      <c r="AO90" s="367">
        <f t="shared" si="102"/>
        <v>13314.930157514122</v>
      </c>
      <c r="AP90" s="367">
        <f t="shared" si="102"/>
        <v>12649.671237740109</v>
      </c>
      <c r="AQ90" s="367">
        <f t="shared" si="102"/>
        <v>11984.4123179661</v>
      </c>
      <c r="AR90" s="367">
        <f t="shared" si="102"/>
        <v>11319.153398192087</v>
      </c>
      <c r="AT90" s="832">
        <f>IF(Z130&lt;$G$282,0,MIN($G$279,1+IFERROR(INT((Z130-$G$282)/$G$296),0)))</f>
        <v>0</v>
      </c>
      <c r="AU90" s="832">
        <f t="shared" ref="AU90:BB90" si="103">IF(AA130&lt;$G$282,0,MIN($G$279,1+IFERROR(INT((AA130-$G$282)/$G$296),0)))</f>
        <v>0</v>
      </c>
      <c r="AV90" s="832">
        <f t="shared" si="103"/>
        <v>0</v>
      </c>
      <c r="AW90" s="832">
        <f t="shared" si="103"/>
        <v>0</v>
      </c>
      <c r="AX90" s="832">
        <f t="shared" si="103"/>
        <v>0</v>
      </c>
      <c r="AY90" s="832">
        <f t="shared" si="103"/>
        <v>0</v>
      </c>
      <c r="AZ90" s="832">
        <f t="shared" si="103"/>
        <v>1</v>
      </c>
      <c r="BA90" s="832">
        <f t="shared" si="103"/>
        <v>3</v>
      </c>
      <c r="BB90" s="832">
        <f t="shared" si="103"/>
        <v>4</v>
      </c>
    </row>
    <row r="91" spans="1:54" ht="15" customHeight="1">
      <c r="A91" s="417"/>
      <c r="B91" s="800"/>
      <c r="C91" s="802">
        <f>C92-$G$272</f>
        <v>0.2</v>
      </c>
      <c r="D91" s="791">
        <f t="shared" ref="D91:D96" si="104">ROUND(Z91,$G$285)</f>
        <v>6000</v>
      </c>
      <c r="E91" s="791">
        <f t="shared" si="94"/>
        <v>5800</v>
      </c>
      <c r="F91" s="791">
        <f t="shared" si="95"/>
        <v>5700</v>
      </c>
      <c r="G91" s="791">
        <f t="shared" si="96"/>
        <v>5500</v>
      </c>
      <c r="H91" s="791">
        <f t="shared" si="97"/>
        <v>5400</v>
      </c>
      <c r="I91" s="791">
        <f t="shared" si="98"/>
        <v>5200</v>
      </c>
      <c r="J91" s="791">
        <f t="shared" si="99"/>
        <v>5100</v>
      </c>
      <c r="K91" s="791">
        <f t="shared" si="100"/>
        <v>5000</v>
      </c>
      <c r="L91" s="791">
        <f t="shared" si="101"/>
        <v>4800</v>
      </c>
      <c r="M91" s="417"/>
      <c r="N91" s="788">
        <f>$C91</f>
        <v>0.2</v>
      </c>
      <c r="O91" s="428">
        <f>$G$263*(1-N91)*$G$266</f>
        <v>742.85714285714289</v>
      </c>
      <c r="P91" s="428">
        <f>$G$263*(1-N91)-O91</f>
        <v>1657.1428571428571</v>
      </c>
      <c r="Q91" s="428">
        <f>$G$265-O91</f>
        <v>59257.142857142855</v>
      </c>
      <c r="R91" s="789">
        <f>IFERROR(P91/(Q91+$G$263*(1-N91)),0)*(1-$G$267)</f>
        <v>2.5532900834105653E-2</v>
      </c>
      <c r="Z91" s="367">
        <f>$O91+$G$268+$N91*AJ$90+$R91*($Q91*(1+$G$270)+AJ$90*(1-$N91))-$G$263</f>
        <v>5983.1821828747579</v>
      </c>
      <c r="AA91" s="367">
        <f>$O91+$G$268+$N91*AK$90+$R91*($Q91*(1+$G$270)+AK$90*(1-$N91))-$G$263</f>
        <v>5836.5416068978811</v>
      </c>
      <c r="AB91" s="367">
        <f>$O91+$G$268+$N91*AL$90+$R91*($Q91*(1+$G$270)+AL$90*(1-$N91))-$G$263</f>
        <v>5689.9010309210025</v>
      </c>
      <c r="AC91" s="367">
        <f>$O91+$G$268+$N91*AM$90+$R91*($Q91*(1+$G$270)+AM$90*(1-$N91))-$G$263</f>
        <v>5543.2604549441239</v>
      </c>
      <c r="AD91" s="367">
        <f>$O91+$G$268+$N91*AN$90+$R91*($Q91*(1+$G$270)+AN$90*(1-$N91))-$G$263</f>
        <v>5396.6198789672471</v>
      </c>
      <c r="AE91" s="367">
        <f>$O91+$G$268+$N91*AO$90+$R91*($Q91*(1+$G$270)+AO$90*(1-$N91))-$G$263</f>
        <v>5249.9793029903703</v>
      </c>
      <c r="AF91" s="367">
        <f>$O91+$G$268+$N91*AP$90+$R91*($Q91*(1+$G$270)+AP$90*(1-$N91))-$G$263</f>
        <v>5103.3387270134926</v>
      </c>
      <c r="AG91" s="367">
        <f>$O91+$G$268+$N91*AQ$90+$R91*($Q91*(1+$G$270)+AQ$90*(1-$N91))-$G$263</f>
        <v>4956.6981510366149</v>
      </c>
      <c r="AH91" s="367">
        <f>$O91+$G$268+$N91*AR$90+$R91*($Q91*(1+$G$270)+AR$90*(1-$N91))-$G$263</f>
        <v>4810.0575750597382</v>
      </c>
      <c r="AT91" s="832">
        <f t="shared" ref="AT91:BB91" si="105">IF(Z131&lt;$G$282,0,MIN($G$279,1+IFERROR(INT((Z131-$G$282)/$G$296),0)))</f>
        <v>0</v>
      </c>
      <c r="AU91" s="832">
        <f t="shared" si="105"/>
        <v>0</v>
      </c>
      <c r="AV91" s="832">
        <f t="shared" si="105"/>
        <v>0</v>
      </c>
      <c r="AW91" s="832">
        <f t="shared" si="105"/>
        <v>0</v>
      </c>
      <c r="AX91" s="832">
        <f t="shared" si="105"/>
        <v>0</v>
      </c>
      <c r="AY91" s="832">
        <f t="shared" si="105"/>
        <v>1</v>
      </c>
      <c r="AZ91" s="832">
        <f t="shared" si="105"/>
        <v>3</v>
      </c>
      <c r="BA91" s="832">
        <f t="shared" si="105"/>
        <v>4</v>
      </c>
      <c r="BB91" s="832">
        <f t="shared" si="105"/>
        <v>5</v>
      </c>
    </row>
    <row r="92" spans="1:54" ht="15" customHeight="1">
      <c r="A92" s="417"/>
      <c r="B92" s="800"/>
      <c r="C92" s="802">
        <f>C93-$G$272</f>
        <v>0.25</v>
      </c>
      <c r="D92" s="791">
        <f t="shared" si="104"/>
        <v>6500</v>
      </c>
      <c r="E92" s="791">
        <f t="shared" si="94"/>
        <v>6300</v>
      </c>
      <c r="F92" s="791">
        <f t="shared" si="95"/>
        <v>6100</v>
      </c>
      <c r="G92" s="791">
        <f t="shared" si="96"/>
        <v>5900</v>
      </c>
      <c r="H92" s="791">
        <f t="shared" si="97"/>
        <v>5700</v>
      </c>
      <c r="I92" s="791">
        <f t="shared" si="98"/>
        <v>5600</v>
      </c>
      <c r="J92" s="791">
        <f t="shared" si="99"/>
        <v>5400</v>
      </c>
      <c r="K92" s="791">
        <f t="shared" si="100"/>
        <v>5200</v>
      </c>
      <c r="L92" s="791">
        <f t="shared" si="101"/>
        <v>5000</v>
      </c>
      <c r="M92" s="417"/>
      <c r="N92" s="788">
        <f>$C92</f>
        <v>0.25</v>
      </c>
      <c r="O92" s="428">
        <f>$G$263*(1-N92)*$G$266</f>
        <v>696.42857142857144</v>
      </c>
      <c r="P92" s="428">
        <f>$G$263*(1-N92)-O92</f>
        <v>1553.5714285714284</v>
      </c>
      <c r="Q92" s="428">
        <f>$G$265-O92</f>
        <v>59303.571428571428</v>
      </c>
      <c r="R92" s="789">
        <f>IFERROR(P92/(Q92+$G$263*(1-N92)),0)*(1-$G$267)</f>
        <v>2.3977371627502176E-2</v>
      </c>
      <c r="Z92" s="367">
        <f>$O92+$G$268+$N92*AJ$90+$R92*($Q92*(1+$G$270)+AJ$90*(1-$N92))-$G$263</f>
        <v>6452.9718950669012</v>
      </c>
      <c r="AA92" s="367">
        <f>$O92+$G$268+$N92*AK$90+$R92*($Q92*(1+$G$270)+AK$90*(1-$N92))-$G$263</f>
        <v>6274.6937948624472</v>
      </c>
      <c r="AB92" s="367">
        <f>$O92+$G$268+$N92*AL$90+$R92*($Q92*(1+$G$270)+AL$90*(1-$N92))-$G$263</f>
        <v>6096.4156946579969</v>
      </c>
      <c r="AC92" s="367">
        <f>$O92+$G$268+$N92*AM$90+$R92*($Q92*(1+$G$270)+AM$90*(1-$N92))-$G$263</f>
        <v>5918.1375944535448</v>
      </c>
      <c r="AD92" s="367">
        <f>$O92+$G$268+$N92*AN$90+$R92*($Q92*(1+$G$270)+AN$90*(1-$N92))-$G$263</f>
        <v>5739.8594942490927</v>
      </c>
      <c r="AE92" s="367">
        <f>$O92+$G$268+$N92*AO$90+$R92*($Q92*(1+$G$270)+AO$90*(1-$N92))-$G$263</f>
        <v>5561.5813940446424</v>
      </c>
      <c r="AF92" s="367">
        <f>$O92+$G$268+$N92*AP$90+$R92*($Q92*(1+$G$270)+AP$90*(1-$N92))-$G$263</f>
        <v>5383.3032938401884</v>
      </c>
      <c r="AG92" s="367">
        <f>$O92+$G$268+$N92*AQ$90+$R92*($Q92*(1+$G$270)+AQ$90*(1-$N92))-$G$263</f>
        <v>5205.0251936357381</v>
      </c>
      <c r="AH92" s="367">
        <f>$O92+$G$268+$N92*AR$90+$R92*($Q92*(1+$G$270)+AR$90*(1-$N92))-$G$263</f>
        <v>5026.7470934312851</v>
      </c>
      <c r="AJ92" s="811" t="s">
        <v>2707</v>
      </c>
      <c r="AK92" s="758"/>
      <c r="AL92" s="758"/>
      <c r="AM92" s="758"/>
      <c r="AN92" s="758"/>
      <c r="AO92" s="758"/>
      <c r="AP92" s="758"/>
      <c r="AQ92" s="758"/>
      <c r="AR92" s="758"/>
      <c r="AT92" s="832">
        <f t="shared" ref="AT92:BB92" si="106">IF(Z132&lt;$G$282,0,MIN($G$279,1+IFERROR(INT((Z132-$G$282)/$G$296),0)))</f>
        <v>0</v>
      </c>
      <c r="AU92" s="832">
        <f t="shared" si="106"/>
        <v>0</v>
      </c>
      <c r="AV92" s="832">
        <f t="shared" si="106"/>
        <v>0</v>
      </c>
      <c r="AW92" s="832">
        <f t="shared" si="106"/>
        <v>1</v>
      </c>
      <c r="AX92" s="832">
        <f t="shared" si="106"/>
        <v>2</v>
      </c>
      <c r="AY92" s="832">
        <f t="shared" si="106"/>
        <v>3</v>
      </c>
      <c r="AZ92" s="832">
        <f t="shared" si="106"/>
        <v>4</v>
      </c>
      <c r="BA92" s="832">
        <f t="shared" si="106"/>
        <v>5</v>
      </c>
      <c r="BB92" s="832">
        <f t="shared" si="106"/>
        <v>6</v>
      </c>
    </row>
    <row r="93" spans="1:54" ht="15" customHeight="1">
      <c r="A93" s="417"/>
      <c r="B93" s="800"/>
      <c r="C93" s="802">
        <f>$G$271</f>
        <v>0.3</v>
      </c>
      <c r="D93" s="791">
        <f t="shared" si="104"/>
        <v>6900</v>
      </c>
      <c r="E93" s="791">
        <f t="shared" si="94"/>
        <v>6700</v>
      </c>
      <c r="F93" s="791">
        <f t="shared" si="95"/>
        <v>6500</v>
      </c>
      <c r="G93" s="791">
        <f t="shared" si="96"/>
        <v>6300</v>
      </c>
      <c r="H93" s="805">
        <f t="shared" si="97"/>
        <v>6100</v>
      </c>
      <c r="I93" s="791">
        <f t="shared" si="98"/>
        <v>5900</v>
      </c>
      <c r="J93" s="791">
        <f t="shared" si="99"/>
        <v>5700</v>
      </c>
      <c r="K93" s="791">
        <f t="shared" si="100"/>
        <v>5500</v>
      </c>
      <c r="L93" s="791">
        <f t="shared" si="101"/>
        <v>5200</v>
      </c>
      <c r="M93" s="417"/>
      <c r="N93" s="788">
        <f>$C93</f>
        <v>0.3</v>
      </c>
      <c r="O93" s="428">
        <f>$G$263*(1-N93)*$G$266</f>
        <v>650</v>
      </c>
      <c r="P93" s="428">
        <f>$G$263*(1-N93)-O93</f>
        <v>1450</v>
      </c>
      <c r="Q93" s="428">
        <f>$G$265-O93</f>
        <v>59350</v>
      </c>
      <c r="R93" s="789">
        <f>IFERROR(P93/(Q93+$G$263*(1-N93)),0)*(1-$G$267)</f>
        <v>2.2416598860862488E-2</v>
      </c>
      <c r="Z93" s="367">
        <f>$O93+$G$268+$N93*AJ$90+$R93*($Q93*(1+$G$270)+AJ$90*(1-$N93))-$G$263</f>
        <v>6923.9121945530642</v>
      </c>
      <c r="AA93" s="367">
        <f>$O93+$G$268+$N93*AK$90+$R93*($Q93*(1+$G$270)+AK$90*(1-$N93))-$G$263</f>
        <v>6713.8955289806308</v>
      </c>
      <c r="AB93" s="367">
        <f>$O93+$G$268+$N93*AL$90+$R93*($Q93*(1+$G$270)+AL$90*(1-$N93))-$G$263</f>
        <v>6503.8788634081975</v>
      </c>
      <c r="AC93" s="367">
        <f>$O93+$G$268+$N93*AM$90+$R93*($Q93*(1+$G$270)+AM$90*(1-$N93))-$G$263</f>
        <v>6293.862197835766</v>
      </c>
      <c r="AD93" s="367">
        <f>$O93+$G$268+$N93*AN$90+$R93*($Q93*(1+$G$270)+AN$90*(1-$N93))-$G$263</f>
        <v>6083.8455322633345</v>
      </c>
      <c r="AE93" s="367">
        <f>$O93+$G$268+$N93*AO$90+$R93*($Q93*(1+$G$270)+AO$90*(1-$N93))-$G$263</f>
        <v>5873.8288666908993</v>
      </c>
      <c r="AF93" s="367">
        <f>$O93+$G$268+$N93*AP$90+$R93*($Q93*(1+$G$270)+AP$90*(1-$N93))-$G$263</f>
        <v>5663.8122011184678</v>
      </c>
      <c r="AG93" s="367">
        <f>$O93+$G$268+$N93*AQ$90+$R93*($Q93*(1+$G$270)+AQ$90*(1-$N93))-$G$263</f>
        <v>5453.7955355460363</v>
      </c>
      <c r="AH93" s="367">
        <f>$O93+$G$268+$N93*AR$90+$R93*($Q93*(1+$G$270)+AR$90*(1-$N93))-$G$263</f>
        <v>5243.7788699736029</v>
      </c>
      <c r="AJ93" s="367">
        <f>($G$286+(AJ$89-$G$292)*$G$278*$G$293)*$G$294*$G$295</f>
        <v>9153.40499816384</v>
      </c>
      <c r="AK93" s="367">
        <f t="shared" ref="AK93:AR93" si="107">($G$286+(AK$89-$G$292)*$G$278*$G$293)*$G$294*$G$295</f>
        <v>8737.6181733050835</v>
      </c>
      <c r="AL93" s="367">
        <f t="shared" si="107"/>
        <v>8321.8313484463251</v>
      </c>
      <c r="AM93" s="367">
        <f t="shared" si="107"/>
        <v>7906.0445235875686</v>
      </c>
      <c r="AN93" s="367">
        <f t="shared" si="107"/>
        <v>7490.2576987288121</v>
      </c>
      <c r="AO93" s="367">
        <f t="shared" si="107"/>
        <v>7074.4708738700547</v>
      </c>
      <c r="AP93" s="367">
        <f t="shared" si="107"/>
        <v>6658.6840490112991</v>
      </c>
      <c r="AQ93" s="367">
        <f t="shared" si="107"/>
        <v>6242.8972241525407</v>
      </c>
      <c r="AR93" s="367">
        <f t="shared" si="107"/>
        <v>5827.1103992937842</v>
      </c>
      <c r="AT93" s="832">
        <f t="shared" ref="AT93:BB93" si="108">IF(Z133&lt;$G$282,0,MIN($G$279,1+IFERROR(INT((Z133-$G$282)/$G$296),0)))</f>
        <v>0</v>
      </c>
      <c r="AU93" s="832">
        <f t="shared" si="108"/>
        <v>0</v>
      </c>
      <c r="AV93" s="832">
        <f t="shared" si="108"/>
        <v>1</v>
      </c>
      <c r="AW93" s="832">
        <f t="shared" si="108"/>
        <v>2</v>
      </c>
      <c r="AX93" s="832">
        <f t="shared" si="108"/>
        <v>3</v>
      </c>
      <c r="AY93" s="832">
        <f t="shared" si="108"/>
        <v>4</v>
      </c>
      <c r="AZ93" s="832">
        <f t="shared" si="108"/>
        <v>5</v>
      </c>
      <c r="BA93" s="832">
        <f t="shared" si="108"/>
        <v>6</v>
      </c>
      <c r="BB93" s="832">
        <f t="shared" si="108"/>
        <v>7</v>
      </c>
    </row>
    <row r="94" spans="1:54" ht="15" customHeight="1">
      <c r="A94" s="417"/>
      <c r="B94" s="800"/>
      <c r="C94" s="802">
        <f>C93+$G$272</f>
        <v>0.35</v>
      </c>
      <c r="D94" s="791">
        <f t="shared" si="104"/>
        <v>7400</v>
      </c>
      <c r="E94" s="791">
        <f t="shared" si="94"/>
        <v>7200</v>
      </c>
      <c r="F94" s="791">
        <f t="shared" si="95"/>
        <v>6900</v>
      </c>
      <c r="G94" s="791">
        <f t="shared" si="96"/>
        <v>6700</v>
      </c>
      <c r="H94" s="791">
        <f t="shared" si="97"/>
        <v>6400</v>
      </c>
      <c r="I94" s="791">
        <f t="shared" si="98"/>
        <v>6200</v>
      </c>
      <c r="J94" s="791">
        <f t="shared" si="99"/>
        <v>5900</v>
      </c>
      <c r="K94" s="791">
        <f t="shared" si="100"/>
        <v>5700</v>
      </c>
      <c r="L94" s="791">
        <f t="shared" si="101"/>
        <v>5500</v>
      </c>
      <c r="M94" s="417"/>
      <c r="N94" s="788">
        <f>$C94</f>
        <v>0.35</v>
      </c>
      <c r="O94" s="428">
        <f>$G$263*(1-N94)*$G$266</f>
        <v>603.57142857142856</v>
      </c>
      <c r="P94" s="428">
        <f>$G$263*(1-N94)-O94</f>
        <v>1346.4285714285716</v>
      </c>
      <c r="Q94" s="428">
        <f>$G$265-O94</f>
        <v>59396.428571428572</v>
      </c>
      <c r="R94" s="789">
        <f>IFERROR(P94/(Q94+$G$263*(1-N94)),0)*(1-$G$267)</f>
        <v>2.0850555976014439E-2</v>
      </c>
      <c r="Z94" s="367">
        <f>$O94+$G$268+$N94*AJ$90+$R94*($Q94*(1+$G$270)+AJ$90*(1-$N94))-$G$263</f>
        <v>7396.0089089570811</v>
      </c>
      <c r="AA94" s="367">
        <f>$O94+$G$268+$N94*AK$90+$R94*($Q94*(1+$G$270)+AK$90*(1-$N94))-$G$263</f>
        <v>7154.1521251117374</v>
      </c>
      <c r="AB94" s="367">
        <f>$O94+$G$268+$N94*AL$90+$R94*($Q94*(1+$G$270)+AL$90*(1-$N94))-$G$263</f>
        <v>6912.2953412663956</v>
      </c>
      <c r="AC94" s="367">
        <f>$O94+$G$268+$N94*AM$90+$R94*($Q94*(1+$G$270)+AM$90*(1-$N94))-$G$263</f>
        <v>6670.4385574210519</v>
      </c>
      <c r="AD94" s="367">
        <f>$O94+$G$268+$N94*AN$90+$R94*($Q94*(1+$G$270)+AN$90*(1-$N94))-$G$263</f>
        <v>6428.5817735757082</v>
      </c>
      <c r="AE94" s="367">
        <f>$O94+$G$268+$N94*AO$90+$R94*($Q94*(1+$G$270)+AO$90*(1-$N94))-$G$263</f>
        <v>6186.7249897303664</v>
      </c>
      <c r="AF94" s="367">
        <f>$O94+$G$268+$N94*AP$90+$R94*($Q94*(1+$G$270)+AP$90*(1-$N94))-$G$263</f>
        <v>5944.8682058850227</v>
      </c>
      <c r="AG94" s="367">
        <f>$O94+$G$268+$N94*AQ$90+$R94*($Q94*(1+$G$270)+AQ$90*(1-$N94))-$G$263</f>
        <v>5703.0114220396808</v>
      </c>
      <c r="AH94" s="367">
        <f>$O94+$G$268+$N94*AR$90+$R94*($Q94*(1+$G$270)+AR$90*(1-$N94))-$G$263</f>
        <v>5461.1546381943372</v>
      </c>
      <c r="AJ94" s="811" t="s">
        <v>2708</v>
      </c>
      <c r="AK94" s="758"/>
      <c r="AL94" s="758"/>
      <c r="AM94" s="758"/>
      <c r="AN94" s="758"/>
      <c r="AO94" s="758"/>
      <c r="AP94" s="758"/>
      <c r="AQ94" s="758"/>
      <c r="AR94" s="758"/>
      <c r="AT94" s="832">
        <f t="shared" ref="AT94:BB94" si="109">IF(Z134&lt;$G$282,0,MIN($G$279,1+IFERROR(INT((Z134-$G$282)/$G$296),0)))</f>
        <v>2</v>
      </c>
      <c r="AU94" s="832">
        <f t="shared" si="109"/>
        <v>3</v>
      </c>
      <c r="AV94" s="832">
        <f t="shared" si="109"/>
        <v>3</v>
      </c>
      <c r="AW94" s="832">
        <f t="shared" si="109"/>
        <v>4</v>
      </c>
      <c r="AX94" s="832">
        <f t="shared" si="109"/>
        <v>5</v>
      </c>
      <c r="AY94" s="832">
        <f t="shared" si="109"/>
        <v>6</v>
      </c>
      <c r="AZ94" s="832">
        <f t="shared" si="109"/>
        <v>7</v>
      </c>
      <c r="BA94" s="832">
        <f t="shared" si="109"/>
        <v>8</v>
      </c>
      <c r="BB94" s="832">
        <f t="shared" si="109"/>
        <v>8</v>
      </c>
    </row>
    <row r="95" spans="1:54" ht="15" customHeight="1">
      <c r="A95" s="417"/>
      <c r="B95" s="800"/>
      <c r="C95" s="802">
        <f>C94+$G$272</f>
        <v>0.39999999999999997</v>
      </c>
      <c r="D95" s="791">
        <f t="shared" si="104"/>
        <v>7900</v>
      </c>
      <c r="E95" s="791">
        <f t="shared" si="94"/>
        <v>7600</v>
      </c>
      <c r="F95" s="791">
        <f t="shared" si="95"/>
        <v>7300</v>
      </c>
      <c r="G95" s="791">
        <f t="shared" si="96"/>
        <v>7000</v>
      </c>
      <c r="H95" s="791">
        <f t="shared" si="97"/>
        <v>6800</v>
      </c>
      <c r="I95" s="791">
        <f t="shared" si="98"/>
        <v>6500</v>
      </c>
      <c r="J95" s="791">
        <f t="shared" si="99"/>
        <v>6200</v>
      </c>
      <c r="K95" s="791">
        <f t="shared" si="100"/>
        <v>6000</v>
      </c>
      <c r="L95" s="791">
        <f t="shared" si="101"/>
        <v>5700</v>
      </c>
      <c r="M95" s="417"/>
      <c r="N95" s="788">
        <f>$C95</f>
        <v>0.39999999999999997</v>
      </c>
      <c r="O95" s="428">
        <f>$G$263*(1-N95)*$G$266</f>
        <v>557.14285714285722</v>
      </c>
      <c r="P95" s="428">
        <f>$G$263*(1-N95)-O95</f>
        <v>1242.8571428571431</v>
      </c>
      <c r="Q95" s="428">
        <f>$G$265-O95</f>
        <v>59442.857142857145</v>
      </c>
      <c r="R95" s="789">
        <f>IFERROR(P95/(Q95+$G$263*(1-N95)),0)*(1-$G$267)</f>
        <v>1.9279216235129463E-2</v>
      </c>
      <c r="Z95" s="367">
        <f>$O95+$G$268+$N95*AJ$90+$R95*($Q95*(1+$G$270)+AJ$90*(1-$N95))-$G$263</f>
        <v>7869.2679053245465</v>
      </c>
      <c r="AA95" s="367">
        <f>$O95+$G$268+$N95*AK$90+$R95*($Q95*(1+$G$270)+AK$90*(1-$N95))-$G$263</f>
        <v>7595.4689350749395</v>
      </c>
      <c r="AB95" s="367">
        <f>$O95+$G$268+$N95*AL$90+$R95*($Q95*(1+$G$270)+AL$90*(1-$N95))-$G$263</f>
        <v>7321.6699648253325</v>
      </c>
      <c r="AC95" s="367">
        <f>$O95+$G$268+$N95*AM$90+$R95*($Q95*(1+$G$270)+AM$90*(1-$N95))-$G$263</f>
        <v>7047.8709945757237</v>
      </c>
      <c r="AD95" s="367">
        <f>$O95+$G$268+$N95*AN$90+$R95*($Q95*(1+$G$270)+AN$90*(1-$N95))-$G$263</f>
        <v>6774.0720243261167</v>
      </c>
      <c r="AE95" s="367">
        <f>$O95+$G$268+$N95*AO$90+$R95*($Q95*(1+$G$270)+AO$90*(1-$N95))-$G$263</f>
        <v>6500.2730540765097</v>
      </c>
      <c r="AF95" s="367">
        <f>$O95+$G$268+$N95*AP$90+$R95*($Q95*(1+$G$270)+AP$90*(1-$N95))-$G$263</f>
        <v>6226.4740838269008</v>
      </c>
      <c r="AG95" s="367">
        <f>$O95+$G$268+$N95*AQ$90+$R95*($Q95*(1+$G$270)+AQ$90*(1-$N95))-$G$263</f>
        <v>5952.6751135772938</v>
      </c>
      <c r="AH95" s="367">
        <f>$O95+$G$268+$N95*AR$90+$R95*($Q95*(1+$G$270)+AR$90*(1-$N95))-$G$263</f>
        <v>5678.8761433276868</v>
      </c>
      <c r="AJ95" s="827">
        <f>IFERROR((AJ$93/$G$263)^(1/$G$278)-1,0)</f>
        <v>0.24994897498434709</v>
      </c>
      <c r="AK95" s="827">
        <f t="shared" ref="AK95:AR95" si="110">IFERROR((AK$93/$G$263)^(1/$G$278)-1,0)</f>
        <v>0.23838123203554318</v>
      </c>
      <c r="AL95" s="827">
        <f t="shared" si="110"/>
        <v>0.22636438906489675</v>
      </c>
      <c r="AM95" s="827">
        <f t="shared" si="110"/>
        <v>0.21385720427347321</v>
      </c>
      <c r="AN95" s="827">
        <f t="shared" si="110"/>
        <v>0.20081222595661186</v>
      </c>
      <c r="AO95" s="827">
        <f t="shared" si="110"/>
        <v>0.18717445096254881</v>
      </c>
      <c r="AP95" s="827">
        <f t="shared" si="110"/>
        <v>0.17287959485981652</v>
      </c>
      <c r="AQ95" s="827">
        <f t="shared" si="110"/>
        <v>0.15785182924075603</v>
      </c>
      <c r="AR95" s="827">
        <f t="shared" si="110"/>
        <v>0.14200077411811796</v>
      </c>
      <c r="AT95" s="832">
        <f t="shared" ref="AT95:BB95" si="111">IF(Z135&lt;$G$282,0,MIN($G$279,1+IFERROR(INT((Z135-$G$282)/$G$296),0)))</f>
        <v>4</v>
      </c>
      <c r="AU95" s="832">
        <f t="shared" si="111"/>
        <v>5</v>
      </c>
      <c r="AV95" s="832">
        <f t="shared" si="111"/>
        <v>5</v>
      </c>
      <c r="AW95" s="832">
        <f t="shared" si="111"/>
        <v>6</v>
      </c>
      <c r="AX95" s="832">
        <f t="shared" si="111"/>
        <v>7</v>
      </c>
      <c r="AY95" s="832">
        <f t="shared" si="111"/>
        <v>7</v>
      </c>
      <c r="AZ95" s="832">
        <f t="shared" si="111"/>
        <v>8</v>
      </c>
      <c r="BA95" s="832">
        <f t="shared" si="111"/>
        <v>9</v>
      </c>
      <c r="BB95" s="832">
        <f t="shared" si="111"/>
        <v>9</v>
      </c>
    </row>
    <row r="96" spans="1:54" ht="15" customHeight="1">
      <c r="A96" s="417"/>
      <c r="B96" s="801"/>
      <c r="C96" s="803">
        <f>C95+$G$272</f>
        <v>0.44999999999999996</v>
      </c>
      <c r="D96" s="792">
        <f t="shared" si="104"/>
        <v>8300</v>
      </c>
      <c r="E96" s="792">
        <f t="shared" si="94"/>
        <v>8000</v>
      </c>
      <c r="F96" s="792">
        <f t="shared" si="95"/>
        <v>7700</v>
      </c>
      <c r="G96" s="792">
        <f t="shared" si="96"/>
        <v>7400</v>
      </c>
      <c r="H96" s="792">
        <f t="shared" si="97"/>
        <v>7100</v>
      </c>
      <c r="I96" s="792">
        <f t="shared" si="98"/>
        <v>6800</v>
      </c>
      <c r="J96" s="792">
        <f t="shared" si="99"/>
        <v>6500</v>
      </c>
      <c r="K96" s="792">
        <f t="shared" si="100"/>
        <v>6200</v>
      </c>
      <c r="L96" s="792">
        <f t="shared" si="101"/>
        <v>5900</v>
      </c>
      <c r="M96" s="417"/>
      <c r="N96" s="788">
        <f>$C96</f>
        <v>0.44999999999999996</v>
      </c>
      <c r="O96" s="428">
        <f>$G$263*(1-N96)*$G$266</f>
        <v>510.71428571428578</v>
      </c>
      <c r="P96" s="428">
        <f>$G$263*(1-N96)-O96</f>
        <v>1139.2857142857144</v>
      </c>
      <c r="Q96" s="428">
        <f>$G$265-O96</f>
        <v>59489.285714285717</v>
      </c>
      <c r="R96" s="789">
        <f>IFERROR(P96/(Q96+$G$263*(1-N96)),0)*(1-$G$267)</f>
        <v>1.7702552719200886E-2</v>
      </c>
      <c r="Z96" s="367">
        <f>$O96+$G$268+$N96*AJ$90+$R96*($Q96*(1+$G$270)+AJ$90*(1-$N96))-$G$263</f>
        <v>8343.695090456722</v>
      </c>
      <c r="AA96" s="367">
        <f>$O96+$G$268+$N96*AK$90+$R96*($Q96*(1+$G$270)+AK$90*(1-$N96))-$G$263</f>
        <v>8037.8513469538466</v>
      </c>
      <c r="AB96" s="367">
        <f>$O96+$G$268+$N96*AL$90+$R96*($Q96*(1+$G$270)+AL$90*(1-$N96))-$G$263</f>
        <v>7732.007603450973</v>
      </c>
      <c r="AC96" s="367">
        <f>$O96+$G$268+$N96*AM$90+$R96*($Q96*(1+$G$270)+AM$90*(1-$N96))-$G$263</f>
        <v>7426.1638599480975</v>
      </c>
      <c r="AD96" s="367">
        <f>$O96+$G$268+$N96*AN$90+$R96*($Q96*(1+$G$270)+AN$90*(1-$N96))-$G$263</f>
        <v>7120.3201164452239</v>
      </c>
      <c r="AE96" s="367">
        <f>$O96+$G$268+$N96*AO$90+$R96*($Q96*(1+$G$270)+AO$90*(1-$N96))-$G$263</f>
        <v>6814.4763729423485</v>
      </c>
      <c r="AF96" s="367">
        <f>$O96+$G$268+$N96*AP$90+$R96*($Q96*(1+$G$270)+AP$90*(1-$N96))-$G$263</f>
        <v>6508.632629439473</v>
      </c>
      <c r="AG96" s="367">
        <f>$O96+$G$268+$N96*AQ$90+$R96*($Q96*(1+$G$270)+AQ$90*(1-$N96))-$G$263</f>
        <v>6202.7888859365976</v>
      </c>
      <c r="AH96" s="367">
        <f>$O96+$G$268+$N96*AR$90+$R96*($Q96*(1+$G$270)+AR$90*(1-$N96))-$G$263</f>
        <v>5896.945142433724</v>
      </c>
      <c r="AT96" s="832">
        <f t="shared" ref="AT96:BB96" si="112">IF(Z136&lt;$G$282,0,MIN($G$279,1+IFERROR(INT((Z136-$G$282)/$G$296),0)))</f>
        <v>6</v>
      </c>
      <c r="AU96" s="832">
        <f t="shared" si="112"/>
        <v>7</v>
      </c>
      <c r="AV96" s="832">
        <f t="shared" si="112"/>
        <v>7</v>
      </c>
      <c r="AW96" s="832">
        <f t="shared" si="112"/>
        <v>8</v>
      </c>
      <c r="AX96" s="832">
        <f t="shared" si="112"/>
        <v>8</v>
      </c>
      <c r="AY96" s="832">
        <f t="shared" si="112"/>
        <v>9</v>
      </c>
      <c r="AZ96" s="832">
        <f t="shared" si="112"/>
        <v>9</v>
      </c>
      <c r="BA96" s="832">
        <f t="shared" si="112"/>
        <v>10</v>
      </c>
      <c r="BB96" s="832">
        <f t="shared" si="112"/>
        <v>10</v>
      </c>
    </row>
    <row r="97" spans="1:54" ht="15" hidden="1" customHeight="1" outlineLevel="1">
      <c r="A97" s="417"/>
      <c r="B97" s="423" t="s">
        <v>2731</v>
      </c>
      <c r="C97" s="809"/>
      <c r="D97" s="417"/>
      <c r="E97" s="417"/>
      <c r="F97" s="417"/>
      <c r="G97" s="417"/>
      <c r="H97" s="417"/>
      <c r="I97" s="417"/>
      <c r="J97" s="417"/>
      <c r="K97" s="417"/>
      <c r="L97" s="417"/>
      <c r="M97" s="417"/>
      <c r="N97" s="417"/>
      <c r="O97" s="417"/>
      <c r="P97" s="417"/>
      <c r="Q97" s="417"/>
    </row>
    <row r="98" spans="1:54" ht="3.95" customHeight="1" collapsed="1">
      <c r="A98" s="417"/>
      <c r="B98" s="417"/>
      <c r="C98" s="417"/>
      <c r="D98" s="417"/>
      <c r="E98" s="417"/>
      <c r="F98" s="417"/>
      <c r="G98" s="417"/>
      <c r="H98" s="417"/>
      <c r="I98" s="417"/>
      <c r="J98" s="417"/>
      <c r="K98" s="417"/>
      <c r="L98" s="417"/>
      <c r="M98" s="417"/>
      <c r="N98" s="417"/>
      <c r="O98" s="417"/>
      <c r="P98" s="417"/>
      <c r="Q98" s="417"/>
    </row>
    <row r="99" spans="1:54" ht="15" customHeight="1">
      <c r="A99" s="417"/>
      <c r="B99" s="148" t="s">
        <v>2686</v>
      </c>
      <c r="C99" s="417"/>
      <c r="D99" s="417"/>
      <c r="E99" s="417"/>
      <c r="F99" s="417"/>
      <c r="G99" s="417"/>
      <c r="H99" s="417"/>
      <c r="I99" s="417"/>
      <c r="J99" s="417"/>
      <c r="K99" s="417"/>
      <c r="L99" s="417"/>
      <c r="M99" s="417"/>
      <c r="N99" s="417"/>
      <c r="O99" s="417"/>
      <c r="P99" s="417"/>
      <c r="Q99" s="417"/>
    </row>
    <row r="100" spans="1:54" ht="2.1" customHeight="1">
      <c r="A100" s="417"/>
      <c r="B100" s="417"/>
      <c r="C100" s="417"/>
      <c r="D100" s="417"/>
      <c r="E100" s="417"/>
      <c r="F100" s="417"/>
      <c r="G100" s="417"/>
      <c r="H100" s="417"/>
      <c r="I100" s="417"/>
      <c r="J100" s="417"/>
      <c r="K100" s="417"/>
      <c r="L100" s="417"/>
      <c r="M100" s="417"/>
      <c r="N100" s="417"/>
      <c r="O100" s="417"/>
      <c r="P100" s="417"/>
      <c r="Q100" s="417"/>
    </row>
    <row r="101" spans="1:54" ht="12.75" customHeight="1">
      <c r="A101" s="417"/>
      <c r="B101" s="454"/>
      <c r="C101" s="454"/>
      <c r="D101" s="786" t="s">
        <v>2684</v>
      </c>
      <c r="E101" s="786"/>
      <c r="F101" s="786"/>
      <c r="G101" s="786"/>
      <c r="H101" s="786"/>
      <c r="I101" s="786"/>
      <c r="J101" s="786"/>
      <c r="K101" s="786"/>
      <c r="L101" s="786"/>
      <c r="M101" s="417"/>
      <c r="N101" s="417"/>
      <c r="O101" s="417"/>
      <c r="P101" s="417"/>
      <c r="Q101" s="417"/>
    </row>
    <row r="102" spans="1:54" ht="12.75" customHeight="1">
      <c r="A102" s="417"/>
      <c r="B102" s="454"/>
      <c r="C102" s="454"/>
      <c r="D102" s="826">
        <f>E102+$G$291</f>
        <v>64</v>
      </c>
      <c r="E102" s="826">
        <f>F102+$G$291</f>
        <v>60</v>
      </c>
      <c r="F102" s="826">
        <f>G102+$G$291</f>
        <v>56</v>
      </c>
      <c r="G102" s="826">
        <f>H102+$G$291</f>
        <v>52</v>
      </c>
      <c r="H102" s="826">
        <f>$G$290</f>
        <v>48</v>
      </c>
      <c r="I102" s="826">
        <f>H102-$G$291</f>
        <v>44</v>
      </c>
      <c r="J102" s="826">
        <f>I102-$G$291</f>
        <v>40</v>
      </c>
      <c r="K102" s="826">
        <f>J102-$G$291</f>
        <v>36</v>
      </c>
      <c r="L102" s="826">
        <f>K102-$G$291</f>
        <v>32</v>
      </c>
      <c r="M102" s="417"/>
      <c r="N102" s="417"/>
      <c r="O102" s="417"/>
      <c r="P102" s="417"/>
      <c r="Q102" s="417"/>
      <c r="AT102" s="833" t="s">
        <v>2748</v>
      </c>
      <c r="AU102" s="427"/>
      <c r="AV102" s="427"/>
      <c r="AW102" s="427"/>
      <c r="AX102" s="427"/>
      <c r="AY102" s="427"/>
      <c r="AZ102" s="427"/>
      <c r="BA102" s="427"/>
      <c r="BB102" s="427"/>
    </row>
    <row r="103" spans="1:54" ht="15" customHeight="1">
      <c r="A103" s="417"/>
      <c r="B103" s="804" t="s">
        <v>2638</v>
      </c>
      <c r="C103" s="802">
        <f>C104-$G$272</f>
        <v>0.15000000000000002</v>
      </c>
      <c r="D103" s="806">
        <f>IFERROR(Z90/$G$263,0)</f>
        <v>1.8381790898146719</v>
      </c>
      <c r="E103" s="806">
        <f t="shared" ref="E103:E109" si="113">IFERROR(AA90/$G$263,0)</f>
        <v>1.7998112282953189</v>
      </c>
      <c r="F103" s="806">
        <f t="shared" ref="F103:F109" si="114">IFERROR(AB90/$G$263,0)</f>
        <v>1.7614433667759652</v>
      </c>
      <c r="G103" s="806">
        <f t="shared" ref="G103:G109" si="115">IFERROR(AC90/$G$263,0)</f>
        <v>1.7230755052566122</v>
      </c>
      <c r="H103" s="806">
        <f t="shared" ref="H103:H109" si="116">IFERROR(AD90/$G$263,0)</f>
        <v>1.6847076437372586</v>
      </c>
      <c r="I103" s="806">
        <f t="shared" ref="I103:I109" si="117">IFERROR(AE90/$G$263,0)</f>
        <v>1.6463397822179056</v>
      </c>
      <c r="J103" s="806">
        <f t="shared" ref="J103:J109" si="118">IFERROR(AF90/$G$263,0)</f>
        <v>1.6079719206985519</v>
      </c>
      <c r="K103" s="806">
        <f t="shared" ref="K103:K109" si="119">IFERROR(AG90/$G$263,0)</f>
        <v>1.5696040591791989</v>
      </c>
      <c r="L103" s="806">
        <f t="shared" ref="L103:L109" si="120">IFERROR(AH90/$G$263,0)</f>
        <v>1.5312361976598452</v>
      </c>
      <c r="M103" s="417"/>
      <c r="N103" s="417"/>
      <c r="O103" s="417"/>
      <c r="P103" s="417"/>
      <c r="Q103" s="417"/>
      <c r="AT103" s="832">
        <f>IF(Z130&lt;$G$282,0,MIN($G$279,1+IFERROR(INT((Z130-$G$282)/$G$296),0)))</f>
        <v>0</v>
      </c>
      <c r="AU103" s="832">
        <f t="shared" ref="AU103:BB103" si="121">IF(AA130&lt;$G$282,0,MIN($G$279,1+IFERROR(INT((AA130-$G$282)/$G$296),0)))</f>
        <v>0</v>
      </c>
      <c r="AV103" s="832">
        <f t="shared" si="121"/>
        <v>0</v>
      </c>
      <c r="AW103" s="832">
        <f t="shared" si="121"/>
        <v>0</v>
      </c>
      <c r="AX103" s="832">
        <f t="shared" si="121"/>
        <v>0</v>
      </c>
      <c r="AY103" s="832">
        <f t="shared" si="121"/>
        <v>0</v>
      </c>
      <c r="AZ103" s="832">
        <f t="shared" si="121"/>
        <v>1</v>
      </c>
      <c r="BA103" s="832">
        <f t="shared" si="121"/>
        <v>3</v>
      </c>
      <c r="BB103" s="832">
        <f t="shared" si="121"/>
        <v>4</v>
      </c>
    </row>
    <row r="104" spans="1:54" ht="15" customHeight="1">
      <c r="A104" s="417"/>
      <c r="B104" s="800"/>
      <c r="C104" s="802">
        <f>C105-$G$272</f>
        <v>0.2</v>
      </c>
      <c r="D104" s="806">
        <f t="shared" ref="D104:D109" si="122">IFERROR(Z91/$G$263,0)</f>
        <v>1.9943940609582527</v>
      </c>
      <c r="E104" s="806">
        <f t="shared" si="113"/>
        <v>1.9455138689659603</v>
      </c>
      <c r="F104" s="806">
        <f t="shared" si="114"/>
        <v>1.8966336769736676</v>
      </c>
      <c r="G104" s="806">
        <f t="shared" si="115"/>
        <v>1.8477534849813746</v>
      </c>
      <c r="H104" s="806">
        <f t="shared" si="116"/>
        <v>1.7988732929890823</v>
      </c>
      <c r="I104" s="806">
        <f t="shared" si="117"/>
        <v>1.7499931009967902</v>
      </c>
      <c r="J104" s="806">
        <f t="shared" si="118"/>
        <v>1.7011129090044976</v>
      </c>
      <c r="K104" s="806">
        <f t="shared" si="119"/>
        <v>1.6522327170122051</v>
      </c>
      <c r="L104" s="806">
        <f t="shared" si="120"/>
        <v>1.6033525250199128</v>
      </c>
      <c r="M104" s="417"/>
      <c r="N104" s="417"/>
      <c r="O104" s="417"/>
      <c r="P104" s="417"/>
      <c r="Q104" s="417"/>
      <c r="AT104" s="832">
        <f t="shared" ref="AT104:BB104" si="123">IF(Z131&lt;$G$282,0,MIN($G$279,1+IFERROR(INT((Z131-$G$282)/$G$296),0)))</f>
        <v>0</v>
      </c>
      <c r="AU104" s="832">
        <f t="shared" si="123"/>
        <v>0</v>
      </c>
      <c r="AV104" s="832">
        <f t="shared" si="123"/>
        <v>0</v>
      </c>
      <c r="AW104" s="832">
        <f t="shared" si="123"/>
        <v>0</v>
      </c>
      <c r="AX104" s="832">
        <f t="shared" si="123"/>
        <v>0</v>
      </c>
      <c r="AY104" s="832">
        <f t="shared" si="123"/>
        <v>1</v>
      </c>
      <c r="AZ104" s="832">
        <f t="shared" si="123"/>
        <v>3</v>
      </c>
      <c r="BA104" s="832">
        <f t="shared" si="123"/>
        <v>4</v>
      </c>
      <c r="BB104" s="832">
        <f t="shared" si="123"/>
        <v>5</v>
      </c>
    </row>
    <row r="105" spans="1:54" ht="15" customHeight="1">
      <c r="A105" s="417"/>
      <c r="B105" s="800"/>
      <c r="C105" s="802">
        <f>C106-$G$272</f>
        <v>0.25</v>
      </c>
      <c r="D105" s="806">
        <f t="shared" si="122"/>
        <v>2.1509906316889671</v>
      </c>
      <c r="E105" s="806">
        <f t="shared" si="113"/>
        <v>2.0915645982874822</v>
      </c>
      <c r="F105" s="806">
        <f t="shared" si="114"/>
        <v>2.0321385648859991</v>
      </c>
      <c r="G105" s="806">
        <f t="shared" si="115"/>
        <v>1.9727125314845149</v>
      </c>
      <c r="H105" s="806">
        <f t="shared" si="116"/>
        <v>1.9132864980830309</v>
      </c>
      <c r="I105" s="806">
        <f t="shared" si="117"/>
        <v>1.8538604646815475</v>
      </c>
      <c r="J105" s="806">
        <f t="shared" si="118"/>
        <v>1.7944344312800629</v>
      </c>
      <c r="K105" s="806">
        <f t="shared" si="119"/>
        <v>1.7350083978785793</v>
      </c>
      <c r="L105" s="806">
        <f t="shared" si="120"/>
        <v>1.6755823644770951</v>
      </c>
      <c r="M105" s="417"/>
      <c r="N105" s="417"/>
      <c r="O105" s="417"/>
      <c r="P105" s="417"/>
      <c r="Q105" s="417"/>
      <c r="AT105" s="832">
        <f t="shared" ref="AT105:BB105" si="124">IF(Z132&lt;$G$282,0,MIN($G$279,1+IFERROR(INT((Z132-$G$282)/$G$296),0)))</f>
        <v>0</v>
      </c>
      <c r="AU105" s="832">
        <f t="shared" si="124"/>
        <v>0</v>
      </c>
      <c r="AV105" s="832">
        <f t="shared" si="124"/>
        <v>0</v>
      </c>
      <c r="AW105" s="832">
        <f t="shared" si="124"/>
        <v>1</v>
      </c>
      <c r="AX105" s="832">
        <f t="shared" si="124"/>
        <v>2</v>
      </c>
      <c r="AY105" s="832">
        <f t="shared" si="124"/>
        <v>3</v>
      </c>
      <c r="AZ105" s="832">
        <f t="shared" si="124"/>
        <v>4</v>
      </c>
      <c r="BA105" s="832">
        <f t="shared" si="124"/>
        <v>5</v>
      </c>
      <c r="BB105" s="832">
        <f t="shared" si="124"/>
        <v>6</v>
      </c>
    </row>
    <row r="106" spans="1:54" ht="15" customHeight="1">
      <c r="A106" s="417"/>
      <c r="B106" s="800"/>
      <c r="C106" s="802">
        <f>$G$271</f>
        <v>0.3</v>
      </c>
      <c r="D106" s="806">
        <f t="shared" si="122"/>
        <v>2.3079707315176883</v>
      </c>
      <c r="E106" s="806">
        <f t="shared" si="113"/>
        <v>2.2379651763268771</v>
      </c>
      <c r="F106" s="806">
        <f t="shared" si="114"/>
        <v>2.1679596211360659</v>
      </c>
      <c r="G106" s="806">
        <f t="shared" si="115"/>
        <v>2.0979540659452551</v>
      </c>
      <c r="H106" s="807">
        <f t="shared" si="116"/>
        <v>2.0279485107544448</v>
      </c>
      <c r="I106" s="806">
        <f t="shared" si="117"/>
        <v>1.9579429555636332</v>
      </c>
      <c r="J106" s="806">
        <f t="shared" si="118"/>
        <v>1.8879374003728226</v>
      </c>
      <c r="K106" s="806">
        <f t="shared" si="119"/>
        <v>1.8179318451820121</v>
      </c>
      <c r="L106" s="806">
        <f t="shared" si="120"/>
        <v>1.7479262899912009</v>
      </c>
      <c r="M106" s="417"/>
      <c r="N106" s="417"/>
      <c r="O106" s="417"/>
      <c r="P106" s="417"/>
      <c r="Q106" s="417"/>
      <c r="AT106" s="832">
        <f t="shared" ref="AT106:BB106" si="125">IF(Z133&lt;$G$282,0,MIN($G$279,1+IFERROR(INT((Z133-$G$282)/$G$296),0)))</f>
        <v>0</v>
      </c>
      <c r="AU106" s="832">
        <f t="shared" si="125"/>
        <v>0</v>
      </c>
      <c r="AV106" s="832">
        <f t="shared" si="125"/>
        <v>1</v>
      </c>
      <c r="AW106" s="832">
        <f t="shared" si="125"/>
        <v>2</v>
      </c>
      <c r="AX106" s="832">
        <f t="shared" si="125"/>
        <v>3</v>
      </c>
      <c r="AY106" s="832">
        <f t="shared" si="125"/>
        <v>4</v>
      </c>
      <c r="AZ106" s="832">
        <f t="shared" si="125"/>
        <v>5</v>
      </c>
      <c r="BA106" s="832">
        <f t="shared" si="125"/>
        <v>6</v>
      </c>
      <c r="BB106" s="832">
        <f t="shared" si="125"/>
        <v>7</v>
      </c>
    </row>
    <row r="107" spans="1:54" ht="15" customHeight="1">
      <c r="A107" s="417"/>
      <c r="B107" s="800"/>
      <c r="C107" s="802">
        <f>C106+$G$272</f>
        <v>0.35</v>
      </c>
      <c r="D107" s="806">
        <f t="shared" si="122"/>
        <v>2.4653363029856936</v>
      </c>
      <c r="E107" s="806">
        <f t="shared" si="113"/>
        <v>2.3847173750372459</v>
      </c>
      <c r="F107" s="806">
        <f t="shared" si="114"/>
        <v>2.3040984470887986</v>
      </c>
      <c r="G107" s="806">
        <f t="shared" si="115"/>
        <v>2.2234795191403505</v>
      </c>
      <c r="H107" s="806">
        <f t="shared" si="116"/>
        <v>2.1428605911919028</v>
      </c>
      <c r="I107" s="806">
        <f t="shared" si="117"/>
        <v>2.0622416632434555</v>
      </c>
      <c r="J107" s="806">
        <f t="shared" si="118"/>
        <v>1.9816227352950075</v>
      </c>
      <c r="K107" s="806">
        <f t="shared" si="119"/>
        <v>1.9010038073465603</v>
      </c>
      <c r="L107" s="806">
        <f t="shared" si="120"/>
        <v>1.8203848793981123</v>
      </c>
      <c r="M107" s="417"/>
      <c r="N107" s="417"/>
      <c r="O107" s="417"/>
      <c r="P107" s="417"/>
      <c r="Q107" s="417"/>
      <c r="AT107" s="832">
        <f t="shared" ref="AT107:BB107" si="126">IF(Z134&lt;$G$282,0,MIN($G$279,1+IFERROR(INT((Z134-$G$282)/$G$296),0)))</f>
        <v>2</v>
      </c>
      <c r="AU107" s="832">
        <f t="shared" si="126"/>
        <v>3</v>
      </c>
      <c r="AV107" s="832">
        <f t="shared" si="126"/>
        <v>3</v>
      </c>
      <c r="AW107" s="832">
        <f t="shared" si="126"/>
        <v>4</v>
      </c>
      <c r="AX107" s="832">
        <f t="shared" si="126"/>
        <v>5</v>
      </c>
      <c r="AY107" s="832">
        <f t="shared" si="126"/>
        <v>6</v>
      </c>
      <c r="AZ107" s="832">
        <f t="shared" si="126"/>
        <v>7</v>
      </c>
      <c r="BA107" s="832">
        <f t="shared" si="126"/>
        <v>8</v>
      </c>
      <c r="BB107" s="832">
        <f t="shared" si="126"/>
        <v>8</v>
      </c>
    </row>
    <row r="108" spans="1:54" ht="15" customHeight="1">
      <c r="A108" s="417"/>
      <c r="B108" s="800"/>
      <c r="C108" s="802">
        <f>C107+$G$272</f>
        <v>0.39999999999999997</v>
      </c>
      <c r="D108" s="806">
        <f t="shared" si="122"/>
        <v>2.6230893017748489</v>
      </c>
      <c r="E108" s="806">
        <f t="shared" si="113"/>
        <v>2.531822978358313</v>
      </c>
      <c r="F108" s="806">
        <f t="shared" si="114"/>
        <v>2.4405566549417776</v>
      </c>
      <c r="G108" s="806">
        <f t="shared" si="115"/>
        <v>2.3492903315252414</v>
      </c>
      <c r="H108" s="806">
        <f t="shared" si="116"/>
        <v>2.2580240081087055</v>
      </c>
      <c r="I108" s="806">
        <f t="shared" si="117"/>
        <v>2.1667576846921697</v>
      </c>
      <c r="J108" s="806">
        <f t="shared" si="118"/>
        <v>2.0754913612756338</v>
      </c>
      <c r="K108" s="806">
        <f t="shared" si="119"/>
        <v>1.984225037859098</v>
      </c>
      <c r="L108" s="806">
        <f t="shared" si="120"/>
        <v>1.8929587144425624</v>
      </c>
      <c r="M108" s="417"/>
      <c r="N108" s="417"/>
      <c r="O108" s="417"/>
      <c r="P108" s="417"/>
      <c r="Q108" s="417"/>
      <c r="AT108" s="832">
        <f t="shared" ref="AT108:BB108" si="127">IF(Z135&lt;$G$282,0,MIN($G$279,1+IFERROR(INT((Z135-$G$282)/$G$296),0)))</f>
        <v>4</v>
      </c>
      <c r="AU108" s="832">
        <f t="shared" si="127"/>
        <v>5</v>
      </c>
      <c r="AV108" s="832">
        <f t="shared" si="127"/>
        <v>5</v>
      </c>
      <c r="AW108" s="832">
        <f t="shared" si="127"/>
        <v>6</v>
      </c>
      <c r="AX108" s="832">
        <f t="shared" si="127"/>
        <v>7</v>
      </c>
      <c r="AY108" s="832">
        <f t="shared" si="127"/>
        <v>7</v>
      </c>
      <c r="AZ108" s="832">
        <f t="shared" si="127"/>
        <v>8</v>
      </c>
      <c r="BA108" s="832">
        <f t="shared" si="127"/>
        <v>9</v>
      </c>
      <c r="BB108" s="832">
        <f t="shared" si="127"/>
        <v>9</v>
      </c>
    </row>
    <row r="109" spans="1:54" ht="15" customHeight="1">
      <c r="A109" s="417"/>
      <c r="B109" s="801"/>
      <c r="C109" s="803">
        <f>C108+$G$272</f>
        <v>0.44999999999999996</v>
      </c>
      <c r="D109" s="808">
        <f t="shared" si="122"/>
        <v>2.7812316968189075</v>
      </c>
      <c r="E109" s="808">
        <f t="shared" si="113"/>
        <v>2.6792837823179489</v>
      </c>
      <c r="F109" s="808">
        <f t="shared" si="114"/>
        <v>2.5773358678169909</v>
      </c>
      <c r="G109" s="808">
        <f t="shared" si="115"/>
        <v>2.4753879533160323</v>
      </c>
      <c r="H109" s="808">
        <f t="shared" si="116"/>
        <v>2.3734400388150747</v>
      </c>
      <c r="I109" s="808">
        <f t="shared" si="117"/>
        <v>2.2714921243141162</v>
      </c>
      <c r="J109" s="808">
        <f t="shared" si="118"/>
        <v>2.1695442098131577</v>
      </c>
      <c r="K109" s="808">
        <f t="shared" si="119"/>
        <v>2.0675962953121991</v>
      </c>
      <c r="L109" s="808">
        <f t="shared" si="120"/>
        <v>1.9656483808112413</v>
      </c>
      <c r="M109" s="417"/>
      <c r="N109" s="417"/>
      <c r="O109" s="417"/>
      <c r="P109" s="417"/>
      <c r="Q109" s="417"/>
      <c r="AT109" s="832">
        <f t="shared" ref="AT109:BB109" si="128">IF(Z136&lt;$G$282,0,MIN($G$279,1+IFERROR(INT((Z136-$G$282)/$G$296),0)))</f>
        <v>6</v>
      </c>
      <c r="AU109" s="832">
        <f t="shared" si="128"/>
        <v>7</v>
      </c>
      <c r="AV109" s="832">
        <f t="shared" si="128"/>
        <v>7</v>
      </c>
      <c r="AW109" s="832">
        <f t="shared" si="128"/>
        <v>8</v>
      </c>
      <c r="AX109" s="832">
        <f t="shared" si="128"/>
        <v>8</v>
      </c>
      <c r="AY109" s="832">
        <f t="shared" si="128"/>
        <v>9</v>
      </c>
      <c r="AZ109" s="832">
        <f t="shared" si="128"/>
        <v>9</v>
      </c>
      <c r="BA109" s="832">
        <f t="shared" si="128"/>
        <v>10</v>
      </c>
      <c r="BB109" s="832">
        <f t="shared" si="128"/>
        <v>10</v>
      </c>
    </row>
    <row r="110" spans="1:54" ht="15" hidden="1" customHeight="1" outlineLevel="1">
      <c r="A110" s="417"/>
      <c r="B110" s="423" t="s">
        <v>2727</v>
      </c>
      <c r="D110" s="417"/>
      <c r="E110" s="417"/>
      <c r="F110" s="417"/>
      <c r="G110" s="417"/>
      <c r="H110" s="417"/>
      <c r="I110" s="417"/>
      <c r="J110" s="417"/>
      <c r="K110" s="417"/>
      <c r="L110" s="417"/>
      <c r="M110" s="417"/>
      <c r="N110" s="417"/>
      <c r="O110" s="417"/>
      <c r="P110" s="417"/>
      <c r="Q110" s="417"/>
    </row>
    <row r="111" spans="1:54" ht="3.95" customHeight="1" collapsed="1">
      <c r="A111" s="417"/>
      <c r="M111" s="417"/>
      <c r="N111" s="417"/>
      <c r="O111" s="417"/>
      <c r="P111" s="417"/>
      <c r="Q111" s="417"/>
    </row>
    <row r="112" spans="1:54" ht="15" customHeight="1">
      <c r="A112" s="417"/>
      <c r="B112" s="148" t="s">
        <v>2687</v>
      </c>
      <c r="C112" s="417"/>
      <c r="D112" s="417"/>
      <c r="E112" s="417"/>
      <c r="F112" s="417"/>
      <c r="G112" s="417"/>
      <c r="H112" s="417"/>
      <c r="I112" s="417"/>
      <c r="J112" s="417"/>
      <c r="K112" s="417"/>
      <c r="L112" s="417"/>
      <c r="M112" s="417"/>
      <c r="N112" s="417"/>
      <c r="O112" s="417"/>
      <c r="P112" s="417"/>
      <c r="Q112" s="417"/>
    </row>
    <row r="113" spans="1:54" ht="2.1" customHeight="1">
      <c r="A113" s="417"/>
      <c r="B113" s="417"/>
      <c r="C113" s="417"/>
      <c r="D113" s="417"/>
      <c r="E113" s="417"/>
      <c r="F113" s="417"/>
      <c r="G113" s="417"/>
      <c r="H113" s="417"/>
      <c r="I113" s="417"/>
      <c r="J113" s="417"/>
      <c r="K113" s="417"/>
      <c r="L113" s="417"/>
      <c r="M113" s="417"/>
      <c r="N113" s="417"/>
      <c r="O113" s="417"/>
      <c r="P113" s="417"/>
      <c r="Q113" s="417"/>
    </row>
    <row r="114" spans="1:54" ht="12.75" customHeight="1">
      <c r="A114" s="417"/>
      <c r="B114" s="454"/>
      <c r="C114" s="454"/>
      <c r="D114" s="786" t="s">
        <v>2684</v>
      </c>
      <c r="E114" s="786"/>
      <c r="F114" s="786"/>
      <c r="G114" s="786"/>
      <c r="H114" s="786"/>
      <c r="I114" s="786"/>
      <c r="J114" s="786"/>
      <c r="K114" s="786"/>
      <c r="L114" s="786"/>
      <c r="M114" s="417"/>
      <c r="N114" s="417"/>
      <c r="O114" s="417"/>
      <c r="P114" s="417"/>
      <c r="Q114" s="417"/>
    </row>
    <row r="115" spans="1:54" ht="12.75" customHeight="1">
      <c r="A115" s="417"/>
      <c r="B115" s="454"/>
      <c r="C115" s="454"/>
      <c r="D115" s="826">
        <f>E115+$G$291</f>
        <v>64</v>
      </c>
      <c r="E115" s="826">
        <f>F115+$G$291</f>
        <v>60</v>
      </c>
      <c r="F115" s="826">
        <f>G115+$G$291</f>
        <v>56</v>
      </c>
      <c r="G115" s="826">
        <f>H115+$G$291</f>
        <v>52</v>
      </c>
      <c r="H115" s="826">
        <f>$G$290</f>
        <v>48</v>
      </c>
      <c r="I115" s="826">
        <f>H115-$G$291</f>
        <v>44</v>
      </c>
      <c r="J115" s="826">
        <f>I115-$G$291</f>
        <v>40</v>
      </c>
      <c r="K115" s="826">
        <f>J115-$G$291</f>
        <v>36</v>
      </c>
      <c r="L115" s="826">
        <f>K115-$G$291</f>
        <v>32</v>
      </c>
      <c r="M115" s="417"/>
      <c r="N115" s="417"/>
      <c r="O115" s="417"/>
      <c r="P115" s="417"/>
      <c r="Q115" s="417"/>
      <c r="AT115" s="833" t="s">
        <v>2748</v>
      </c>
      <c r="AU115" s="427"/>
      <c r="AV115" s="427"/>
      <c r="AW115" s="427"/>
      <c r="AX115" s="427"/>
      <c r="AY115" s="427"/>
      <c r="AZ115" s="427"/>
      <c r="BA115" s="427"/>
      <c r="BB115" s="427"/>
    </row>
    <row r="116" spans="1:54" ht="15" customHeight="1">
      <c r="A116" s="417"/>
      <c r="B116" s="804" t="s">
        <v>2638</v>
      </c>
      <c r="C116" s="802">
        <f>C117-$G$272</f>
        <v>0.15000000000000002</v>
      </c>
      <c r="D116" s="814" cm="1">
        <f t="array" ref="D116">IFERROR(IRR(IF($S$9:$X$9=0,$O90-$G$263,0)+IF($S$9:$X$9=$G$277,$G$268,0)+IF($S$9:$X$9=$G$278,Z90+$G$263-$O90-$G$268,0)),0)</f>
        <v>0.28432815276052703</v>
      </c>
      <c r="E116" s="814" cm="1">
        <f t="array" ref="E116">IFERROR(IRR(IF($S$9:$X$9=0,$O90-$G$263,0)+IF($S$9:$X$9=$G$277,$G$268,0)+IF($S$9:$X$9=$G$278,AA90+$G$263-$O90-$G$268,0)),0)</f>
        <v>0.28047792772708924</v>
      </c>
      <c r="F116" s="814" cm="1">
        <f t="array" ref="F116">IFERROR(IRR(IF($S$9:$X$9=0,$O90-$G$263,0)+IF($S$9:$X$9=$G$277,$G$268,0)+IF($S$9:$X$9=$G$278,AB90+$G$263-$O90-$G$268,0)),0)</f>
        <v>0.27658082941766504</v>
      </c>
      <c r="G116" s="814" cm="1">
        <f t="array" ref="G116">IFERROR(IRR(IF($S$9:$X$9=0,$O90-$G$263,0)+IF($S$9:$X$9=$G$277,$G$268,0)+IF($S$9:$X$9=$G$278,AC90+$G$263-$O90-$G$268,0)),0)</f>
        <v>0.27263555401375505</v>
      </c>
      <c r="H116" s="814" cm="1">
        <f t="array" ref="H116">IFERROR(IRR(IF($S$9:$X$9=0,$O90-$G$263,0)+IF($S$9:$X$9=$G$277,$G$268,0)+IF($S$9:$X$9=$G$278,AD90+$G$263-$O90-$G$268,0)),0)</f>
        <v>0.26864074039496755</v>
      </c>
      <c r="I116" s="814" cm="1">
        <f t="array" ref="I116">IFERROR(IRR(IF($S$9:$X$9=0,$O90-$G$263,0)+IF($S$9:$X$9=$G$277,$G$268,0)+IF($S$9:$X$9=$G$278,AE90+$G$263-$O90-$G$268,0)),0)</f>
        <v>0.26459496666663407</v>
      </c>
      <c r="J116" s="814" cm="1">
        <f t="array" ref="J116">IFERROR(IRR(IF($S$9:$X$9=0,$O90-$G$263,0)+IF($S$9:$X$9=$G$277,$G$268,0)+IF($S$9:$X$9=$G$278,AF90+$G$263-$O90-$G$268,0)),0)</f>
        <v>0.26049674641731646</v>
      </c>
      <c r="K116" s="814" cm="1">
        <f t="array" ref="K116">IFERROR(IRR(IF($S$9:$X$9=0,$O90-$G$263,0)+IF($S$9:$X$9=$G$277,$G$268,0)+IF($S$9:$X$9=$G$278,AG90+$G$263-$O90-$G$268,0)),0)</f>
        <v>0.25634452468039992</v>
      </c>
      <c r="L116" s="814" cm="1">
        <f t="array" ref="L116">IFERROR(IRR(IF($S$9:$X$9=0,$O90-$G$263,0)+IF($S$9:$X$9=$G$277,$G$268,0)+IF($S$9:$X$9=$G$278,AH90+$G$263-$O90-$G$268,0)),0)</f>
        <v>0.2521366735710211</v>
      </c>
      <c r="M116" s="417"/>
      <c r="N116" s="417"/>
      <c r="O116" s="417"/>
      <c r="P116" s="417"/>
      <c r="Q116" s="417"/>
      <c r="AT116" s="832">
        <f>IF(Z130&lt;$G$282,0,MIN($G$279,1+IFERROR(INT((Z130-$G$282)/$G$296),0)))</f>
        <v>0</v>
      </c>
      <c r="AU116" s="832">
        <f t="shared" ref="AU116:BB116" si="129">IF(AA130&lt;$G$282,0,MIN($G$279,1+IFERROR(INT((AA130-$G$282)/$G$296),0)))</f>
        <v>0</v>
      </c>
      <c r="AV116" s="832">
        <f t="shared" si="129"/>
        <v>0</v>
      </c>
      <c r="AW116" s="832">
        <f t="shared" si="129"/>
        <v>0</v>
      </c>
      <c r="AX116" s="832">
        <f t="shared" si="129"/>
        <v>0</v>
      </c>
      <c r="AY116" s="832">
        <f t="shared" si="129"/>
        <v>0</v>
      </c>
      <c r="AZ116" s="832">
        <f t="shared" si="129"/>
        <v>1</v>
      </c>
      <c r="BA116" s="832">
        <f t="shared" si="129"/>
        <v>3</v>
      </c>
      <c r="BB116" s="832">
        <f t="shared" si="129"/>
        <v>4</v>
      </c>
    </row>
    <row r="117" spans="1:54" ht="15" customHeight="1">
      <c r="A117" s="417"/>
      <c r="B117" s="800"/>
      <c r="C117" s="802">
        <f>C118-$G$272</f>
        <v>0.2</v>
      </c>
      <c r="D117" s="814" cm="1">
        <f t="array" ref="D117">IFERROR(IRR(IF($S$9:$X$9=0,$O91-$G$263,0)+IF($S$9:$X$9=$G$277,$G$268,0)+IF($S$9:$X$9=$G$278,Z91+$G$263-$O91-$G$268,0)),0)</f>
        <v>0.29561825699095756</v>
      </c>
      <c r="E117" s="814" cm="1">
        <f t="array" ref="E117">IFERROR(IRR(IF($S$9:$X$9=0,$O91-$G$263,0)+IF($S$9:$X$9=$G$277,$G$268,0)+IF($S$9:$X$9=$G$278,AA91+$G$263-$O91-$G$268,0)),0)</f>
        <v>0.29097384755992883</v>
      </c>
      <c r="F117" s="814" cm="1">
        <f t="array" ref="F117">IFERROR(IRR(IF($S$9:$X$9=0,$O91-$G$263,0)+IF($S$9:$X$9=$G$277,$G$268,0)+IF($S$9:$X$9=$G$278,AB91+$G$263-$O91-$G$268,0)),0)</f>
        <v>0.28626162510797037</v>
      </c>
      <c r="G117" s="814" cm="1">
        <f t="array" ref="G117">IFERROR(IRR(IF($S$9:$X$9=0,$O91-$G$263,0)+IF($S$9:$X$9=$G$277,$G$268,0)+IF($S$9:$X$9=$G$278,AC91+$G$263-$O91-$G$268,0)),0)</f>
        <v>0.28147932033039136</v>
      </c>
      <c r="H117" s="814" cm="1">
        <f t="array" ref="H117">IFERROR(IRR(IF($S$9:$X$9=0,$O91-$G$263,0)+IF($S$9:$X$9=$G$277,$G$268,0)+IF($S$9:$X$9=$G$278,AD91+$G$263-$O91-$G$268,0)),0)</f>
        <v>0.27662454355092669</v>
      </c>
      <c r="I117" s="814" cm="1">
        <f t="array" ref="I117">IFERROR(IRR(IF($S$9:$X$9=0,$O91-$G$263,0)+IF($S$9:$X$9=$G$277,$G$268,0)+IF($S$9:$X$9=$G$278,AE91+$G$263-$O91-$G$268,0)),0)</f>
        <v>0.27169477588886148</v>
      </c>
      <c r="J117" s="814" cm="1">
        <f t="array" ref="J117">IFERROR(IRR(IF($S$9:$X$9=0,$O91-$G$263,0)+IF($S$9:$X$9=$G$277,$G$268,0)+IF($S$9:$X$9=$G$278,AF91+$G$263-$O91-$G$268,0)),0)</f>
        <v>0.26668735959127177</v>
      </c>
      <c r="K117" s="814" cm="1">
        <f t="array" ref="K117">IFERROR(IRR(IF($S$9:$X$9=0,$O91-$G$263,0)+IF($S$9:$X$9=$G$277,$G$268,0)+IF($S$9:$X$9=$G$278,AG91+$G$263-$O91-$G$268,0)),0)</f>
        <v>0.26159948743311268</v>
      </c>
      <c r="L117" s="814" cm="1">
        <f t="array" ref="L117">IFERROR(IRR(IF($S$9:$X$9=0,$O91-$G$263,0)+IF($S$9:$X$9=$G$277,$G$268,0)+IF($S$9:$X$9=$G$278,AH91+$G$263-$O91-$G$268,0)),0)</f>
        <v>0.25642819107431603</v>
      </c>
      <c r="M117" s="417"/>
      <c r="N117" s="417"/>
      <c r="O117" s="417"/>
      <c r="P117" s="417"/>
      <c r="Q117" s="417"/>
      <c r="AT117" s="832">
        <f t="shared" ref="AT117:BB117" si="130">IF(Z131&lt;$G$282,0,MIN($G$279,1+IFERROR(INT((Z131-$G$282)/$G$296),0)))</f>
        <v>0</v>
      </c>
      <c r="AU117" s="832">
        <f t="shared" si="130"/>
        <v>0</v>
      </c>
      <c r="AV117" s="832">
        <f t="shared" si="130"/>
        <v>0</v>
      </c>
      <c r="AW117" s="832">
        <f t="shared" si="130"/>
        <v>0</v>
      </c>
      <c r="AX117" s="832">
        <f t="shared" si="130"/>
        <v>0</v>
      </c>
      <c r="AY117" s="832">
        <f t="shared" si="130"/>
        <v>1</v>
      </c>
      <c r="AZ117" s="832">
        <f t="shared" si="130"/>
        <v>3</v>
      </c>
      <c r="BA117" s="832">
        <f t="shared" si="130"/>
        <v>4</v>
      </c>
      <c r="BB117" s="832">
        <f t="shared" si="130"/>
        <v>5</v>
      </c>
    </row>
    <row r="118" spans="1:54" ht="15" customHeight="1">
      <c r="A118" s="417"/>
      <c r="B118" s="800"/>
      <c r="C118" s="802">
        <f>C119-$G$272</f>
        <v>0.25</v>
      </c>
      <c r="D118" s="814" cm="1">
        <f t="array" ref="D118">IFERROR(IRR(IF($S$9:$X$9=0,$O92-$G$263,0)+IF($S$9:$X$9=$G$277,$G$268,0)+IF($S$9:$X$9=$G$278,Z92+$G$263-$O92-$G$268,0)),0)</f>
        <v>0.30612939481205226</v>
      </c>
      <c r="E118" s="814" cm="1">
        <f t="array" ref="E118">IFERROR(IRR(IF($S$9:$X$9=0,$O92-$G$263,0)+IF($S$9:$X$9=$G$277,$G$268,0)+IF($S$9:$X$9=$G$278,AA92+$G$263-$O92-$G$268,0)),0)</f>
        <v>0.30076714010668248</v>
      </c>
      <c r="F118" s="814" cm="1">
        <f t="array" ref="F118">IFERROR(IRR(IF($S$9:$X$9=0,$O92-$G$263,0)+IF($S$9:$X$9=$G$277,$G$268,0)+IF($S$9:$X$9=$G$278,AB92+$G$263-$O92-$G$268,0)),0)</f>
        <v>0.29531497802388951</v>
      </c>
      <c r="G118" s="814" cm="1">
        <f t="array" ref="G118">IFERROR(IRR(IF($S$9:$X$9=0,$O92-$G$263,0)+IF($S$9:$X$9=$G$277,$G$268,0)+IF($S$9:$X$9=$G$278,AC92+$G$263-$O92-$G$268,0)),0)</f>
        <v>0.28976944401726001</v>
      </c>
      <c r="H118" s="814" cm="1">
        <f t="array" ref="H118">IFERROR(IRR(IF($S$9:$X$9=0,$O92-$G$263,0)+IF($S$9:$X$9=$G$277,$G$268,0)+IF($S$9:$X$9=$G$278,AD92+$G$263-$O92-$G$268,0)),0)</f>
        <v>0.28412686132893583</v>
      </c>
      <c r="I118" s="814" cm="1">
        <f t="array" ref="I118">IFERROR(IRR(IF($S$9:$X$9=0,$O92-$G$263,0)+IF($S$9:$X$9=$G$277,$G$268,0)+IF($S$9:$X$9=$G$278,AE92+$G$263-$O92-$G$268,0)),0)</f>
        <v>0.27838332293623802</v>
      </c>
      <c r="J118" s="814" cm="1">
        <f t="array" ref="J118">IFERROR(IRR(IF($S$9:$X$9=0,$O92-$G$263,0)+IF($S$9:$X$9=$G$277,$G$268,0)+IF($S$9:$X$9=$G$278,AF92+$G$263-$O92-$G$268,0)),0)</f>
        <v>0.27253467153178845</v>
      </c>
      <c r="K118" s="814" cm="1">
        <f t="array" ref="K118">IFERROR(IRR(IF($S$9:$X$9=0,$O92-$G$263,0)+IF($S$9:$X$9=$G$277,$G$268,0)+IF($S$9:$X$9=$G$278,AG92+$G$263-$O92-$G$268,0)),0)</f>
        <v>0.26657647725338496</v>
      </c>
      <c r="L118" s="814" cm="1">
        <f t="array" ref="L118">IFERROR(IRR(IF($S$9:$X$9=0,$O92-$G$263,0)+IF($S$9:$X$9=$G$277,$G$268,0)+IF($S$9:$X$9=$G$278,AH92+$G$263-$O92-$G$268,0)),0)</f>
        <v>0.26050401285064995</v>
      </c>
      <c r="M118" s="417"/>
      <c r="N118" s="417"/>
      <c r="O118" s="417"/>
      <c r="P118" s="417"/>
      <c r="Q118" s="417"/>
      <c r="AT118" s="832">
        <f t="shared" ref="AT118:BB118" si="131">IF(Z132&lt;$G$282,0,MIN($G$279,1+IFERROR(INT((Z132-$G$282)/$G$296),0)))</f>
        <v>0</v>
      </c>
      <c r="AU118" s="832">
        <f t="shared" si="131"/>
        <v>0</v>
      </c>
      <c r="AV118" s="832">
        <f t="shared" si="131"/>
        <v>0</v>
      </c>
      <c r="AW118" s="832">
        <f t="shared" si="131"/>
        <v>1</v>
      </c>
      <c r="AX118" s="832">
        <f t="shared" si="131"/>
        <v>2</v>
      </c>
      <c r="AY118" s="832">
        <f t="shared" si="131"/>
        <v>3</v>
      </c>
      <c r="AZ118" s="832">
        <f t="shared" si="131"/>
        <v>4</v>
      </c>
      <c r="BA118" s="832">
        <f t="shared" si="131"/>
        <v>5</v>
      </c>
      <c r="BB118" s="832">
        <f t="shared" si="131"/>
        <v>6</v>
      </c>
    </row>
    <row r="119" spans="1:54" ht="15" customHeight="1">
      <c r="A119" s="417"/>
      <c r="B119" s="800"/>
      <c r="C119" s="802">
        <f>$G$271</f>
        <v>0.3</v>
      </c>
      <c r="D119" s="814" cm="1">
        <f t="array" ref="D119">IFERROR(IRR(IF($S$9:$X$9=0,$O93-$G$263,0)+IF($S$9:$X$9=$G$277,$G$268,0)+IF($S$9:$X$9=$G$278,Z93+$G$263-$O93-$G$268,0)),0)</f>
        <v>0.31594889422115657</v>
      </c>
      <c r="E119" s="814" cm="1">
        <f t="array" ref="E119">IFERROR(IRR(IF($S$9:$X$9=0,$O93-$G$263,0)+IF($S$9:$X$9=$G$277,$G$268,0)+IF($S$9:$X$9=$G$278,AA93+$G$263-$O93-$G$268,0)),0)</f>
        <v>0.30993397334336126</v>
      </c>
      <c r="F119" s="814" cm="1">
        <f t="array" ref="F119">IFERROR(IRR(IF($S$9:$X$9=0,$O93-$G$263,0)+IF($S$9:$X$9=$G$277,$G$268,0)+IF($S$9:$X$9=$G$278,AB93+$G$263-$O93-$G$268,0)),0)</f>
        <v>0.3038065025758323</v>
      </c>
      <c r="G119" s="814" cm="1">
        <f t="array" ref="G119">IFERROR(IRR(IF($S$9:$X$9=0,$O93-$G$263,0)+IF($S$9:$X$9=$G$277,$G$268,0)+IF($S$9:$X$9=$G$278,AC93+$G$263-$O93-$G$268,0)),0)</f>
        <v>0.29756162962574795</v>
      </c>
      <c r="H119" s="815" cm="1">
        <f t="array" ref="H119">IFERROR(IRR(IF($S$9:$X$9=0,$O93-$G$263,0)+IF($S$9:$X$9=$G$277,$G$268,0)+IF($S$9:$X$9=$G$278,AD93+$G$263-$O93-$G$268,0)),0)</f>
        <v>0.29119416880747639</v>
      </c>
      <c r="I119" s="814" cm="1">
        <f t="array" ref="I119">IFERROR(IRR(IF($S$9:$X$9=0,$O93-$G$263,0)+IF($S$9:$X$9=$G$277,$G$268,0)+IF($S$9:$X$9=$G$278,AE93+$G$263-$O93-$G$268,0)),0)</f>
        <v>0.28469856911304725</v>
      </c>
      <c r="J119" s="814" cm="1">
        <f t="array" ref="J119">IFERROR(IRR(IF($S$9:$X$9=0,$O93-$G$263,0)+IF($S$9:$X$9=$G$277,$G$268,0)+IF($S$9:$X$9=$G$278,AF93+$G$263-$O93-$G$268,0)),0)</f>
        <v>0.27806887842667893</v>
      </c>
      <c r="K119" s="814" cm="1">
        <f t="array" ref="K119">IFERROR(IRR(IF($S$9:$X$9=0,$O93-$G$263,0)+IF($S$9:$X$9=$G$277,$G$268,0)+IF($S$9:$X$9=$G$278,AG93+$G$263-$O93-$G$268,0)),0)</f>
        <v>0.27129870313073168</v>
      </c>
      <c r="L119" s="814" cm="1">
        <f t="array" ref="L119">IFERROR(IRR(IF($S$9:$X$9=0,$O93-$G$263,0)+IF($S$9:$X$9=$G$277,$G$268,0)+IF($S$9:$X$9=$G$278,AH93+$G$263-$O93-$G$268,0)),0)</f>
        <v>0.26438116244835519</v>
      </c>
      <c r="M119" s="417"/>
      <c r="N119" s="417"/>
      <c r="O119" s="417"/>
      <c r="P119" s="417"/>
      <c r="Q119" s="417"/>
      <c r="AT119" s="832">
        <f t="shared" ref="AT119:BB119" si="132">IF(Z133&lt;$G$282,0,MIN($G$279,1+IFERROR(INT((Z133-$G$282)/$G$296),0)))</f>
        <v>0</v>
      </c>
      <c r="AU119" s="832">
        <f t="shared" si="132"/>
        <v>0</v>
      </c>
      <c r="AV119" s="832">
        <f t="shared" si="132"/>
        <v>1</v>
      </c>
      <c r="AW119" s="832">
        <f t="shared" si="132"/>
        <v>2</v>
      </c>
      <c r="AX119" s="832">
        <f t="shared" si="132"/>
        <v>3</v>
      </c>
      <c r="AY119" s="832">
        <f t="shared" si="132"/>
        <v>4</v>
      </c>
      <c r="AZ119" s="832">
        <f t="shared" si="132"/>
        <v>5</v>
      </c>
      <c r="BA119" s="832">
        <f t="shared" si="132"/>
        <v>6</v>
      </c>
      <c r="BB119" s="832">
        <f t="shared" si="132"/>
        <v>7</v>
      </c>
    </row>
    <row r="120" spans="1:54" ht="15" customHeight="1">
      <c r="A120" s="417"/>
      <c r="B120" s="800"/>
      <c r="C120" s="802">
        <f>C119+$G$272</f>
        <v>0.35</v>
      </c>
      <c r="D120" s="814" cm="1">
        <f t="array" ref="D120">IFERROR(IRR(IF($S$9:$X$9=0,$O94-$G$263,0)+IF($S$9:$X$9=$G$277,$G$268,0)+IF($S$9:$X$9=$G$278,Z94+$G$263-$O94-$G$268,0)),0)</f>
        <v>0.32515067991003899</v>
      </c>
      <c r="E120" s="814" cm="1">
        <f t="array" ref="E120">IFERROR(IRR(IF($S$9:$X$9=0,$O94-$G$263,0)+IF($S$9:$X$9=$G$277,$G$268,0)+IF($S$9:$X$9=$G$278,AA94+$G$263-$O94-$G$268,0)),0)</f>
        <v>0.3185392366929829</v>
      </c>
      <c r="F120" s="814" cm="1">
        <f t="array" ref="F120">IFERROR(IRR(IF($S$9:$X$9=0,$O94-$G$263,0)+IF($S$9:$X$9=$G$277,$G$268,0)+IF($S$9:$X$9=$G$278,AB94+$G$263-$O94-$G$268,0)),0)</f>
        <v>0.31179246567184338</v>
      </c>
      <c r="G120" s="814" cm="1">
        <f t="array" ref="G120">IFERROR(IRR(IF($S$9:$X$9=0,$O94-$G$263,0)+IF($S$9:$X$9=$G$277,$G$268,0)+IF($S$9:$X$9=$G$278,AC94+$G$263-$O94-$G$268,0)),0)</f>
        <v>0.30490397028336536</v>
      </c>
      <c r="H120" s="814" cm="1">
        <f t="array" ref="H120">IFERROR(IRR(IF($S$9:$X$9=0,$O94-$G$263,0)+IF($S$9:$X$9=$G$277,$G$268,0)+IF($S$9:$X$9=$G$278,AD94+$G$263-$O94-$G$268,0)),0)</f>
        <v>0.29786687092019615</v>
      </c>
      <c r="I120" s="814" cm="1">
        <f t="array" ref="I120">IFERROR(IRR(IF($S$9:$X$9=0,$O94-$G$263,0)+IF($S$9:$X$9=$G$277,$G$268,0)+IF($S$9:$X$9=$G$278,AE94+$G$263-$O94-$G$268,0)),0)</f>
        <v>0.29067375408345564</v>
      </c>
      <c r="J120" s="814" cm="1">
        <f t="array" ref="J120">IFERROR(IRR(IF($S$9:$X$9=0,$O94-$G$263,0)+IF($S$9:$X$9=$G$277,$G$268,0)+IF($S$9:$X$9=$G$278,AF94+$G$263-$O94-$G$268,0)),0)</f>
        <v>0.28331661448413459</v>
      </c>
      <c r="K120" s="814" cm="1">
        <f t="array" ref="K120">IFERROR(IRR(IF($S$9:$X$9=0,$O94-$G$263,0)+IF($S$9:$X$9=$G$277,$G$268,0)+IF($S$9:$X$9=$G$278,AG94+$G$263-$O94-$G$268,0)),0)</f>
        <v>0.27578678909429954</v>
      </c>
      <c r="L120" s="814" cm="1">
        <f t="array" ref="L120">IFERROR(IRR(IF($S$9:$X$9=0,$O94-$G$263,0)+IF($S$9:$X$9=$G$277,$G$268,0)+IF($S$9:$X$9=$G$278,AH94+$G$263-$O94-$G$268,0)),0)</f>
        <v>0.26807488156423198</v>
      </c>
      <c r="M120" s="417"/>
      <c r="N120" s="417"/>
      <c r="O120" s="417"/>
      <c r="P120" s="417"/>
      <c r="Q120" s="417"/>
      <c r="AT120" s="832">
        <f t="shared" ref="AT120:BB120" si="133">IF(Z134&lt;$G$282,0,MIN($G$279,1+IFERROR(INT((Z134-$G$282)/$G$296),0)))</f>
        <v>2</v>
      </c>
      <c r="AU120" s="832">
        <f t="shared" si="133"/>
        <v>3</v>
      </c>
      <c r="AV120" s="832">
        <f t="shared" si="133"/>
        <v>3</v>
      </c>
      <c r="AW120" s="832">
        <f t="shared" si="133"/>
        <v>4</v>
      </c>
      <c r="AX120" s="832">
        <f t="shared" si="133"/>
        <v>5</v>
      </c>
      <c r="AY120" s="832">
        <f t="shared" si="133"/>
        <v>6</v>
      </c>
      <c r="AZ120" s="832">
        <f t="shared" si="133"/>
        <v>7</v>
      </c>
      <c r="BA120" s="832">
        <f t="shared" si="133"/>
        <v>8</v>
      </c>
      <c r="BB120" s="832">
        <f t="shared" si="133"/>
        <v>8</v>
      </c>
    </row>
    <row r="121" spans="1:54" ht="15" customHeight="1">
      <c r="A121" s="417"/>
      <c r="B121" s="800"/>
      <c r="C121" s="802">
        <f>C120+$G$272</f>
        <v>0.39999999999999997</v>
      </c>
      <c r="D121" s="814" cm="1">
        <f t="array" ref="D121">IFERROR(IRR(IF($S$9:$X$9=0,$O95-$G$263,0)+IF($S$9:$X$9=$G$277,$G$268,0)+IF($S$9:$X$9=$G$278,Z95+$G$263-$O95-$G$268,0)),0)</f>
        <v>0.33379787165755848</v>
      </c>
      <c r="E121" s="814" cm="1">
        <f t="array" ref="E121">IFERROR(IRR(IF($S$9:$X$9=0,$O95-$G$263,0)+IF($S$9:$X$9=$G$277,$G$268,0)+IF($S$9:$X$9=$G$278,AA95+$G$263-$O95-$G$268,0)),0)</f>
        <v>0.32663864974277335</v>
      </c>
      <c r="F121" s="814" cm="1">
        <f t="array" ref="F121">IFERROR(IRR(IF($S$9:$X$9=0,$O95-$G$263,0)+IF($S$9:$X$9=$G$277,$G$268,0)+IF($S$9:$X$9=$G$278,AB95+$G$263-$O95-$G$268,0)),0)</f>
        <v>0.31932146700419106</v>
      </c>
      <c r="G121" s="814" cm="1">
        <f t="array" ref="G121">IFERROR(IRR(IF($S$9:$X$9=0,$O95-$G$263,0)+IF($S$9:$X$9=$G$277,$G$268,0)+IF($S$9:$X$9=$G$278,AC95+$G$263-$O95-$G$268,0)),0)</f>
        <v>0.31183825858790826</v>
      </c>
      <c r="H121" s="814" cm="1">
        <f t="array" ref="H121">IFERROR(IRR(IF($S$9:$X$9=0,$O95-$G$263,0)+IF($S$9:$X$9=$G$277,$G$268,0)+IF($S$9:$X$9=$G$278,AD95+$G$263-$O95-$G$268,0)),0)</f>
        <v>0.30418030037086785</v>
      </c>
      <c r="I121" s="814" cm="1">
        <f t="array" ref="I121">IFERROR(IRR(IF($S$9:$X$9=0,$O95-$G$263,0)+IF($S$9:$X$9=$G$277,$G$268,0)+IF($S$9:$X$9=$G$278,AE95+$G$263-$O95-$G$268,0)),0)</f>
        <v>0.29633813360823136</v>
      </c>
      <c r="J121" s="814" cm="1">
        <f t="array" ref="J121">IFERROR(IRR(IF($S$9:$X$9=0,$O95-$G$263,0)+IF($S$9:$X$9=$G$277,$G$268,0)+IF($S$9:$X$9=$G$278,AF95+$G$263-$O95-$G$268,0)),0)</f>
        <v>0.28830147840017495</v>
      </c>
      <c r="K121" s="814" cm="1">
        <f t="array" ref="K121">IFERROR(IRR(IF($S$9:$X$9=0,$O95-$G$263,0)+IF($S$9:$X$9=$G$277,$G$268,0)+IF($S$9:$X$9=$G$278,AG95+$G$263-$O95-$G$268,0)),0)</f>
        <v>0.28005913378281511</v>
      </c>
      <c r="L121" s="814" cm="1">
        <f t="array" ref="L121">IFERROR(IRR(IF($S$9:$X$9=0,$O95-$G$263,0)+IF($S$9:$X$9=$G$277,$G$268,0)+IF($S$9:$X$9=$G$278,AH95+$G$263-$O95-$G$268,0)),0)</f>
        <v>0.27159886205991679</v>
      </c>
      <c r="M121" s="417"/>
      <c r="N121" s="417"/>
      <c r="O121" s="417"/>
      <c r="P121" s="417"/>
      <c r="Q121" s="417"/>
      <c r="AT121" s="832">
        <f t="shared" ref="AT121:BB121" si="134">IF(Z135&lt;$G$282,0,MIN($G$279,1+IFERROR(INT((Z135-$G$282)/$G$296),0)))</f>
        <v>4</v>
      </c>
      <c r="AU121" s="832">
        <f t="shared" si="134"/>
        <v>5</v>
      </c>
      <c r="AV121" s="832">
        <f t="shared" si="134"/>
        <v>5</v>
      </c>
      <c r="AW121" s="832">
        <f t="shared" si="134"/>
        <v>6</v>
      </c>
      <c r="AX121" s="832">
        <f t="shared" si="134"/>
        <v>7</v>
      </c>
      <c r="AY121" s="832">
        <f t="shared" si="134"/>
        <v>7</v>
      </c>
      <c r="AZ121" s="832">
        <f t="shared" si="134"/>
        <v>8</v>
      </c>
      <c r="BA121" s="832">
        <f t="shared" si="134"/>
        <v>9</v>
      </c>
      <c r="BB121" s="832">
        <f t="shared" si="134"/>
        <v>9</v>
      </c>
    </row>
    <row r="122" spans="1:54" ht="15" customHeight="1">
      <c r="A122" s="417"/>
      <c r="B122" s="801"/>
      <c r="C122" s="803">
        <f>C121+$G$272</f>
        <v>0.44999999999999996</v>
      </c>
      <c r="D122" s="816" cm="1">
        <f t="array" ref="D122">IFERROR(IRR(IF($S$9:$X$9=0,$O96-$G$263,0)+IF($S$9:$X$9=$G$277,$G$268,0)+IF($S$9:$X$9=$G$278,Z96+$G$263-$O96-$G$268,0)),0)</f>
        <v>0.34194478017083507</v>
      </c>
      <c r="E122" s="816" cm="1">
        <f t="array" ref="E122">IFERROR(IRR(IF($S$9:$X$9=0,$O96-$G$263,0)+IF($S$9:$X$9=$G$277,$G$268,0)+IF($S$9:$X$9=$G$278,AA96+$G$263-$O96-$G$268,0)),0)</f>
        <v>0.33428039893897443</v>
      </c>
      <c r="F122" s="816" cm="1">
        <f t="array" ref="F122">IFERROR(IRR(IF($S$9:$X$9=0,$O96-$G$263,0)+IF($S$9:$X$9=$G$277,$G$268,0)+IF($S$9:$X$9=$G$278,AB96+$G$263-$O96-$G$268,0)),0)</f>
        <v>0.32643575754852239</v>
      </c>
      <c r="G122" s="816" cm="1">
        <f t="array" ref="G122">IFERROR(IRR(IF($S$9:$X$9=0,$O96-$G$263,0)+IF($S$9:$X$9=$G$277,$G$268,0)+IF($S$9:$X$9=$G$278,AC96+$G$263-$O96-$G$268,0)),0)</f>
        <v>0.31840102711961138</v>
      </c>
      <c r="H122" s="816" cm="1">
        <f t="array" ref="H122">IFERROR(IRR(IF($S$9:$X$9=0,$O96-$G$263,0)+IF($S$9:$X$9=$G$277,$G$268,0)+IF($S$9:$X$9=$G$278,AD96+$G$263-$O96-$G$268,0)),0)</f>
        <v>0.31016551897653444</v>
      </c>
      <c r="I122" s="816" cm="1">
        <f t="array" ref="I122">IFERROR(IRR(IF($S$9:$X$9=0,$O96-$G$263,0)+IF($S$9:$X$9=$G$277,$G$268,0)+IF($S$9:$X$9=$G$278,AE96+$G$263-$O96-$G$268,0)),0)</f>
        <v>0.30171757926158782</v>
      </c>
      <c r="J122" s="816" cm="1">
        <f t="array" ref="J122">IFERROR(IRR(IF($S$9:$X$9=0,$O96-$G$263,0)+IF($S$9:$X$9=$G$277,$G$268,0)+IF($S$9:$X$9=$G$278,AF96+$G$263-$O96-$G$268,0)),0)</f>
        <v>0.29304446674587847</v>
      </c>
      <c r="K122" s="816" cm="1">
        <f t="array" ref="K122">IFERROR(IRR(IF($S$9:$X$9=0,$O96-$G$263,0)+IF($S$9:$X$9=$G$277,$G$268,0)+IF($S$9:$X$9=$G$278,AG96+$G$263-$O96-$G$268,0)),0)</f>
        <v>0.28413221028370317</v>
      </c>
      <c r="L122" s="816" cm="1">
        <f t="array" ref="L122">IFERROR(IRR(IF($S$9:$X$9=0,$O96-$G$263,0)+IF($S$9:$X$9=$G$277,$G$268,0)+IF($S$9:$X$9=$G$278,AH96+$G$263-$O96-$G$268,0)),0)</f>
        <v>0.27496544198790129</v>
      </c>
      <c r="M122" s="417"/>
      <c r="N122" s="417"/>
      <c r="O122" s="417"/>
      <c r="P122" s="417"/>
      <c r="Q122" s="417"/>
      <c r="AT122" s="832">
        <f t="shared" ref="AT122:BB122" si="135">IF(Z136&lt;$G$282,0,MIN($G$279,1+IFERROR(INT((Z136-$G$282)/$G$296),0)))</f>
        <v>6</v>
      </c>
      <c r="AU122" s="832">
        <f t="shared" si="135"/>
        <v>7</v>
      </c>
      <c r="AV122" s="832">
        <f t="shared" si="135"/>
        <v>7</v>
      </c>
      <c r="AW122" s="832">
        <f t="shared" si="135"/>
        <v>8</v>
      </c>
      <c r="AX122" s="832">
        <f t="shared" si="135"/>
        <v>8</v>
      </c>
      <c r="AY122" s="832">
        <f t="shared" si="135"/>
        <v>9</v>
      </c>
      <c r="AZ122" s="832">
        <f t="shared" si="135"/>
        <v>9</v>
      </c>
      <c r="BA122" s="832">
        <f t="shared" si="135"/>
        <v>10</v>
      </c>
      <c r="BB122" s="832">
        <f t="shared" si="135"/>
        <v>10</v>
      </c>
    </row>
    <row r="123" spans="1:54" ht="15" hidden="1" customHeight="1" outlineLevel="1">
      <c r="A123" s="417"/>
      <c r="B123" s="423" t="s">
        <v>2648</v>
      </c>
      <c r="D123" s="417"/>
      <c r="E123" s="417"/>
      <c r="F123" s="417"/>
      <c r="G123" s="417"/>
      <c r="H123" s="417"/>
      <c r="I123" s="417"/>
      <c r="J123" s="417"/>
      <c r="K123" s="417"/>
      <c r="L123" s="417"/>
      <c r="M123" s="417"/>
      <c r="N123" s="417"/>
      <c r="O123" s="417"/>
      <c r="P123" s="417"/>
      <c r="Q123" s="417"/>
    </row>
    <row r="124" spans="1:54" ht="3.95" customHeight="1" collapsed="1">
      <c r="A124" s="417"/>
      <c r="B124" s="423"/>
      <c r="D124" s="417"/>
      <c r="E124" s="417"/>
      <c r="F124" s="417"/>
      <c r="G124" s="417"/>
      <c r="H124" s="417"/>
      <c r="I124" s="417"/>
      <c r="J124" s="417"/>
      <c r="K124" s="417"/>
      <c r="L124" s="417"/>
      <c r="M124" s="417"/>
      <c r="N124" s="417"/>
      <c r="O124" s="417"/>
      <c r="P124" s="417"/>
      <c r="Q124" s="417"/>
    </row>
    <row r="125" spans="1:54" ht="15" customHeight="1">
      <c r="A125" s="417"/>
      <c r="B125" s="821" t="s">
        <v>2692</v>
      </c>
      <c r="C125" s="821"/>
      <c r="D125" s="821"/>
      <c r="E125" s="821"/>
      <c r="F125" s="821"/>
      <c r="G125" s="821"/>
      <c r="H125" s="821"/>
      <c r="I125" s="821"/>
      <c r="J125" s="821"/>
      <c r="K125" s="821"/>
      <c r="L125" s="821"/>
      <c r="M125" s="417"/>
      <c r="N125" s="417"/>
      <c r="O125" s="417"/>
      <c r="P125" s="417"/>
      <c r="Q125" s="417"/>
    </row>
    <row r="126" spans="1:54" ht="15" customHeight="1">
      <c r="A126" s="417"/>
      <c r="B126" s="148" t="s">
        <v>2688</v>
      </c>
      <c r="C126" s="417"/>
      <c r="D126" s="417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O126" s="417"/>
      <c r="P126" s="417"/>
      <c r="Q126" s="417"/>
    </row>
    <row r="127" spans="1:54" ht="2.1" customHeight="1">
      <c r="A127" s="417"/>
      <c r="B127" s="417"/>
      <c r="C127" s="417"/>
      <c r="D127" s="417"/>
      <c r="E127" s="417"/>
      <c r="F127" s="417"/>
      <c r="G127" s="417"/>
      <c r="H127" s="417"/>
      <c r="I127" s="417"/>
      <c r="J127" s="417"/>
      <c r="K127" s="417"/>
      <c r="L127" s="417"/>
      <c r="M127" s="417"/>
      <c r="N127" s="417"/>
      <c r="O127" s="417"/>
      <c r="P127" s="417"/>
      <c r="Q127" s="417"/>
    </row>
    <row r="128" spans="1:54" ht="12.75" customHeight="1">
      <c r="A128" s="417"/>
      <c r="B128" s="454"/>
      <c r="C128" s="454"/>
      <c r="D128" s="786" t="s">
        <v>2684</v>
      </c>
      <c r="E128" s="786"/>
      <c r="F128" s="786"/>
      <c r="G128" s="786"/>
      <c r="H128" s="786"/>
      <c r="I128" s="786"/>
      <c r="J128" s="786"/>
      <c r="K128" s="786"/>
      <c r="L128" s="786"/>
      <c r="M128" s="417"/>
      <c r="N128" s="417"/>
      <c r="O128" s="417"/>
      <c r="P128" s="417"/>
      <c r="Q128" s="417"/>
      <c r="Z128" s="811" t="s">
        <v>2695</v>
      </c>
      <c r="AA128" s="758"/>
      <c r="AB128" s="758"/>
      <c r="AC128" s="758"/>
      <c r="AD128" s="758"/>
      <c r="AE128" s="758"/>
      <c r="AF128" s="758"/>
      <c r="AG128" s="758"/>
      <c r="AH128" s="758"/>
    </row>
    <row r="129" spans="1:54" ht="12.75" customHeight="1">
      <c r="A129" s="417"/>
      <c r="B129" s="454"/>
      <c r="C129" s="454"/>
      <c r="D129" s="826">
        <f>E129+$G$291</f>
        <v>64</v>
      </c>
      <c r="E129" s="826">
        <f>F129+$G$291</f>
        <v>60</v>
      </c>
      <c r="F129" s="826">
        <f>G129+$G$291</f>
        <v>56</v>
      </c>
      <c r="G129" s="826">
        <f>H129+$G$291</f>
        <v>52</v>
      </c>
      <c r="H129" s="826">
        <f>$G$290</f>
        <v>48</v>
      </c>
      <c r="I129" s="826">
        <f>H129-$G$291</f>
        <v>44</v>
      </c>
      <c r="J129" s="826">
        <f>I129-$G$291</f>
        <v>40</v>
      </c>
      <c r="K129" s="826">
        <f>J129-$G$291</f>
        <v>36</v>
      </c>
      <c r="L129" s="826">
        <f>K129-$G$291</f>
        <v>32</v>
      </c>
      <c r="M129" s="417"/>
      <c r="N129" s="417"/>
      <c r="O129" s="417"/>
      <c r="P129" s="417"/>
      <c r="Q129" s="417"/>
      <c r="Z129" s="367">
        <f>D$129</f>
        <v>64</v>
      </c>
      <c r="AA129" s="367">
        <f t="shared" ref="AA129:AH129" si="136">E$129</f>
        <v>60</v>
      </c>
      <c r="AB129" s="367">
        <f t="shared" si="136"/>
        <v>56</v>
      </c>
      <c r="AC129" s="367">
        <f t="shared" si="136"/>
        <v>52</v>
      </c>
      <c r="AD129" s="367">
        <f t="shared" si="136"/>
        <v>48</v>
      </c>
      <c r="AE129" s="367">
        <f t="shared" si="136"/>
        <v>44</v>
      </c>
      <c r="AF129" s="367">
        <f t="shared" si="136"/>
        <v>40</v>
      </c>
      <c r="AG129" s="367">
        <f t="shared" si="136"/>
        <v>36</v>
      </c>
      <c r="AH129" s="367">
        <f t="shared" si="136"/>
        <v>32</v>
      </c>
      <c r="AT129" s="833" t="s">
        <v>2748</v>
      </c>
      <c r="AU129" s="427"/>
      <c r="AV129" s="427"/>
      <c r="AW129" s="427"/>
      <c r="AX129" s="427"/>
      <c r="AY129" s="427"/>
      <c r="AZ129" s="427"/>
      <c r="BA129" s="427"/>
      <c r="BB129" s="427"/>
    </row>
    <row r="130" spans="1:54" ht="15" customHeight="1">
      <c r="A130" s="417"/>
      <c r="B130" s="804" t="s">
        <v>2638</v>
      </c>
      <c r="C130" s="802">
        <f>C131-$G$272</f>
        <v>0.15000000000000002</v>
      </c>
      <c r="D130" s="790">
        <f>ROUND(Z130,$G$285)</f>
        <v>-600</v>
      </c>
      <c r="E130" s="790">
        <f t="shared" ref="E130:E136" si="137">ROUND(AA130,$G$285)</f>
        <v>-300</v>
      </c>
      <c r="F130" s="790">
        <f t="shared" ref="F130:F136" si="138">ROUND(AB130,$G$285)</f>
        <v>0</v>
      </c>
      <c r="G130" s="790">
        <f t="shared" ref="G130:G136" si="139">ROUND(AC130,$G$285)</f>
        <v>300</v>
      </c>
      <c r="H130" s="790">
        <f t="shared" ref="H130:H136" si="140">ROUND(AD130,$G$285)</f>
        <v>600</v>
      </c>
      <c r="I130" s="790">
        <f t="shared" ref="I130:I136" si="141">ROUND(AE130,$G$285)</f>
        <v>900</v>
      </c>
      <c r="J130" s="790">
        <f t="shared" ref="J130:J136" si="142">ROUND(AF130,$G$285)</f>
        <v>1200</v>
      </c>
      <c r="K130" s="790">
        <f t="shared" ref="K130:K136" si="143">ROUND(AG130,$G$285)</f>
        <v>1500</v>
      </c>
      <c r="L130" s="790">
        <f t="shared" ref="L130:L136" si="144">ROUND(AH130,$G$285)</f>
        <v>1800</v>
      </c>
      <c r="M130" s="417"/>
      <c r="N130" s="417"/>
      <c r="O130" s="417"/>
      <c r="P130" s="417"/>
      <c r="Q130" s="417"/>
      <c r="Z130" s="367">
        <f>Z90+$G$263-AJ$93</f>
        <v>-638.8677287198243</v>
      </c>
      <c r="AA130" s="367">
        <f t="shared" ref="AA130:AH130" si="145">AA90+$G$263-AK$93</f>
        <v>-338.18448841912686</v>
      </c>
      <c r="AB130" s="367">
        <f t="shared" si="145"/>
        <v>-37.50124811842943</v>
      </c>
      <c r="AC130" s="367">
        <f t="shared" si="145"/>
        <v>263.181992182268</v>
      </c>
      <c r="AD130" s="367">
        <f t="shared" si="145"/>
        <v>563.86523248296362</v>
      </c>
      <c r="AE130" s="367">
        <f t="shared" si="145"/>
        <v>864.54847278366196</v>
      </c>
      <c r="AF130" s="367">
        <f t="shared" si="145"/>
        <v>1165.2317130843567</v>
      </c>
      <c r="AG130" s="367">
        <f t="shared" si="145"/>
        <v>1465.9149533850559</v>
      </c>
      <c r="AH130" s="367">
        <f t="shared" si="145"/>
        <v>1766.5981936857515</v>
      </c>
      <c r="AT130" s="832">
        <f>IF(Z130&lt;$G$282,0,MIN($G$279,1+IFERROR(INT((Z130-$G$282)/$G$296),0)))</f>
        <v>0</v>
      </c>
      <c r="AU130" s="832">
        <f t="shared" ref="AU130:AU136" si="146">IF(AA130&lt;$G$282,0,MIN($G$279,1+IFERROR(INT((AA130-$G$282)/$G$296),0)))</f>
        <v>0</v>
      </c>
      <c r="AV130" s="832">
        <f t="shared" ref="AV130:AV136" si="147">IF(AB130&lt;$G$282,0,MIN($G$279,1+IFERROR(INT((AB130-$G$282)/$G$296),0)))</f>
        <v>0</v>
      </c>
      <c r="AW130" s="832">
        <f t="shared" ref="AW130:AW136" si="148">IF(AC130&lt;$G$282,0,MIN($G$279,1+IFERROR(INT((AC130-$G$282)/$G$296),0)))</f>
        <v>0</v>
      </c>
      <c r="AX130" s="832">
        <f t="shared" ref="AX130:AX136" si="149">IF(AD130&lt;$G$282,0,MIN($G$279,1+IFERROR(INT((AD130-$G$282)/$G$296),0)))</f>
        <v>0</v>
      </c>
      <c r="AY130" s="832">
        <f t="shared" ref="AY130:AY136" si="150">IF(AE130&lt;$G$282,0,MIN($G$279,1+IFERROR(INT((AE130-$G$282)/$G$296),0)))</f>
        <v>0</v>
      </c>
      <c r="AZ130" s="832">
        <f t="shared" ref="AZ130:AZ136" si="151">IF(AF130&lt;$G$282,0,MIN($G$279,1+IFERROR(INT((AF130-$G$282)/$G$296),0)))</f>
        <v>1</v>
      </c>
      <c r="BA130" s="832">
        <f t="shared" ref="BA130:BA136" si="152">IF(AG130&lt;$G$282,0,MIN($G$279,1+IFERROR(INT((AG130-$G$282)/$G$296),0)))</f>
        <v>3</v>
      </c>
      <c r="BB130" s="832">
        <f t="shared" ref="BB130:BB136" si="153">IF(AH130&lt;$G$282,0,MIN($G$279,1+IFERROR(INT((AH130-$G$282)/$G$296),0)))</f>
        <v>4</v>
      </c>
    </row>
    <row r="131" spans="1:54" ht="15" customHeight="1">
      <c r="A131" s="417"/>
      <c r="B131" s="800"/>
      <c r="C131" s="802">
        <f>C132-$G$272</f>
        <v>0.2</v>
      </c>
      <c r="D131" s="791">
        <f t="shared" ref="D131:D136" si="154">ROUND(Z131,$G$285)</f>
        <v>-200</v>
      </c>
      <c r="E131" s="791">
        <f t="shared" si="137"/>
        <v>100</v>
      </c>
      <c r="F131" s="791">
        <f t="shared" si="138"/>
        <v>400</v>
      </c>
      <c r="G131" s="791">
        <f t="shared" si="139"/>
        <v>600</v>
      </c>
      <c r="H131" s="791">
        <f t="shared" si="140"/>
        <v>900</v>
      </c>
      <c r="I131" s="791">
        <f t="shared" si="141"/>
        <v>1200</v>
      </c>
      <c r="J131" s="791">
        <f t="shared" si="142"/>
        <v>1400</v>
      </c>
      <c r="K131" s="791">
        <f t="shared" si="143"/>
        <v>1700</v>
      </c>
      <c r="L131" s="791">
        <f t="shared" si="144"/>
        <v>2000</v>
      </c>
      <c r="M131" s="417"/>
      <c r="N131" s="417"/>
      <c r="O131" s="417"/>
      <c r="P131" s="417"/>
      <c r="Q131" s="417"/>
      <c r="Z131" s="367">
        <f t="shared" ref="Z131:AH131" si="155">Z91+$G$263-AJ$93</f>
        <v>-170.22281528908206</v>
      </c>
      <c r="AA131" s="367">
        <f t="shared" si="155"/>
        <v>98.923433592797664</v>
      </c>
      <c r="AB131" s="367">
        <f t="shared" si="155"/>
        <v>368.06968247467739</v>
      </c>
      <c r="AC131" s="367">
        <f t="shared" si="155"/>
        <v>637.2159313565553</v>
      </c>
      <c r="AD131" s="367">
        <f t="shared" si="155"/>
        <v>906.36218023843503</v>
      </c>
      <c r="AE131" s="367">
        <f t="shared" si="155"/>
        <v>1175.5084291203157</v>
      </c>
      <c r="AF131" s="367">
        <f t="shared" si="155"/>
        <v>1444.6546780021936</v>
      </c>
      <c r="AG131" s="367">
        <f t="shared" si="155"/>
        <v>1713.8009268840742</v>
      </c>
      <c r="AH131" s="367">
        <f t="shared" si="155"/>
        <v>1982.9471757659539</v>
      </c>
      <c r="AT131" s="832">
        <f t="shared" ref="AT131:AT136" si="156">IF(Z131&lt;$G$282,0,MIN($G$279,1+IFERROR(INT((Z131-$G$282)/$G$296),0)))</f>
        <v>0</v>
      </c>
      <c r="AU131" s="832">
        <f t="shared" si="146"/>
        <v>0</v>
      </c>
      <c r="AV131" s="832">
        <f t="shared" si="147"/>
        <v>0</v>
      </c>
      <c r="AW131" s="832">
        <f t="shared" si="148"/>
        <v>0</v>
      </c>
      <c r="AX131" s="832">
        <f t="shared" si="149"/>
        <v>0</v>
      </c>
      <c r="AY131" s="832">
        <f t="shared" si="150"/>
        <v>1</v>
      </c>
      <c r="AZ131" s="832">
        <f t="shared" si="151"/>
        <v>3</v>
      </c>
      <c r="BA131" s="832">
        <f t="shared" si="152"/>
        <v>4</v>
      </c>
      <c r="BB131" s="832">
        <f t="shared" si="153"/>
        <v>5</v>
      </c>
    </row>
    <row r="132" spans="1:54" ht="15" customHeight="1">
      <c r="A132" s="417"/>
      <c r="B132" s="800"/>
      <c r="C132" s="802">
        <f>C133-$G$272</f>
        <v>0.25</v>
      </c>
      <c r="D132" s="791">
        <f t="shared" si="154"/>
        <v>300</v>
      </c>
      <c r="E132" s="791">
        <f t="shared" si="137"/>
        <v>500</v>
      </c>
      <c r="F132" s="791">
        <f t="shared" si="138"/>
        <v>800</v>
      </c>
      <c r="G132" s="791">
        <f t="shared" si="139"/>
        <v>1000</v>
      </c>
      <c r="H132" s="791">
        <f t="shared" si="140"/>
        <v>1200</v>
      </c>
      <c r="I132" s="791">
        <f t="shared" si="141"/>
        <v>1500</v>
      </c>
      <c r="J132" s="791">
        <f t="shared" si="142"/>
        <v>1700</v>
      </c>
      <c r="K132" s="791">
        <f t="shared" si="143"/>
        <v>2000</v>
      </c>
      <c r="L132" s="791">
        <f t="shared" si="144"/>
        <v>2200</v>
      </c>
      <c r="M132" s="417"/>
      <c r="N132" s="417"/>
      <c r="O132" s="417"/>
      <c r="P132" s="417"/>
      <c r="Q132" s="417"/>
      <c r="Z132" s="367">
        <f t="shared" ref="Z132:AH132" si="157">Z92+$G$263-AJ$93</f>
        <v>299.56689690306121</v>
      </c>
      <c r="AA132" s="367">
        <f t="shared" si="157"/>
        <v>537.07562155736377</v>
      </c>
      <c r="AB132" s="367">
        <f t="shared" si="157"/>
        <v>774.5843462116718</v>
      </c>
      <c r="AC132" s="367">
        <f t="shared" si="157"/>
        <v>1012.0930708659762</v>
      </c>
      <c r="AD132" s="367">
        <f t="shared" si="157"/>
        <v>1249.6017955202806</v>
      </c>
      <c r="AE132" s="367">
        <f t="shared" si="157"/>
        <v>1487.1105201745877</v>
      </c>
      <c r="AF132" s="367">
        <f t="shared" si="157"/>
        <v>1724.6192448288894</v>
      </c>
      <c r="AG132" s="367">
        <f t="shared" si="157"/>
        <v>1962.1279694831974</v>
      </c>
      <c r="AH132" s="367">
        <f t="shared" si="157"/>
        <v>2199.6366941375009</v>
      </c>
      <c r="AT132" s="832">
        <f t="shared" si="156"/>
        <v>0</v>
      </c>
      <c r="AU132" s="832">
        <f t="shared" si="146"/>
        <v>0</v>
      </c>
      <c r="AV132" s="832">
        <f t="shared" si="147"/>
        <v>0</v>
      </c>
      <c r="AW132" s="832">
        <f t="shared" si="148"/>
        <v>1</v>
      </c>
      <c r="AX132" s="832">
        <f t="shared" si="149"/>
        <v>2</v>
      </c>
      <c r="AY132" s="832">
        <f t="shared" si="150"/>
        <v>3</v>
      </c>
      <c r="AZ132" s="832">
        <f t="shared" si="151"/>
        <v>4</v>
      </c>
      <c r="BA132" s="832">
        <f t="shared" si="152"/>
        <v>5</v>
      </c>
      <c r="BB132" s="832">
        <f t="shared" si="153"/>
        <v>6</v>
      </c>
    </row>
    <row r="133" spans="1:54" ht="15" customHeight="1">
      <c r="A133" s="417"/>
      <c r="B133" s="800"/>
      <c r="C133" s="802">
        <f>$G$271</f>
        <v>0.3</v>
      </c>
      <c r="D133" s="791">
        <f t="shared" si="154"/>
        <v>800</v>
      </c>
      <c r="E133" s="791">
        <f t="shared" si="137"/>
        <v>1000</v>
      </c>
      <c r="F133" s="791">
        <f t="shared" si="138"/>
        <v>1200</v>
      </c>
      <c r="G133" s="791">
        <f t="shared" si="139"/>
        <v>1400</v>
      </c>
      <c r="H133" s="805">
        <f t="shared" si="140"/>
        <v>1600</v>
      </c>
      <c r="I133" s="791">
        <f t="shared" si="141"/>
        <v>1800</v>
      </c>
      <c r="J133" s="791">
        <f t="shared" si="142"/>
        <v>2000</v>
      </c>
      <c r="K133" s="791">
        <f t="shared" si="143"/>
        <v>2200</v>
      </c>
      <c r="L133" s="791">
        <f t="shared" si="144"/>
        <v>2400</v>
      </c>
      <c r="M133" s="417"/>
      <c r="N133" s="417"/>
      <c r="O133" s="417"/>
      <c r="P133" s="417"/>
      <c r="Q133" s="417"/>
      <c r="Z133" s="367">
        <f t="shared" ref="Z133:AH133" si="158">Z93+$G$263-AJ$93</f>
        <v>770.50719638922419</v>
      </c>
      <c r="AA133" s="367">
        <f t="shared" si="158"/>
        <v>976.27735567554737</v>
      </c>
      <c r="AB133" s="367">
        <f t="shared" si="158"/>
        <v>1182.0475149618724</v>
      </c>
      <c r="AC133" s="367">
        <f t="shared" si="158"/>
        <v>1387.8176742481974</v>
      </c>
      <c r="AD133" s="367">
        <f t="shared" si="158"/>
        <v>1593.5878335345224</v>
      </c>
      <c r="AE133" s="367">
        <f t="shared" si="158"/>
        <v>1799.3579928208446</v>
      </c>
      <c r="AF133" s="367">
        <f t="shared" si="158"/>
        <v>2005.1281521071687</v>
      </c>
      <c r="AG133" s="367">
        <f t="shared" si="158"/>
        <v>2210.8983113934955</v>
      </c>
      <c r="AH133" s="367">
        <f t="shared" si="158"/>
        <v>2416.6684706798187</v>
      </c>
      <c r="AT133" s="832">
        <f t="shared" si="156"/>
        <v>0</v>
      </c>
      <c r="AU133" s="832">
        <f t="shared" si="146"/>
        <v>0</v>
      </c>
      <c r="AV133" s="832">
        <f t="shared" si="147"/>
        <v>1</v>
      </c>
      <c r="AW133" s="832">
        <f t="shared" si="148"/>
        <v>2</v>
      </c>
      <c r="AX133" s="832">
        <f t="shared" si="149"/>
        <v>3</v>
      </c>
      <c r="AY133" s="832">
        <f t="shared" si="150"/>
        <v>4</v>
      </c>
      <c r="AZ133" s="832">
        <f t="shared" si="151"/>
        <v>5</v>
      </c>
      <c r="BA133" s="832">
        <f t="shared" si="152"/>
        <v>6</v>
      </c>
      <c r="BB133" s="832">
        <f t="shared" si="153"/>
        <v>7</v>
      </c>
    </row>
    <row r="134" spans="1:54" ht="15" customHeight="1">
      <c r="A134" s="417"/>
      <c r="B134" s="800"/>
      <c r="C134" s="802">
        <f>C133+$G$272</f>
        <v>0.35</v>
      </c>
      <c r="D134" s="791">
        <f t="shared" si="154"/>
        <v>1200</v>
      </c>
      <c r="E134" s="791">
        <f t="shared" si="137"/>
        <v>1400</v>
      </c>
      <c r="F134" s="791">
        <f t="shared" si="138"/>
        <v>1600</v>
      </c>
      <c r="G134" s="791">
        <f t="shared" si="139"/>
        <v>1800</v>
      </c>
      <c r="H134" s="791">
        <f t="shared" si="140"/>
        <v>1900</v>
      </c>
      <c r="I134" s="791">
        <f t="shared" si="141"/>
        <v>2100</v>
      </c>
      <c r="J134" s="791">
        <f t="shared" si="142"/>
        <v>2300</v>
      </c>
      <c r="K134" s="791">
        <f t="shared" si="143"/>
        <v>2500</v>
      </c>
      <c r="L134" s="791">
        <f t="shared" si="144"/>
        <v>2600</v>
      </c>
      <c r="M134" s="417"/>
      <c r="N134" s="417"/>
      <c r="O134" s="417"/>
      <c r="P134" s="417"/>
      <c r="Q134" s="417"/>
      <c r="Z134" s="367">
        <f t="shared" ref="Z134:AH134" si="159">Z94+$G$263-AJ$93</f>
        <v>1242.6039107932411</v>
      </c>
      <c r="AA134" s="367">
        <f t="shared" si="159"/>
        <v>1416.5339518066539</v>
      </c>
      <c r="AB134" s="367">
        <f t="shared" si="159"/>
        <v>1590.4639928200704</v>
      </c>
      <c r="AC134" s="367">
        <f t="shared" si="159"/>
        <v>1764.3940338334833</v>
      </c>
      <c r="AD134" s="367">
        <f t="shared" si="159"/>
        <v>1938.3240748468961</v>
      </c>
      <c r="AE134" s="367">
        <f t="shared" si="159"/>
        <v>2112.2541158603117</v>
      </c>
      <c r="AF134" s="367">
        <f t="shared" si="159"/>
        <v>2286.1841568737236</v>
      </c>
      <c r="AG134" s="367">
        <f t="shared" si="159"/>
        <v>2460.1141978871401</v>
      </c>
      <c r="AH134" s="367">
        <f t="shared" si="159"/>
        <v>2634.044238900553</v>
      </c>
      <c r="AT134" s="832">
        <f t="shared" si="156"/>
        <v>2</v>
      </c>
      <c r="AU134" s="832">
        <f t="shared" si="146"/>
        <v>3</v>
      </c>
      <c r="AV134" s="832">
        <f t="shared" si="147"/>
        <v>3</v>
      </c>
      <c r="AW134" s="832">
        <f t="shared" si="148"/>
        <v>4</v>
      </c>
      <c r="AX134" s="832">
        <f t="shared" si="149"/>
        <v>5</v>
      </c>
      <c r="AY134" s="832">
        <f t="shared" si="150"/>
        <v>6</v>
      </c>
      <c r="AZ134" s="832">
        <f t="shared" si="151"/>
        <v>7</v>
      </c>
      <c r="BA134" s="832">
        <f t="shared" si="152"/>
        <v>8</v>
      </c>
      <c r="BB134" s="832">
        <f t="shared" si="153"/>
        <v>8</v>
      </c>
    </row>
    <row r="135" spans="1:54" ht="15" customHeight="1">
      <c r="A135" s="417"/>
      <c r="B135" s="800"/>
      <c r="C135" s="802">
        <f>C134+$G$272</f>
        <v>0.39999999999999997</v>
      </c>
      <c r="D135" s="791">
        <f t="shared" si="154"/>
        <v>1700</v>
      </c>
      <c r="E135" s="791">
        <f t="shared" si="137"/>
        <v>1900</v>
      </c>
      <c r="F135" s="791">
        <f t="shared" si="138"/>
        <v>2000</v>
      </c>
      <c r="G135" s="791">
        <f t="shared" si="139"/>
        <v>2100</v>
      </c>
      <c r="H135" s="791">
        <f t="shared" si="140"/>
        <v>2300</v>
      </c>
      <c r="I135" s="791">
        <f t="shared" si="141"/>
        <v>2400</v>
      </c>
      <c r="J135" s="791">
        <f t="shared" si="142"/>
        <v>2600</v>
      </c>
      <c r="K135" s="791">
        <f t="shared" si="143"/>
        <v>2700</v>
      </c>
      <c r="L135" s="791">
        <f t="shared" si="144"/>
        <v>2900</v>
      </c>
      <c r="M135" s="417"/>
      <c r="N135" s="417"/>
      <c r="O135" s="417"/>
      <c r="P135" s="417"/>
      <c r="Q135" s="417"/>
      <c r="Z135" s="367">
        <f t="shared" ref="Z135:AH135" si="160">Z95+$G$263-AJ$93</f>
        <v>1715.8629071607065</v>
      </c>
      <c r="AA135" s="367">
        <f t="shared" si="160"/>
        <v>1857.850761769856</v>
      </c>
      <c r="AB135" s="367">
        <f t="shared" si="160"/>
        <v>1999.8386163790074</v>
      </c>
      <c r="AC135" s="367">
        <f t="shared" si="160"/>
        <v>2141.8264709881551</v>
      </c>
      <c r="AD135" s="367">
        <f t="shared" si="160"/>
        <v>2283.8143255973046</v>
      </c>
      <c r="AE135" s="367">
        <f t="shared" si="160"/>
        <v>2425.802180206455</v>
      </c>
      <c r="AF135" s="367">
        <f t="shared" si="160"/>
        <v>2567.7900348156018</v>
      </c>
      <c r="AG135" s="367">
        <f t="shared" si="160"/>
        <v>2709.7778894247531</v>
      </c>
      <c r="AH135" s="367">
        <f t="shared" si="160"/>
        <v>2851.7657440339026</v>
      </c>
      <c r="AT135" s="832">
        <f t="shared" si="156"/>
        <v>4</v>
      </c>
      <c r="AU135" s="832">
        <f t="shared" si="146"/>
        <v>5</v>
      </c>
      <c r="AV135" s="832">
        <f t="shared" si="147"/>
        <v>5</v>
      </c>
      <c r="AW135" s="832">
        <f t="shared" si="148"/>
        <v>6</v>
      </c>
      <c r="AX135" s="832">
        <f t="shared" si="149"/>
        <v>7</v>
      </c>
      <c r="AY135" s="832">
        <f t="shared" si="150"/>
        <v>7</v>
      </c>
      <c r="AZ135" s="832">
        <f t="shared" si="151"/>
        <v>8</v>
      </c>
      <c r="BA135" s="832">
        <f t="shared" si="152"/>
        <v>9</v>
      </c>
      <c r="BB135" s="832">
        <f t="shared" si="153"/>
        <v>9</v>
      </c>
    </row>
    <row r="136" spans="1:54" ht="15" customHeight="1">
      <c r="A136" s="417"/>
      <c r="B136" s="801"/>
      <c r="C136" s="803">
        <f>C135+$G$272</f>
        <v>0.44999999999999996</v>
      </c>
      <c r="D136" s="792">
        <f t="shared" si="154"/>
        <v>2200</v>
      </c>
      <c r="E136" s="792">
        <f t="shared" si="137"/>
        <v>2300</v>
      </c>
      <c r="F136" s="792">
        <f t="shared" si="138"/>
        <v>2400</v>
      </c>
      <c r="G136" s="792">
        <f t="shared" si="139"/>
        <v>2500</v>
      </c>
      <c r="H136" s="792">
        <f t="shared" si="140"/>
        <v>2600</v>
      </c>
      <c r="I136" s="792">
        <f t="shared" si="141"/>
        <v>2700</v>
      </c>
      <c r="J136" s="792">
        <f t="shared" si="142"/>
        <v>2800</v>
      </c>
      <c r="K136" s="792">
        <f t="shared" si="143"/>
        <v>3000</v>
      </c>
      <c r="L136" s="792">
        <f t="shared" si="144"/>
        <v>3100</v>
      </c>
      <c r="M136" s="417"/>
      <c r="N136" s="417"/>
      <c r="O136" s="417"/>
      <c r="P136" s="417"/>
      <c r="Q136" s="417"/>
      <c r="Z136" s="367">
        <f t="shared" ref="Z136:AH136" si="161">Z96+$G$263-AJ$93</f>
        <v>2190.290092292882</v>
      </c>
      <c r="AA136" s="367">
        <f t="shared" si="161"/>
        <v>2300.2331736487631</v>
      </c>
      <c r="AB136" s="367">
        <f t="shared" si="161"/>
        <v>2410.1762550046478</v>
      </c>
      <c r="AC136" s="367">
        <f t="shared" si="161"/>
        <v>2520.1193363605289</v>
      </c>
      <c r="AD136" s="367">
        <f t="shared" si="161"/>
        <v>2630.0624177164118</v>
      </c>
      <c r="AE136" s="367">
        <f t="shared" si="161"/>
        <v>2740.0054990722938</v>
      </c>
      <c r="AF136" s="367">
        <f t="shared" si="161"/>
        <v>2849.948580428174</v>
      </c>
      <c r="AG136" s="367">
        <f t="shared" si="161"/>
        <v>2959.8916617840569</v>
      </c>
      <c r="AH136" s="367">
        <f t="shared" si="161"/>
        <v>3069.8347431399397</v>
      </c>
      <c r="AT136" s="832">
        <f t="shared" si="156"/>
        <v>6</v>
      </c>
      <c r="AU136" s="832">
        <f t="shared" si="146"/>
        <v>7</v>
      </c>
      <c r="AV136" s="832">
        <f t="shared" si="147"/>
        <v>7</v>
      </c>
      <c r="AW136" s="832">
        <f t="shared" si="148"/>
        <v>8</v>
      </c>
      <c r="AX136" s="832">
        <f t="shared" si="149"/>
        <v>8</v>
      </c>
      <c r="AY136" s="832">
        <f t="shared" si="150"/>
        <v>9</v>
      </c>
      <c r="AZ136" s="832">
        <f t="shared" si="151"/>
        <v>9</v>
      </c>
      <c r="BA136" s="832">
        <f t="shared" si="152"/>
        <v>10</v>
      </c>
      <c r="BB136" s="832">
        <f t="shared" si="153"/>
        <v>10</v>
      </c>
    </row>
    <row r="137" spans="1:54" ht="15" hidden="1" customHeight="1" outlineLevel="1">
      <c r="A137" s="417"/>
      <c r="B137" s="423" t="s">
        <v>2732</v>
      </c>
      <c r="C137" s="809"/>
      <c r="D137" s="417"/>
      <c r="E137" s="417"/>
      <c r="F137" s="417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</row>
    <row r="138" spans="1:54" ht="3.95" customHeight="1" collapsed="1">
      <c r="A138" s="417"/>
      <c r="B138" s="417"/>
      <c r="C138" s="417"/>
      <c r="D138" s="417"/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</row>
    <row r="139" spans="1:54" ht="15" customHeight="1">
      <c r="A139" s="417"/>
      <c r="B139" s="148" t="s">
        <v>2689</v>
      </c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</row>
    <row r="140" spans="1:54" ht="2.1" customHeight="1">
      <c r="A140" s="417"/>
      <c r="B140" s="417"/>
      <c r="C140" s="417"/>
      <c r="D140" s="417"/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</row>
    <row r="141" spans="1:54" ht="12.75" customHeight="1">
      <c r="A141" s="417"/>
      <c r="B141" s="454"/>
      <c r="C141" s="454"/>
      <c r="D141" s="786" t="s">
        <v>2684</v>
      </c>
      <c r="E141" s="786"/>
      <c r="F141" s="786"/>
      <c r="G141" s="786"/>
      <c r="H141" s="786"/>
      <c r="I141" s="786"/>
      <c r="J141" s="786"/>
      <c r="K141" s="786"/>
      <c r="L141" s="786"/>
      <c r="M141" s="417"/>
      <c r="N141" s="417"/>
      <c r="O141" s="417"/>
      <c r="P141" s="417"/>
      <c r="Q141" s="417"/>
    </row>
    <row r="142" spans="1:54" ht="12.75" customHeight="1">
      <c r="A142" s="417"/>
      <c r="B142" s="454"/>
      <c r="C142" s="454"/>
      <c r="D142" s="826">
        <f>E142+$G$291</f>
        <v>64</v>
      </c>
      <c r="E142" s="826">
        <f>F142+$G$291</f>
        <v>60</v>
      </c>
      <c r="F142" s="826">
        <f>G142+$G$291</f>
        <v>56</v>
      </c>
      <c r="G142" s="826">
        <f>H142+$G$291</f>
        <v>52</v>
      </c>
      <c r="H142" s="826">
        <f>$G$290</f>
        <v>48</v>
      </c>
      <c r="I142" s="826">
        <f>H142-$G$291</f>
        <v>44</v>
      </c>
      <c r="J142" s="826">
        <f>I142-$G$291</f>
        <v>40</v>
      </c>
      <c r="K142" s="826">
        <f>J142-$G$291</f>
        <v>36</v>
      </c>
      <c r="L142" s="826">
        <f>K142-$G$291</f>
        <v>32</v>
      </c>
      <c r="M142" s="417"/>
      <c r="N142" s="417"/>
      <c r="O142" s="417"/>
      <c r="P142" s="417"/>
      <c r="Q142" s="417"/>
      <c r="AT142" s="833" t="s">
        <v>2748</v>
      </c>
      <c r="AU142" s="427"/>
      <c r="AV142" s="427"/>
      <c r="AW142" s="427"/>
      <c r="AX142" s="427"/>
      <c r="AY142" s="427"/>
      <c r="AZ142" s="427"/>
      <c r="BA142" s="427"/>
      <c r="BB142" s="427"/>
    </row>
    <row r="143" spans="1:54" ht="15" customHeight="1">
      <c r="A143" s="417"/>
      <c r="B143" s="804" t="s">
        <v>2638</v>
      </c>
      <c r="C143" s="802">
        <f>C144-$G$272</f>
        <v>0.15000000000000002</v>
      </c>
      <c r="D143" s="806">
        <f>IFERROR(Z130/AJ$93,0)</f>
        <v>-6.9795636579827972E-2</v>
      </c>
      <c r="E143" s="806">
        <f t="shared" ref="E143:L143" si="162">IFERROR(AA130/AK$93,0)</f>
        <v>-3.8704425131821193E-2</v>
      </c>
      <c r="F143" s="806">
        <f t="shared" si="162"/>
        <v>-4.5063696376676588E-3</v>
      </c>
      <c r="G143" s="806">
        <f t="shared" si="162"/>
        <v>3.3288706052320899E-2</v>
      </c>
      <c r="H143" s="806">
        <f t="shared" si="162"/>
        <v>7.5279817485940231E-2</v>
      </c>
      <c r="I143" s="806">
        <f t="shared" si="162"/>
        <v>0.12220680361791</v>
      </c>
      <c r="J143" s="806">
        <f t="shared" si="162"/>
        <v>0.17499429384359716</v>
      </c>
      <c r="K143" s="806">
        <f t="shared" si="162"/>
        <v>0.23481324467648121</v>
      </c>
      <c r="L143" s="806">
        <f t="shared" si="162"/>
        <v>0.30316882170275239</v>
      </c>
      <c r="M143" s="417"/>
      <c r="N143" s="417"/>
      <c r="O143" s="417"/>
      <c r="P143" s="417"/>
      <c r="Q143" s="417"/>
      <c r="AT143" s="832">
        <f>IF(Z130&lt;$G$282,0,MIN($G$279,1+IFERROR(INT((Z130-$G$282)/$G$296),0)))</f>
        <v>0</v>
      </c>
      <c r="AU143" s="832">
        <f t="shared" ref="AU143:BB143" si="163">IF(AA130&lt;$G$282,0,MIN($G$279,1+IFERROR(INT((AA130-$G$282)/$G$296),0)))</f>
        <v>0</v>
      </c>
      <c r="AV143" s="832">
        <f t="shared" si="163"/>
        <v>0</v>
      </c>
      <c r="AW143" s="832">
        <f t="shared" si="163"/>
        <v>0</v>
      </c>
      <c r="AX143" s="832">
        <f t="shared" si="163"/>
        <v>0</v>
      </c>
      <c r="AY143" s="832">
        <f t="shared" si="163"/>
        <v>0</v>
      </c>
      <c r="AZ143" s="832">
        <f t="shared" si="163"/>
        <v>1</v>
      </c>
      <c r="BA143" s="832">
        <f t="shared" si="163"/>
        <v>3</v>
      </c>
      <c r="BB143" s="832">
        <f t="shared" si="163"/>
        <v>4</v>
      </c>
    </row>
    <row r="144" spans="1:54" ht="15" customHeight="1">
      <c r="A144" s="417"/>
      <c r="B144" s="800"/>
      <c r="C144" s="802">
        <f>C145-$G$272</f>
        <v>0.2</v>
      </c>
      <c r="D144" s="806">
        <f t="shared" ref="D144:L144" si="164">IFERROR(Z131/AJ$93,0)</f>
        <v>-1.8596665975473447E-2</v>
      </c>
      <c r="E144" s="806">
        <f t="shared" si="164"/>
        <v>1.1321556015691514E-2</v>
      </c>
      <c r="F144" s="806">
        <f t="shared" si="164"/>
        <v>4.4229409016249228E-2</v>
      </c>
      <c r="G144" s="806">
        <f t="shared" si="164"/>
        <v>8.0598576121780091E-2</v>
      </c>
      <c r="H144" s="806">
        <f t="shared" si="164"/>
        <v>0.12100547360236427</v>
      </c>
      <c r="I144" s="806">
        <f t="shared" si="164"/>
        <v>0.16616202823904758</v>
      </c>
      <c r="J144" s="806">
        <f t="shared" si="164"/>
        <v>0.21695798559727431</v>
      </c>
      <c r="K144" s="806">
        <f t="shared" si="164"/>
        <v>0.27452012508771018</v>
      </c>
      <c r="L144" s="806">
        <f t="shared" si="164"/>
        <v>0.34029682636633707</v>
      </c>
      <c r="M144" s="417"/>
      <c r="N144" s="417"/>
      <c r="O144" s="417"/>
      <c r="P144" s="417"/>
      <c r="Q144" s="417"/>
      <c r="AT144" s="832">
        <f t="shared" ref="AT144:BB144" si="165">IF(Z131&lt;$G$282,0,MIN($G$279,1+IFERROR(INT((Z131-$G$282)/$G$296),0)))</f>
        <v>0</v>
      </c>
      <c r="AU144" s="832">
        <f t="shared" si="165"/>
        <v>0</v>
      </c>
      <c r="AV144" s="832">
        <f t="shared" si="165"/>
        <v>0</v>
      </c>
      <c r="AW144" s="832">
        <f t="shared" si="165"/>
        <v>0</v>
      </c>
      <c r="AX144" s="832">
        <f t="shared" si="165"/>
        <v>0</v>
      </c>
      <c r="AY144" s="832">
        <f t="shared" si="165"/>
        <v>1</v>
      </c>
      <c r="AZ144" s="832">
        <f t="shared" si="165"/>
        <v>3</v>
      </c>
      <c r="BA144" s="832">
        <f t="shared" si="165"/>
        <v>4</v>
      </c>
      <c r="BB144" s="832">
        <f t="shared" si="165"/>
        <v>5</v>
      </c>
    </row>
    <row r="145" spans="1:54" ht="15" customHeight="1">
      <c r="A145" s="417"/>
      <c r="B145" s="800"/>
      <c r="C145" s="802">
        <f>C146-$G$272</f>
        <v>0.25</v>
      </c>
      <c r="D145" s="806">
        <f t="shared" ref="D145:L145" si="166">IFERROR(Z132/AJ$93,0)</f>
        <v>3.2727372705911507E-2</v>
      </c>
      <c r="E145" s="806">
        <f t="shared" si="166"/>
        <v>6.1467050963410326E-2</v>
      </c>
      <c r="F145" s="806">
        <f t="shared" si="166"/>
        <v>9.3078592172657487E-2</v>
      </c>
      <c r="G145" s="806">
        <f t="shared" si="166"/>
        <v>0.12801509880780601</v>
      </c>
      <c r="H145" s="806">
        <f t="shared" si="166"/>
        <v>0.16683028085033086</v>
      </c>
      <c r="I145" s="806">
        <f t="shared" si="166"/>
        <v>0.21020802073937597</v>
      </c>
      <c r="J145" s="806">
        <f t="shared" si="166"/>
        <v>0.25900301503041967</v>
      </c>
      <c r="K145" s="806">
        <f t="shared" si="166"/>
        <v>0.31429765684626532</v>
      </c>
      <c r="L145" s="806">
        <f t="shared" si="166"/>
        <v>0.37748327102299034</v>
      </c>
      <c r="M145" s="417"/>
      <c r="N145" s="417"/>
      <c r="O145" s="417"/>
      <c r="P145" s="417"/>
      <c r="Q145" s="417"/>
      <c r="AT145" s="832">
        <f t="shared" ref="AT145:BB145" si="167">IF(Z132&lt;$G$282,0,MIN($G$279,1+IFERROR(INT((Z132-$G$282)/$G$296),0)))</f>
        <v>0</v>
      </c>
      <c r="AU145" s="832">
        <f t="shared" si="167"/>
        <v>0</v>
      </c>
      <c r="AV145" s="832">
        <f t="shared" si="167"/>
        <v>0</v>
      </c>
      <c r="AW145" s="832">
        <f t="shared" si="167"/>
        <v>1</v>
      </c>
      <c r="AX145" s="832">
        <f t="shared" si="167"/>
        <v>2</v>
      </c>
      <c r="AY145" s="832">
        <f t="shared" si="167"/>
        <v>3</v>
      </c>
      <c r="AZ145" s="832">
        <f t="shared" si="167"/>
        <v>4</v>
      </c>
      <c r="BA145" s="832">
        <f t="shared" si="167"/>
        <v>5</v>
      </c>
      <c r="BB145" s="832">
        <f t="shared" si="167"/>
        <v>6</v>
      </c>
    </row>
    <row r="146" spans="1:54" ht="15" customHeight="1">
      <c r="A146" s="417"/>
      <c r="B146" s="800"/>
      <c r="C146" s="802">
        <f>$G$271</f>
        <v>0.3</v>
      </c>
      <c r="D146" s="806">
        <f t="shared" ref="D146:L146" si="168">IFERROR(Z133/AJ$93,0)</f>
        <v>8.4177111855510259E-2</v>
      </c>
      <c r="E146" s="806">
        <f t="shared" si="168"/>
        <v>0.1117326640180091</v>
      </c>
      <c r="F146" s="806">
        <f t="shared" si="168"/>
        <v>0.14204175324732568</v>
      </c>
      <c r="G146" s="806">
        <f t="shared" si="168"/>
        <v>0.17553881338609509</v>
      </c>
      <c r="H146" s="807">
        <f t="shared" si="168"/>
        <v>0.2127547405752106</v>
      </c>
      <c r="I146" s="806">
        <f t="shared" si="168"/>
        <v>0.25434524007539161</v>
      </c>
      <c r="J146" s="806">
        <f t="shared" si="168"/>
        <v>0.30112979341689833</v>
      </c>
      <c r="K146" s="806">
        <f t="shared" si="168"/>
        <v>0.35414619719190077</v>
      </c>
      <c r="L146" s="806">
        <f t="shared" si="168"/>
        <v>0.41472845116727264</v>
      </c>
      <c r="M146" s="417"/>
      <c r="N146" s="417"/>
      <c r="O146" s="417"/>
      <c r="P146" s="417"/>
      <c r="Q146" s="417"/>
      <c r="AT146" s="832">
        <f t="shared" ref="AT146:BB146" si="169">IF(Z133&lt;$G$282,0,MIN($G$279,1+IFERROR(INT((Z133-$G$282)/$G$296),0)))</f>
        <v>0</v>
      </c>
      <c r="AU146" s="832">
        <f t="shared" si="169"/>
        <v>0</v>
      </c>
      <c r="AV146" s="832">
        <f t="shared" si="169"/>
        <v>1</v>
      </c>
      <c r="AW146" s="832">
        <f t="shared" si="169"/>
        <v>2</v>
      </c>
      <c r="AX146" s="832">
        <f t="shared" si="169"/>
        <v>3</v>
      </c>
      <c r="AY146" s="832">
        <f t="shared" si="169"/>
        <v>4</v>
      </c>
      <c r="AZ146" s="832">
        <f t="shared" si="169"/>
        <v>5</v>
      </c>
      <c r="BA146" s="832">
        <f t="shared" si="169"/>
        <v>6</v>
      </c>
      <c r="BB146" s="832">
        <f t="shared" si="169"/>
        <v>7</v>
      </c>
    </row>
    <row r="147" spans="1:54" ht="15" customHeight="1">
      <c r="A147" s="417"/>
      <c r="B147" s="800"/>
      <c r="C147" s="802">
        <f>C146+$G$272</f>
        <v>0.35</v>
      </c>
      <c r="D147" s="806">
        <f t="shared" ref="D147:L147" si="170">IFERROR(Z134/AJ$93,0)</f>
        <v>0.13575318813518092</v>
      </c>
      <c r="E147" s="806">
        <f t="shared" si="170"/>
        <v>0.16211900356717432</v>
      </c>
      <c r="F147" s="806">
        <f t="shared" si="170"/>
        <v>0.19111946952842393</v>
      </c>
      <c r="G147" s="806">
        <f t="shared" si="170"/>
        <v>0.22317026277418997</v>
      </c>
      <c r="H147" s="806">
        <f t="shared" si="170"/>
        <v>0.25877935750806724</v>
      </c>
      <c r="I147" s="806">
        <f t="shared" si="170"/>
        <v>0.29857414830302542</v>
      </c>
      <c r="J147" s="806">
        <f t="shared" si="170"/>
        <v>0.34333873480799604</v>
      </c>
      <c r="K147" s="806">
        <f t="shared" si="170"/>
        <v>0.39406610577688872</v>
      </c>
      <c r="L147" s="806">
        <f t="shared" si="170"/>
        <v>0.45203266428928229</v>
      </c>
      <c r="M147" s="417"/>
      <c r="N147" s="417"/>
      <c r="O147" s="417"/>
      <c r="P147" s="417"/>
      <c r="Q147" s="417"/>
      <c r="AT147" s="832">
        <f t="shared" ref="AT147:BB147" si="171">IF(Z134&lt;$G$282,0,MIN($G$279,1+IFERROR(INT((Z134-$G$282)/$G$296),0)))</f>
        <v>2</v>
      </c>
      <c r="AU147" s="832">
        <f t="shared" si="171"/>
        <v>3</v>
      </c>
      <c r="AV147" s="832">
        <f t="shared" si="171"/>
        <v>3</v>
      </c>
      <c r="AW147" s="832">
        <f t="shared" si="171"/>
        <v>4</v>
      </c>
      <c r="AX147" s="832">
        <f t="shared" si="171"/>
        <v>5</v>
      </c>
      <c r="AY147" s="832">
        <f t="shared" si="171"/>
        <v>6</v>
      </c>
      <c r="AZ147" s="832">
        <f t="shared" si="171"/>
        <v>7</v>
      </c>
      <c r="BA147" s="832">
        <f t="shared" si="171"/>
        <v>8</v>
      </c>
      <c r="BB147" s="832">
        <f t="shared" si="171"/>
        <v>8</v>
      </c>
    </row>
    <row r="148" spans="1:54" ht="15" customHeight="1">
      <c r="A148" s="417"/>
      <c r="B148" s="800"/>
      <c r="C148" s="802">
        <f>C147+$G$272</f>
        <v>0.39999999999999997</v>
      </c>
      <c r="D148" s="806">
        <f t="shared" ref="D148:L148" si="172">IFERROR(Z135/AJ$93,0)</f>
        <v>0.18745624251356804</v>
      </c>
      <c r="E148" s="806">
        <f t="shared" si="172"/>
        <v>0.2126266821141152</v>
      </c>
      <c r="F148" s="806">
        <f t="shared" si="172"/>
        <v>0.24031232220926643</v>
      </c>
      <c r="G148" s="806">
        <f t="shared" si="172"/>
        <v>0.27090999356227341</v>
      </c>
      <c r="H148" s="806">
        <f t="shared" si="172"/>
        <v>0.30490463979428845</v>
      </c>
      <c r="I148" s="806">
        <f t="shared" si="172"/>
        <v>0.34289521060384714</v>
      </c>
      <c r="J148" s="806">
        <f t="shared" si="172"/>
        <v>0.38563025605590562</v>
      </c>
      <c r="K148" s="806">
        <f t="shared" si="172"/>
        <v>0.43405774468641833</v>
      </c>
      <c r="L148" s="806">
        <f t="shared" si="172"/>
        <v>0.48939620989153076</v>
      </c>
      <c r="M148" s="417"/>
      <c r="N148" s="417"/>
      <c r="O148" s="417"/>
      <c r="P148" s="417"/>
      <c r="Q148" s="417"/>
      <c r="AT148" s="832">
        <f t="shared" ref="AT148:BB148" si="173">IF(Z135&lt;$G$282,0,MIN($G$279,1+IFERROR(INT((Z135-$G$282)/$G$296),0)))</f>
        <v>4</v>
      </c>
      <c r="AU148" s="832">
        <f t="shared" si="173"/>
        <v>5</v>
      </c>
      <c r="AV148" s="832">
        <f t="shared" si="173"/>
        <v>5</v>
      </c>
      <c r="AW148" s="832">
        <f t="shared" si="173"/>
        <v>6</v>
      </c>
      <c r="AX148" s="832">
        <f t="shared" si="173"/>
        <v>7</v>
      </c>
      <c r="AY148" s="832">
        <f t="shared" si="173"/>
        <v>7</v>
      </c>
      <c r="AZ148" s="832">
        <f t="shared" si="173"/>
        <v>8</v>
      </c>
      <c r="BA148" s="832">
        <f t="shared" si="173"/>
        <v>9</v>
      </c>
      <c r="BB148" s="832">
        <f t="shared" si="173"/>
        <v>9</v>
      </c>
    </row>
    <row r="149" spans="1:54" ht="15" customHeight="1">
      <c r="A149" s="417"/>
      <c r="B149" s="801"/>
      <c r="C149" s="803">
        <f>C148+$G$272</f>
        <v>0.44999999999999996</v>
      </c>
      <c r="D149" s="808">
        <f t="shared" ref="D149:L149" si="174">IFERROR(Z136/AJ$93,0)</f>
        <v>0.2392869203025815</v>
      </c>
      <c r="E149" s="808">
        <f t="shared" si="174"/>
        <v>0.26325631631242119</v>
      </c>
      <c r="F149" s="808">
        <f t="shared" si="174"/>
        <v>0.28962089642138983</v>
      </c>
      <c r="G149" s="808">
        <f t="shared" si="174"/>
        <v>0.31875855604427594</v>
      </c>
      <c r="H149" s="808">
        <f t="shared" si="174"/>
        <v>0.351131099022503</v>
      </c>
      <c r="I149" s="808">
        <f t="shared" si="174"/>
        <v>0.3873088953115425</v>
      </c>
      <c r="J149" s="808">
        <f t="shared" si="174"/>
        <v>0.42800477683745075</v>
      </c>
      <c r="K149" s="808">
        <f t="shared" si="174"/>
        <v>0.47412147845920299</v>
      </c>
      <c r="L149" s="808">
        <f t="shared" si="174"/>
        <v>0.52681938950598706</v>
      </c>
      <c r="M149" s="417"/>
      <c r="N149" s="417"/>
      <c r="O149" s="417"/>
      <c r="P149" s="417"/>
      <c r="Q149" s="417"/>
      <c r="AT149" s="832">
        <f t="shared" ref="AT149:BB149" si="175">IF(Z136&lt;$G$282,0,MIN($G$279,1+IFERROR(INT((Z136-$G$282)/$G$296),0)))</f>
        <v>6</v>
      </c>
      <c r="AU149" s="832">
        <f t="shared" si="175"/>
        <v>7</v>
      </c>
      <c r="AV149" s="832">
        <f t="shared" si="175"/>
        <v>7</v>
      </c>
      <c r="AW149" s="832">
        <f t="shared" si="175"/>
        <v>8</v>
      </c>
      <c r="AX149" s="832">
        <f t="shared" si="175"/>
        <v>8</v>
      </c>
      <c r="AY149" s="832">
        <f t="shared" si="175"/>
        <v>9</v>
      </c>
      <c r="AZ149" s="832">
        <f t="shared" si="175"/>
        <v>9</v>
      </c>
      <c r="BA149" s="832">
        <f t="shared" si="175"/>
        <v>10</v>
      </c>
      <c r="BB149" s="832">
        <f t="shared" si="175"/>
        <v>10</v>
      </c>
    </row>
    <row r="150" spans="1:54" ht="15" hidden="1" customHeight="1" outlineLevel="1">
      <c r="A150" s="417"/>
      <c r="B150" s="423" t="s">
        <v>2709</v>
      </c>
      <c r="D150" s="417"/>
      <c r="E150" s="417"/>
      <c r="F150" s="417"/>
      <c r="G150" s="417"/>
      <c r="H150" s="417"/>
      <c r="I150" s="417"/>
      <c r="J150" s="417"/>
      <c r="K150" s="417"/>
      <c r="L150" s="417"/>
      <c r="M150" s="417"/>
      <c r="N150" s="417"/>
      <c r="O150" s="417"/>
      <c r="P150" s="417"/>
      <c r="Q150" s="417"/>
    </row>
    <row r="151" spans="1:54" ht="3.95" customHeight="1" collapsed="1">
      <c r="A151" s="417"/>
      <c r="M151" s="417"/>
      <c r="N151" s="417"/>
      <c r="O151" s="417"/>
      <c r="P151" s="417"/>
      <c r="Q151" s="417"/>
    </row>
    <row r="152" spans="1:54" ht="15" customHeight="1">
      <c r="A152" s="417"/>
      <c r="B152" s="148" t="s">
        <v>2690</v>
      </c>
      <c r="C152" s="417"/>
      <c r="D152" s="417"/>
      <c r="E152" s="417"/>
      <c r="F152" s="417"/>
      <c r="G152" s="417"/>
      <c r="H152" s="417"/>
      <c r="I152" s="417"/>
      <c r="J152" s="417"/>
      <c r="K152" s="417"/>
      <c r="L152" s="417"/>
      <c r="M152" s="417"/>
      <c r="N152" s="417"/>
      <c r="O152" s="417"/>
      <c r="P152" s="417"/>
      <c r="Q152" s="417"/>
    </row>
    <row r="153" spans="1:54" ht="2.1" customHeight="1">
      <c r="A153" s="417"/>
      <c r="B153" s="417"/>
      <c r="C153" s="417"/>
      <c r="D153" s="417"/>
      <c r="E153" s="417"/>
      <c r="F153" s="417"/>
      <c r="G153" s="417"/>
      <c r="H153" s="417"/>
      <c r="I153" s="417"/>
      <c r="J153" s="417"/>
      <c r="K153" s="417"/>
      <c r="L153" s="417"/>
      <c r="M153" s="417"/>
      <c r="N153" s="417"/>
      <c r="O153" s="417"/>
      <c r="P153" s="417"/>
      <c r="Q153" s="417"/>
    </row>
    <row r="154" spans="1:54" ht="12.75" customHeight="1">
      <c r="A154" s="417"/>
      <c r="B154" s="454"/>
      <c r="C154" s="454"/>
      <c r="D154" s="786" t="s">
        <v>2684</v>
      </c>
      <c r="E154" s="786"/>
      <c r="F154" s="786"/>
      <c r="G154" s="786"/>
      <c r="H154" s="786"/>
      <c r="I154" s="786"/>
      <c r="J154" s="786"/>
      <c r="K154" s="786"/>
      <c r="L154" s="786"/>
      <c r="M154" s="417"/>
      <c r="N154" s="417"/>
      <c r="O154" s="417"/>
      <c r="P154" s="417"/>
      <c r="Q154" s="417"/>
    </row>
    <row r="155" spans="1:54" ht="12.75" customHeight="1">
      <c r="A155" s="417"/>
      <c r="B155" s="454"/>
      <c r="C155" s="454"/>
      <c r="D155" s="826">
        <f>E155+$G$291</f>
        <v>64</v>
      </c>
      <c r="E155" s="826">
        <f>F155+$G$291</f>
        <v>60</v>
      </c>
      <c r="F155" s="826">
        <f>G155+$G$291</f>
        <v>56</v>
      </c>
      <c r="G155" s="826">
        <f>H155+$G$291</f>
        <v>52</v>
      </c>
      <c r="H155" s="826">
        <f>$G$290</f>
        <v>48</v>
      </c>
      <c r="I155" s="826">
        <f>H155-$G$291</f>
        <v>44</v>
      </c>
      <c r="J155" s="826">
        <f>I155-$G$291</f>
        <v>40</v>
      </c>
      <c r="K155" s="826">
        <f>J155-$G$291</f>
        <v>36</v>
      </c>
      <c r="L155" s="826">
        <f>K155-$G$291</f>
        <v>32</v>
      </c>
      <c r="M155" s="417"/>
      <c r="N155" s="417"/>
      <c r="O155" s="417"/>
      <c r="P155" s="417"/>
      <c r="Q155" s="417"/>
      <c r="AT155" s="833" t="s">
        <v>2748</v>
      </c>
      <c r="AU155" s="427"/>
      <c r="AV155" s="427"/>
      <c r="AW155" s="427"/>
      <c r="AX155" s="427"/>
      <c r="AY155" s="427"/>
      <c r="AZ155" s="427"/>
      <c r="BA155" s="427"/>
      <c r="BB155" s="427"/>
    </row>
    <row r="156" spans="1:54" ht="15" customHeight="1">
      <c r="A156" s="417"/>
      <c r="B156" s="804" t="s">
        <v>2638</v>
      </c>
      <c r="C156" s="802">
        <f>C157-$G$272</f>
        <v>0.15000000000000002</v>
      </c>
      <c r="D156" s="814">
        <f>D116-AJ$95</f>
        <v>3.4379177776179937E-2</v>
      </c>
      <c r="E156" s="814">
        <f t="shared" ref="E156:L156" si="176">E116-AK$95</f>
        <v>4.209669569154606E-2</v>
      </c>
      <c r="F156" s="814">
        <f t="shared" si="176"/>
        <v>5.0216440352768288E-2</v>
      </c>
      <c r="G156" s="814">
        <f t="shared" si="176"/>
        <v>5.8778349740281843E-2</v>
      </c>
      <c r="H156" s="814">
        <f t="shared" si="176"/>
        <v>6.7828514438355691E-2</v>
      </c>
      <c r="I156" s="814">
        <f t="shared" si="176"/>
        <v>7.7420515704085258E-2</v>
      </c>
      <c r="J156" s="814">
        <f t="shared" si="176"/>
        <v>8.7617151557499939E-2</v>
      </c>
      <c r="K156" s="814">
        <f t="shared" si="176"/>
        <v>9.8492695439643896E-2</v>
      </c>
      <c r="L156" s="814">
        <f t="shared" si="176"/>
        <v>0.11013589945290314</v>
      </c>
      <c r="M156" s="417"/>
      <c r="N156" s="417"/>
      <c r="O156" s="417"/>
      <c r="P156" s="417"/>
      <c r="Q156" s="417"/>
      <c r="AT156" s="832">
        <f>IF(Z130&lt;$G$282,0,MIN($G$279,1+IFERROR(INT((Z130-$G$282)/$G$296),0)))</f>
        <v>0</v>
      </c>
      <c r="AU156" s="832">
        <f t="shared" ref="AU156:BB156" si="177">IF(AA130&lt;$G$282,0,MIN($G$279,1+IFERROR(INT((AA130-$G$282)/$G$296),0)))</f>
        <v>0</v>
      </c>
      <c r="AV156" s="832">
        <f t="shared" si="177"/>
        <v>0</v>
      </c>
      <c r="AW156" s="832">
        <f t="shared" si="177"/>
        <v>0</v>
      </c>
      <c r="AX156" s="832">
        <f t="shared" si="177"/>
        <v>0</v>
      </c>
      <c r="AY156" s="832">
        <f t="shared" si="177"/>
        <v>0</v>
      </c>
      <c r="AZ156" s="832">
        <f t="shared" si="177"/>
        <v>1</v>
      </c>
      <c r="BA156" s="832">
        <f t="shared" si="177"/>
        <v>3</v>
      </c>
      <c r="BB156" s="832">
        <f t="shared" si="177"/>
        <v>4</v>
      </c>
    </row>
    <row r="157" spans="1:54" ht="15" customHeight="1">
      <c r="A157" s="417"/>
      <c r="B157" s="800"/>
      <c r="C157" s="802">
        <f>C158-$G$272</f>
        <v>0.2</v>
      </c>
      <c r="D157" s="814">
        <f t="shared" ref="D157:L157" si="178">D117-AJ$95</f>
        <v>4.5669282006610468E-2</v>
      </c>
      <c r="E157" s="814">
        <f t="shared" si="178"/>
        <v>5.2592615524385655E-2</v>
      </c>
      <c r="F157" s="814">
        <f t="shared" si="178"/>
        <v>5.9897236043073621E-2</v>
      </c>
      <c r="G157" s="814">
        <f t="shared" si="178"/>
        <v>6.7622116056918147E-2</v>
      </c>
      <c r="H157" s="814">
        <f t="shared" si="178"/>
        <v>7.5812317594314838E-2</v>
      </c>
      <c r="I157" s="814">
        <f t="shared" si="178"/>
        <v>8.4520324926312673E-2</v>
      </c>
      <c r="J157" s="814">
        <f t="shared" si="178"/>
        <v>9.3807764731455245E-2</v>
      </c>
      <c r="K157" s="814">
        <f t="shared" si="178"/>
        <v>0.10374765819235665</v>
      </c>
      <c r="L157" s="814">
        <f t="shared" si="178"/>
        <v>0.11442741695619807</v>
      </c>
      <c r="M157" s="417"/>
      <c r="N157" s="417"/>
      <c r="O157" s="417"/>
      <c r="P157" s="417"/>
      <c r="Q157" s="417"/>
      <c r="AT157" s="832">
        <f t="shared" ref="AT157:BB157" si="179">IF(Z131&lt;$G$282,0,MIN($G$279,1+IFERROR(INT((Z131-$G$282)/$G$296),0)))</f>
        <v>0</v>
      </c>
      <c r="AU157" s="832">
        <f t="shared" si="179"/>
        <v>0</v>
      </c>
      <c r="AV157" s="832">
        <f t="shared" si="179"/>
        <v>0</v>
      </c>
      <c r="AW157" s="832">
        <f t="shared" si="179"/>
        <v>0</v>
      </c>
      <c r="AX157" s="832">
        <f t="shared" si="179"/>
        <v>0</v>
      </c>
      <c r="AY157" s="832">
        <f t="shared" si="179"/>
        <v>1</v>
      </c>
      <c r="AZ157" s="832">
        <f t="shared" si="179"/>
        <v>3</v>
      </c>
      <c r="BA157" s="832">
        <f t="shared" si="179"/>
        <v>4</v>
      </c>
      <c r="BB157" s="832">
        <f t="shared" si="179"/>
        <v>5</v>
      </c>
    </row>
    <row r="158" spans="1:54" ht="15" customHeight="1">
      <c r="A158" s="417"/>
      <c r="B158" s="800"/>
      <c r="C158" s="802">
        <f>C159-$G$272</f>
        <v>0.25</v>
      </c>
      <c r="D158" s="814">
        <f t="shared" ref="D158:L158" si="180">D118-AJ$95</f>
        <v>5.6180419827705164E-2</v>
      </c>
      <c r="E158" s="814">
        <f t="shared" si="180"/>
        <v>6.2385908071139307E-2</v>
      </c>
      <c r="F158" s="814">
        <f t="shared" si="180"/>
        <v>6.8950588958992753E-2</v>
      </c>
      <c r="G158" s="814">
        <f t="shared" si="180"/>
        <v>7.5912239743786802E-2</v>
      </c>
      <c r="H158" s="814">
        <f t="shared" si="180"/>
        <v>8.3314635372323975E-2</v>
      </c>
      <c r="I158" s="814">
        <f t="shared" si="180"/>
        <v>9.120887197368921E-2</v>
      </c>
      <c r="J158" s="814">
        <f t="shared" si="180"/>
        <v>9.9655076671971932E-2</v>
      </c>
      <c r="K158" s="814">
        <f t="shared" si="180"/>
        <v>0.10872464801262893</v>
      </c>
      <c r="L158" s="814">
        <f t="shared" si="180"/>
        <v>0.11850323873253199</v>
      </c>
      <c r="M158" s="417"/>
      <c r="N158" s="417"/>
      <c r="O158" s="417"/>
      <c r="P158" s="417"/>
      <c r="Q158" s="417"/>
      <c r="AT158" s="832">
        <f t="shared" ref="AT158:BB158" si="181">IF(Z132&lt;$G$282,0,MIN($G$279,1+IFERROR(INT((Z132-$G$282)/$G$296),0)))</f>
        <v>0</v>
      </c>
      <c r="AU158" s="832">
        <f t="shared" si="181"/>
        <v>0</v>
      </c>
      <c r="AV158" s="832">
        <f t="shared" si="181"/>
        <v>0</v>
      </c>
      <c r="AW158" s="832">
        <f t="shared" si="181"/>
        <v>1</v>
      </c>
      <c r="AX158" s="832">
        <f t="shared" si="181"/>
        <v>2</v>
      </c>
      <c r="AY158" s="832">
        <f t="shared" si="181"/>
        <v>3</v>
      </c>
      <c r="AZ158" s="832">
        <f t="shared" si="181"/>
        <v>4</v>
      </c>
      <c r="BA158" s="832">
        <f t="shared" si="181"/>
        <v>5</v>
      </c>
      <c r="BB158" s="832">
        <f t="shared" si="181"/>
        <v>6</v>
      </c>
    </row>
    <row r="159" spans="1:54" ht="15" customHeight="1">
      <c r="A159" s="417"/>
      <c r="B159" s="800"/>
      <c r="C159" s="802">
        <f>$G$271</f>
        <v>0.3</v>
      </c>
      <c r="D159" s="814">
        <f t="shared" ref="D159:L159" si="182">D119-AJ$95</f>
        <v>6.5999919236809479E-2</v>
      </c>
      <c r="E159" s="814">
        <f t="shared" si="182"/>
        <v>7.155274130781808E-2</v>
      </c>
      <c r="F159" s="814">
        <f t="shared" si="182"/>
        <v>7.7442113510935551E-2</v>
      </c>
      <c r="G159" s="814">
        <f t="shared" si="182"/>
        <v>8.3704425352274736E-2</v>
      </c>
      <c r="H159" s="815">
        <f t="shared" si="182"/>
        <v>9.0381942850864538E-2</v>
      </c>
      <c r="I159" s="814">
        <f t="shared" si="182"/>
        <v>9.752411815049844E-2</v>
      </c>
      <c r="J159" s="814">
        <f t="shared" si="182"/>
        <v>0.10518928356686241</v>
      </c>
      <c r="K159" s="814">
        <f t="shared" si="182"/>
        <v>0.11344687388997565</v>
      </c>
      <c r="L159" s="814">
        <f t="shared" si="182"/>
        <v>0.12238038833023723</v>
      </c>
      <c r="M159" s="417"/>
      <c r="N159" s="417"/>
      <c r="O159" s="417"/>
      <c r="P159" s="417"/>
      <c r="Q159" s="417"/>
      <c r="AT159" s="832">
        <f t="shared" ref="AT159:BB159" si="183">IF(Z133&lt;$G$282,0,MIN($G$279,1+IFERROR(INT((Z133-$G$282)/$G$296),0)))</f>
        <v>0</v>
      </c>
      <c r="AU159" s="832">
        <f t="shared" si="183"/>
        <v>0</v>
      </c>
      <c r="AV159" s="832">
        <f t="shared" si="183"/>
        <v>1</v>
      </c>
      <c r="AW159" s="832">
        <f t="shared" si="183"/>
        <v>2</v>
      </c>
      <c r="AX159" s="832">
        <f t="shared" si="183"/>
        <v>3</v>
      </c>
      <c r="AY159" s="832">
        <f t="shared" si="183"/>
        <v>4</v>
      </c>
      <c r="AZ159" s="832">
        <f t="shared" si="183"/>
        <v>5</v>
      </c>
      <c r="BA159" s="832">
        <f t="shared" si="183"/>
        <v>6</v>
      </c>
      <c r="BB159" s="832">
        <f t="shared" si="183"/>
        <v>7</v>
      </c>
    </row>
    <row r="160" spans="1:54" ht="15" customHeight="1">
      <c r="A160" s="417"/>
      <c r="B160" s="800"/>
      <c r="C160" s="802">
        <f>C159+$G$272</f>
        <v>0.35</v>
      </c>
      <c r="D160" s="814">
        <f t="shared" ref="D160:L160" si="184">D120-AJ$95</f>
        <v>7.5201704925691892E-2</v>
      </c>
      <c r="E160" s="814">
        <f t="shared" si="184"/>
        <v>8.0158004657439719E-2</v>
      </c>
      <c r="F160" s="814">
        <f t="shared" si="184"/>
        <v>8.5428076606946624E-2</v>
      </c>
      <c r="G160" s="814">
        <f t="shared" si="184"/>
        <v>9.1046766009892144E-2</v>
      </c>
      <c r="H160" s="814">
        <f t="shared" si="184"/>
        <v>9.7054644963584291E-2</v>
      </c>
      <c r="I160" s="814">
        <f t="shared" si="184"/>
        <v>0.10349930312090683</v>
      </c>
      <c r="J160" s="814">
        <f t="shared" si="184"/>
        <v>0.11043701962431807</v>
      </c>
      <c r="K160" s="814">
        <f t="shared" si="184"/>
        <v>0.11793495985354352</v>
      </c>
      <c r="L160" s="814">
        <f t="shared" si="184"/>
        <v>0.12607410744611403</v>
      </c>
      <c r="M160" s="417"/>
      <c r="N160" s="417"/>
      <c r="O160" s="417"/>
      <c r="P160" s="417"/>
      <c r="Q160" s="417"/>
      <c r="AT160" s="832">
        <f t="shared" ref="AT160:BB160" si="185">IF(Z134&lt;$G$282,0,MIN($G$279,1+IFERROR(INT((Z134-$G$282)/$G$296),0)))</f>
        <v>2</v>
      </c>
      <c r="AU160" s="832">
        <f t="shared" si="185"/>
        <v>3</v>
      </c>
      <c r="AV160" s="832">
        <f t="shared" si="185"/>
        <v>3</v>
      </c>
      <c r="AW160" s="832">
        <f t="shared" si="185"/>
        <v>4</v>
      </c>
      <c r="AX160" s="832">
        <f t="shared" si="185"/>
        <v>5</v>
      </c>
      <c r="AY160" s="832">
        <f t="shared" si="185"/>
        <v>6</v>
      </c>
      <c r="AZ160" s="832">
        <f t="shared" si="185"/>
        <v>7</v>
      </c>
      <c r="BA160" s="832">
        <f t="shared" si="185"/>
        <v>8</v>
      </c>
      <c r="BB160" s="832">
        <f t="shared" si="185"/>
        <v>8</v>
      </c>
    </row>
    <row r="161" spans="1:54" ht="15" customHeight="1">
      <c r="A161" s="417"/>
      <c r="B161" s="800"/>
      <c r="C161" s="802">
        <f>C160+$G$272</f>
        <v>0.39999999999999997</v>
      </c>
      <c r="D161" s="814">
        <f t="shared" ref="D161:L161" si="186">D121-AJ$95</f>
        <v>8.3848896673211382E-2</v>
      </c>
      <c r="E161" s="814">
        <f t="shared" si="186"/>
        <v>8.8257417707230168E-2</v>
      </c>
      <c r="F161" s="814">
        <f t="shared" si="186"/>
        <v>9.2957077939294308E-2</v>
      </c>
      <c r="G161" s="814">
        <f t="shared" si="186"/>
        <v>9.7981054314435045E-2</v>
      </c>
      <c r="H161" s="814">
        <f t="shared" si="186"/>
        <v>0.10336807441425599</v>
      </c>
      <c r="I161" s="814">
        <f t="shared" si="186"/>
        <v>0.10916368264568255</v>
      </c>
      <c r="J161" s="814">
        <f t="shared" si="186"/>
        <v>0.11542188354035843</v>
      </c>
      <c r="K161" s="814">
        <f t="shared" si="186"/>
        <v>0.12220730454205908</v>
      </c>
      <c r="L161" s="814">
        <f t="shared" si="186"/>
        <v>0.12959808794179883</v>
      </c>
      <c r="M161" s="417"/>
      <c r="N161" s="417"/>
      <c r="O161" s="417"/>
      <c r="P161" s="417"/>
      <c r="Q161" s="417"/>
      <c r="AT161" s="832">
        <f t="shared" ref="AT161:BB161" si="187">IF(Z135&lt;$G$282,0,MIN($G$279,1+IFERROR(INT((Z135-$G$282)/$G$296),0)))</f>
        <v>4</v>
      </c>
      <c r="AU161" s="832">
        <f t="shared" si="187"/>
        <v>5</v>
      </c>
      <c r="AV161" s="832">
        <f t="shared" si="187"/>
        <v>5</v>
      </c>
      <c r="AW161" s="832">
        <f t="shared" si="187"/>
        <v>6</v>
      </c>
      <c r="AX161" s="832">
        <f t="shared" si="187"/>
        <v>7</v>
      </c>
      <c r="AY161" s="832">
        <f t="shared" si="187"/>
        <v>7</v>
      </c>
      <c r="AZ161" s="832">
        <f t="shared" si="187"/>
        <v>8</v>
      </c>
      <c r="BA161" s="832">
        <f t="shared" si="187"/>
        <v>9</v>
      </c>
      <c r="BB161" s="832">
        <f t="shared" si="187"/>
        <v>9</v>
      </c>
    </row>
    <row r="162" spans="1:54" ht="15" customHeight="1">
      <c r="A162" s="417"/>
      <c r="B162" s="801"/>
      <c r="C162" s="803">
        <f>C161+$G$272</f>
        <v>0.44999999999999996</v>
      </c>
      <c r="D162" s="816">
        <f t="shared" ref="D162:L162" si="188">D122-AJ$95</f>
        <v>9.1995805186487978E-2</v>
      </c>
      <c r="E162" s="816">
        <f t="shared" si="188"/>
        <v>9.5899166903431254E-2</v>
      </c>
      <c r="F162" s="816">
        <f t="shared" si="188"/>
        <v>0.10007136848362563</v>
      </c>
      <c r="G162" s="816">
        <f t="shared" si="188"/>
        <v>0.10454382284613817</v>
      </c>
      <c r="H162" s="816">
        <f t="shared" si="188"/>
        <v>0.10935329301992258</v>
      </c>
      <c r="I162" s="816">
        <f t="shared" si="188"/>
        <v>0.11454312829903901</v>
      </c>
      <c r="J162" s="816">
        <f t="shared" si="188"/>
        <v>0.12016487188606195</v>
      </c>
      <c r="K162" s="816">
        <f t="shared" si="188"/>
        <v>0.12628038104294714</v>
      </c>
      <c r="L162" s="816">
        <f t="shared" si="188"/>
        <v>0.13296466786978334</v>
      </c>
      <c r="M162" s="417"/>
      <c r="N162" s="417"/>
      <c r="O162" s="417"/>
      <c r="P162" s="417"/>
      <c r="Q162" s="417"/>
      <c r="AT162" s="832">
        <f t="shared" ref="AT162:BB162" si="189">IF(Z136&lt;$G$282,0,MIN($G$279,1+IFERROR(INT((Z136-$G$282)/$G$296),0)))</f>
        <v>6</v>
      </c>
      <c r="AU162" s="832">
        <f t="shared" si="189"/>
        <v>7</v>
      </c>
      <c r="AV162" s="832">
        <f t="shared" si="189"/>
        <v>7</v>
      </c>
      <c r="AW162" s="832">
        <f t="shared" si="189"/>
        <v>8</v>
      </c>
      <c r="AX162" s="832">
        <f t="shared" si="189"/>
        <v>8</v>
      </c>
      <c r="AY162" s="832">
        <f t="shared" si="189"/>
        <v>9</v>
      </c>
      <c r="AZ162" s="832">
        <f t="shared" si="189"/>
        <v>9</v>
      </c>
      <c r="BA162" s="832">
        <f t="shared" si="189"/>
        <v>10</v>
      </c>
      <c r="BB162" s="832">
        <f t="shared" si="189"/>
        <v>10</v>
      </c>
    </row>
    <row r="163" spans="1:54" ht="15" hidden="1" customHeight="1" outlineLevel="1">
      <c r="A163" s="417"/>
      <c r="B163" s="423" t="s">
        <v>2710</v>
      </c>
      <c r="D163" s="417"/>
      <c r="E163" s="417"/>
      <c r="F163" s="417"/>
      <c r="G163" s="417"/>
      <c r="H163" s="417"/>
      <c r="I163" s="417"/>
      <c r="J163" s="417"/>
      <c r="K163" s="417"/>
      <c r="L163" s="417"/>
      <c r="M163" s="417"/>
      <c r="N163" s="417"/>
      <c r="O163" s="417"/>
      <c r="P163" s="417"/>
      <c r="Q163" s="417"/>
    </row>
    <row r="164" spans="1:54" ht="3.95" customHeight="1" collapsed="1">
      <c r="A164" s="417"/>
      <c r="B164" s="417"/>
      <c r="C164" s="417"/>
      <c r="D164" s="417"/>
      <c r="E164" s="417"/>
      <c r="F164" s="417"/>
      <c r="G164" s="417"/>
      <c r="H164" s="417"/>
      <c r="I164" s="417"/>
      <c r="J164" s="417"/>
      <c r="K164" s="417"/>
      <c r="L164" s="417"/>
      <c r="M164" s="417"/>
      <c r="N164" s="417"/>
      <c r="O164" s="417"/>
      <c r="P164" s="417"/>
      <c r="Q164" s="417"/>
    </row>
    <row r="165" spans="1:54" ht="15" customHeight="1">
      <c r="A165" s="417"/>
      <c r="B165" s="822" t="s">
        <v>2718</v>
      </c>
      <c r="C165" s="823"/>
      <c r="D165" s="823"/>
      <c r="E165" s="823"/>
      <c r="F165" s="823"/>
      <c r="G165" s="823"/>
      <c r="H165" s="823"/>
      <c r="I165" s="823"/>
      <c r="J165" s="823"/>
      <c r="K165" s="823"/>
      <c r="L165" s="823"/>
      <c r="M165" s="417"/>
      <c r="N165" s="417"/>
      <c r="O165" s="417"/>
      <c r="P165" s="417"/>
      <c r="Q165" s="417"/>
    </row>
    <row r="166" spans="1:54" ht="15" customHeight="1">
      <c r="A166" s="417"/>
      <c r="B166" s="148" t="s">
        <v>2719</v>
      </c>
      <c r="C166" s="417"/>
      <c r="D166" s="417"/>
      <c r="E166" s="417"/>
      <c r="F166" s="417"/>
      <c r="G166" s="417"/>
      <c r="H166" s="417"/>
      <c r="I166" s="417"/>
      <c r="J166" s="417"/>
      <c r="K166" s="417"/>
      <c r="L166" s="417"/>
      <c r="M166" s="417"/>
      <c r="N166" s="417"/>
      <c r="O166" s="417"/>
      <c r="P166" s="417"/>
      <c r="Q166" s="417"/>
    </row>
    <row r="167" spans="1:54" ht="2.1" customHeight="1">
      <c r="A167" s="417"/>
      <c r="B167" s="417"/>
      <c r="C167" s="417"/>
      <c r="D167" s="417"/>
      <c r="E167" s="417"/>
      <c r="F167" s="417"/>
      <c r="G167" s="417"/>
      <c r="H167" s="417"/>
      <c r="I167" s="417"/>
      <c r="J167" s="417"/>
      <c r="K167" s="417"/>
      <c r="L167" s="417"/>
      <c r="M167" s="417"/>
      <c r="N167" s="417"/>
      <c r="O167" s="417"/>
      <c r="P167" s="417"/>
      <c r="Q167" s="417"/>
    </row>
    <row r="168" spans="1:54" ht="12.75" customHeight="1">
      <c r="A168" s="417"/>
      <c r="B168" s="454"/>
      <c r="C168" s="454"/>
      <c r="D168" s="786" t="s">
        <v>2637</v>
      </c>
      <c r="E168" s="786"/>
      <c r="F168" s="786"/>
      <c r="G168" s="786"/>
      <c r="H168" s="786"/>
      <c r="I168" s="786"/>
      <c r="J168" s="786"/>
      <c r="K168" s="786"/>
      <c r="L168" s="786"/>
      <c r="M168" s="417"/>
      <c r="N168" s="417"/>
      <c r="O168" s="417"/>
      <c r="P168" s="417"/>
      <c r="Q168" s="417"/>
      <c r="Z168" s="811" t="s">
        <v>2716</v>
      </c>
      <c r="AA168" s="758"/>
      <c r="AB168" s="758"/>
      <c r="AC168" s="758"/>
      <c r="AD168" s="758"/>
      <c r="AE168" s="758"/>
      <c r="AF168" s="758"/>
      <c r="AG168" s="758"/>
      <c r="AH168" s="758"/>
      <c r="AJ168" s="830" t="s">
        <v>2712</v>
      </c>
      <c r="AK168" s="830" t="s">
        <v>2713</v>
      </c>
      <c r="AL168" s="830" t="s">
        <v>2714</v>
      </c>
      <c r="AM168" s="830" t="s">
        <v>2715</v>
      </c>
    </row>
    <row r="169" spans="1:54" ht="12.75" customHeight="1">
      <c r="A169" s="417"/>
      <c r="B169" s="454"/>
      <c r="C169" s="454"/>
      <c r="D169" s="787">
        <f>E169-$G$274</f>
        <v>1</v>
      </c>
      <c r="E169" s="787">
        <f>F169-$G$274</f>
        <v>1.25</v>
      </c>
      <c r="F169" s="787">
        <f>G169-$G$274</f>
        <v>1.5</v>
      </c>
      <c r="G169" s="787">
        <f>H169-$G$274</f>
        <v>1.75</v>
      </c>
      <c r="H169" s="787">
        <f>$G$273</f>
        <v>2</v>
      </c>
      <c r="I169" s="787">
        <f>H169+$G$274</f>
        <v>2.25</v>
      </c>
      <c r="J169" s="787">
        <f>I169+$G$274</f>
        <v>2.5</v>
      </c>
      <c r="K169" s="787">
        <f>J169+$G$274</f>
        <v>2.75</v>
      </c>
      <c r="L169" s="787">
        <f>K169+$G$274</f>
        <v>3</v>
      </c>
      <c r="M169" s="417"/>
      <c r="N169" s="417"/>
      <c r="O169" s="417"/>
      <c r="P169" s="417"/>
      <c r="Q169" s="417"/>
      <c r="Z169" s="825">
        <f>D$169</f>
        <v>1</v>
      </c>
      <c r="AA169" s="825">
        <f t="shared" ref="AA169:AH169" si="190">E$169</f>
        <v>1.25</v>
      </c>
      <c r="AB169" s="825">
        <f t="shared" si="190"/>
        <v>1.5</v>
      </c>
      <c r="AC169" s="825">
        <f t="shared" si="190"/>
        <v>1.75</v>
      </c>
      <c r="AD169" s="825">
        <f t="shared" si="190"/>
        <v>2</v>
      </c>
      <c r="AE169" s="825">
        <f t="shared" si="190"/>
        <v>2.25</v>
      </c>
      <c r="AF169" s="825">
        <f t="shared" si="190"/>
        <v>2.5</v>
      </c>
      <c r="AG169" s="825">
        <f t="shared" si="190"/>
        <v>2.75</v>
      </c>
      <c r="AH169" s="825">
        <f t="shared" si="190"/>
        <v>3</v>
      </c>
      <c r="AJ169" s="758"/>
      <c r="AK169" s="758"/>
      <c r="AL169" s="758"/>
      <c r="AM169" s="758"/>
      <c r="AT169" s="833" t="s">
        <v>2748</v>
      </c>
      <c r="AU169" s="427"/>
      <c r="AV169" s="427"/>
      <c r="AW169" s="427"/>
      <c r="AX169" s="427"/>
      <c r="AY169" s="427"/>
      <c r="AZ169" s="427"/>
      <c r="BA169" s="427"/>
      <c r="BB169" s="427"/>
    </row>
    <row r="170" spans="1:54" ht="15" customHeight="1">
      <c r="A170" s="417"/>
      <c r="B170" s="804" t="s">
        <v>2711</v>
      </c>
      <c r="C170" s="828">
        <f>C171+$G$291</f>
        <v>60</v>
      </c>
      <c r="D170" s="790">
        <f>ROUND(Z170,$G$285)</f>
        <v>5400</v>
      </c>
      <c r="E170" s="790">
        <f t="shared" ref="E170:E176" si="191">ROUND(AA170,$G$285)</f>
        <v>5700</v>
      </c>
      <c r="F170" s="790">
        <f t="shared" ref="F170:F176" si="192">ROUND(AB170,$G$285)</f>
        <v>6000</v>
      </c>
      <c r="G170" s="790">
        <f t="shared" ref="G170:G176" si="193">ROUND(AC170,$G$285)</f>
        <v>6400</v>
      </c>
      <c r="H170" s="790">
        <f t="shared" ref="H170:H176" si="194">ROUND(AD170,$G$285)</f>
        <v>6700</v>
      </c>
      <c r="I170" s="790">
        <f t="shared" ref="I170:I176" si="195">ROUND(AE170,$G$285)</f>
        <v>7000</v>
      </c>
      <c r="J170" s="790">
        <f t="shared" ref="J170:J176" si="196">ROUND(AF170,$G$285)</f>
        <v>7300</v>
      </c>
      <c r="K170" s="790">
        <f t="shared" ref="K170:K176" si="197">ROUND(AG170,$G$285)</f>
        <v>7700</v>
      </c>
      <c r="L170" s="790">
        <f t="shared" ref="L170:L176" si="198">ROUND(AH170,$G$285)</f>
        <v>8000</v>
      </c>
      <c r="M170" s="417"/>
      <c r="N170" s="417"/>
      <c r="O170" s="417"/>
      <c r="P170" s="417"/>
      <c r="Q170" s="417"/>
      <c r="Z170" s="367">
        <f>$O$18+$G$268+$N$18*$AK170+$R$18*($Q$18*(1+D$169)+$AK170*(1-$N$18))-$G$263</f>
        <v>5354.3288080693201</v>
      </c>
      <c r="AA170" s="367">
        <f t="shared" ref="AA170:AA176" si="199">$O$18+$G$268+$N$18*$AK170+$R$18*($Q$18*(1+E$169)+$AK170*(1-$N$18))-$G$263</f>
        <v>5686.9350936673673</v>
      </c>
      <c r="AB170" s="367">
        <f t="shared" ref="AB170:AB176" si="200">$O$18+$G$268+$N$18*$AK170+$R$18*($Q$18*(1+F$169)+$AK170*(1-$N$18))-$G$263</f>
        <v>6019.5413792654144</v>
      </c>
      <c r="AC170" s="367">
        <f t="shared" ref="AC170:AC176" si="201">$O$18+$G$268+$N$18*$AK170+$R$18*($Q$18*(1+G$169)+$AK170*(1-$N$18))-$G$263</f>
        <v>6352.1476648634616</v>
      </c>
      <c r="AD170" s="367">
        <f t="shared" ref="AD170:AD176" si="202">$O$18+$G$268+$N$18*$AK170+$R$18*($Q$18*(1+H$169)+$AK170*(1-$N$18))-$G$263</f>
        <v>6684.7539504615088</v>
      </c>
      <c r="AE170" s="367">
        <f t="shared" ref="AE170:AE176" si="203">$O$18+$G$268+$N$18*$AK170+$R$18*($Q$18*(1+I$169)+$AK170*(1-$N$18))-$G$263</f>
        <v>7017.360236059556</v>
      </c>
      <c r="AF170" s="367">
        <f t="shared" ref="AF170:AF176" si="204">$O$18+$G$268+$N$18*$AK170+$R$18*($Q$18*(1+J$169)+$AK170*(1-$N$18))-$G$263</f>
        <v>7349.9665216576032</v>
      </c>
      <c r="AG170" s="367">
        <f t="shared" ref="AG170:AG176" si="205">$O$18+$G$268+$N$18*$AK170+$R$18*($Q$18*(1+K$169)+$AK170*(1-$N$18))-$G$263</f>
        <v>7682.5728072556503</v>
      </c>
      <c r="AH170" s="367">
        <f t="shared" ref="AH170:AH176" si="206">$O$18+$G$268+$N$18*$AK170+$R$18*($Q$18*(1+L$169)+$AK170*(1-$N$18))-$G$263</f>
        <v>8015.1790928536975</v>
      </c>
      <c r="AJ170" s="367">
        <f>$C170</f>
        <v>60</v>
      </c>
      <c r="AK170" s="367">
        <f>($G$286+AJ170*$G$278*$G$287)*$G$288</f>
        <v>15975.965836610165</v>
      </c>
      <c r="AL170" s="367">
        <f>($G$286+(AJ170-$G$292)*$G$278*$G$293)*$G$294*$G$295</f>
        <v>8737.6181733050835</v>
      </c>
      <c r="AM170" s="827">
        <f>IFERROR((AL170/$G$263)^(1/$G$278)-1,0)</f>
        <v>0.23838123203554318</v>
      </c>
      <c r="AT170" s="832">
        <f>IF(Z210&lt;$G$282,0,MIN($G$279,1+IFERROR(INT((Z210-$G$282)/$G$297),0)))</f>
        <v>0</v>
      </c>
      <c r="AU170" s="832">
        <f t="shared" ref="AU170:BB170" si="207">IF(AA210&lt;$G$282,0,MIN($G$279,1+IFERROR(INT((AA210-$G$282)/$G$297),0)))</f>
        <v>0</v>
      </c>
      <c r="AV170" s="832">
        <f t="shared" si="207"/>
        <v>0</v>
      </c>
      <c r="AW170" s="832">
        <f t="shared" si="207"/>
        <v>0</v>
      </c>
      <c r="AX170" s="832">
        <f t="shared" si="207"/>
        <v>0</v>
      </c>
      <c r="AY170" s="832">
        <f t="shared" si="207"/>
        <v>2</v>
      </c>
      <c r="AZ170" s="832">
        <f t="shared" si="207"/>
        <v>3</v>
      </c>
      <c r="BA170" s="832">
        <f t="shared" si="207"/>
        <v>4</v>
      </c>
      <c r="BB170" s="832">
        <f t="shared" si="207"/>
        <v>6</v>
      </c>
    </row>
    <row r="171" spans="1:54" ht="15" customHeight="1">
      <c r="A171" s="417"/>
      <c r="B171" s="800"/>
      <c r="C171" s="828">
        <f>C172+$G$291</f>
        <v>56</v>
      </c>
      <c r="D171" s="791">
        <f t="shared" ref="D171:D176" si="208">ROUND(Z171,$G$285)</f>
        <v>5100</v>
      </c>
      <c r="E171" s="791">
        <f t="shared" si="191"/>
        <v>5500</v>
      </c>
      <c r="F171" s="791">
        <f t="shared" si="192"/>
        <v>5800</v>
      </c>
      <c r="G171" s="791">
        <f t="shared" si="193"/>
        <v>6100</v>
      </c>
      <c r="H171" s="791">
        <f t="shared" si="194"/>
        <v>6500</v>
      </c>
      <c r="I171" s="791">
        <f t="shared" si="195"/>
        <v>6800</v>
      </c>
      <c r="J171" s="791">
        <f t="shared" si="196"/>
        <v>7100</v>
      </c>
      <c r="K171" s="791">
        <f t="shared" si="197"/>
        <v>7500</v>
      </c>
      <c r="L171" s="791">
        <f t="shared" si="198"/>
        <v>7800</v>
      </c>
      <c r="M171" s="417"/>
      <c r="N171" s="417"/>
      <c r="O171" s="417"/>
      <c r="P171" s="417"/>
      <c r="Q171" s="417"/>
      <c r="Z171" s="367">
        <f t="shared" ref="Z171:Z176" si="209">$O$18+$G$268+$N$18*$AK171+$R$18*($Q$18*(1+D$169)+$AK171*(1-$N$18))-$G$263</f>
        <v>5144.3121424968886</v>
      </c>
      <c r="AA171" s="367">
        <f t="shared" si="199"/>
        <v>5476.9184280949357</v>
      </c>
      <c r="AB171" s="367">
        <f t="shared" si="200"/>
        <v>5809.5247136929829</v>
      </c>
      <c r="AC171" s="367">
        <f t="shared" si="201"/>
        <v>6142.1309992910301</v>
      </c>
      <c r="AD171" s="367">
        <f t="shared" si="202"/>
        <v>6474.7372848890773</v>
      </c>
      <c r="AE171" s="367">
        <f t="shared" si="203"/>
        <v>6807.3435704871245</v>
      </c>
      <c r="AF171" s="367">
        <f t="shared" si="204"/>
        <v>7139.9498560851716</v>
      </c>
      <c r="AG171" s="367">
        <f t="shared" si="205"/>
        <v>7472.5561416832188</v>
      </c>
      <c r="AH171" s="367">
        <f t="shared" si="206"/>
        <v>7805.162427281266</v>
      </c>
      <c r="AJ171" s="367">
        <f t="shared" ref="AJ171:AJ176" si="210">$C171</f>
        <v>56</v>
      </c>
      <c r="AK171" s="367">
        <f t="shared" ref="AK171:AK176" si="211">($G$286+AJ171*$G$278*$G$287)*$G$288</f>
        <v>15310.706916836156</v>
      </c>
      <c r="AL171" s="367">
        <f t="shared" ref="AL171:AL176" si="212">($G$286+(AJ171-$G$292)*$G$278*$G$293)*$G$294*$G$295</f>
        <v>8321.8313484463251</v>
      </c>
      <c r="AM171" s="827">
        <f t="shared" ref="AM171:AM176" si="213">IFERROR((AL171/$G$263)^(1/$G$278)-1,0)</f>
        <v>0.22636438906489675</v>
      </c>
      <c r="AT171" s="832">
        <f t="shared" ref="AT171:BB171" si="214">IF(Z211&lt;$G$282,0,MIN($G$279,1+IFERROR(INT((Z211-$G$282)/$G$297),0)))</f>
        <v>0</v>
      </c>
      <c r="AU171" s="832">
        <f t="shared" si="214"/>
        <v>0</v>
      </c>
      <c r="AV171" s="832">
        <f t="shared" si="214"/>
        <v>0</v>
      </c>
      <c r="AW171" s="832">
        <f t="shared" si="214"/>
        <v>0</v>
      </c>
      <c r="AX171" s="832">
        <f t="shared" si="214"/>
        <v>1</v>
      </c>
      <c r="AY171" s="832">
        <f t="shared" si="214"/>
        <v>2</v>
      </c>
      <c r="AZ171" s="832">
        <f t="shared" si="214"/>
        <v>4</v>
      </c>
      <c r="BA171" s="832">
        <f t="shared" si="214"/>
        <v>5</v>
      </c>
      <c r="BB171" s="832">
        <f t="shared" si="214"/>
        <v>6</v>
      </c>
    </row>
    <row r="172" spans="1:54" ht="15" customHeight="1">
      <c r="A172" s="417"/>
      <c r="B172" s="800"/>
      <c r="C172" s="828">
        <f>C173+$G$291</f>
        <v>52</v>
      </c>
      <c r="D172" s="791">
        <f t="shared" si="208"/>
        <v>4900</v>
      </c>
      <c r="E172" s="791">
        <f t="shared" si="191"/>
        <v>5300</v>
      </c>
      <c r="F172" s="791">
        <f t="shared" si="192"/>
        <v>5600</v>
      </c>
      <c r="G172" s="791">
        <f t="shared" si="193"/>
        <v>5900</v>
      </c>
      <c r="H172" s="791">
        <f t="shared" si="194"/>
        <v>6300</v>
      </c>
      <c r="I172" s="791">
        <f t="shared" si="195"/>
        <v>6600</v>
      </c>
      <c r="J172" s="791">
        <f t="shared" si="196"/>
        <v>6900</v>
      </c>
      <c r="K172" s="791">
        <f t="shared" si="197"/>
        <v>7300</v>
      </c>
      <c r="L172" s="791">
        <f t="shared" si="198"/>
        <v>7600</v>
      </c>
      <c r="M172" s="417"/>
      <c r="N172" s="417"/>
      <c r="O172" s="417"/>
      <c r="P172" s="417"/>
      <c r="Q172" s="417"/>
      <c r="Z172" s="367">
        <f t="shared" si="209"/>
        <v>4934.2954769244552</v>
      </c>
      <c r="AA172" s="367">
        <f t="shared" si="199"/>
        <v>5266.9017625225024</v>
      </c>
      <c r="AB172" s="367">
        <f t="shared" si="200"/>
        <v>5599.5080481205496</v>
      </c>
      <c r="AC172" s="367">
        <f t="shared" si="201"/>
        <v>5932.1143337185968</v>
      </c>
      <c r="AD172" s="367">
        <f t="shared" si="202"/>
        <v>6264.7206193166439</v>
      </c>
      <c r="AE172" s="367">
        <f t="shared" si="203"/>
        <v>6597.3269049146911</v>
      </c>
      <c r="AF172" s="367">
        <f t="shared" si="204"/>
        <v>6929.9331905127383</v>
      </c>
      <c r="AG172" s="367">
        <f t="shared" si="205"/>
        <v>7262.5394761107855</v>
      </c>
      <c r="AH172" s="367">
        <f t="shared" si="206"/>
        <v>7595.1457617088327</v>
      </c>
      <c r="AJ172" s="367">
        <f t="shared" si="210"/>
        <v>52</v>
      </c>
      <c r="AK172" s="367">
        <f t="shared" si="211"/>
        <v>14645.447997062143</v>
      </c>
      <c r="AL172" s="367">
        <f t="shared" si="212"/>
        <v>7906.0445235875686</v>
      </c>
      <c r="AM172" s="827">
        <f t="shared" si="213"/>
        <v>0.21385720427347321</v>
      </c>
      <c r="AT172" s="832">
        <f t="shared" ref="AT172:BB172" si="215">IF(Z212&lt;$G$282,0,MIN($G$279,1+IFERROR(INT((Z212-$G$282)/$G$297),0)))</f>
        <v>0</v>
      </c>
      <c r="AU172" s="832">
        <f t="shared" si="215"/>
        <v>0</v>
      </c>
      <c r="AV172" s="832">
        <f t="shared" si="215"/>
        <v>0</v>
      </c>
      <c r="AW172" s="832">
        <f t="shared" si="215"/>
        <v>1</v>
      </c>
      <c r="AX172" s="832">
        <f t="shared" si="215"/>
        <v>2</v>
      </c>
      <c r="AY172" s="832">
        <f t="shared" si="215"/>
        <v>3</v>
      </c>
      <c r="AZ172" s="832">
        <f t="shared" si="215"/>
        <v>5</v>
      </c>
      <c r="BA172" s="832">
        <f t="shared" si="215"/>
        <v>6</v>
      </c>
      <c r="BB172" s="832">
        <f t="shared" si="215"/>
        <v>7</v>
      </c>
    </row>
    <row r="173" spans="1:54" ht="15" customHeight="1">
      <c r="A173" s="417"/>
      <c r="B173" s="800"/>
      <c r="C173" s="828">
        <f>$G$290</f>
        <v>48</v>
      </c>
      <c r="D173" s="791">
        <f t="shared" si="208"/>
        <v>4700</v>
      </c>
      <c r="E173" s="791">
        <f t="shared" si="191"/>
        <v>5100</v>
      </c>
      <c r="F173" s="791">
        <f t="shared" si="192"/>
        <v>5400</v>
      </c>
      <c r="G173" s="791">
        <f t="shared" si="193"/>
        <v>5700</v>
      </c>
      <c r="H173" s="805">
        <f t="shared" si="194"/>
        <v>6100</v>
      </c>
      <c r="I173" s="791">
        <f t="shared" si="195"/>
        <v>6400</v>
      </c>
      <c r="J173" s="791">
        <f t="shared" si="196"/>
        <v>6700</v>
      </c>
      <c r="K173" s="791">
        <f t="shared" si="197"/>
        <v>7100</v>
      </c>
      <c r="L173" s="791">
        <f t="shared" si="198"/>
        <v>7400</v>
      </c>
      <c r="M173" s="417"/>
      <c r="N173" s="417"/>
      <c r="O173" s="417"/>
      <c r="P173" s="417"/>
      <c r="Q173" s="417"/>
      <c r="Z173" s="367">
        <f t="shared" si="209"/>
        <v>4724.2788113520228</v>
      </c>
      <c r="AA173" s="367">
        <f t="shared" si="199"/>
        <v>5056.88509695007</v>
      </c>
      <c r="AB173" s="367">
        <f t="shared" si="200"/>
        <v>5389.4913825481162</v>
      </c>
      <c r="AC173" s="367">
        <f t="shared" si="201"/>
        <v>5722.0976681461652</v>
      </c>
      <c r="AD173" s="367">
        <f t="shared" si="202"/>
        <v>6054.7039537442106</v>
      </c>
      <c r="AE173" s="367">
        <f t="shared" si="203"/>
        <v>6387.3102393422596</v>
      </c>
      <c r="AF173" s="367">
        <f t="shared" si="204"/>
        <v>6719.916524940305</v>
      </c>
      <c r="AG173" s="367">
        <f t="shared" si="205"/>
        <v>7052.522810538354</v>
      </c>
      <c r="AH173" s="367">
        <f t="shared" si="206"/>
        <v>7385.1290961363993</v>
      </c>
      <c r="AJ173" s="367">
        <f t="shared" si="210"/>
        <v>48</v>
      </c>
      <c r="AK173" s="367">
        <f t="shared" si="211"/>
        <v>13980.189077288132</v>
      </c>
      <c r="AL173" s="367">
        <f t="shared" si="212"/>
        <v>7490.2576987288121</v>
      </c>
      <c r="AM173" s="827">
        <f t="shared" si="213"/>
        <v>0.20081222595661186</v>
      </c>
      <c r="AT173" s="832">
        <f t="shared" ref="AT173:BB173" si="216">IF(Z213&lt;$G$282,0,MIN($G$279,1+IFERROR(INT((Z213-$G$282)/$G$297),0)))</f>
        <v>0</v>
      </c>
      <c r="AU173" s="832">
        <f t="shared" si="216"/>
        <v>0</v>
      </c>
      <c r="AV173" s="832">
        <f t="shared" si="216"/>
        <v>0</v>
      </c>
      <c r="AW173" s="832">
        <f t="shared" si="216"/>
        <v>1</v>
      </c>
      <c r="AX173" s="832">
        <f t="shared" si="216"/>
        <v>3</v>
      </c>
      <c r="AY173" s="832">
        <f t="shared" si="216"/>
        <v>4</v>
      </c>
      <c r="AZ173" s="832">
        <f t="shared" si="216"/>
        <v>5</v>
      </c>
      <c r="BA173" s="832">
        <f t="shared" si="216"/>
        <v>7</v>
      </c>
      <c r="BB173" s="832">
        <f t="shared" si="216"/>
        <v>8</v>
      </c>
    </row>
    <row r="174" spans="1:54" ht="15" customHeight="1">
      <c r="A174" s="417"/>
      <c r="B174" s="800"/>
      <c r="C174" s="828">
        <f>C173-$G$291</f>
        <v>44</v>
      </c>
      <c r="D174" s="791">
        <f t="shared" si="208"/>
        <v>4500</v>
      </c>
      <c r="E174" s="791">
        <f t="shared" si="191"/>
        <v>4800</v>
      </c>
      <c r="F174" s="791">
        <f t="shared" si="192"/>
        <v>5200</v>
      </c>
      <c r="G174" s="791">
        <f t="shared" si="193"/>
        <v>5500</v>
      </c>
      <c r="H174" s="791">
        <f t="shared" si="194"/>
        <v>5800</v>
      </c>
      <c r="I174" s="791">
        <f t="shared" si="195"/>
        <v>6200</v>
      </c>
      <c r="J174" s="791">
        <f t="shared" si="196"/>
        <v>6500</v>
      </c>
      <c r="K174" s="791">
        <f t="shared" si="197"/>
        <v>6800</v>
      </c>
      <c r="L174" s="791">
        <f t="shared" si="198"/>
        <v>7200</v>
      </c>
      <c r="M174" s="417"/>
      <c r="N174" s="417"/>
      <c r="O174" s="417"/>
      <c r="P174" s="417"/>
      <c r="Q174" s="417"/>
      <c r="Z174" s="367">
        <f t="shared" si="209"/>
        <v>4514.2621457795904</v>
      </c>
      <c r="AA174" s="367">
        <f t="shared" si="199"/>
        <v>4846.8684313776375</v>
      </c>
      <c r="AB174" s="367">
        <f t="shared" si="200"/>
        <v>5179.4747169756847</v>
      </c>
      <c r="AC174" s="367">
        <f t="shared" si="201"/>
        <v>5512.0810025737319</v>
      </c>
      <c r="AD174" s="367">
        <f t="shared" si="202"/>
        <v>5844.6872881717791</v>
      </c>
      <c r="AE174" s="367">
        <f t="shared" si="203"/>
        <v>6177.2935737698263</v>
      </c>
      <c r="AF174" s="367">
        <f t="shared" si="204"/>
        <v>6509.8998593678734</v>
      </c>
      <c r="AG174" s="367">
        <f t="shared" si="205"/>
        <v>6842.5061449659206</v>
      </c>
      <c r="AH174" s="367">
        <f t="shared" si="206"/>
        <v>7175.1124305639678</v>
      </c>
      <c r="AJ174" s="367">
        <f t="shared" si="210"/>
        <v>44</v>
      </c>
      <c r="AK174" s="367">
        <f t="shared" si="211"/>
        <v>13314.930157514122</v>
      </c>
      <c r="AL174" s="367">
        <f t="shared" si="212"/>
        <v>7074.4708738700547</v>
      </c>
      <c r="AM174" s="827">
        <f t="shared" si="213"/>
        <v>0.18717445096254881</v>
      </c>
      <c r="AT174" s="832">
        <f t="shared" ref="AT174:BB174" si="217">IF(Z214&lt;$G$282,0,MIN($G$279,1+IFERROR(INT((Z214-$G$282)/$G$297),0)))</f>
        <v>0</v>
      </c>
      <c r="AU174" s="832">
        <f t="shared" si="217"/>
        <v>0</v>
      </c>
      <c r="AV174" s="832">
        <f t="shared" si="217"/>
        <v>1</v>
      </c>
      <c r="AW174" s="832">
        <f t="shared" si="217"/>
        <v>2</v>
      </c>
      <c r="AX174" s="832">
        <f t="shared" si="217"/>
        <v>4</v>
      </c>
      <c r="AY174" s="832">
        <f t="shared" si="217"/>
        <v>5</v>
      </c>
      <c r="AZ174" s="832">
        <f t="shared" si="217"/>
        <v>6</v>
      </c>
      <c r="BA174" s="832">
        <f t="shared" si="217"/>
        <v>8</v>
      </c>
      <c r="BB174" s="832">
        <f t="shared" si="217"/>
        <v>9</v>
      </c>
    </row>
    <row r="175" spans="1:54" ht="15" customHeight="1">
      <c r="A175" s="417"/>
      <c r="B175" s="800"/>
      <c r="C175" s="828">
        <f>C174-$G$291</f>
        <v>40</v>
      </c>
      <c r="D175" s="791">
        <f t="shared" si="208"/>
        <v>4300</v>
      </c>
      <c r="E175" s="791">
        <f t="shared" si="191"/>
        <v>4600</v>
      </c>
      <c r="F175" s="791">
        <f t="shared" si="192"/>
        <v>5000</v>
      </c>
      <c r="G175" s="791">
        <f t="shared" si="193"/>
        <v>5300</v>
      </c>
      <c r="H175" s="791">
        <f t="shared" si="194"/>
        <v>5600</v>
      </c>
      <c r="I175" s="791">
        <f t="shared" si="195"/>
        <v>6000</v>
      </c>
      <c r="J175" s="791">
        <f t="shared" si="196"/>
        <v>6300</v>
      </c>
      <c r="K175" s="791">
        <f t="shared" si="197"/>
        <v>6600</v>
      </c>
      <c r="L175" s="791">
        <f t="shared" si="198"/>
        <v>7000</v>
      </c>
      <c r="M175" s="417"/>
      <c r="N175" s="417"/>
      <c r="O175" s="417"/>
      <c r="P175" s="417"/>
      <c r="Q175" s="417"/>
      <c r="Z175" s="367">
        <f t="shared" si="209"/>
        <v>4304.245480207157</v>
      </c>
      <c r="AA175" s="367">
        <f t="shared" si="199"/>
        <v>4636.8517658052033</v>
      </c>
      <c r="AB175" s="367">
        <f t="shared" si="200"/>
        <v>4969.4580514032505</v>
      </c>
      <c r="AC175" s="367">
        <f t="shared" si="201"/>
        <v>5302.0643370012986</v>
      </c>
      <c r="AD175" s="367">
        <f t="shared" si="202"/>
        <v>5634.6706225993439</v>
      </c>
      <c r="AE175" s="367">
        <f t="shared" si="203"/>
        <v>5967.2769081973929</v>
      </c>
      <c r="AF175" s="367">
        <f t="shared" si="204"/>
        <v>6299.8831937954383</v>
      </c>
      <c r="AG175" s="367">
        <f t="shared" si="205"/>
        <v>6632.4894793934873</v>
      </c>
      <c r="AH175" s="367">
        <f t="shared" si="206"/>
        <v>6965.0957649915326</v>
      </c>
      <c r="AJ175" s="367">
        <f t="shared" si="210"/>
        <v>40</v>
      </c>
      <c r="AK175" s="367">
        <f t="shared" si="211"/>
        <v>12649.671237740109</v>
      </c>
      <c r="AL175" s="367">
        <f t="shared" si="212"/>
        <v>6658.6840490112991</v>
      </c>
      <c r="AM175" s="827">
        <f t="shared" si="213"/>
        <v>0.17287959485981652</v>
      </c>
      <c r="AT175" s="832">
        <f t="shared" ref="AT175:BB175" si="218">IF(Z215&lt;$G$282,0,MIN($G$279,1+IFERROR(INT((Z215-$G$282)/$G$297),0)))</f>
        <v>0</v>
      </c>
      <c r="AU175" s="832">
        <f t="shared" si="218"/>
        <v>0</v>
      </c>
      <c r="AV175" s="832">
        <f t="shared" si="218"/>
        <v>2</v>
      </c>
      <c r="AW175" s="832">
        <f t="shared" si="218"/>
        <v>3</v>
      </c>
      <c r="AX175" s="832">
        <f t="shared" si="218"/>
        <v>4</v>
      </c>
      <c r="AY175" s="832">
        <f t="shared" si="218"/>
        <v>6</v>
      </c>
      <c r="AZ175" s="832">
        <f t="shared" si="218"/>
        <v>7</v>
      </c>
      <c r="BA175" s="832">
        <f t="shared" si="218"/>
        <v>8</v>
      </c>
      <c r="BB175" s="832">
        <f t="shared" si="218"/>
        <v>10</v>
      </c>
    </row>
    <row r="176" spans="1:54" ht="15" customHeight="1">
      <c r="A176" s="417"/>
      <c r="B176" s="801"/>
      <c r="C176" s="829">
        <f>C175-$G$291</f>
        <v>36</v>
      </c>
      <c r="D176" s="792">
        <f t="shared" si="208"/>
        <v>4100</v>
      </c>
      <c r="E176" s="792">
        <f t="shared" si="191"/>
        <v>4400</v>
      </c>
      <c r="F176" s="792">
        <f t="shared" si="192"/>
        <v>4800</v>
      </c>
      <c r="G176" s="792">
        <f t="shared" si="193"/>
        <v>5100</v>
      </c>
      <c r="H176" s="792">
        <f t="shared" si="194"/>
        <v>5400</v>
      </c>
      <c r="I176" s="792">
        <f t="shared" si="195"/>
        <v>5800</v>
      </c>
      <c r="J176" s="792">
        <f t="shared" si="196"/>
        <v>6100</v>
      </c>
      <c r="K176" s="792">
        <f t="shared" si="197"/>
        <v>6400</v>
      </c>
      <c r="L176" s="792">
        <f t="shared" si="198"/>
        <v>6800</v>
      </c>
      <c r="M176" s="417"/>
      <c r="N176" s="417"/>
      <c r="O176" s="417"/>
      <c r="P176" s="417"/>
      <c r="Q176" s="417"/>
      <c r="Z176" s="367">
        <f t="shared" si="209"/>
        <v>4094.2288146347255</v>
      </c>
      <c r="AA176" s="367">
        <f t="shared" si="199"/>
        <v>4426.8351002327727</v>
      </c>
      <c r="AB176" s="367">
        <f t="shared" si="200"/>
        <v>4759.4413858308199</v>
      </c>
      <c r="AC176" s="367">
        <f t="shared" si="201"/>
        <v>5092.047671428867</v>
      </c>
      <c r="AD176" s="367">
        <f t="shared" si="202"/>
        <v>5424.6539570269142</v>
      </c>
      <c r="AE176" s="367">
        <f t="shared" si="203"/>
        <v>5757.2602426249614</v>
      </c>
      <c r="AF176" s="367">
        <f t="shared" si="204"/>
        <v>6089.8665282230086</v>
      </c>
      <c r="AG176" s="367">
        <f t="shared" si="205"/>
        <v>6422.4728138210558</v>
      </c>
      <c r="AH176" s="367">
        <f t="shared" si="206"/>
        <v>6755.0790994191029</v>
      </c>
      <c r="AJ176" s="367">
        <f t="shared" si="210"/>
        <v>36</v>
      </c>
      <c r="AK176" s="367">
        <f t="shared" si="211"/>
        <v>11984.4123179661</v>
      </c>
      <c r="AL176" s="367">
        <f t="shared" si="212"/>
        <v>6242.8972241525407</v>
      </c>
      <c r="AM176" s="827">
        <f t="shared" si="213"/>
        <v>0.15785182924075603</v>
      </c>
      <c r="AT176" s="832">
        <f t="shared" ref="AT176:BB176" si="219">IF(Z216&lt;$G$282,0,MIN($G$279,1+IFERROR(INT((Z216-$G$282)/$G$297),0)))</f>
        <v>0</v>
      </c>
      <c r="AU176" s="832">
        <f t="shared" si="219"/>
        <v>1</v>
      </c>
      <c r="AV176" s="832">
        <f t="shared" si="219"/>
        <v>3</v>
      </c>
      <c r="AW176" s="832">
        <f t="shared" si="219"/>
        <v>4</v>
      </c>
      <c r="AX176" s="832">
        <f t="shared" si="219"/>
        <v>5</v>
      </c>
      <c r="AY176" s="832">
        <f t="shared" si="219"/>
        <v>7</v>
      </c>
      <c r="AZ176" s="832">
        <f t="shared" si="219"/>
        <v>8</v>
      </c>
      <c r="BA176" s="832">
        <f t="shared" si="219"/>
        <v>9</v>
      </c>
      <c r="BB176" s="832">
        <f t="shared" si="219"/>
        <v>10</v>
      </c>
    </row>
    <row r="177" spans="1:54" ht="15" hidden="1" customHeight="1" outlineLevel="1">
      <c r="A177" s="417"/>
      <c r="B177" s="423" t="s">
        <v>2738</v>
      </c>
      <c r="C177" s="809"/>
      <c r="D177" s="417"/>
      <c r="E177" s="417"/>
      <c r="F177" s="417"/>
      <c r="G177" s="417"/>
      <c r="H177" s="417"/>
      <c r="I177" s="417"/>
      <c r="J177" s="417"/>
      <c r="K177" s="417"/>
      <c r="L177" s="417"/>
      <c r="M177" s="417"/>
      <c r="N177" s="417"/>
      <c r="O177" s="417"/>
      <c r="P177" s="417"/>
      <c r="Q177" s="417"/>
    </row>
    <row r="178" spans="1:54" ht="3.95" customHeight="1" collapsed="1">
      <c r="A178" s="417"/>
      <c r="B178" s="417"/>
      <c r="C178" s="417"/>
      <c r="D178" s="417"/>
      <c r="E178" s="417"/>
      <c r="F178" s="417"/>
      <c r="G178" s="417"/>
      <c r="H178" s="417"/>
      <c r="I178" s="417"/>
      <c r="J178" s="417"/>
      <c r="K178" s="417"/>
      <c r="L178" s="417"/>
      <c r="M178" s="417"/>
      <c r="N178" s="417"/>
      <c r="O178" s="417"/>
      <c r="P178" s="417"/>
      <c r="Q178" s="417"/>
    </row>
    <row r="179" spans="1:54" ht="15" customHeight="1">
      <c r="A179" s="417"/>
      <c r="B179" s="148" t="s">
        <v>2720</v>
      </c>
      <c r="C179" s="417"/>
      <c r="D179" s="417"/>
      <c r="E179" s="417"/>
      <c r="F179" s="417"/>
      <c r="G179" s="417"/>
      <c r="H179" s="417"/>
      <c r="I179" s="417"/>
      <c r="J179" s="417"/>
      <c r="K179" s="417"/>
      <c r="L179" s="417"/>
      <c r="M179" s="417"/>
      <c r="N179" s="417"/>
      <c r="O179" s="417"/>
      <c r="P179" s="417"/>
      <c r="Q179" s="417"/>
    </row>
    <row r="180" spans="1:54" ht="2.1" customHeight="1">
      <c r="A180" s="417"/>
      <c r="B180" s="417"/>
      <c r="C180" s="417"/>
      <c r="D180" s="417"/>
      <c r="E180" s="417"/>
      <c r="F180" s="417"/>
      <c r="G180" s="417"/>
      <c r="H180" s="417"/>
      <c r="I180" s="417"/>
      <c r="J180" s="417"/>
      <c r="K180" s="417"/>
      <c r="L180" s="417"/>
      <c r="M180" s="417"/>
      <c r="N180" s="417"/>
      <c r="O180" s="417"/>
      <c r="P180" s="417"/>
      <c r="Q180" s="417"/>
    </row>
    <row r="181" spans="1:54" ht="12.75" customHeight="1">
      <c r="A181" s="417"/>
      <c r="B181" s="454"/>
      <c r="C181" s="454"/>
      <c r="D181" s="786" t="s">
        <v>2637</v>
      </c>
      <c r="E181" s="786"/>
      <c r="F181" s="786"/>
      <c r="G181" s="786"/>
      <c r="H181" s="786"/>
      <c r="I181" s="786"/>
      <c r="J181" s="786"/>
      <c r="K181" s="786"/>
      <c r="L181" s="786"/>
      <c r="M181" s="417"/>
      <c r="N181" s="417"/>
      <c r="O181" s="417"/>
      <c r="P181" s="417"/>
      <c r="Q181" s="417"/>
    </row>
    <row r="182" spans="1:54" ht="12.75" customHeight="1">
      <c r="A182" s="417"/>
      <c r="B182" s="454"/>
      <c r="C182" s="454"/>
      <c r="D182" s="787">
        <f>E182-$G$274</f>
        <v>1</v>
      </c>
      <c r="E182" s="787">
        <f>F182-$G$274</f>
        <v>1.25</v>
      </c>
      <c r="F182" s="787">
        <f>G182-$G$274</f>
        <v>1.5</v>
      </c>
      <c r="G182" s="787">
        <f>H182-$G$274</f>
        <v>1.75</v>
      </c>
      <c r="H182" s="787">
        <f>$G$273</f>
        <v>2</v>
      </c>
      <c r="I182" s="787">
        <f>H182+$G$274</f>
        <v>2.25</v>
      </c>
      <c r="J182" s="787">
        <f>I182+$G$274</f>
        <v>2.5</v>
      </c>
      <c r="K182" s="787">
        <f>J182+$G$274</f>
        <v>2.75</v>
      </c>
      <c r="L182" s="787">
        <f>K182+$G$274</f>
        <v>3</v>
      </c>
      <c r="M182" s="417"/>
      <c r="N182" s="417"/>
      <c r="O182" s="417"/>
      <c r="P182" s="417"/>
      <c r="Q182" s="417"/>
      <c r="AT182" s="833" t="s">
        <v>2748</v>
      </c>
      <c r="AU182" s="427"/>
      <c r="AV182" s="427"/>
      <c r="AW182" s="427"/>
      <c r="AX182" s="427"/>
      <c r="AY182" s="427"/>
      <c r="AZ182" s="427"/>
      <c r="BA182" s="427"/>
      <c r="BB182" s="427"/>
    </row>
    <row r="183" spans="1:54" ht="15" customHeight="1">
      <c r="A183" s="417"/>
      <c r="B183" s="804" t="s">
        <v>2711</v>
      </c>
      <c r="C183" s="828">
        <f>C184+$G$291</f>
        <v>60</v>
      </c>
      <c r="D183" s="806">
        <f>IFERROR(Z170/$G$263,0)</f>
        <v>1.78477626935644</v>
      </c>
      <c r="E183" s="806">
        <f t="shared" ref="E183:L183" si="220">IFERROR(AA170/$G$263,0)</f>
        <v>1.8956450312224558</v>
      </c>
      <c r="F183" s="806">
        <f t="shared" si="220"/>
        <v>2.0065137930884713</v>
      </c>
      <c r="G183" s="806">
        <f t="shared" si="220"/>
        <v>2.1173825549544874</v>
      </c>
      <c r="H183" s="806">
        <f t="shared" si="220"/>
        <v>2.2282513168205029</v>
      </c>
      <c r="I183" s="806">
        <f t="shared" si="220"/>
        <v>2.3391200786865185</v>
      </c>
      <c r="J183" s="806">
        <f t="shared" si="220"/>
        <v>2.4499888405525345</v>
      </c>
      <c r="K183" s="806">
        <f t="shared" si="220"/>
        <v>2.5608576024185501</v>
      </c>
      <c r="L183" s="806">
        <f t="shared" si="220"/>
        <v>2.6717263642845657</v>
      </c>
      <c r="M183" s="417"/>
      <c r="N183" s="417"/>
      <c r="O183" s="417"/>
      <c r="P183" s="417"/>
      <c r="Q183" s="417"/>
      <c r="AT183" s="832">
        <f>IF(Z210&lt;$G$282,0,MIN($G$279,1+IFERROR(INT((Z210-$G$282)/$G$297),0)))</f>
        <v>0</v>
      </c>
      <c r="AU183" s="832">
        <f t="shared" ref="AU183:BB183" si="221">IF(AA210&lt;$G$282,0,MIN($G$279,1+IFERROR(INT((AA210-$G$282)/$G$297),0)))</f>
        <v>0</v>
      </c>
      <c r="AV183" s="832">
        <f t="shared" si="221"/>
        <v>0</v>
      </c>
      <c r="AW183" s="832">
        <f t="shared" si="221"/>
        <v>0</v>
      </c>
      <c r="AX183" s="832">
        <f t="shared" si="221"/>
        <v>0</v>
      </c>
      <c r="AY183" s="832">
        <f t="shared" si="221"/>
        <v>2</v>
      </c>
      <c r="AZ183" s="832">
        <f t="shared" si="221"/>
        <v>3</v>
      </c>
      <c r="BA183" s="832">
        <f t="shared" si="221"/>
        <v>4</v>
      </c>
      <c r="BB183" s="832">
        <f t="shared" si="221"/>
        <v>6</v>
      </c>
    </row>
    <row r="184" spans="1:54" ht="15" customHeight="1">
      <c r="A184" s="417"/>
      <c r="B184" s="800"/>
      <c r="C184" s="828">
        <f>C185+$G$291</f>
        <v>56</v>
      </c>
      <c r="D184" s="806">
        <f t="shared" ref="D184:L184" si="222">IFERROR(Z171/$G$263,0)</f>
        <v>1.7147707141656294</v>
      </c>
      <c r="E184" s="806">
        <f t="shared" si="222"/>
        <v>1.8256394760316452</v>
      </c>
      <c r="F184" s="806">
        <f t="shared" si="222"/>
        <v>1.936508237897661</v>
      </c>
      <c r="G184" s="806">
        <f t="shared" si="222"/>
        <v>2.0473769997636766</v>
      </c>
      <c r="H184" s="806">
        <f t="shared" si="222"/>
        <v>2.1582457616296926</v>
      </c>
      <c r="I184" s="806">
        <f t="shared" si="222"/>
        <v>2.2691145234957082</v>
      </c>
      <c r="J184" s="806">
        <f t="shared" si="222"/>
        <v>2.3799832853617238</v>
      </c>
      <c r="K184" s="806">
        <f t="shared" si="222"/>
        <v>2.4908520472277398</v>
      </c>
      <c r="L184" s="806">
        <f t="shared" si="222"/>
        <v>2.6017208090937554</v>
      </c>
      <c r="M184" s="417"/>
      <c r="N184" s="417"/>
      <c r="O184" s="417"/>
      <c r="P184" s="417"/>
      <c r="Q184" s="417"/>
      <c r="AT184" s="832">
        <f t="shared" ref="AT184:BB184" si="223">IF(Z211&lt;$G$282,0,MIN($G$279,1+IFERROR(INT((Z211-$G$282)/$G$297),0)))</f>
        <v>0</v>
      </c>
      <c r="AU184" s="832">
        <f t="shared" si="223"/>
        <v>0</v>
      </c>
      <c r="AV184" s="832">
        <f t="shared" si="223"/>
        <v>0</v>
      </c>
      <c r="AW184" s="832">
        <f t="shared" si="223"/>
        <v>0</v>
      </c>
      <c r="AX184" s="832">
        <f t="shared" si="223"/>
        <v>1</v>
      </c>
      <c r="AY184" s="832">
        <f t="shared" si="223"/>
        <v>2</v>
      </c>
      <c r="AZ184" s="832">
        <f t="shared" si="223"/>
        <v>4</v>
      </c>
      <c r="BA184" s="832">
        <f t="shared" si="223"/>
        <v>5</v>
      </c>
      <c r="BB184" s="832">
        <f t="shared" si="223"/>
        <v>6</v>
      </c>
    </row>
    <row r="185" spans="1:54" ht="15" customHeight="1">
      <c r="A185" s="417"/>
      <c r="B185" s="800"/>
      <c r="C185" s="828">
        <f>C186+$G$291</f>
        <v>52</v>
      </c>
      <c r="D185" s="806">
        <f t="shared" ref="D185:L185" si="224">IFERROR(Z172/$G$263,0)</f>
        <v>1.6447651589748185</v>
      </c>
      <c r="E185" s="806">
        <f t="shared" si="224"/>
        <v>1.755633920840834</v>
      </c>
      <c r="F185" s="806">
        <f t="shared" si="224"/>
        <v>1.8665026827068498</v>
      </c>
      <c r="G185" s="806">
        <f t="shared" si="224"/>
        <v>1.9773714445728656</v>
      </c>
      <c r="H185" s="806">
        <f t="shared" si="224"/>
        <v>2.0882402064388814</v>
      </c>
      <c r="I185" s="806">
        <f t="shared" si="224"/>
        <v>2.199108968304897</v>
      </c>
      <c r="J185" s="806">
        <f t="shared" si="224"/>
        <v>2.3099777301709126</v>
      </c>
      <c r="K185" s="806">
        <f t="shared" si="224"/>
        <v>2.4208464920369286</v>
      </c>
      <c r="L185" s="806">
        <f t="shared" si="224"/>
        <v>2.5317152539029442</v>
      </c>
      <c r="M185" s="417"/>
      <c r="N185" s="417"/>
      <c r="O185" s="417"/>
      <c r="P185" s="417"/>
      <c r="Q185" s="417"/>
      <c r="AT185" s="832">
        <f t="shared" ref="AT185:BB185" si="225">IF(Z212&lt;$G$282,0,MIN($G$279,1+IFERROR(INT((Z212-$G$282)/$G$297),0)))</f>
        <v>0</v>
      </c>
      <c r="AU185" s="832">
        <f t="shared" si="225"/>
        <v>0</v>
      </c>
      <c r="AV185" s="832">
        <f t="shared" si="225"/>
        <v>0</v>
      </c>
      <c r="AW185" s="832">
        <f t="shared" si="225"/>
        <v>1</v>
      </c>
      <c r="AX185" s="832">
        <f t="shared" si="225"/>
        <v>2</v>
      </c>
      <c r="AY185" s="832">
        <f t="shared" si="225"/>
        <v>3</v>
      </c>
      <c r="AZ185" s="832">
        <f t="shared" si="225"/>
        <v>5</v>
      </c>
      <c r="BA185" s="832">
        <f t="shared" si="225"/>
        <v>6</v>
      </c>
      <c r="BB185" s="832">
        <f t="shared" si="225"/>
        <v>7</v>
      </c>
    </row>
    <row r="186" spans="1:54" ht="15" customHeight="1">
      <c r="A186" s="417"/>
      <c r="B186" s="800"/>
      <c r="C186" s="828">
        <f>$G$290</f>
        <v>48</v>
      </c>
      <c r="D186" s="806">
        <f t="shared" ref="D186:L186" si="226">IFERROR(Z173/$G$263,0)</f>
        <v>1.5747596037840077</v>
      </c>
      <c r="E186" s="806">
        <f t="shared" si="226"/>
        <v>1.6856283656500233</v>
      </c>
      <c r="F186" s="806">
        <f t="shared" si="226"/>
        <v>1.7964971275160388</v>
      </c>
      <c r="G186" s="806">
        <f t="shared" si="226"/>
        <v>1.9073658893820551</v>
      </c>
      <c r="H186" s="807">
        <f t="shared" si="226"/>
        <v>2.0182346512480702</v>
      </c>
      <c r="I186" s="806">
        <f t="shared" si="226"/>
        <v>2.1291034131140867</v>
      </c>
      <c r="J186" s="806">
        <f t="shared" si="226"/>
        <v>2.2399721749801018</v>
      </c>
      <c r="K186" s="806">
        <f t="shared" si="226"/>
        <v>2.3508409368461178</v>
      </c>
      <c r="L186" s="806">
        <f t="shared" si="226"/>
        <v>2.461709698712133</v>
      </c>
      <c r="M186" s="417"/>
      <c r="N186" s="417"/>
      <c r="O186" s="417"/>
      <c r="P186" s="417"/>
      <c r="Q186" s="417"/>
      <c r="AT186" s="832">
        <f t="shared" ref="AT186:BB186" si="227">IF(Z213&lt;$G$282,0,MIN($G$279,1+IFERROR(INT((Z213-$G$282)/$G$297),0)))</f>
        <v>0</v>
      </c>
      <c r="AU186" s="832">
        <f t="shared" si="227"/>
        <v>0</v>
      </c>
      <c r="AV186" s="832">
        <f t="shared" si="227"/>
        <v>0</v>
      </c>
      <c r="AW186" s="832">
        <f t="shared" si="227"/>
        <v>1</v>
      </c>
      <c r="AX186" s="832">
        <f t="shared" si="227"/>
        <v>3</v>
      </c>
      <c r="AY186" s="832">
        <f t="shared" si="227"/>
        <v>4</v>
      </c>
      <c r="AZ186" s="832">
        <f t="shared" si="227"/>
        <v>5</v>
      </c>
      <c r="BA186" s="832">
        <f t="shared" si="227"/>
        <v>7</v>
      </c>
      <c r="BB186" s="832">
        <f t="shared" si="227"/>
        <v>8</v>
      </c>
    </row>
    <row r="187" spans="1:54" ht="15" customHeight="1">
      <c r="A187" s="417"/>
      <c r="B187" s="800"/>
      <c r="C187" s="828">
        <f>C186-$G$291</f>
        <v>44</v>
      </c>
      <c r="D187" s="806">
        <f t="shared" ref="D187:L187" si="228">IFERROR(Z174/$G$263,0)</f>
        <v>1.5047540485931967</v>
      </c>
      <c r="E187" s="806">
        <f t="shared" si="228"/>
        <v>1.6156228104592125</v>
      </c>
      <c r="F187" s="806">
        <f t="shared" si="228"/>
        <v>1.7264915723252283</v>
      </c>
      <c r="G187" s="806">
        <f t="shared" si="228"/>
        <v>1.8373603341912439</v>
      </c>
      <c r="H187" s="806">
        <f t="shared" si="228"/>
        <v>1.9482290960572597</v>
      </c>
      <c r="I187" s="806">
        <f t="shared" si="228"/>
        <v>2.0590978579232755</v>
      </c>
      <c r="J187" s="806">
        <f t="shared" si="228"/>
        <v>2.1699666197892911</v>
      </c>
      <c r="K187" s="806">
        <f t="shared" si="228"/>
        <v>2.2808353816553071</v>
      </c>
      <c r="L187" s="806">
        <f t="shared" si="228"/>
        <v>2.3917041435213227</v>
      </c>
      <c r="M187" s="417"/>
      <c r="N187" s="417"/>
      <c r="O187" s="417"/>
      <c r="P187" s="417"/>
      <c r="Q187" s="417"/>
      <c r="AT187" s="832">
        <f t="shared" ref="AT187:BB187" si="229">IF(Z214&lt;$G$282,0,MIN($G$279,1+IFERROR(INT((Z214-$G$282)/$G$297),0)))</f>
        <v>0</v>
      </c>
      <c r="AU187" s="832">
        <f t="shared" si="229"/>
        <v>0</v>
      </c>
      <c r="AV187" s="832">
        <f t="shared" si="229"/>
        <v>1</v>
      </c>
      <c r="AW187" s="832">
        <f t="shared" si="229"/>
        <v>2</v>
      </c>
      <c r="AX187" s="832">
        <f t="shared" si="229"/>
        <v>4</v>
      </c>
      <c r="AY187" s="832">
        <f t="shared" si="229"/>
        <v>5</v>
      </c>
      <c r="AZ187" s="832">
        <f t="shared" si="229"/>
        <v>6</v>
      </c>
      <c r="BA187" s="832">
        <f t="shared" si="229"/>
        <v>8</v>
      </c>
      <c r="BB187" s="832">
        <f t="shared" si="229"/>
        <v>9</v>
      </c>
    </row>
    <row r="188" spans="1:54" ht="15" customHeight="1">
      <c r="A188" s="417"/>
      <c r="B188" s="800"/>
      <c r="C188" s="828">
        <f>C187-$G$291</f>
        <v>40</v>
      </c>
      <c r="D188" s="806">
        <f t="shared" ref="D188:L188" si="230">IFERROR(Z175/$G$263,0)</f>
        <v>1.4347484934023857</v>
      </c>
      <c r="E188" s="806">
        <f t="shared" si="230"/>
        <v>1.5456172552684011</v>
      </c>
      <c r="F188" s="806">
        <f t="shared" si="230"/>
        <v>1.6564860171344169</v>
      </c>
      <c r="G188" s="806">
        <f t="shared" si="230"/>
        <v>1.7673547790004329</v>
      </c>
      <c r="H188" s="806">
        <f t="shared" si="230"/>
        <v>1.878223540866448</v>
      </c>
      <c r="I188" s="806">
        <f t="shared" si="230"/>
        <v>1.9890923027324643</v>
      </c>
      <c r="J188" s="806">
        <f t="shared" si="230"/>
        <v>2.0999610645984794</v>
      </c>
      <c r="K188" s="806">
        <f t="shared" si="230"/>
        <v>2.2108298264644959</v>
      </c>
      <c r="L188" s="806">
        <f t="shared" si="230"/>
        <v>2.321698588330511</v>
      </c>
      <c r="M188" s="417"/>
      <c r="N188" s="417"/>
      <c r="O188" s="417"/>
      <c r="P188" s="417"/>
      <c r="Q188" s="417"/>
      <c r="AT188" s="832">
        <f t="shared" ref="AT188:BB188" si="231">IF(Z215&lt;$G$282,0,MIN($G$279,1+IFERROR(INT((Z215-$G$282)/$G$297),0)))</f>
        <v>0</v>
      </c>
      <c r="AU188" s="832">
        <f t="shared" si="231"/>
        <v>0</v>
      </c>
      <c r="AV188" s="832">
        <f t="shared" si="231"/>
        <v>2</v>
      </c>
      <c r="AW188" s="832">
        <f t="shared" si="231"/>
        <v>3</v>
      </c>
      <c r="AX188" s="832">
        <f t="shared" si="231"/>
        <v>4</v>
      </c>
      <c r="AY188" s="832">
        <f t="shared" si="231"/>
        <v>6</v>
      </c>
      <c r="AZ188" s="832">
        <f t="shared" si="231"/>
        <v>7</v>
      </c>
      <c r="BA188" s="832">
        <f t="shared" si="231"/>
        <v>8</v>
      </c>
      <c r="BB188" s="832">
        <f t="shared" si="231"/>
        <v>10</v>
      </c>
    </row>
    <row r="189" spans="1:54" ht="15" customHeight="1">
      <c r="A189" s="417"/>
      <c r="B189" s="801"/>
      <c r="C189" s="829">
        <f>C188-$G$291</f>
        <v>36</v>
      </c>
      <c r="D189" s="808">
        <f t="shared" ref="D189:L189" si="232">IFERROR(Z176/$G$263,0)</f>
        <v>1.3647429382115752</v>
      </c>
      <c r="E189" s="808">
        <f t="shared" si="232"/>
        <v>1.4756117000775908</v>
      </c>
      <c r="F189" s="808">
        <f t="shared" si="232"/>
        <v>1.5864804619436066</v>
      </c>
      <c r="G189" s="808">
        <f t="shared" si="232"/>
        <v>1.6973492238096224</v>
      </c>
      <c r="H189" s="808">
        <f t="shared" si="232"/>
        <v>1.808217985675638</v>
      </c>
      <c r="I189" s="808">
        <f t="shared" si="232"/>
        <v>1.9190867475416538</v>
      </c>
      <c r="J189" s="808">
        <f t="shared" si="232"/>
        <v>2.0299555094076696</v>
      </c>
      <c r="K189" s="808">
        <f t="shared" si="232"/>
        <v>2.1408242712736851</v>
      </c>
      <c r="L189" s="808">
        <f t="shared" si="232"/>
        <v>2.2516930331397011</v>
      </c>
      <c r="M189" s="417"/>
      <c r="N189" s="417"/>
      <c r="O189" s="417"/>
      <c r="P189" s="417"/>
      <c r="Q189" s="417"/>
      <c r="AT189" s="832">
        <f t="shared" ref="AT189:BB189" si="233">IF(Z216&lt;$G$282,0,MIN($G$279,1+IFERROR(INT((Z216-$G$282)/$G$297),0)))</f>
        <v>0</v>
      </c>
      <c r="AU189" s="832">
        <f t="shared" si="233"/>
        <v>1</v>
      </c>
      <c r="AV189" s="832">
        <f t="shared" si="233"/>
        <v>3</v>
      </c>
      <c r="AW189" s="832">
        <f t="shared" si="233"/>
        <v>4</v>
      </c>
      <c r="AX189" s="832">
        <f t="shared" si="233"/>
        <v>5</v>
      </c>
      <c r="AY189" s="832">
        <f t="shared" si="233"/>
        <v>7</v>
      </c>
      <c r="AZ189" s="832">
        <f t="shared" si="233"/>
        <v>8</v>
      </c>
      <c r="BA189" s="832">
        <f t="shared" si="233"/>
        <v>9</v>
      </c>
      <c r="BB189" s="832">
        <f t="shared" si="233"/>
        <v>10</v>
      </c>
    </row>
    <row r="190" spans="1:54" ht="15" hidden="1" customHeight="1" outlineLevel="1">
      <c r="A190" s="417"/>
      <c r="B190" s="423" t="s">
        <v>2733</v>
      </c>
      <c r="D190" s="417"/>
      <c r="E190" s="417"/>
      <c r="F190" s="417"/>
      <c r="G190" s="417"/>
      <c r="H190" s="417"/>
      <c r="I190" s="417"/>
      <c r="J190" s="417"/>
      <c r="K190" s="417"/>
      <c r="L190" s="417"/>
      <c r="M190" s="417"/>
      <c r="N190" s="417"/>
      <c r="O190" s="417"/>
      <c r="P190" s="417"/>
      <c r="Q190" s="417"/>
    </row>
    <row r="191" spans="1:54" ht="3.95" customHeight="1" collapsed="1">
      <c r="A191" s="417"/>
      <c r="M191" s="417"/>
      <c r="N191" s="417"/>
      <c r="O191" s="417"/>
      <c r="P191" s="417"/>
      <c r="Q191" s="417"/>
    </row>
    <row r="192" spans="1:54" ht="15" customHeight="1">
      <c r="A192" s="417"/>
      <c r="B192" s="148" t="s">
        <v>2721</v>
      </c>
      <c r="C192" s="417"/>
      <c r="D192" s="417"/>
      <c r="E192" s="417"/>
      <c r="F192" s="417"/>
      <c r="G192" s="417"/>
      <c r="H192" s="417"/>
      <c r="I192" s="417"/>
      <c r="J192" s="417"/>
      <c r="K192" s="417"/>
      <c r="L192" s="417"/>
      <c r="M192" s="417"/>
      <c r="N192" s="417"/>
      <c r="O192" s="417"/>
      <c r="P192" s="417"/>
      <c r="Q192" s="417"/>
    </row>
    <row r="193" spans="1:54" ht="2.1" customHeight="1">
      <c r="A193" s="417"/>
      <c r="B193" s="417"/>
      <c r="C193" s="417"/>
      <c r="D193" s="417"/>
      <c r="E193" s="417"/>
      <c r="F193" s="417"/>
      <c r="G193" s="417"/>
      <c r="H193" s="417"/>
      <c r="I193" s="417"/>
      <c r="J193" s="417"/>
      <c r="K193" s="417"/>
      <c r="L193" s="417"/>
      <c r="M193" s="417"/>
      <c r="N193" s="417"/>
      <c r="O193" s="417"/>
      <c r="P193" s="417"/>
      <c r="Q193" s="417"/>
    </row>
    <row r="194" spans="1:54" ht="12.75" customHeight="1">
      <c r="A194" s="417"/>
      <c r="B194" s="454"/>
      <c r="C194" s="454"/>
      <c r="D194" s="786" t="s">
        <v>2637</v>
      </c>
      <c r="E194" s="786"/>
      <c r="F194" s="786"/>
      <c r="G194" s="786"/>
      <c r="H194" s="786"/>
      <c r="I194" s="786"/>
      <c r="J194" s="786"/>
      <c r="K194" s="786"/>
      <c r="L194" s="786"/>
      <c r="M194" s="417"/>
      <c r="N194" s="417"/>
      <c r="O194" s="417"/>
      <c r="P194" s="417"/>
      <c r="Q194" s="417"/>
    </row>
    <row r="195" spans="1:54" ht="12.75" customHeight="1">
      <c r="A195" s="417"/>
      <c r="B195" s="454"/>
      <c r="C195" s="454"/>
      <c r="D195" s="787">
        <f>E195-$G$274</f>
        <v>1</v>
      </c>
      <c r="E195" s="787">
        <f>F195-$G$274</f>
        <v>1.25</v>
      </c>
      <c r="F195" s="787">
        <f>G195-$G$274</f>
        <v>1.5</v>
      </c>
      <c r="G195" s="787">
        <f>H195-$G$274</f>
        <v>1.75</v>
      </c>
      <c r="H195" s="787">
        <f>$G$273</f>
        <v>2</v>
      </c>
      <c r="I195" s="787">
        <f>H195+$G$274</f>
        <v>2.25</v>
      </c>
      <c r="J195" s="787">
        <f>I195+$G$274</f>
        <v>2.5</v>
      </c>
      <c r="K195" s="787">
        <f>J195+$G$274</f>
        <v>2.75</v>
      </c>
      <c r="L195" s="787">
        <f>K195+$G$274</f>
        <v>3</v>
      </c>
      <c r="M195" s="417"/>
      <c r="N195" s="417"/>
      <c r="O195" s="417"/>
      <c r="P195" s="417"/>
      <c r="Q195" s="417"/>
      <c r="AT195" s="833" t="s">
        <v>2748</v>
      </c>
      <c r="AU195" s="427"/>
      <c r="AV195" s="427"/>
      <c r="AW195" s="427"/>
      <c r="AX195" s="427"/>
      <c r="AY195" s="427"/>
      <c r="AZ195" s="427"/>
      <c r="BA195" s="427"/>
      <c r="BB195" s="427"/>
    </row>
    <row r="196" spans="1:54" ht="15" customHeight="1">
      <c r="A196" s="417"/>
      <c r="B196" s="804" t="s">
        <v>2711</v>
      </c>
      <c r="C196" s="828">
        <f>C197+$G$291</f>
        <v>60</v>
      </c>
      <c r="D196" s="814" cm="1">
        <f t="array" ref="D196">IFERROR(IRR(IF($S$9:$X$9=0,$O$18-$G$263,0)+IF($S$9:$X$9=$G$277,$G$268,0)+IF($S$9:$X$9=$G$278,Z170+$G$263-$O$18-$G$268,0)),0)</f>
        <v>0.26804127293742508</v>
      </c>
      <c r="E196" s="814" cm="1">
        <f t="array" ref="E196">IFERROR(IRR(IF($S$9:$X$9=0,$O$18-$G$263,0)+IF($S$9:$X$9=$G$277,$G$268,0)+IF($S$9:$X$9=$G$278,AA170+$G$263-$O$18-$G$268,0)),0)</f>
        <v>0.27880557150816876</v>
      </c>
      <c r="F196" s="814" cm="1">
        <f t="array" ref="F196">IFERROR(IRR(IF($S$9:$X$9=0,$O$18-$G$263,0)+IF($S$9:$X$9=$G$277,$G$268,0)+IF($S$9:$X$9=$G$278,AB170+$G$263-$O$18-$G$268,0)),0)</f>
        <v>0.28921918515034362</v>
      </c>
      <c r="G196" s="814" cm="1">
        <f t="array" ref="G196">IFERROR(IRR(IF($S$9:$X$9=0,$O$18-$G$263,0)+IF($S$9:$X$9=$G$277,$G$268,0)+IF($S$9:$X$9=$G$278,AC170+$G$263-$O$18-$G$268,0)),0)</f>
        <v>0.29930681757644817</v>
      </c>
      <c r="H196" s="814" cm="1">
        <f t="array" ref="H196">IFERROR(IRR(IF($S$9:$X$9=0,$O$18-$G$263,0)+IF($S$9:$X$9=$G$277,$G$268,0)+IF($S$9:$X$9=$G$278,AD170+$G$263-$O$18-$G$268,0)),0)</f>
        <v>0.30909056706938376</v>
      </c>
      <c r="I196" s="814" cm="1">
        <f t="array" ref="I196">IFERROR(IRR(IF($S$9:$X$9=0,$O$18-$G$263,0)+IF($S$9:$X$9=$G$277,$G$268,0)+IF($S$9:$X$9=$G$278,AE170+$G$263-$O$18-$G$268,0)),0)</f>
        <v>0.31859028586825766</v>
      </c>
      <c r="J196" s="814" cm="1">
        <f t="array" ref="J196">IFERROR(IRR(IF($S$9:$X$9=0,$O$18-$G$263,0)+IF($S$9:$X$9=$G$277,$G$268,0)+IF($S$9:$X$9=$G$278,AF170+$G$263-$O$18-$G$268,0)),0)</f>
        <v>0.32782387922577394</v>
      </c>
      <c r="K196" s="814" cm="1">
        <f t="array" ref="K196">IFERROR(IRR(IF($S$9:$X$9=0,$O$18-$G$263,0)+IF($S$9:$X$9=$G$277,$G$268,0)+IF($S$9:$X$9=$G$278,AG170+$G$263-$O$18-$G$268,0)),0)</f>
        <v>0.33680755578102639</v>
      </c>
      <c r="L196" s="814" cm="1">
        <f t="array" ref="L196">IFERROR(IRR(IF($S$9:$X$9=0,$O$18-$G$263,0)+IF($S$9:$X$9=$G$277,$G$268,0)+IF($S$9:$X$9=$G$278,AH170+$G$263-$O$18-$G$268,0)),0)</f>
        <v>0.34555603862472162</v>
      </c>
      <c r="M196" s="417"/>
      <c r="N196" s="417"/>
      <c r="O196" s="417"/>
      <c r="P196" s="417"/>
      <c r="Q196" s="417"/>
      <c r="AT196" s="832">
        <f>IF(Z210&lt;$G$282,0,MIN($G$279,1+IFERROR(INT((Z210-$G$282)/$G$297),0)))</f>
        <v>0</v>
      </c>
      <c r="AU196" s="832">
        <f t="shared" ref="AU196:BB196" si="234">IF(AA210&lt;$G$282,0,MIN($G$279,1+IFERROR(INT((AA210-$G$282)/$G$297),0)))</f>
        <v>0</v>
      </c>
      <c r="AV196" s="832">
        <f t="shared" si="234"/>
        <v>0</v>
      </c>
      <c r="AW196" s="832">
        <f t="shared" si="234"/>
        <v>0</v>
      </c>
      <c r="AX196" s="832">
        <f t="shared" si="234"/>
        <v>0</v>
      </c>
      <c r="AY196" s="832">
        <f t="shared" si="234"/>
        <v>2</v>
      </c>
      <c r="AZ196" s="832">
        <f t="shared" si="234"/>
        <v>3</v>
      </c>
      <c r="BA196" s="832">
        <f t="shared" si="234"/>
        <v>4</v>
      </c>
      <c r="BB196" s="832">
        <f t="shared" si="234"/>
        <v>6</v>
      </c>
    </row>
    <row r="197" spans="1:54" ht="15" customHeight="1">
      <c r="A197" s="417"/>
      <c r="B197" s="800"/>
      <c r="C197" s="828">
        <f>C198+$G$291</f>
        <v>56</v>
      </c>
      <c r="D197" s="814" cm="1">
        <f t="array" ref="D197">IFERROR(IRR(IF($S$9:$X$9=0,$O$18-$G$263,0)+IF($S$9:$X$9=$G$277,$G$268,0)+IF($S$9:$X$9=$G$278,Z171+$G$263-$O$18-$G$268,0)),0)</f>
        <v>0.26105138396083261</v>
      </c>
      <c r="E197" s="814" cm="1">
        <f t="array" ref="E197">IFERROR(IRR(IF($S$9:$X$9=0,$O$18-$G$263,0)+IF($S$9:$X$9=$G$277,$G$268,0)+IF($S$9:$X$9=$G$278,AA171+$G$263-$O$18-$G$268,0)),0)</f>
        <v>0.27205119143860101</v>
      </c>
      <c r="F197" s="814" cm="1">
        <f t="array" ref="F197">IFERROR(IRR(IF($S$9:$X$9=0,$O$18-$G$263,0)+IF($S$9:$X$9=$G$277,$G$268,0)+IF($S$9:$X$9=$G$278,AB171+$G$263-$O$18-$G$268,0)),0)</f>
        <v>0.28268318048262664</v>
      </c>
      <c r="G197" s="814" cm="1">
        <f t="array" ref="G197">IFERROR(IRR(IF($S$9:$X$9=0,$O$18-$G$263,0)+IF($S$9:$X$9=$G$277,$G$268,0)+IF($S$9:$X$9=$G$278,AC171+$G$263-$O$18-$G$268,0)),0)</f>
        <v>0.29297391859093191</v>
      </c>
      <c r="H197" s="814" cm="1">
        <f t="array" ref="H197">IFERROR(IRR(IF($S$9:$X$9=0,$O$18-$G$263,0)+IF($S$9:$X$9=$G$277,$G$268,0)+IF($S$9:$X$9=$G$278,AD171+$G$263-$O$18-$G$268,0)),0)</f>
        <v>0.30294710294532767</v>
      </c>
      <c r="I197" s="814" cm="1">
        <f t="array" ref="I197">IFERROR(IRR(IF($S$9:$X$9=0,$O$18-$G$263,0)+IF($S$9:$X$9=$G$277,$G$268,0)+IF($S$9:$X$9=$G$278,AE171+$G$263-$O$18-$G$268,0)),0)</f>
        <v>0.31262396565948758</v>
      </c>
      <c r="J197" s="814" cm="1">
        <f t="array" ref="J197">IFERROR(IRR(IF($S$9:$X$9=0,$O$18-$G$263,0)+IF($S$9:$X$9=$G$277,$G$268,0)+IF($S$9:$X$9=$G$278,AF171+$G$263-$O$18-$G$268,0)),0)</f>
        <v>0.3220236093951736</v>
      </c>
      <c r="K197" s="814" cm="1">
        <f t="array" ref="K197">IFERROR(IRR(IF($S$9:$X$9=0,$O$18-$G$263,0)+IF($S$9:$X$9=$G$277,$G$268,0)+IF($S$9:$X$9=$G$278,AG171+$G$263-$O$18-$G$268,0)),0)</f>
        <v>0.33116328720158039</v>
      </c>
      <c r="L197" s="814" cm="1">
        <f t="array" ref="L197">IFERROR(IRR(IF($S$9:$X$9=0,$O$18-$G$263,0)+IF($S$9:$X$9=$G$277,$G$268,0)+IF($S$9:$X$9=$G$278,AH171+$G$263-$O$18-$G$268,0)),0)</f>
        <v>0.34005863747001586</v>
      </c>
      <c r="M197" s="417"/>
      <c r="N197" s="417"/>
      <c r="O197" s="417"/>
      <c r="P197" s="417"/>
      <c r="Q197" s="417"/>
      <c r="AT197" s="832">
        <f t="shared" ref="AT197:BB197" si="235">IF(Z211&lt;$G$282,0,MIN($G$279,1+IFERROR(INT((Z211-$G$282)/$G$297),0)))</f>
        <v>0</v>
      </c>
      <c r="AU197" s="832">
        <f t="shared" si="235"/>
        <v>0</v>
      </c>
      <c r="AV197" s="832">
        <f t="shared" si="235"/>
        <v>0</v>
      </c>
      <c r="AW197" s="832">
        <f t="shared" si="235"/>
        <v>0</v>
      </c>
      <c r="AX197" s="832">
        <f t="shared" si="235"/>
        <v>1</v>
      </c>
      <c r="AY197" s="832">
        <f t="shared" si="235"/>
        <v>2</v>
      </c>
      <c r="AZ197" s="832">
        <f t="shared" si="235"/>
        <v>4</v>
      </c>
      <c r="BA197" s="832">
        <f t="shared" si="235"/>
        <v>5</v>
      </c>
      <c r="BB197" s="832">
        <f t="shared" si="235"/>
        <v>6</v>
      </c>
    </row>
    <row r="198" spans="1:54" ht="15" customHeight="1">
      <c r="A198" s="417"/>
      <c r="B198" s="800"/>
      <c r="C198" s="828">
        <f>C199+$G$291</f>
        <v>52</v>
      </c>
      <c r="D198" s="814" cm="1">
        <f t="array" ref="D198">IFERROR(IRR(IF($S$9:$X$9=0,$O$18-$G$263,0)+IF($S$9:$X$9=$G$277,$G$268,0)+IF($S$9:$X$9=$G$278,Z172+$G$263-$O$18-$G$268,0)),0)</f>
        <v>0.25390299106051017</v>
      </c>
      <c r="E198" s="814" cm="1">
        <f t="array" ref="E198">IFERROR(IRR(IF($S$9:$X$9=0,$O$18-$G$263,0)+IF($S$9:$X$9=$G$277,$G$268,0)+IF($S$9:$X$9=$G$278,AA172+$G$263-$O$18-$G$268,0)),0)</f>
        <v>0.2651502289645411</v>
      </c>
      <c r="F198" s="814" cm="1">
        <f t="array" ref="F198">IFERROR(IRR(IF($S$9:$X$9=0,$O$18-$G$263,0)+IF($S$9:$X$9=$G$277,$G$268,0)+IF($S$9:$X$9=$G$278,AB172+$G$263-$O$18-$G$268,0)),0)</f>
        <v>0.27601117608360082</v>
      </c>
      <c r="G198" s="814" cm="1">
        <f t="array" ref="G198">IFERROR(IRR(IF($S$9:$X$9=0,$O$18-$G$263,0)+IF($S$9:$X$9=$G$277,$G$268,0)+IF($S$9:$X$9=$G$278,AC172+$G$263-$O$18-$G$268,0)),0)</f>
        <v>0.28651445989076962</v>
      </c>
      <c r="H198" s="814" cm="1">
        <f t="array" ref="H198">IFERROR(IRR(IF($S$9:$X$9=0,$O$18-$G$263,0)+IF($S$9:$X$9=$G$277,$G$268,0)+IF($S$9:$X$9=$G$278,AD172+$G$263-$O$18-$G$268,0)),0)</f>
        <v>0.29668553768638795</v>
      </c>
      <c r="I198" s="814" cm="1">
        <f t="array" ref="I198">IFERROR(IRR(IF($S$9:$X$9=0,$O$18-$G$263,0)+IF($S$9:$X$9=$G$277,$G$268,0)+IF($S$9:$X$9=$G$278,AE172+$G$263-$O$18-$G$268,0)),0)</f>
        <v>0.30654715499287577</v>
      </c>
      <c r="J198" s="814" cm="1">
        <f t="array" ref="J198">IFERROR(IRR(IF($S$9:$X$9=0,$O$18-$G$263,0)+IF($S$9:$X$9=$G$277,$G$268,0)+IF($S$9:$X$9=$G$278,AF172+$G$263-$O$18-$G$268,0)),0)</f>
        <v>0.31611972322955229</v>
      </c>
      <c r="K198" s="814" cm="1">
        <f t="array" ref="K198">IFERROR(IRR(IF($S$9:$X$9=0,$O$18-$G$263,0)+IF($S$9:$X$9=$G$277,$G$268,0)+IF($S$9:$X$9=$G$278,AG172+$G$263-$O$18-$G$268,0)),0)</f>
        <v>0.32542163336989183</v>
      </c>
      <c r="L198" s="814" cm="1">
        <f t="array" ref="L198">IFERROR(IRR(IF($S$9:$X$9=0,$O$18-$G$263,0)+IF($S$9:$X$9=$G$277,$G$268,0)+IF($S$9:$X$9=$G$278,AH172+$G$263-$O$18-$G$268,0)),0)</f>
        <v>0.33446951810306769</v>
      </c>
      <c r="M198" s="417"/>
      <c r="N198" s="417"/>
      <c r="O198" s="417"/>
      <c r="P198" s="417"/>
      <c r="Q198" s="417"/>
      <c r="AT198" s="832">
        <f t="shared" ref="AT198:BB198" si="236">IF(Z212&lt;$G$282,0,MIN($G$279,1+IFERROR(INT((Z212-$G$282)/$G$297),0)))</f>
        <v>0</v>
      </c>
      <c r="AU198" s="832">
        <f t="shared" si="236"/>
        <v>0</v>
      </c>
      <c r="AV198" s="832">
        <f t="shared" si="236"/>
        <v>0</v>
      </c>
      <c r="AW198" s="832">
        <f t="shared" si="236"/>
        <v>1</v>
      </c>
      <c r="AX198" s="832">
        <f t="shared" si="236"/>
        <v>2</v>
      </c>
      <c r="AY198" s="832">
        <f t="shared" si="236"/>
        <v>3</v>
      </c>
      <c r="AZ198" s="832">
        <f t="shared" si="236"/>
        <v>5</v>
      </c>
      <c r="BA198" s="832">
        <f t="shared" si="236"/>
        <v>6</v>
      </c>
      <c r="BB198" s="832">
        <f t="shared" si="236"/>
        <v>7</v>
      </c>
    </row>
    <row r="199" spans="1:54" ht="15" customHeight="1">
      <c r="A199" s="417"/>
      <c r="B199" s="800"/>
      <c r="C199" s="828">
        <f>$G$290</f>
        <v>48</v>
      </c>
      <c r="D199" s="814" cm="1">
        <f t="array" ref="D199">IFERROR(IRR(IF($S$9:$X$9=0,$O$18-$G$263,0)+IF($S$9:$X$9=$G$277,$G$268,0)+IF($S$9:$X$9=$G$278,Z173+$G$263-$O$18-$G$268,0)),0)</f>
        <v>0.2465877705208317</v>
      </c>
      <c r="E199" s="814" cm="1">
        <f t="array" ref="E199">IFERROR(IRR(IF($S$9:$X$9=0,$O$18-$G$263,0)+IF($S$9:$X$9=$G$277,$G$268,0)+IF($S$9:$X$9=$G$278,AA173+$G$263-$O$18-$G$268,0)),0)</f>
        <v>0.25809532644761735</v>
      </c>
      <c r="F199" s="814" cm="1">
        <f t="array" ref="F199">IFERROR(IRR(IF($S$9:$X$9=0,$O$18-$G$263,0)+IF($S$9:$X$9=$G$277,$G$268,0)+IF($S$9:$X$9=$G$278,AB173+$G$263-$O$18-$G$268,0)),0)</f>
        <v>0.26919663428937457</v>
      </c>
      <c r="G199" s="814" cm="1">
        <f t="array" ref="G199">IFERROR(IRR(IF($S$9:$X$9=0,$O$18-$G$263,0)+IF($S$9:$X$9=$G$277,$G$268,0)+IF($S$9:$X$9=$G$278,AC173+$G$263-$O$18-$G$268,0)),0)</f>
        <v>0.27992260452381434</v>
      </c>
      <c r="H199" s="815" cm="1">
        <f t="array" ref="H199">IFERROR(IRR(IF($S$9:$X$9=0,$O$18-$G$263,0)+IF($S$9:$X$9=$G$277,$G$268,0)+IF($S$9:$X$9=$G$278,AD173+$G$263-$O$18-$G$268,0)),0)</f>
        <v>0.29030063690656616</v>
      </c>
      <c r="I199" s="814" cm="1">
        <f t="array" ref="I199">IFERROR(IRR(IF($S$9:$X$9=0,$O$18-$G$263,0)+IF($S$9:$X$9=$G$277,$G$268,0)+IF($S$9:$X$9=$G$278,AE173+$G$263-$O$18-$G$268,0)),0)</f>
        <v>0.30035514059859558</v>
      </c>
      <c r="J199" s="814" cm="1">
        <f t="array" ref="J199">IFERROR(IRR(IF($S$9:$X$9=0,$O$18-$G$263,0)+IF($S$9:$X$9=$G$277,$G$268,0)+IF($S$9:$X$9=$G$278,AF173+$G$263-$O$18-$G$268,0)),0)</f>
        <v>0.31010796061540491</v>
      </c>
      <c r="K199" s="814" cm="1">
        <f t="array" ref="K199">IFERROR(IRR(IF($S$9:$X$9=0,$O$18-$G$263,0)+IF($S$9:$X$9=$G$277,$G$268,0)+IF($S$9:$X$9=$G$278,AG173+$G$263-$O$18-$G$268,0)),0)</f>
        <v>0.31957873015915217</v>
      </c>
      <c r="L199" s="814" cm="1">
        <f t="array" ref="L199">IFERROR(IRR(IF($S$9:$X$9=0,$O$18-$G$263,0)+IF($S$9:$X$9=$G$277,$G$268,0)+IF($S$9:$X$9=$G$278,AH173+$G$263-$O$18-$G$268,0)),0)</f>
        <v>0.32878516403783498</v>
      </c>
      <c r="M199" s="417"/>
      <c r="N199" s="417"/>
      <c r="O199" s="417"/>
      <c r="P199" s="417"/>
      <c r="Q199" s="417"/>
      <c r="AT199" s="832">
        <f t="shared" ref="AT199:BB199" si="237">IF(Z213&lt;$G$282,0,MIN($G$279,1+IFERROR(INT((Z213-$G$282)/$G$297),0)))</f>
        <v>0</v>
      </c>
      <c r="AU199" s="832">
        <f t="shared" si="237"/>
        <v>0</v>
      </c>
      <c r="AV199" s="832">
        <f t="shared" si="237"/>
        <v>0</v>
      </c>
      <c r="AW199" s="832">
        <f t="shared" si="237"/>
        <v>1</v>
      </c>
      <c r="AX199" s="832">
        <f t="shared" si="237"/>
        <v>3</v>
      </c>
      <c r="AY199" s="832">
        <f t="shared" si="237"/>
        <v>4</v>
      </c>
      <c r="AZ199" s="832">
        <f t="shared" si="237"/>
        <v>5</v>
      </c>
      <c r="BA199" s="832">
        <f t="shared" si="237"/>
        <v>7</v>
      </c>
      <c r="BB199" s="832">
        <f t="shared" si="237"/>
        <v>8</v>
      </c>
    </row>
    <row r="200" spans="1:54" ht="15" customHeight="1">
      <c r="A200" s="417"/>
      <c r="B200" s="800"/>
      <c r="C200" s="828">
        <f>C199-$G$291</f>
        <v>44</v>
      </c>
      <c r="D200" s="814" cm="1">
        <f t="array" ref="D200">IFERROR(IRR(IF($S$9:$X$9=0,$O$18-$G$263,0)+IF($S$9:$X$9=$G$277,$G$268,0)+IF($S$9:$X$9=$G$278,Z174+$G$263-$O$18-$G$268,0)),0)</f>
        <v>0.23909669817467138</v>
      </c>
      <c r="E200" s="814" cm="1">
        <f t="array" ref="E200">IFERROR(IRR(IF($S$9:$X$9=0,$O$18-$G$263,0)+IF($S$9:$X$9=$G$277,$G$268,0)+IF($S$9:$X$9=$G$278,AA174+$G$263-$O$18-$G$268,0)),0)</f>
        <v>0.25087853523366799</v>
      </c>
      <c r="F200" s="814" cm="1">
        <f t="array" ref="F200">IFERROR(IRR(IF($S$9:$X$9=0,$O$18-$G$263,0)+IF($S$9:$X$9=$G$277,$G$268,0)+IF($S$9:$X$9=$G$278,AB174+$G$263-$O$18-$G$268,0)),0)</f>
        <v>0.26223251511485457</v>
      </c>
      <c r="G200" s="814" cm="1">
        <f t="array" ref="G200">IFERROR(IRR(IF($S$9:$X$9=0,$O$18-$G$263,0)+IF($S$9:$X$9=$G$277,$G$268,0)+IF($S$9:$X$9=$G$278,AC174+$G$263-$O$18-$G$268,0)),0)</f>
        <v>0.27319208573905884</v>
      </c>
      <c r="H200" s="814" cm="1">
        <f t="array" ref="H200">IFERROR(IRR(IF($S$9:$X$9=0,$O$18-$G$263,0)+IF($S$9:$X$9=$G$277,$G$268,0)+IF($S$9:$X$9=$G$278,AD174+$G$263-$O$18-$G$268,0)),0)</f>
        <v>0.28378679617712588</v>
      </c>
      <c r="I200" s="814" cm="1">
        <f t="array" ref="I200">IFERROR(IRR(IF($S$9:$X$9=0,$O$18-$G$263,0)+IF($S$9:$X$9=$G$277,$G$268,0)+IF($S$9:$X$9=$G$278,AE174+$G$263-$O$18-$G$268,0)),0)</f>
        <v>0.29404288887240826</v>
      </c>
      <c r="J200" s="814" cm="1">
        <f t="array" ref="J200">IFERROR(IRR(IF($S$9:$X$9=0,$O$18-$G$263,0)+IF($S$9:$X$9=$G$277,$G$268,0)+IF($S$9:$X$9=$G$278,AF174+$G$263-$O$18-$G$268,0)),0)</f>
        <v>0.30398378259718695</v>
      </c>
      <c r="K200" s="814" cm="1">
        <f t="array" ref="K200">IFERROR(IRR(IF($S$9:$X$9=0,$O$18-$G$263,0)+IF($S$9:$X$9=$G$277,$G$268,0)+IF($S$9:$X$9=$G$278,AG174+$G$263-$O$18-$G$268,0)),0)</f>
        <v>0.31363046955046281</v>
      </c>
      <c r="L200" s="814" cm="1">
        <f t="array" ref="L200">IFERROR(IRR(IF($S$9:$X$9=0,$O$18-$G$263,0)+IF($S$9:$X$9=$G$277,$G$268,0)+IF($S$9:$X$9=$G$278,AH174+$G$263-$O$18-$G$268,0)),0)</f>
        <v>0.32300184448996583</v>
      </c>
      <c r="M200" s="417"/>
      <c r="N200" s="417"/>
      <c r="O200" s="417"/>
      <c r="P200" s="417"/>
      <c r="Q200" s="417"/>
      <c r="AT200" s="832">
        <f t="shared" ref="AT200:BB200" si="238">IF(Z214&lt;$G$282,0,MIN($G$279,1+IFERROR(INT((Z214-$G$282)/$G$297),0)))</f>
        <v>0</v>
      </c>
      <c r="AU200" s="832">
        <f t="shared" si="238"/>
        <v>0</v>
      </c>
      <c r="AV200" s="832">
        <f t="shared" si="238"/>
        <v>1</v>
      </c>
      <c r="AW200" s="832">
        <f t="shared" si="238"/>
        <v>2</v>
      </c>
      <c r="AX200" s="832">
        <f t="shared" si="238"/>
        <v>4</v>
      </c>
      <c r="AY200" s="832">
        <f t="shared" si="238"/>
        <v>5</v>
      </c>
      <c r="AZ200" s="832">
        <f t="shared" si="238"/>
        <v>6</v>
      </c>
      <c r="BA200" s="832">
        <f t="shared" si="238"/>
        <v>8</v>
      </c>
      <c r="BB200" s="832">
        <f t="shared" si="238"/>
        <v>9</v>
      </c>
    </row>
    <row r="201" spans="1:54" ht="15" customHeight="1">
      <c r="A201" s="417"/>
      <c r="B201" s="800"/>
      <c r="C201" s="828">
        <f>C200-$G$291</f>
        <v>40</v>
      </c>
      <c r="D201" s="814" cm="1">
        <f t="array" ref="D201">IFERROR(IRR(IF($S$9:$X$9=0,$O$18-$G$263,0)+IF($S$9:$X$9=$G$277,$G$268,0)+IF($S$9:$X$9=$G$278,Z175+$G$263-$O$18-$G$268,0)),0)</f>
        <v>0.23141996692152689</v>
      </c>
      <c r="E201" s="814" cm="1">
        <f t="array" ref="E201">IFERROR(IRR(IF($S$9:$X$9=0,$O$18-$G$263,0)+IF($S$9:$X$9=$G$277,$G$268,0)+IF($S$9:$X$9=$G$278,AA175+$G$263-$O$18-$G$268,0)),0)</f>
        <v>0.24349124931445298</v>
      </c>
      <c r="F201" s="814" cm="1">
        <f t="array" ref="F201">IFERROR(IRR(IF($S$9:$X$9=0,$O$18-$G$263,0)+IF($S$9:$X$9=$G$277,$G$268,0)+IF($S$9:$X$9=$G$278,AB175+$G$263-$O$18-$G$268,0)),0)</f>
        <v>0.25511122239153372</v>
      </c>
      <c r="G201" s="814" cm="1">
        <f t="array" ref="G201">IFERROR(IRR(IF($S$9:$X$9=0,$O$18-$G$263,0)+IF($S$9:$X$9=$G$277,$G$268,0)+IF($S$9:$X$9=$G$278,AC175+$G$263-$O$18-$G$268,0)),0)</f>
        <v>0.26631616287282456</v>
      </c>
      <c r="H201" s="814" cm="1">
        <f t="array" ref="H201">IFERROR(IRR(IF($S$9:$X$9=0,$O$18-$G$263,0)+IF($S$9:$X$9=$G$277,$G$268,0)+IF($S$9:$X$9=$G$278,AD175+$G$263-$O$18-$G$268,0)),0)</f>
        <v>0.27713800464460414</v>
      </c>
      <c r="I201" s="814" cm="1">
        <f t="array" ref="I201">IFERROR(IRR(IF($S$9:$X$9=0,$O$18-$G$263,0)+IF($S$9:$X$9=$G$277,$G$268,0)+IF($S$9:$X$9=$G$278,AE175+$G$263-$O$18-$G$268,0)),0)</f>
        <v>0.28760501551895712</v>
      </c>
      <c r="J201" s="814" cm="1">
        <f t="array" ref="J201">IFERROR(IRR(IF($S$9:$X$9=0,$O$18-$G$263,0)+IF($S$9:$X$9=$G$277,$G$268,0)+IF($S$9:$X$9=$G$278,AF175+$G$263-$O$18-$G$268,0)),0)</f>
        <v>0.29774234600608107</v>
      </c>
      <c r="K201" s="814" cm="1">
        <f t="array" ref="K201">IFERROR(IRR(IF($S$9:$X$9=0,$O$18-$G$263,0)+IF($S$9:$X$9=$G$277,$G$268,0)+IF($S$9:$X$9=$G$278,AG175+$G$263-$O$18-$G$268,0)),0)</f>
        <v>0.30757247825840839</v>
      </c>
      <c r="L201" s="814" cm="1">
        <f t="array" ref="L201">IFERROR(IRR(IF($S$9:$X$9=0,$O$18-$G$263,0)+IF($S$9:$X$9=$G$277,$G$268,0)+IF($S$9:$X$9=$G$278,AH175+$G$263-$O$18-$G$268,0)),0)</f>
        <v>0.31711559625787888</v>
      </c>
      <c r="M201" s="417"/>
      <c r="N201" s="417"/>
      <c r="O201" s="417"/>
      <c r="P201" s="417"/>
      <c r="Q201" s="417"/>
      <c r="AT201" s="832">
        <f t="shared" ref="AT201:BB201" si="239">IF(Z215&lt;$G$282,0,MIN($G$279,1+IFERROR(INT((Z215-$G$282)/$G$297),0)))</f>
        <v>0</v>
      </c>
      <c r="AU201" s="832">
        <f t="shared" si="239"/>
        <v>0</v>
      </c>
      <c r="AV201" s="832">
        <f t="shared" si="239"/>
        <v>2</v>
      </c>
      <c r="AW201" s="832">
        <f t="shared" si="239"/>
        <v>3</v>
      </c>
      <c r="AX201" s="832">
        <f t="shared" si="239"/>
        <v>4</v>
      </c>
      <c r="AY201" s="832">
        <f t="shared" si="239"/>
        <v>6</v>
      </c>
      <c r="AZ201" s="832">
        <f t="shared" si="239"/>
        <v>7</v>
      </c>
      <c r="BA201" s="832">
        <f t="shared" si="239"/>
        <v>8</v>
      </c>
      <c r="BB201" s="832">
        <f t="shared" si="239"/>
        <v>10</v>
      </c>
    </row>
    <row r="202" spans="1:54" ht="15" customHeight="1">
      <c r="A202" s="417"/>
      <c r="B202" s="801"/>
      <c r="C202" s="829">
        <f>C201-$G$291</f>
        <v>36</v>
      </c>
      <c r="D202" s="816" cm="1">
        <f t="array" ref="D202">IFERROR(IRR(IF($S$9:$X$9=0,$O$18-$G$263,0)+IF($S$9:$X$9=$G$277,$G$268,0)+IF($S$9:$X$9=$G$278,Z176+$G$263-$O$18-$G$268,0)),0)</f>
        <v>0.22354689158336249</v>
      </c>
      <c r="E202" s="816" cm="1">
        <f t="array" ref="E202">IFERROR(IRR(IF($S$9:$X$9=0,$O$18-$G$263,0)+IF($S$9:$X$9=$G$277,$G$268,0)+IF($S$9:$X$9=$G$278,AA176+$G$263-$O$18-$G$268,0)),0)</f>
        <v>0.2359241292965637</v>
      </c>
      <c r="F202" s="816" cm="1">
        <f t="array" ref="F202">IFERROR(IRR(IF($S$9:$X$9=0,$O$18-$G$263,0)+IF($S$9:$X$9=$G$277,$G$268,0)+IF($S$9:$X$9=$G$278,AB176+$G$263-$O$18-$G$268,0)),0)</f>
        <v>0.24782454239747675</v>
      </c>
      <c r="G202" s="816" cm="1">
        <f t="array" ref="G202">IFERROR(IRR(IF($S$9:$X$9=0,$O$18-$G$263,0)+IF($S$9:$X$9=$G$277,$G$268,0)+IF($S$9:$X$9=$G$278,AC176+$G$263-$O$18-$G$268,0)),0)</f>
        <v>0.25928757135642178</v>
      </c>
      <c r="H202" s="816" cm="1">
        <f t="array" ref="H202">IFERROR(IRR(IF($S$9:$X$9=0,$O$18-$G$263,0)+IF($S$9:$X$9=$G$277,$G$268,0)+IF($S$9:$X$9=$G$278,AD176+$G$263-$O$18-$G$268,0)),0)</f>
        <v>0.2703478039514049</v>
      </c>
      <c r="I202" s="816" cm="1">
        <f t="array" ref="I202">IFERROR(IRR(IF($S$9:$X$9=0,$O$18-$G$263,0)+IF($S$9:$X$9=$G$277,$G$268,0)+IF($S$9:$X$9=$G$278,AE176+$G$263-$O$18-$G$268,0)),0)</f>
        <v>0.28103575160323513</v>
      </c>
      <c r="J202" s="816" cm="1">
        <f t="array" ref="J202">IFERROR(IRR(IF($S$9:$X$9=0,$O$18-$G$263,0)+IF($S$9:$X$9=$G$277,$G$268,0)+IF($S$9:$X$9=$G$278,AF176+$G$263-$O$18-$G$268,0)),0)</f>
        <v>0.29137847514181381</v>
      </c>
      <c r="K202" s="816" cm="1">
        <f t="array" ref="K202">IFERROR(IRR(IF($S$9:$X$9=0,$O$18-$G$263,0)+IF($S$9:$X$9=$G$277,$G$268,0)+IF($S$9:$X$9=$G$278,AG176+$G$263-$O$18-$G$268,0)),0)</f>
        <v>0.30140009392459888</v>
      </c>
      <c r="L202" s="816" cm="1">
        <f t="array" ref="L202">IFERROR(IRR(IF($S$9:$X$9=0,$O$18-$G$263,0)+IF($S$9:$X$9=$G$277,$G$268,0)+IF($S$9:$X$9=$G$278,AH176+$G$263-$O$18-$G$268,0)),0)</f>
        <v>0.31112220362460419</v>
      </c>
      <c r="M202" s="417"/>
      <c r="N202" s="417"/>
      <c r="O202" s="417"/>
      <c r="P202" s="417"/>
      <c r="Q202" s="417"/>
      <c r="AT202" s="832">
        <f t="shared" ref="AT202:BB202" si="240">IF(Z216&lt;$G$282,0,MIN($G$279,1+IFERROR(INT((Z216-$G$282)/$G$297),0)))</f>
        <v>0</v>
      </c>
      <c r="AU202" s="832">
        <f t="shared" si="240"/>
        <v>1</v>
      </c>
      <c r="AV202" s="832">
        <f t="shared" si="240"/>
        <v>3</v>
      </c>
      <c r="AW202" s="832">
        <f t="shared" si="240"/>
        <v>4</v>
      </c>
      <c r="AX202" s="832">
        <f t="shared" si="240"/>
        <v>5</v>
      </c>
      <c r="AY202" s="832">
        <f t="shared" si="240"/>
        <v>7</v>
      </c>
      <c r="AZ202" s="832">
        <f t="shared" si="240"/>
        <v>8</v>
      </c>
      <c r="BA202" s="832">
        <f t="shared" si="240"/>
        <v>9</v>
      </c>
      <c r="BB202" s="832">
        <f t="shared" si="240"/>
        <v>10</v>
      </c>
    </row>
    <row r="203" spans="1:54" ht="15" hidden="1" customHeight="1" outlineLevel="1">
      <c r="A203" s="417"/>
      <c r="B203" s="423" t="s">
        <v>2739</v>
      </c>
      <c r="D203" s="417"/>
      <c r="E203" s="417"/>
      <c r="F203" s="417"/>
      <c r="G203" s="417"/>
      <c r="H203" s="417"/>
      <c r="I203" s="417"/>
      <c r="J203" s="417"/>
      <c r="K203" s="417"/>
      <c r="L203" s="417"/>
      <c r="M203" s="417"/>
      <c r="N203" s="417"/>
      <c r="O203" s="417"/>
      <c r="P203" s="417"/>
      <c r="Q203" s="417"/>
    </row>
    <row r="204" spans="1:54" ht="3.95" customHeight="1" collapsed="1">
      <c r="A204" s="417"/>
      <c r="B204" s="423"/>
      <c r="D204" s="417"/>
      <c r="E204" s="417"/>
      <c r="F204" s="417"/>
      <c r="G204" s="417"/>
      <c r="H204" s="417"/>
      <c r="I204" s="417"/>
      <c r="J204" s="417"/>
      <c r="K204" s="417"/>
      <c r="L204" s="417"/>
      <c r="M204" s="417"/>
      <c r="N204" s="417"/>
      <c r="O204" s="417"/>
      <c r="P204" s="417"/>
      <c r="Q204" s="417"/>
    </row>
    <row r="205" spans="1:54" ht="15" customHeight="1">
      <c r="A205" s="417"/>
      <c r="B205" s="821" t="s">
        <v>2722</v>
      </c>
      <c r="C205" s="821"/>
      <c r="D205" s="821"/>
      <c r="E205" s="821"/>
      <c r="F205" s="821"/>
      <c r="G205" s="821"/>
      <c r="H205" s="821"/>
      <c r="I205" s="821"/>
      <c r="J205" s="821"/>
      <c r="K205" s="821"/>
      <c r="L205" s="821"/>
      <c r="M205" s="417"/>
      <c r="N205" s="417"/>
      <c r="O205" s="417"/>
      <c r="P205" s="417"/>
      <c r="Q205" s="417"/>
    </row>
    <row r="206" spans="1:54" ht="15" customHeight="1">
      <c r="A206" s="417"/>
      <c r="B206" s="148" t="s">
        <v>2723</v>
      </c>
      <c r="C206" s="417"/>
      <c r="D206" s="417"/>
      <c r="E206" s="417"/>
      <c r="F206" s="417"/>
      <c r="G206" s="417"/>
      <c r="H206" s="417"/>
      <c r="I206" s="417"/>
      <c r="J206" s="417"/>
      <c r="K206" s="417"/>
      <c r="L206" s="417"/>
      <c r="M206" s="417"/>
      <c r="N206" s="417"/>
      <c r="O206" s="417"/>
      <c r="P206" s="417"/>
      <c r="Q206" s="417"/>
    </row>
    <row r="207" spans="1:54" ht="2.1" customHeight="1">
      <c r="A207" s="417"/>
      <c r="B207" s="417"/>
      <c r="C207" s="417"/>
      <c r="D207" s="417"/>
      <c r="E207" s="417"/>
      <c r="F207" s="417"/>
      <c r="G207" s="417"/>
      <c r="H207" s="417"/>
      <c r="I207" s="417"/>
      <c r="J207" s="417"/>
      <c r="K207" s="417"/>
      <c r="L207" s="417"/>
      <c r="M207" s="417"/>
      <c r="N207" s="417"/>
      <c r="O207" s="417"/>
      <c r="P207" s="417"/>
      <c r="Q207" s="417"/>
    </row>
    <row r="208" spans="1:54" ht="12.75" customHeight="1">
      <c r="A208" s="417"/>
      <c r="B208" s="454"/>
      <c r="C208" s="454"/>
      <c r="D208" s="786" t="s">
        <v>2637</v>
      </c>
      <c r="E208" s="786"/>
      <c r="F208" s="786"/>
      <c r="G208" s="786"/>
      <c r="H208" s="786"/>
      <c r="I208" s="786"/>
      <c r="J208" s="786"/>
      <c r="K208" s="786"/>
      <c r="L208" s="786"/>
      <c r="M208" s="417"/>
      <c r="N208" s="417"/>
      <c r="O208" s="417"/>
      <c r="P208" s="417"/>
      <c r="Q208" s="417"/>
      <c r="Z208" s="811" t="s">
        <v>2717</v>
      </c>
      <c r="AA208" s="758"/>
      <c r="AB208" s="758"/>
      <c r="AC208" s="758"/>
      <c r="AD208" s="758"/>
      <c r="AE208" s="758"/>
      <c r="AF208" s="758"/>
      <c r="AG208" s="758"/>
      <c r="AH208" s="758"/>
    </row>
    <row r="209" spans="1:54" ht="12.75" customHeight="1">
      <c r="A209" s="417"/>
      <c r="B209" s="454"/>
      <c r="C209" s="454"/>
      <c r="D209" s="787">
        <f>E209-$G$274</f>
        <v>1</v>
      </c>
      <c r="E209" s="787">
        <f>F209-$G$274</f>
        <v>1.25</v>
      </c>
      <c r="F209" s="787">
        <f>G209-$G$274</f>
        <v>1.5</v>
      </c>
      <c r="G209" s="787">
        <f>H209-$G$274</f>
        <v>1.75</v>
      </c>
      <c r="H209" s="787">
        <f>$G$273</f>
        <v>2</v>
      </c>
      <c r="I209" s="787">
        <f>H209+$G$274</f>
        <v>2.25</v>
      </c>
      <c r="J209" s="787">
        <f>I209+$G$274</f>
        <v>2.5</v>
      </c>
      <c r="K209" s="787">
        <f>J209+$G$274</f>
        <v>2.75</v>
      </c>
      <c r="L209" s="787">
        <f>K209+$G$274</f>
        <v>3</v>
      </c>
      <c r="M209" s="417"/>
      <c r="N209" s="417"/>
      <c r="O209" s="417"/>
      <c r="P209" s="417"/>
      <c r="Q209" s="417"/>
      <c r="Z209" s="825">
        <f>D$209</f>
        <v>1</v>
      </c>
      <c r="AA209" s="825">
        <f t="shared" ref="AA209:AH209" si="241">E$209</f>
        <v>1.25</v>
      </c>
      <c r="AB209" s="825">
        <f t="shared" si="241"/>
        <v>1.5</v>
      </c>
      <c r="AC209" s="825">
        <f t="shared" si="241"/>
        <v>1.75</v>
      </c>
      <c r="AD209" s="825">
        <f t="shared" si="241"/>
        <v>2</v>
      </c>
      <c r="AE209" s="825">
        <f t="shared" si="241"/>
        <v>2.25</v>
      </c>
      <c r="AF209" s="825">
        <f t="shared" si="241"/>
        <v>2.5</v>
      </c>
      <c r="AG209" s="825">
        <f t="shared" si="241"/>
        <v>2.75</v>
      </c>
      <c r="AH209" s="825">
        <f t="shared" si="241"/>
        <v>3</v>
      </c>
      <c r="AT209" s="833" t="s">
        <v>2748</v>
      </c>
      <c r="AU209" s="427"/>
      <c r="AV209" s="427"/>
      <c r="AW209" s="427"/>
      <c r="AX209" s="427"/>
      <c r="AY209" s="427"/>
      <c r="AZ209" s="427"/>
      <c r="BA209" s="427"/>
      <c r="BB209" s="427"/>
    </row>
    <row r="210" spans="1:54" ht="15" customHeight="1">
      <c r="A210" s="417"/>
      <c r="B210" s="804" t="s">
        <v>2711</v>
      </c>
      <c r="C210" s="828">
        <f>C211+$G$291</f>
        <v>60</v>
      </c>
      <c r="D210" s="790">
        <f>ROUND(Z210,$G$285)</f>
        <v>-400</v>
      </c>
      <c r="E210" s="790">
        <f t="shared" ref="E210:E216" si="242">ROUND(AA210,$G$285)</f>
        <v>-100</v>
      </c>
      <c r="F210" s="790">
        <f t="shared" ref="F210:F216" si="243">ROUND(AB210,$G$285)</f>
        <v>300</v>
      </c>
      <c r="G210" s="790">
        <f t="shared" ref="G210:G216" si="244">ROUND(AC210,$G$285)</f>
        <v>600</v>
      </c>
      <c r="H210" s="790">
        <f t="shared" ref="H210:H216" si="245">ROUND(AD210,$G$285)</f>
        <v>900</v>
      </c>
      <c r="I210" s="790">
        <f t="shared" ref="I210:I216" si="246">ROUND(AE210,$G$285)</f>
        <v>1300</v>
      </c>
      <c r="J210" s="790">
        <f t="shared" ref="J210:J216" si="247">ROUND(AF210,$G$285)</f>
        <v>1600</v>
      </c>
      <c r="K210" s="790">
        <f t="shared" ref="K210:K216" si="248">ROUND(AG210,$G$285)</f>
        <v>1900</v>
      </c>
      <c r="L210" s="790">
        <f t="shared" ref="L210:L216" si="249">ROUND(AH210,$G$285)</f>
        <v>2300</v>
      </c>
      <c r="M210" s="417"/>
      <c r="N210" s="417"/>
      <c r="O210" s="417"/>
      <c r="P210" s="417"/>
      <c r="Q210" s="417"/>
      <c r="Z210" s="367">
        <f>Z170+$G$263-$AL170</f>
        <v>-383.2893652357634</v>
      </c>
      <c r="AA210" s="367">
        <f t="shared" ref="AA210:AH210" si="250">AA170+$G$263-$AL170</f>
        <v>-50.683079637716219</v>
      </c>
      <c r="AB210" s="367">
        <f t="shared" si="250"/>
        <v>281.92320596033096</v>
      </c>
      <c r="AC210" s="367">
        <f t="shared" si="250"/>
        <v>614.52949155837814</v>
      </c>
      <c r="AD210" s="367">
        <f t="shared" si="250"/>
        <v>947.13577715642532</v>
      </c>
      <c r="AE210" s="367">
        <f t="shared" si="250"/>
        <v>1279.7420627544725</v>
      </c>
      <c r="AF210" s="367">
        <f t="shared" si="250"/>
        <v>1612.3483483525197</v>
      </c>
      <c r="AG210" s="367">
        <f t="shared" si="250"/>
        <v>1944.9546339505669</v>
      </c>
      <c r="AH210" s="367">
        <f t="shared" si="250"/>
        <v>2277.560919548614</v>
      </c>
      <c r="AT210" s="832">
        <f>IF(Z210&lt;$G$282,0,MIN($G$279,1+IFERROR(INT((Z210-$G$282)/$G$297),0)))</f>
        <v>0</v>
      </c>
      <c r="AU210" s="832">
        <f t="shared" ref="AU210:AU216" si="251">IF(AA210&lt;$G$282,0,MIN($G$279,1+IFERROR(INT((AA210-$G$282)/$G$297),0)))</f>
        <v>0</v>
      </c>
      <c r="AV210" s="832">
        <f t="shared" ref="AV210:AV216" si="252">IF(AB210&lt;$G$282,0,MIN($G$279,1+IFERROR(INT((AB210-$G$282)/$G$297),0)))</f>
        <v>0</v>
      </c>
      <c r="AW210" s="832">
        <f t="shared" ref="AW210:AW216" si="253">IF(AC210&lt;$G$282,0,MIN($G$279,1+IFERROR(INT((AC210-$G$282)/$G$297),0)))</f>
        <v>0</v>
      </c>
      <c r="AX210" s="832">
        <f t="shared" ref="AX210:AX216" si="254">IF(AD210&lt;$G$282,0,MIN($G$279,1+IFERROR(INT((AD210-$G$282)/$G$297),0)))</f>
        <v>0</v>
      </c>
      <c r="AY210" s="832">
        <f t="shared" ref="AY210:AY216" si="255">IF(AE210&lt;$G$282,0,MIN($G$279,1+IFERROR(INT((AE210-$G$282)/$G$297),0)))</f>
        <v>2</v>
      </c>
      <c r="AZ210" s="832">
        <f t="shared" ref="AZ210:AZ216" si="256">IF(AF210&lt;$G$282,0,MIN($G$279,1+IFERROR(INT((AF210-$G$282)/$G$297),0)))</f>
        <v>3</v>
      </c>
      <c r="BA210" s="832">
        <f t="shared" ref="BA210:BA216" si="257">IF(AG210&lt;$G$282,0,MIN($G$279,1+IFERROR(INT((AG210-$G$282)/$G$297),0)))</f>
        <v>4</v>
      </c>
      <c r="BB210" s="832">
        <f t="shared" ref="BB210:BB216" si="258">IF(AH210&lt;$G$282,0,MIN($G$279,1+IFERROR(INT((AH210-$G$282)/$G$297),0)))</f>
        <v>6</v>
      </c>
    </row>
    <row r="211" spans="1:54" ht="15" customHeight="1">
      <c r="A211" s="417"/>
      <c r="B211" s="800"/>
      <c r="C211" s="828">
        <f>C212+$G$291</f>
        <v>56</v>
      </c>
      <c r="D211" s="791">
        <f t="shared" ref="D211:D216" si="259">ROUND(Z211,$G$285)</f>
        <v>-200</v>
      </c>
      <c r="E211" s="791">
        <f t="shared" si="242"/>
        <v>200</v>
      </c>
      <c r="F211" s="791">
        <f t="shared" si="243"/>
        <v>500</v>
      </c>
      <c r="G211" s="791">
        <f t="shared" si="244"/>
        <v>800</v>
      </c>
      <c r="H211" s="791">
        <f t="shared" si="245"/>
        <v>1200</v>
      </c>
      <c r="I211" s="791">
        <f t="shared" si="246"/>
        <v>1500</v>
      </c>
      <c r="J211" s="791">
        <f t="shared" si="247"/>
        <v>1800</v>
      </c>
      <c r="K211" s="791">
        <f t="shared" si="248"/>
        <v>2200</v>
      </c>
      <c r="L211" s="791">
        <f t="shared" si="249"/>
        <v>2500</v>
      </c>
      <c r="M211" s="417"/>
      <c r="N211" s="417"/>
      <c r="O211" s="417"/>
      <c r="P211" s="417"/>
      <c r="Q211" s="417"/>
      <c r="Z211" s="367">
        <f t="shared" ref="Z211:AH211" si="260">Z171+$G$263-$AL171</f>
        <v>-177.51920594943658</v>
      </c>
      <c r="AA211" s="367">
        <f t="shared" si="260"/>
        <v>155.0870796486106</v>
      </c>
      <c r="AB211" s="367">
        <f t="shared" si="260"/>
        <v>487.69336524665778</v>
      </c>
      <c r="AC211" s="367">
        <f t="shared" si="260"/>
        <v>820.29965084470496</v>
      </c>
      <c r="AD211" s="367">
        <f t="shared" si="260"/>
        <v>1152.9059364427521</v>
      </c>
      <c r="AE211" s="367">
        <f t="shared" si="260"/>
        <v>1485.5122220407993</v>
      </c>
      <c r="AF211" s="367">
        <f t="shared" si="260"/>
        <v>1818.1185076388465</v>
      </c>
      <c r="AG211" s="367">
        <f t="shared" si="260"/>
        <v>2150.7247932368937</v>
      </c>
      <c r="AH211" s="367">
        <f t="shared" si="260"/>
        <v>2483.3310788349409</v>
      </c>
      <c r="AT211" s="832">
        <f t="shared" ref="AT211:AT216" si="261">IF(Z211&lt;$G$282,0,MIN($G$279,1+IFERROR(INT((Z211-$G$282)/$G$297),0)))</f>
        <v>0</v>
      </c>
      <c r="AU211" s="832">
        <f t="shared" si="251"/>
        <v>0</v>
      </c>
      <c r="AV211" s="832">
        <f t="shared" si="252"/>
        <v>0</v>
      </c>
      <c r="AW211" s="832">
        <f t="shared" si="253"/>
        <v>0</v>
      </c>
      <c r="AX211" s="832">
        <f t="shared" si="254"/>
        <v>1</v>
      </c>
      <c r="AY211" s="832">
        <f t="shared" si="255"/>
        <v>2</v>
      </c>
      <c r="AZ211" s="832">
        <f t="shared" si="256"/>
        <v>4</v>
      </c>
      <c r="BA211" s="832">
        <f t="shared" si="257"/>
        <v>5</v>
      </c>
      <c r="BB211" s="832">
        <f t="shared" si="258"/>
        <v>6</v>
      </c>
    </row>
    <row r="212" spans="1:54" ht="15" customHeight="1">
      <c r="A212" s="417"/>
      <c r="B212" s="800"/>
      <c r="C212" s="828">
        <f>C213+$G$291</f>
        <v>52</v>
      </c>
      <c r="D212" s="791">
        <f t="shared" si="259"/>
        <v>0</v>
      </c>
      <c r="E212" s="791">
        <f t="shared" si="242"/>
        <v>400</v>
      </c>
      <c r="F212" s="791">
        <f t="shared" si="243"/>
        <v>700</v>
      </c>
      <c r="G212" s="791">
        <f t="shared" si="244"/>
        <v>1000</v>
      </c>
      <c r="H212" s="791">
        <f t="shared" si="245"/>
        <v>1400</v>
      </c>
      <c r="I212" s="791">
        <f t="shared" si="246"/>
        <v>1700</v>
      </c>
      <c r="J212" s="791">
        <f t="shared" si="247"/>
        <v>2000</v>
      </c>
      <c r="K212" s="791">
        <f t="shared" si="248"/>
        <v>2400</v>
      </c>
      <c r="L212" s="791">
        <f t="shared" si="249"/>
        <v>2700</v>
      </c>
      <c r="M212" s="417"/>
      <c r="N212" s="417"/>
      <c r="O212" s="417"/>
      <c r="P212" s="417"/>
      <c r="Q212" s="417"/>
      <c r="Z212" s="367">
        <f t="shared" ref="Z212:AH212" si="262">Z172+$G$263-$AL172</f>
        <v>28.250953336886596</v>
      </c>
      <c r="AA212" s="367">
        <f t="shared" si="262"/>
        <v>360.85723893493378</v>
      </c>
      <c r="AB212" s="367">
        <f t="shared" si="262"/>
        <v>693.46352453298095</v>
      </c>
      <c r="AC212" s="367">
        <f t="shared" si="262"/>
        <v>1026.0698101310281</v>
      </c>
      <c r="AD212" s="367">
        <f t="shared" si="262"/>
        <v>1358.6760957290753</v>
      </c>
      <c r="AE212" s="367">
        <f t="shared" si="262"/>
        <v>1691.2823813271225</v>
      </c>
      <c r="AF212" s="367">
        <f t="shared" si="262"/>
        <v>2023.8886669251697</v>
      </c>
      <c r="AG212" s="367">
        <f t="shared" si="262"/>
        <v>2356.4949525232169</v>
      </c>
      <c r="AH212" s="367">
        <f t="shared" si="262"/>
        <v>2689.101238121264</v>
      </c>
      <c r="AT212" s="832">
        <f t="shared" si="261"/>
        <v>0</v>
      </c>
      <c r="AU212" s="832">
        <f t="shared" si="251"/>
        <v>0</v>
      </c>
      <c r="AV212" s="832">
        <f t="shared" si="252"/>
        <v>0</v>
      </c>
      <c r="AW212" s="832">
        <f t="shared" si="253"/>
        <v>1</v>
      </c>
      <c r="AX212" s="832">
        <f t="shared" si="254"/>
        <v>2</v>
      </c>
      <c r="AY212" s="832">
        <f t="shared" si="255"/>
        <v>3</v>
      </c>
      <c r="AZ212" s="832">
        <f t="shared" si="256"/>
        <v>5</v>
      </c>
      <c r="BA212" s="832">
        <f t="shared" si="257"/>
        <v>6</v>
      </c>
      <c r="BB212" s="832">
        <f t="shared" si="258"/>
        <v>7</v>
      </c>
    </row>
    <row r="213" spans="1:54" ht="15" customHeight="1">
      <c r="A213" s="417"/>
      <c r="B213" s="800"/>
      <c r="C213" s="828">
        <f>$G$290</f>
        <v>48</v>
      </c>
      <c r="D213" s="791">
        <f t="shared" si="259"/>
        <v>200</v>
      </c>
      <c r="E213" s="791">
        <f t="shared" si="242"/>
        <v>600</v>
      </c>
      <c r="F213" s="791">
        <f t="shared" si="243"/>
        <v>900</v>
      </c>
      <c r="G213" s="791">
        <f t="shared" si="244"/>
        <v>1200</v>
      </c>
      <c r="H213" s="805">
        <f t="shared" si="245"/>
        <v>1600</v>
      </c>
      <c r="I213" s="791">
        <f t="shared" si="246"/>
        <v>1900</v>
      </c>
      <c r="J213" s="791">
        <f t="shared" si="247"/>
        <v>2200</v>
      </c>
      <c r="K213" s="791">
        <f t="shared" si="248"/>
        <v>2600</v>
      </c>
      <c r="L213" s="791">
        <f t="shared" si="249"/>
        <v>2900</v>
      </c>
      <c r="M213" s="417"/>
      <c r="N213" s="417"/>
      <c r="O213" s="417"/>
      <c r="P213" s="417"/>
      <c r="Q213" s="417"/>
      <c r="Z213" s="367">
        <f t="shared" ref="Z213:AH213" si="263">Z173+$G$263-$AL173</f>
        <v>234.02111262321068</v>
      </c>
      <c r="AA213" s="367">
        <f t="shared" si="263"/>
        <v>566.62739822125786</v>
      </c>
      <c r="AB213" s="367">
        <f t="shared" si="263"/>
        <v>899.23368381930413</v>
      </c>
      <c r="AC213" s="367">
        <f t="shared" si="263"/>
        <v>1231.8399694173531</v>
      </c>
      <c r="AD213" s="367">
        <f t="shared" si="263"/>
        <v>1564.4462550153985</v>
      </c>
      <c r="AE213" s="367">
        <f t="shared" si="263"/>
        <v>1897.0525406134475</v>
      </c>
      <c r="AF213" s="367">
        <f t="shared" si="263"/>
        <v>2229.6588262114929</v>
      </c>
      <c r="AG213" s="367">
        <f t="shared" si="263"/>
        <v>2562.2651118095418</v>
      </c>
      <c r="AH213" s="367">
        <f t="shared" si="263"/>
        <v>2894.8713974075872</v>
      </c>
      <c r="AT213" s="832">
        <f t="shared" si="261"/>
        <v>0</v>
      </c>
      <c r="AU213" s="832">
        <f t="shared" si="251"/>
        <v>0</v>
      </c>
      <c r="AV213" s="832">
        <f t="shared" si="252"/>
        <v>0</v>
      </c>
      <c r="AW213" s="832">
        <f t="shared" si="253"/>
        <v>1</v>
      </c>
      <c r="AX213" s="832">
        <f t="shared" si="254"/>
        <v>3</v>
      </c>
      <c r="AY213" s="832">
        <f t="shared" si="255"/>
        <v>4</v>
      </c>
      <c r="AZ213" s="832">
        <f t="shared" si="256"/>
        <v>5</v>
      </c>
      <c r="BA213" s="832">
        <f t="shared" si="257"/>
        <v>7</v>
      </c>
      <c r="BB213" s="832">
        <f t="shared" si="258"/>
        <v>8</v>
      </c>
    </row>
    <row r="214" spans="1:54" ht="15" customHeight="1">
      <c r="A214" s="417"/>
      <c r="B214" s="800"/>
      <c r="C214" s="828">
        <f>C213-$G$291</f>
        <v>44</v>
      </c>
      <c r="D214" s="791">
        <f t="shared" si="259"/>
        <v>400</v>
      </c>
      <c r="E214" s="791">
        <f t="shared" si="242"/>
        <v>800</v>
      </c>
      <c r="F214" s="791">
        <f t="shared" si="243"/>
        <v>1100</v>
      </c>
      <c r="G214" s="791">
        <f t="shared" si="244"/>
        <v>1400</v>
      </c>
      <c r="H214" s="791">
        <f t="shared" si="245"/>
        <v>1800</v>
      </c>
      <c r="I214" s="791">
        <f t="shared" si="246"/>
        <v>2100</v>
      </c>
      <c r="J214" s="791">
        <f t="shared" si="247"/>
        <v>2400</v>
      </c>
      <c r="K214" s="791">
        <f t="shared" si="248"/>
        <v>2800</v>
      </c>
      <c r="L214" s="791">
        <f t="shared" si="249"/>
        <v>3100</v>
      </c>
      <c r="M214" s="417"/>
      <c r="N214" s="417"/>
      <c r="O214" s="417"/>
      <c r="P214" s="417"/>
      <c r="Q214" s="417"/>
      <c r="Z214" s="367">
        <f t="shared" ref="Z214:AH214" si="264">Z174+$G$263-$AL174</f>
        <v>439.79127190953568</v>
      </c>
      <c r="AA214" s="367">
        <f t="shared" si="264"/>
        <v>772.39755750758286</v>
      </c>
      <c r="AB214" s="367">
        <f t="shared" si="264"/>
        <v>1105.00384310563</v>
      </c>
      <c r="AC214" s="367">
        <f t="shared" si="264"/>
        <v>1437.6101287036772</v>
      </c>
      <c r="AD214" s="367">
        <f t="shared" si="264"/>
        <v>1770.2164143017244</v>
      </c>
      <c r="AE214" s="367">
        <f t="shared" si="264"/>
        <v>2102.8226998997716</v>
      </c>
      <c r="AF214" s="367">
        <f t="shared" si="264"/>
        <v>2435.4289854978188</v>
      </c>
      <c r="AG214" s="367">
        <f t="shared" si="264"/>
        <v>2768.0352710958659</v>
      </c>
      <c r="AH214" s="367">
        <f t="shared" si="264"/>
        <v>3100.6415566939131</v>
      </c>
      <c r="AT214" s="832">
        <f t="shared" si="261"/>
        <v>0</v>
      </c>
      <c r="AU214" s="832">
        <f t="shared" si="251"/>
        <v>0</v>
      </c>
      <c r="AV214" s="832">
        <f t="shared" si="252"/>
        <v>1</v>
      </c>
      <c r="AW214" s="832">
        <f t="shared" si="253"/>
        <v>2</v>
      </c>
      <c r="AX214" s="832">
        <f t="shared" si="254"/>
        <v>4</v>
      </c>
      <c r="AY214" s="832">
        <f t="shared" si="255"/>
        <v>5</v>
      </c>
      <c r="AZ214" s="832">
        <f t="shared" si="256"/>
        <v>6</v>
      </c>
      <c r="BA214" s="832">
        <f t="shared" si="257"/>
        <v>8</v>
      </c>
      <c r="BB214" s="832">
        <f t="shared" si="258"/>
        <v>9</v>
      </c>
    </row>
    <row r="215" spans="1:54" ht="15" customHeight="1">
      <c r="A215" s="417"/>
      <c r="B215" s="800"/>
      <c r="C215" s="828">
        <f>C214-$G$291</f>
        <v>40</v>
      </c>
      <c r="D215" s="791">
        <f t="shared" si="259"/>
        <v>600</v>
      </c>
      <c r="E215" s="791">
        <f t="shared" si="242"/>
        <v>1000</v>
      </c>
      <c r="F215" s="791">
        <f t="shared" si="243"/>
        <v>1300</v>
      </c>
      <c r="G215" s="791">
        <f t="shared" si="244"/>
        <v>1600</v>
      </c>
      <c r="H215" s="791">
        <f t="shared" si="245"/>
        <v>2000</v>
      </c>
      <c r="I215" s="791">
        <f t="shared" si="246"/>
        <v>2300</v>
      </c>
      <c r="J215" s="791">
        <f t="shared" si="247"/>
        <v>2600</v>
      </c>
      <c r="K215" s="791">
        <f t="shared" si="248"/>
        <v>3000</v>
      </c>
      <c r="L215" s="791">
        <f t="shared" si="249"/>
        <v>3300</v>
      </c>
      <c r="M215" s="417"/>
      <c r="N215" s="417"/>
      <c r="O215" s="417"/>
      <c r="P215" s="417"/>
      <c r="Q215" s="417"/>
      <c r="Z215" s="367">
        <f t="shared" ref="Z215:AH215" si="265">Z175+$G$263-$AL175</f>
        <v>645.56143119585795</v>
      </c>
      <c r="AA215" s="367">
        <f t="shared" si="265"/>
        <v>978.16771679390422</v>
      </c>
      <c r="AB215" s="367">
        <f t="shared" si="265"/>
        <v>1310.7740023919514</v>
      </c>
      <c r="AC215" s="367">
        <f t="shared" si="265"/>
        <v>1643.3802879899995</v>
      </c>
      <c r="AD215" s="367">
        <f t="shared" si="265"/>
        <v>1975.9865735880448</v>
      </c>
      <c r="AE215" s="367">
        <f t="shared" si="265"/>
        <v>2308.5928591860938</v>
      </c>
      <c r="AF215" s="367">
        <f t="shared" si="265"/>
        <v>2641.1991447841392</v>
      </c>
      <c r="AG215" s="367">
        <f t="shared" si="265"/>
        <v>2973.8054303821882</v>
      </c>
      <c r="AH215" s="367">
        <f t="shared" si="265"/>
        <v>3306.4117159802336</v>
      </c>
      <c r="AT215" s="832">
        <f t="shared" si="261"/>
        <v>0</v>
      </c>
      <c r="AU215" s="832">
        <f t="shared" si="251"/>
        <v>0</v>
      </c>
      <c r="AV215" s="832">
        <f t="shared" si="252"/>
        <v>2</v>
      </c>
      <c r="AW215" s="832">
        <f t="shared" si="253"/>
        <v>3</v>
      </c>
      <c r="AX215" s="832">
        <f t="shared" si="254"/>
        <v>4</v>
      </c>
      <c r="AY215" s="832">
        <f t="shared" si="255"/>
        <v>6</v>
      </c>
      <c r="AZ215" s="832">
        <f t="shared" si="256"/>
        <v>7</v>
      </c>
      <c r="BA215" s="832">
        <f t="shared" si="257"/>
        <v>8</v>
      </c>
      <c r="BB215" s="832">
        <f t="shared" si="258"/>
        <v>10</v>
      </c>
    </row>
    <row r="216" spans="1:54" ht="15" customHeight="1">
      <c r="A216" s="417"/>
      <c r="B216" s="801"/>
      <c r="C216" s="829">
        <f>C215-$G$291</f>
        <v>36</v>
      </c>
      <c r="D216" s="792">
        <f t="shared" si="259"/>
        <v>900</v>
      </c>
      <c r="E216" s="792">
        <f t="shared" si="242"/>
        <v>1200</v>
      </c>
      <c r="F216" s="792">
        <f t="shared" si="243"/>
        <v>1500</v>
      </c>
      <c r="G216" s="792">
        <f t="shared" si="244"/>
        <v>1800</v>
      </c>
      <c r="H216" s="792">
        <f t="shared" si="245"/>
        <v>2200</v>
      </c>
      <c r="I216" s="792">
        <f t="shared" si="246"/>
        <v>2500</v>
      </c>
      <c r="J216" s="792">
        <f t="shared" si="247"/>
        <v>2800</v>
      </c>
      <c r="K216" s="792">
        <f t="shared" si="248"/>
        <v>3200</v>
      </c>
      <c r="L216" s="792">
        <f t="shared" si="249"/>
        <v>3500</v>
      </c>
      <c r="M216" s="417"/>
      <c r="N216" s="417"/>
      <c r="O216" s="417"/>
      <c r="P216" s="417"/>
      <c r="Q216" s="417"/>
      <c r="Z216" s="367">
        <f t="shared" ref="Z216:AH216" si="266">Z176+$G$263-$AL176</f>
        <v>851.33159048218477</v>
      </c>
      <c r="AA216" s="367">
        <f t="shared" si="266"/>
        <v>1183.9378760802319</v>
      </c>
      <c r="AB216" s="367">
        <f t="shared" si="266"/>
        <v>1516.5441616782791</v>
      </c>
      <c r="AC216" s="367">
        <f t="shared" si="266"/>
        <v>1849.1504472763263</v>
      </c>
      <c r="AD216" s="367">
        <f t="shared" si="266"/>
        <v>2181.7567328743735</v>
      </c>
      <c r="AE216" s="367">
        <f t="shared" si="266"/>
        <v>2514.3630184724207</v>
      </c>
      <c r="AF216" s="367">
        <f t="shared" si="266"/>
        <v>2846.9693040704678</v>
      </c>
      <c r="AG216" s="367">
        <f t="shared" si="266"/>
        <v>3179.575589668515</v>
      </c>
      <c r="AH216" s="367">
        <f t="shared" si="266"/>
        <v>3512.1818752665622</v>
      </c>
      <c r="AT216" s="832">
        <f t="shared" si="261"/>
        <v>0</v>
      </c>
      <c r="AU216" s="832">
        <f t="shared" si="251"/>
        <v>1</v>
      </c>
      <c r="AV216" s="832">
        <f t="shared" si="252"/>
        <v>3</v>
      </c>
      <c r="AW216" s="832">
        <f t="shared" si="253"/>
        <v>4</v>
      </c>
      <c r="AX216" s="832">
        <f t="shared" si="254"/>
        <v>5</v>
      </c>
      <c r="AY216" s="832">
        <f t="shared" si="255"/>
        <v>7</v>
      </c>
      <c r="AZ216" s="832">
        <f t="shared" si="256"/>
        <v>8</v>
      </c>
      <c r="BA216" s="832">
        <f t="shared" si="257"/>
        <v>9</v>
      </c>
      <c r="BB216" s="832">
        <f t="shared" si="258"/>
        <v>10</v>
      </c>
    </row>
    <row r="217" spans="1:54" ht="15" hidden="1" customHeight="1" outlineLevel="1">
      <c r="A217" s="417"/>
      <c r="B217" s="423" t="s">
        <v>2740</v>
      </c>
      <c r="C217" s="809"/>
      <c r="D217" s="417"/>
      <c r="E217" s="417"/>
      <c r="F217" s="417"/>
      <c r="G217" s="417"/>
      <c r="H217" s="417"/>
      <c r="I217" s="417"/>
      <c r="J217" s="417"/>
      <c r="K217" s="417"/>
      <c r="L217" s="417"/>
      <c r="M217" s="417"/>
      <c r="N217" s="417"/>
      <c r="O217" s="417"/>
      <c r="P217" s="417"/>
      <c r="Q217" s="417"/>
    </row>
    <row r="218" spans="1:54" ht="3.95" customHeight="1" collapsed="1">
      <c r="A218" s="417"/>
      <c r="B218" s="417"/>
      <c r="C218" s="417"/>
      <c r="D218" s="417"/>
      <c r="E218" s="417"/>
      <c r="F218" s="417"/>
      <c r="G218" s="417"/>
      <c r="H218" s="417"/>
      <c r="I218" s="417"/>
      <c r="J218" s="417"/>
      <c r="K218" s="417"/>
      <c r="L218" s="417"/>
      <c r="M218" s="417"/>
      <c r="N218" s="417"/>
      <c r="O218" s="417"/>
      <c r="P218" s="417"/>
      <c r="Q218" s="417"/>
    </row>
    <row r="219" spans="1:54" ht="15" customHeight="1">
      <c r="A219" s="417"/>
      <c r="B219" s="148" t="s">
        <v>2724</v>
      </c>
      <c r="C219" s="417"/>
      <c r="D219" s="417"/>
      <c r="E219" s="417"/>
      <c r="F219" s="417"/>
      <c r="G219" s="417"/>
      <c r="H219" s="417"/>
      <c r="I219" s="417"/>
      <c r="J219" s="417"/>
      <c r="K219" s="417"/>
      <c r="L219" s="417"/>
      <c r="M219" s="417"/>
      <c r="N219" s="417"/>
      <c r="O219" s="417"/>
      <c r="P219" s="417"/>
      <c r="Q219" s="417"/>
    </row>
    <row r="220" spans="1:54" ht="2.1" customHeight="1">
      <c r="A220" s="417"/>
      <c r="B220" s="417"/>
      <c r="C220" s="417"/>
      <c r="D220" s="417"/>
      <c r="E220" s="417"/>
      <c r="F220" s="417"/>
      <c r="G220" s="417"/>
      <c r="H220" s="417"/>
      <c r="I220" s="417"/>
      <c r="J220" s="417"/>
      <c r="K220" s="417"/>
      <c r="L220" s="417"/>
      <c r="M220" s="417"/>
      <c r="N220" s="417"/>
      <c r="O220" s="417"/>
      <c r="P220" s="417"/>
      <c r="Q220" s="417"/>
    </row>
    <row r="221" spans="1:54" ht="12.75" customHeight="1">
      <c r="A221" s="417"/>
      <c r="B221" s="454"/>
      <c r="C221" s="454"/>
      <c r="D221" s="786" t="s">
        <v>2637</v>
      </c>
      <c r="E221" s="786"/>
      <c r="F221" s="786"/>
      <c r="G221" s="786"/>
      <c r="H221" s="786"/>
      <c r="I221" s="786"/>
      <c r="J221" s="786"/>
      <c r="K221" s="786"/>
      <c r="L221" s="786"/>
      <c r="M221" s="417"/>
      <c r="N221" s="417"/>
      <c r="O221" s="417"/>
      <c r="P221" s="417"/>
      <c r="Q221" s="417"/>
    </row>
    <row r="222" spans="1:54" ht="12.75" customHeight="1">
      <c r="A222" s="417"/>
      <c r="B222" s="454"/>
      <c r="C222" s="454"/>
      <c r="D222" s="787">
        <f>E222-$G$274</f>
        <v>1</v>
      </c>
      <c r="E222" s="787">
        <f>F222-$G$274</f>
        <v>1.25</v>
      </c>
      <c r="F222" s="787">
        <f>G222-$G$274</f>
        <v>1.5</v>
      </c>
      <c r="G222" s="787">
        <f>H222-$G$274</f>
        <v>1.75</v>
      </c>
      <c r="H222" s="787">
        <f>$G$273</f>
        <v>2</v>
      </c>
      <c r="I222" s="787">
        <f>H222+$G$274</f>
        <v>2.25</v>
      </c>
      <c r="J222" s="787">
        <f>I222+$G$274</f>
        <v>2.5</v>
      </c>
      <c r="K222" s="787">
        <f>J222+$G$274</f>
        <v>2.75</v>
      </c>
      <c r="L222" s="787">
        <f>K222+$G$274</f>
        <v>3</v>
      </c>
      <c r="M222" s="417"/>
      <c r="N222" s="417"/>
      <c r="O222" s="417"/>
      <c r="P222" s="417"/>
      <c r="Q222" s="417"/>
      <c r="AT222" s="833" t="s">
        <v>2748</v>
      </c>
      <c r="AU222" s="427"/>
      <c r="AV222" s="427"/>
      <c r="AW222" s="427"/>
      <c r="AX222" s="427"/>
      <c r="AY222" s="427"/>
      <c r="AZ222" s="427"/>
      <c r="BA222" s="427"/>
      <c r="BB222" s="427"/>
    </row>
    <row r="223" spans="1:54" ht="15" customHeight="1">
      <c r="A223" s="417"/>
      <c r="B223" s="804" t="s">
        <v>2711</v>
      </c>
      <c r="C223" s="828">
        <f>C224+$G$291</f>
        <v>60</v>
      </c>
      <c r="D223" s="806">
        <f>IFERROR(Z210/$AL170,0)</f>
        <v>-4.386657297600597E-2</v>
      </c>
      <c r="E223" s="806">
        <f t="shared" ref="E223:L223" si="267">IFERROR(AA210/$AL170,0)</f>
        <v>-5.800560133488287E-3</v>
      </c>
      <c r="F223" s="806">
        <f t="shared" si="267"/>
        <v>3.2265452709029391E-2</v>
      </c>
      <c r="G223" s="806">
        <f t="shared" si="267"/>
        <v>7.0331465551547068E-2</v>
      </c>
      <c r="H223" s="806">
        <f t="shared" si="267"/>
        <v>0.10839747839406476</v>
      </c>
      <c r="I223" s="806">
        <f t="shared" si="267"/>
        <v>0.14646349123658242</v>
      </c>
      <c r="J223" s="806">
        <f t="shared" si="267"/>
        <v>0.18452950407910013</v>
      </c>
      <c r="K223" s="806">
        <f t="shared" si="267"/>
        <v>0.2225955169216178</v>
      </c>
      <c r="L223" s="806">
        <f t="shared" si="267"/>
        <v>0.26066152976413548</v>
      </c>
      <c r="M223" s="417"/>
      <c r="N223" s="417"/>
      <c r="O223" s="417"/>
      <c r="P223" s="417"/>
      <c r="Q223" s="417"/>
      <c r="AT223" s="832">
        <f>IF(Z210&lt;$G$282,0,MIN($G$279,1+IFERROR(INT((Z210-$G$282)/$G$297),0)))</f>
        <v>0</v>
      </c>
      <c r="AU223" s="832">
        <f t="shared" ref="AU223:BB223" si="268">IF(AA210&lt;$G$282,0,MIN($G$279,1+IFERROR(INT((AA210-$G$282)/$G$297),0)))</f>
        <v>0</v>
      </c>
      <c r="AV223" s="832">
        <f t="shared" si="268"/>
        <v>0</v>
      </c>
      <c r="AW223" s="832">
        <f t="shared" si="268"/>
        <v>0</v>
      </c>
      <c r="AX223" s="832">
        <f t="shared" si="268"/>
        <v>0</v>
      </c>
      <c r="AY223" s="832">
        <f t="shared" si="268"/>
        <v>2</v>
      </c>
      <c r="AZ223" s="832">
        <f t="shared" si="268"/>
        <v>3</v>
      </c>
      <c r="BA223" s="832">
        <f t="shared" si="268"/>
        <v>4</v>
      </c>
      <c r="BB223" s="832">
        <f t="shared" si="268"/>
        <v>6</v>
      </c>
    </row>
    <row r="224" spans="1:54" ht="15" customHeight="1">
      <c r="A224" s="417"/>
      <c r="B224" s="800"/>
      <c r="C224" s="828">
        <f>C225+$G$291</f>
        <v>56</v>
      </c>
      <c r="D224" s="806">
        <f t="shared" ref="D224:L224" si="269">IFERROR(Z211/$AL171,0)</f>
        <v>-2.1331747606562489E-2</v>
      </c>
      <c r="E224" s="806">
        <f t="shared" si="269"/>
        <v>1.8636171913957996E-2</v>
      </c>
      <c r="F224" s="806">
        <f t="shared" si="269"/>
        <v>5.8604091434478478E-2</v>
      </c>
      <c r="G224" s="806">
        <f t="shared" si="269"/>
        <v>9.8572010954998956E-2</v>
      </c>
      <c r="H224" s="806">
        <f t="shared" si="269"/>
        <v>0.13853993047551943</v>
      </c>
      <c r="I224" s="806">
        <f t="shared" si="269"/>
        <v>0.17850784999603994</v>
      </c>
      <c r="J224" s="806">
        <f t="shared" si="269"/>
        <v>0.21847576951656042</v>
      </c>
      <c r="K224" s="806">
        <f t="shared" si="269"/>
        <v>0.25844368903708093</v>
      </c>
      <c r="L224" s="806">
        <f t="shared" si="269"/>
        <v>0.2984116085576014</v>
      </c>
      <c r="M224" s="417"/>
      <c r="N224" s="417"/>
      <c r="O224" s="417"/>
      <c r="P224" s="417"/>
      <c r="Q224" s="417"/>
      <c r="AT224" s="832">
        <f t="shared" ref="AT224:BB224" si="270">IF(Z211&lt;$G$282,0,MIN($G$279,1+IFERROR(INT((Z211-$G$282)/$G$297),0)))</f>
        <v>0</v>
      </c>
      <c r="AU224" s="832">
        <f t="shared" si="270"/>
        <v>0</v>
      </c>
      <c r="AV224" s="832">
        <f t="shared" si="270"/>
        <v>0</v>
      </c>
      <c r="AW224" s="832">
        <f t="shared" si="270"/>
        <v>0</v>
      </c>
      <c r="AX224" s="832">
        <f t="shared" si="270"/>
        <v>1</v>
      </c>
      <c r="AY224" s="832">
        <f t="shared" si="270"/>
        <v>2</v>
      </c>
      <c r="AZ224" s="832">
        <f t="shared" si="270"/>
        <v>4</v>
      </c>
      <c r="BA224" s="832">
        <f t="shared" si="270"/>
        <v>5</v>
      </c>
      <c r="BB224" s="832">
        <f t="shared" si="270"/>
        <v>6</v>
      </c>
    </row>
    <row r="225" spans="1:54" ht="15" customHeight="1">
      <c r="A225" s="417"/>
      <c r="B225" s="800"/>
      <c r="C225" s="828">
        <f>C226+$G$291</f>
        <v>52</v>
      </c>
      <c r="D225" s="806">
        <f t="shared" ref="D225:L225" si="271">IFERROR(Z212/$AL172,0)</f>
        <v>3.5733359776308226E-3</v>
      </c>
      <c r="E225" s="806">
        <f t="shared" si="271"/>
        <v>4.5643208542314864E-2</v>
      </c>
      <c r="F225" s="806">
        <f t="shared" si="271"/>
        <v>8.7713081106998908E-2</v>
      </c>
      <c r="G225" s="806">
        <f t="shared" si="271"/>
        <v>0.12978295367168297</v>
      </c>
      <c r="H225" s="806">
        <f t="shared" si="271"/>
        <v>0.171852826236367</v>
      </c>
      <c r="I225" s="806">
        <f t="shared" si="271"/>
        <v>0.21392269880105103</v>
      </c>
      <c r="J225" s="806">
        <f t="shared" si="271"/>
        <v>0.25599257136573506</v>
      </c>
      <c r="K225" s="806">
        <f t="shared" si="271"/>
        <v>0.29806244393041914</v>
      </c>
      <c r="L225" s="806">
        <f t="shared" si="271"/>
        <v>0.34013231649510317</v>
      </c>
      <c r="M225" s="417"/>
      <c r="N225" s="417"/>
      <c r="O225" s="417"/>
      <c r="P225" s="417"/>
      <c r="Q225" s="417"/>
      <c r="AT225" s="832">
        <f t="shared" ref="AT225:BB225" si="272">IF(Z212&lt;$G$282,0,MIN($G$279,1+IFERROR(INT((Z212-$G$282)/$G$297),0)))</f>
        <v>0</v>
      </c>
      <c r="AU225" s="832">
        <f t="shared" si="272"/>
        <v>0</v>
      </c>
      <c r="AV225" s="832">
        <f t="shared" si="272"/>
        <v>0</v>
      </c>
      <c r="AW225" s="832">
        <f t="shared" si="272"/>
        <v>1</v>
      </c>
      <c r="AX225" s="832">
        <f t="shared" si="272"/>
        <v>2</v>
      </c>
      <c r="AY225" s="832">
        <f t="shared" si="272"/>
        <v>3</v>
      </c>
      <c r="AZ225" s="832">
        <f t="shared" si="272"/>
        <v>5</v>
      </c>
      <c r="BA225" s="832">
        <f t="shared" si="272"/>
        <v>6</v>
      </c>
      <c r="BB225" s="832">
        <f t="shared" si="272"/>
        <v>7</v>
      </c>
    </row>
    <row r="226" spans="1:54" ht="15" customHeight="1">
      <c r="A226" s="417"/>
      <c r="B226" s="800"/>
      <c r="C226" s="828">
        <f>$G$290</f>
        <v>48</v>
      </c>
      <c r="D226" s="806">
        <f t="shared" ref="D226:L226" si="273">IFERROR(Z213/$AL173,0)</f>
        <v>3.1243399364340552E-2</v>
      </c>
      <c r="E226" s="806">
        <f t="shared" si="273"/>
        <v>7.5648585270627122E-2</v>
      </c>
      <c r="F226" s="806">
        <f t="shared" si="273"/>
        <v>0.12005377117691358</v>
      </c>
      <c r="G226" s="806">
        <f t="shared" si="273"/>
        <v>0.16445895708320041</v>
      </c>
      <c r="H226" s="807">
        <f t="shared" si="273"/>
        <v>0.20886414298948675</v>
      </c>
      <c r="I226" s="806">
        <f t="shared" si="273"/>
        <v>0.25326932889577358</v>
      </c>
      <c r="J226" s="806">
        <f t="shared" si="273"/>
        <v>0.29767451480205992</v>
      </c>
      <c r="K226" s="806">
        <f t="shared" si="273"/>
        <v>0.3420797007083467</v>
      </c>
      <c r="L226" s="806">
        <f t="shared" si="273"/>
        <v>0.38648488661463304</v>
      </c>
      <c r="M226" s="417"/>
      <c r="N226" s="417"/>
      <c r="O226" s="417"/>
      <c r="P226" s="417"/>
      <c r="Q226" s="417"/>
      <c r="AT226" s="832">
        <f t="shared" ref="AT226:BB226" si="274">IF(Z213&lt;$G$282,0,MIN($G$279,1+IFERROR(INT((Z213-$G$282)/$G$297),0)))</f>
        <v>0</v>
      </c>
      <c r="AU226" s="832">
        <f t="shared" si="274"/>
        <v>0</v>
      </c>
      <c r="AV226" s="832">
        <f t="shared" si="274"/>
        <v>0</v>
      </c>
      <c r="AW226" s="832">
        <f t="shared" si="274"/>
        <v>1</v>
      </c>
      <c r="AX226" s="832">
        <f t="shared" si="274"/>
        <v>3</v>
      </c>
      <c r="AY226" s="832">
        <f t="shared" si="274"/>
        <v>4</v>
      </c>
      <c r="AZ226" s="832">
        <f t="shared" si="274"/>
        <v>5</v>
      </c>
      <c r="BA226" s="832">
        <f t="shared" si="274"/>
        <v>7</v>
      </c>
      <c r="BB226" s="832">
        <f t="shared" si="274"/>
        <v>8</v>
      </c>
    </row>
    <row r="227" spans="1:54" ht="15" customHeight="1">
      <c r="A227" s="417"/>
      <c r="B227" s="800"/>
      <c r="C227" s="828">
        <f>C226-$G$291</f>
        <v>44</v>
      </c>
      <c r="D227" s="806">
        <f t="shared" ref="D227:L227" si="275">IFERROR(Z214/$AL174,0)</f>
        <v>6.2165959794099772E-2</v>
      </c>
      <c r="E227" s="806">
        <f t="shared" si="275"/>
        <v>0.10918096508962606</v>
      </c>
      <c r="F227" s="806">
        <f t="shared" si="275"/>
        <v>0.15619597038515237</v>
      </c>
      <c r="G227" s="806">
        <f t="shared" si="275"/>
        <v>0.20321097568067867</v>
      </c>
      <c r="H227" s="806">
        <f t="shared" si="275"/>
        <v>0.25022598097620496</v>
      </c>
      <c r="I227" s="806">
        <f t="shared" si="275"/>
        <v>0.29724098627173123</v>
      </c>
      <c r="J227" s="806">
        <f t="shared" si="275"/>
        <v>0.34425599156725756</v>
      </c>
      <c r="K227" s="806">
        <f t="shared" si="275"/>
        <v>0.39127099686278388</v>
      </c>
      <c r="L227" s="806">
        <f t="shared" si="275"/>
        <v>0.43828600215831015</v>
      </c>
      <c r="M227" s="417"/>
      <c r="N227" s="417"/>
      <c r="O227" s="417"/>
      <c r="P227" s="417"/>
      <c r="Q227" s="417"/>
      <c r="AT227" s="832">
        <f t="shared" ref="AT227:BB227" si="276">IF(Z214&lt;$G$282,0,MIN($G$279,1+IFERROR(INT((Z214-$G$282)/$G$297),0)))</f>
        <v>0</v>
      </c>
      <c r="AU227" s="832">
        <f t="shared" si="276"/>
        <v>0</v>
      </c>
      <c r="AV227" s="832">
        <f t="shared" si="276"/>
        <v>1</v>
      </c>
      <c r="AW227" s="832">
        <f t="shared" si="276"/>
        <v>2</v>
      </c>
      <c r="AX227" s="832">
        <f t="shared" si="276"/>
        <v>4</v>
      </c>
      <c r="AY227" s="832">
        <f t="shared" si="276"/>
        <v>5</v>
      </c>
      <c r="AZ227" s="832">
        <f t="shared" si="276"/>
        <v>6</v>
      </c>
      <c r="BA227" s="832">
        <f t="shared" si="276"/>
        <v>8</v>
      </c>
      <c r="BB227" s="832">
        <f t="shared" si="276"/>
        <v>9</v>
      </c>
    </row>
    <row r="228" spans="1:54" ht="15" customHeight="1">
      <c r="A228" s="417"/>
      <c r="B228" s="800"/>
      <c r="C228" s="828">
        <f>C227-$G$291</f>
        <v>40</v>
      </c>
      <c r="D228" s="806">
        <f t="shared" ref="D228:L228" si="277">IFERROR(Z215/$AL175,0)</f>
        <v>9.6950302258554041E-2</v>
      </c>
      <c r="E228" s="806">
        <f t="shared" si="277"/>
        <v>0.14690105576328485</v>
      </c>
      <c r="F228" s="806">
        <f t="shared" si="277"/>
        <v>0.19685180926801579</v>
      </c>
      <c r="G228" s="806">
        <f t="shared" si="277"/>
        <v>0.24680256277274687</v>
      </c>
      <c r="H228" s="806">
        <f t="shared" si="277"/>
        <v>0.29675331627747753</v>
      </c>
      <c r="I228" s="806">
        <f t="shared" si="277"/>
        <v>0.34670406978220875</v>
      </c>
      <c r="J228" s="806">
        <f t="shared" si="277"/>
        <v>0.39665482328693946</v>
      </c>
      <c r="K228" s="806">
        <f t="shared" si="277"/>
        <v>0.44660557679167068</v>
      </c>
      <c r="L228" s="806">
        <f t="shared" si="277"/>
        <v>0.49655633029640134</v>
      </c>
      <c r="M228" s="417"/>
      <c r="N228" s="417"/>
      <c r="O228" s="417"/>
      <c r="P228" s="417"/>
      <c r="Q228" s="417"/>
      <c r="AT228" s="832">
        <f t="shared" ref="AT228:BB228" si="278">IF(Z215&lt;$G$282,0,MIN($G$279,1+IFERROR(INT((Z215-$G$282)/$G$297),0)))</f>
        <v>0</v>
      </c>
      <c r="AU228" s="832">
        <f t="shared" si="278"/>
        <v>0</v>
      </c>
      <c r="AV228" s="832">
        <f t="shared" si="278"/>
        <v>2</v>
      </c>
      <c r="AW228" s="832">
        <f t="shared" si="278"/>
        <v>3</v>
      </c>
      <c r="AX228" s="832">
        <f t="shared" si="278"/>
        <v>4</v>
      </c>
      <c r="AY228" s="832">
        <f t="shared" si="278"/>
        <v>6</v>
      </c>
      <c r="AZ228" s="832">
        <f t="shared" si="278"/>
        <v>7</v>
      </c>
      <c r="BA228" s="832">
        <f t="shared" si="278"/>
        <v>8</v>
      </c>
      <c r="BB228" s="832">
        <f t="shared" si="278"/>
        <v>10</v>
      </c>
    </row>
    <row r="229" spans="1:54" ht="15" customHeight="1">
      <c r="A229" s="417"/>
      <c r="B229" s="801"/>
      <c r="C229" s="829">
        <f>C228-$G$291</f>
        <v>36</v>
      </c>
      <c r="D229" s="808">
        <f t="shared" ref="D229:L229" si="279">IFERROR(Z216/$AL176,0)</f>
        <v>0.13636802912413012</v>
      </c>
      <c r="E229" s="808">
        <f t="shared" si="279"/>
        <v>0.18964558178209459</v>
      </c>
      <c r="F229" s="808">
        <f t="shared" si="279"/>
        <v>0.24292313444005906</v>
      </c>
      <c r="G229" s="808">
        <f t="shared" si="279"/>
        <v>0.2962006870980235</v>
      </c>
      <c r="H229" s="808">
        <f t="shared" si="279"/>
        <v>0.34947823975598796</v>
      </c>
      <c r="I229" s="808">
        <f t="shared" si="279"/>
        <v>0.40275579241395243</v>
      </c>
      <c r="J229" s="808">
        <f t="shared" si="279"/>
        <v>0.4560333450719169</v>
      </c>
      <c r="K229" s="808">
        <f t="shared" si="279"/>
        <v>0.50931089772988136</v>
      </c>
      <c r="L229" s="808">
        <f t="shared" si="279"/>
        <v>0.56258845038784588</v>
      </c>
      <c r="M229" s="417"/>
      <c r="N229" s="417"/>
      <c r="O229" s="417"/>
      <c r="P229" s="417"/>
      <c r="Q229" s="417"/>
      <c r="AT229" s="832">
        <f t="shared" ref="AT229:BB229" si="280">IF(Z216&lt;$G$282,0,MIN($G$279,1+IFERROR(INT((Z216-$G$282)/$G$297),0)))</f>
        <v>0</v>
      </c>
      <c r="AU229" s="832">
        <f t="shared" si="280"/>
        <v>1</v>
      </c>
      <c r="AV229" s="832">
        <f t="shared" si="280"/>
        <v>3</v>
      </c>
      <c r="AW229" s="832">
        <f t="shared" si="280"/>
        <v>4</v>
      </c>
      <c r="AX229" s="832">
        <f t="shared" si="280"/>
        <v>5</v>
      </c>
      <c r="AY229" s="832">
        <f t="shared" si="280"/>
        <v>7</v>
      </c>
      <c r="AZ229" s="832">
        <f t="shared" si="280"/>
        <v>8</v>
      </c>
      <c r="BA229" s="832">
        <f t="shared" si="280"/>
        <v>9</v>
      </c>
      <c r="BB229" s="832">
        <f t="shared" si="280"/>
        <v>10</v>
      </c>
    </row>
    <row r="230" spans="1:54" ht="15" hidden="1" customHeight="1" outlineLevel="1">
      <c r="A230" s="417"/>
      <c r="B230" s="423" t="s">
        <v>2734</v>
      </c>
      <c r="D230" s="417"/>
      <c r="E230" s="417"/>
      <c r="F230" s="417"/>
      <c r="G230" s="417"/>
      <c r="H230" s="417"/>
      <c r="I230" s="417"/>
      <c r="J230" s="417"/>
      <c r="K230" s="417"/>
      <c r="L230" s="417"/>
      <c r="M230" s="417"/>
      <c r="N230" s="417"/>
      <c r="O230" s="417"/>
      <c r="P230" s="417"/>
      <c r="Q230" s="417"/>
    </row>
    <row r="231" spans="1:54" ht="3.95" customHeight="1" collapsed="1">
      <c r="A231" s="417"/>
      <c r="M231" s="417"/>
      <c r="N231" s="417"/>
      <c r="O231" s="417"/>
      <c r="P231" s="417"/>
      <c r="Q231" s="417"/>
    </row>
    <row r="232" spans="1:54" ht="15" customHeight="1">
      <c r="A232" s="417"/>
      <c r="B232" s="148" t="s">
        <v>2725</v>
      </c>
      <c r="C232" s="417"/>
      <c r="D232" s="417"/>
      <c r="E232" s="417"/>
      <c r="F232" s="417"/>
      <c r="G232" s="417"/>
      <c r="H232" s="417"/>
      <c r="I232" s="417"/>
      <c r="J232" s="417"/>
      <c r="K232" s="417"/>
      <c r="L232" s="417"/>
      <c r="M232" s="417"/>
      <c r="N232" s="417"/>
      <c r="O232" s="417"/>
      <c r="P232" s="417"/>
      <c r="Q232" s="417"/>
    </row>
    <row r="233" spans="1:54" ht="2.1" customHeight="1">
      <c r="A233" s="417"/>
      <c r="B233" s="417"/>
      <c r="C233" s="417"/>
      <c r="D233" s="417"/>
      <c r="E233" s="417"/>
      <c r="F233" s="417"/>
      <c r="G233" s="417"/>
      <c r="H233" s="417"/>
      <c r="I233" s="417"/>
      <c r="J233" s="417"/>
      <c r="K233" s="417"/>
      <c r="L233" s="417"/>
      <c r="M233" s="417"/>
      <c r="N233" s="417"/>
      <c r="O233" s="417"/>
      <c r="P233" s="417"/>
      <c r="Q233" s="417"/>
    </row>
    <row r="234" spans="1:54" ht="12.75" customHeight="1">
      <c r="A234" s="417"/>
      <c r="B234" s="454"/>
      <c r="C234" s="454"/>
      <c r="D234" s="786" t="s">
        <v>2637</v>
      </c>
      <c r="E234" s="786"/>
      <c r="F234" s="786"/>
      <c r="G234" s="786"/>
      <c r="H234" s="786"/>
      <c r="I234" s="786"/>
      <c r="J234" s="786"/>
      <c r="K234" s="786"/>
      <c r="L234" s="786"/>
      <c r="M234" s="417"/>
      <c r="N234" s="417"/>
      <c r="O234" s="417"/>
      <c r="P234" s="417"/>
      <c r="Q234" s="417"/>
    </row>
    <row r="235" spans="1:54" ht="12.75" customHeight="1">
      <c r="A235" s="417"/>
      <c r="B235" s="454"/>
      <c r="C235" s="454"/>
      <c r="D235" s="787">
        <f>E235-$G$274</f>
        <v>1</v>
      </c>
      <c r="E235" s="787">
        <f>F235-$G$274</f>
        <v>1.25</v>
      </c>
      <c r="F235" s="787">
        <f>G235-$G$274</f>
        <v>1.5</v>
      </c>
      <c r="G235" s="787">
        <f>H235-$G$274</f>
        <v>1.75</v>
      </c>
      <c r="H235" s="787">
        <f>$G$273</f>
        <v>2</v>
      </c>
      <c r="I235" s="787">
        <f>H235+$G$274</f>
        <v>2.25</v>
      </c>
      <c r="J235" s="787">
        <f>I235+$G$274</f>
        <v>2.5</v>
      </c>
      <c r="K235" s="787">
        <f>J235+$G$274</f>
        <v>2.75</v>
      </c>
      <c r="L235" s="787">
        <f>K235+$G$274</f>
        <v>3</v>
      </c>
      <c r="M235" s="417"/>
      <c r="N235" s="417"/>
      <c r="O235" s="417"/>
      <c r="P235" s="417"/>
      <c r="Q235" s="417"/>
      <c r="AT235" s="833" t="s">
        <v>2748</v>
      </c>
      <c r="AU235" s="427"/>
      <c r="AV235" s="427"/>
      <c r="AW235" s="427"/>
      <c r="AX235" s="427"/>
      <c r="AY235" s="427"/>
      <c r="AZ235" s="427"/>
      <c r="BA235" s="427"/>
      <c r="BB235" s="427"/>
    </row>
    <row r="236" spans="1:54" ht="15" customHeight="1">
      <c r="A236" s="417"/>
      <c r="B236" s="804" t="s">
        <v>2711</v>
      </c>
      <c r="C236" s="828">
        <f>C237+$G$291</f>
        <v>60</v>
      </c>
      <c r="D236" s="814">
        <f>D196-$AM170</f>
        <v>2.9660040901881901E-2</v>
      </c>
      <c r="E236" s="814">
        <f t="shared" ref="E236:L236" si="281">E196-$AM170</f>
        <v>4.0424339472625581E-2</v>
      </c>
      <c r="F236" s="814">
        <f t="shared" si="281"/>
        <v>5.0837953114800438E-2</v>
      </c>
      <c r="G236" s="814">
        <f t="shared" si="281"/>
        <v>6.0925585540904992E-2</v>
      </c>
      <c r="H236" s="814">
        <f t="shared" si="281"/>
        <v>7.0709335033840581E-2</v>
      </c>
      <c r="I236" s="814">
        <f t="shared" si="281"/>
        <v>8.0209053832714483E-2</v>
      </c>
      <c r="J236" s="814">
        <f t="shared" si="281"/>
        <v>8.9442647190230762E-2</v>
      </c>
      <c r="K236" s="814">
        <f t="shared" si="281"/>
        <v>9.8426323745483213E-2</v>
      </c>
      <c r="L236" s="814">
        <f t="shared" si="281"/>
        <v>0.10717480658917844</v>
      </c>
      <c r="M236" s="417"/>
      <c r="N236" s="417"/>
      <c r="O236" s="417"/>
      <c r="P236" s="417"/>
      <c r="Q236" s="417"/>
      <c r="AT236" s="832">
        <f>IF(Z210&lt;$G$282,0,MIN($G$279,1+IFERROR(INT((Z210-$G$282)/$G$297),0)))</f>
        <v>0</v>
      </c>
      <c r="AU236" s="832">
        <f t="shared" ref="AU236:BB236" si="282">IF(AA210&lt;$G$282,0,MIN($G$279,1+IFERROR(INT((AA210-$G$282)/$G$297),0)))</f>
        <v>0</v>
      </c>
      <c r="AV236" s="832">
        <f t="shared" si="282"/>
        <v>0</v>
      </c>
      <c r="AW236" s="832">
        <f t="shared" si="282"/>
        <v>0</v>
      </c>
      <c r="AX236" s="832">
        <f t="shared" si="282"/>
        <v>0</v>
      </c>
      <c r="AY236" s="832">
        <f t="shared" si="282"/>
        <v>2</v>
      </c>
      <c r="AZ236" s="832">
        <f t="shared" si="282"/>
        <v>3</v>
      </c>
      <c r="BA236" s="832">
        <f t="shared" si="282"/>
        <v>4</v>
      </c>
      <c r="BB236" s="832">
        <f t="shared" si="282"/>
        <v>6</v>
      </c>
    </row>
    <row r="237" spans="1:54" ht="15" customHeight="1">
      <c r="A237" s="417"/>
      <c r="B237" s="800"/>
      <c r="C237" s="828">
        <f>C238+$G$291</f>
        <v>56</v>
      </c>
      <c r="D237" s="814">
        <f t="shared" ref="D237:L237" si="283">D197-$AM171</f>
        <v>3.4686994895935852E-2</v>
      </c>
      <c r="E237" s="814">
        <f t="shared" si="283"/>
        <v>4.5686802373704261E-2</v>
      </c>
      <c r="F237" s="814">
        <f t="shared" si="283"/>
        <v>5.6318791417729885E-2</v>
      </c>
      <c r="G237" s="814">
        <f t="shared" si="283"/>
        <v>6.6609529526035161E-2</v>
      </c>
      <c r="H237" s="814">
        <f t="shared" si="283"/>
        <v>7.6582713880430919E-2</v>
      </c>
      <c r="I237" s="814">
        <f t="shared" si="283"/>
        <v>8.6259576594590825E-2</v>
      </c>
      <c r="J237" s="814">
        <f t="shared" si="283"/>
        <v>9.5659220330276851E-2</v>
      </c>
      <c r="K237" s="814">
        <f t="shared" si="283"/>
        <v>0.10479889813668364</v>
      </c>
      <c r="L237" s="814">
        <f t="shared" si="283"/>
        <v>0.1136942484051191</v>
      </c>
      <c r="M237" s="417"/>
      <c r="N237" s="417"/>
      <c r="O237" s="417"/>
      <c r="P237" s="417"/>
      <c r="Q237" s="417"/>
      <c r="AT237" s="832">
        <f t="shared" ref="AT237:BB237" si="284">IF(Z211&lt;$G$282,0,MIN($G$279,1+IFERROR(INT((Z211-$G$282)/$G$297),0)))</f>
        <v>0</v>
      </c>
      <c r="AU237" s="832">
        <f t="shared" si="284"/>
        <v>0</v>
      </c>
      <c r="AV237" s="832">
        <f t="shared" si="284"/>
        <v>0</v>
      </c>
      <c r="AW237" s="832">
        <f t="shared" si="284"/>
        <v>0</v>
      </c>
      <c r="AX237" s="832">
        <f t="shared" si="284"/>
        <v>1</v>
      </c>
      <c r="AY237" s="832">
        <f t="shared" si="284"/>
        <v>2</v>
      </c>
      <c r="AZ237" s="832">
        <f t="shared" si="284"/>
        <v>4</v>
      </c>
      <c r="BA237" s="832">
        <f t="shared" si="284"/>
        <v>5</v>
      </c>
      <c r="BB237" s="832">
        <f t="shared" si="284"/>
        <v>6</v>
      </c>
    </row>
    <row r="238" spans="1:54" ht="15" customHeight="1">
      <c r="A238" s="417"/>
      <c r="B238" s="800"/>
      <c r="C238" s="828">
        <f>C239+$G$291</f>
        <v>52</v>
      </c>
      <c r="D238" s="814">
        <f t="shared" ref="D238:L238" si="285">D198-$AM172</f>
        <v>4.0045786787036963E-2</v>
      </c>
      <c r="E238" s="814">
        <f t="shared" si="285"/>
        <v>5.129302469106789E-2</v>
      </c>
      <c r="F238" s="814">
        <f t="shared" si="285"/>
        <v>6.2153971810127606E-2</v>
      </c>
      <c r="G238" s="814">
        <f t="shared" si="285"/>
        <v>7.2657255617296412E-2</v>
      </c>
      <c r="H238" s="814">
        <f t="shared" si="285"/>
        <v>8.2828333412914734E-2</v>
      </c>
      <c r="I238" s="814">
        <f t="shared" si="285"/>
        <v>9.2689950719402558E-2</v>
      </c>
      <c r="J238" s="814">
        <f t="shared" si="285"/>
        <v>0.10226251895607907</v>
      </c>
      <c r="K238" s="814">
        <f t="shared" si="285"/>
        <v>0.11156442909641862</v>
      </c>
      <c r="L238" s="814">
        <f t="shared" si="285"/>
        <v>0.12061231382959448</v>
      </c>
      <c r="M238" s="417"/>
      <c r="N238" s="417"/>
      <c r="O238" s="417"/>
      <c r="P238" s="417"/>
      <c r="Q238" s="417"/>
      <c r="AT238" s="832">
        <f t="shared" ref="AT238:BB238" si="286">IF(Z212&lt;$G$282,0,MIN($G$279,1+IFERROR(INT((Z212-$G$282)/$G$297),0)))</f>
        <v>0</v>
      </c>
      <c r="AU238" s="832">
        <f t="shared" si="286"/>
        <v>0</v>
      </c>
      <c r="AV238" s="832">
        <f t="shared" si="286"/>
        <v>0</v>
      </c>
      <c r="AW238" s="832">
        <f t="shared" si="286"/>
        <v>1</v>
      </c>
      <c r="AX238" s="832">
        <f t="shared" si="286"/>
        <v>2</v>
      </c>
      <c r="AY238" s="832">
        <f t="shared" si="286"/>
        <v>3</v>
      </c>
      <c r="AZ238" s="832">
        <f t="shared" si="286"/>
        <v>5</v>
      </c>
      <c r="BA238" s="832">
        <f t="shared" si="286"/>
        <v>6</v>
      </c>
      <c r="BB238" s="832">
        <f t="shared" si="286"/>
        <v>7</v>
      </c>
    </row>
    <row r="239" spans="1:54" ht="15" customHeight="1">
      <c r="A239" s="417"/>
      <c r="B239" s="800"/>
      <c r="C239" s="828">
        <f>$G$290</f>
        <v>48</v>
      </c>
      <c r="D239" s="814">
        <f t="shared" ref="D239:L239" si="287">D199-$AM173</f>
        <v>4.5775544564219839E-2</v>
      </c>
      <c r="E239" s="814">
        <f t="shared" si="287"/>
        <v>5.728310049100549E-2</v>
      </c>
      <c r="F239" s="814">
        <f t="shared" si="287"/>
        <v>6.8384408332762714E-2</v>
      </c>
      <c r="G239" s="814">
        <f t="shared" si="287"/>
        <v>7.9110378567202488E-2</v>
      </c>
      <c r="H239" s="815">
        <f t="shared" si="287"/>
        <v>8.94884109499543E-2</v>
      </c>
      <c r="I239" s="814">
        <f t="shared" si="287"/>
        <v>9.9542914641983726E-2</v>
      </c>
      <c r="J239" s="814">
        <f t="shared" si="287"/>
        <v>0.10929573465879305</v>
      </c>
      <c r="K239" s="814">
        <f t="shared" si="287"/>
        <v>0.11876650420254031</v>
      </c>
      <c r="L239" s="814">
        <f t="shared" si="287"/>
        <v>0.12797293808122312</v>
      </c>
      <c r="M239" s="417"/>
      <c r="N239" s="417"/>
      <c r="O239" s="417"/>
      <c r="P239" s="417"/>
      <c r="Q239" s="417"/>
      <c r="AT239" s="832">
        <f t="shared" ref="AT239:BB239" si="288">IF(Z213&lt;$G$282,0,MIN($G$279,1+IFERROR(INT((Z213-$G$282)/$G$297),0)))</f>
        <v>0</v>
      </c>
      <c r="AU239" s="832">
        <f t="shared" si="288"/>
        <v>0</v>
      </c>
      <c r="AV239" s="832">
        <f t="shared" si="288"/>
        <v>0</v>
      </c>
      <c r="AW239" s="832">
        <f t="shared" si="288"/>
        <v>1</v>
      </c>
      <c r="AX239" s="832">
        <f t="shared" si="288"/>
        <v>3</v>
      </c>
      <c r="AY239" s="832">
        <f t="shared" si="288"/>
        <v>4</v>
      </c>
      <c r="AZ239" s="832">
        <f t="shared" si="288"/>
        <v>5</v>
      </c>
      <c r="BA239" s="832">
        <f t="shared" si="288"/>
        <v>7</v>
      </c>
      <c r="BB239" s="832">
        <f t="shared" si="288"/>
        <v>8</v>
      </c>
    </row>
    <row r="240" spans="1:54" ht="15" customHeight="1">
      <c r="A240" s="417"/>
      <c r="B240" s="800"/>
      <c r="C240" s="828">
        <f>C239-$G$291</f>
        <v>44</v>
      </c>
      <c r="D240" s="814">
        <f t="shared" ref="D240:L240" si="289">D200-$AM174</f>
        <v>5.1922247212122574E-2</v>
      </c>
      <c r="E240" s="814">
        <f t="shared" si="289"/>
        <v>6.3704084271119177E-2</v>
      </c>
      <c r="F240" s="814">
        <f t="shared" si="289"/>
        <v>7.5058064152305759E-2</v>
      </c>
      <c r="G240" s="814">
        <f t="shared" si="289"/>
        <v>8.6017634776510032E-2</v>
      </c>
      <c r="H240" s="814">
        <f t="shared" si="289"/>
        <v>9.6612345214577067E-2</v>
      </c>
      <c r="I240" s="814">
        <f t="shared" si="289"/>
        <v>0.10686843790985945</v>
      </c>
      <c r="J240" s="814">
        <f t="shared" si="289"/>
        <v>0.11680933163463814</v>
      </c>
      <c r="K240" s="814">
        <f t="shared" si="289"/>
        <v>0.126456018587914</v>
      </c>
      <c r="L240" s="814">
        <f t="shared" si="289"/>
        <v>0.13582739352741702</v>
      </c>
      <c r="M240" s="417"/>
      <c r="N240" s="417"/>
      <c r="O240" s="417"/>
      <c r="P240" s="417"/>
      <c r="Q240" s="417"/>
      <c r="AT240" s="832">
        <f t="shared" ref="AT240:BB240" si="290">IF(Z214&lt;$G$282,0,MIN($G$279,1+IFERROR(INT((Z214-$G$282)/$G$297),0)))</f>
        <v>0</v>
      </c>
      <c r="AU240" s="832">
        <f t="shared" si="290"/>
        <v>0</v>
      </c>
      <c r="AV240" s="832">
        <f t="shared" si="290"/>
        <v>1</v>
      </c>
      <c r="AW240" s="832">
        <f t="shared" si="290"/>
        <v>2</v>
      </c>
      <c r="AX240" s="832">
        <f t="shared" si="290"/>
        <v>4</v>
      </c>
      <c r="AY240" s="832">
        <f t="shared" si="290"/>
        <v>5</v>
      </c>
      <c r="AZ240" s="832">
        <f t="shared" si="290"/>
        <v>6</v>
      </c>
      <c r="BA240" s="832">
        <f t="shared" si="290"/>
        <v>8</v>
      </c>
      <c r="BB240" s="832">
        <f t="shared" si="290"/>
        <v>9</v>
      </c>
    </row>
    <row r="241" spans="1:54" ht="15" customHeight="1">
      <c r="A241" s="417"/>
      <c r="B241" s="800"/>
      <c r="C241" s="828">
        <f>C240-$G$291</f>
        <v>40</v>
      </c>
      <c r="D241" s="814">
        <f t="shared" ref="D241:L241" si="291">D201-$AM175</f>
        <v>5.8540372061710366E-2</v>
      </c>
      <c r="E241" s="814">
        <f t="shared" si="291"/>
        <v>7.0611654454636463E-2</v>
      </c>
      <c r="F241" s="814">
        <f t="shared" si="291"/>
        <v>8.22316275317172E-2</v>
      </c>
      <c r="G241" s="814">
        <f t="shared" si="291"/>
        <v>9.3436568013008037E-2</v>
      </c>
      <c r="H241" s="814">
        <f t="shared" si="291"/>
        <v>0.10425840978478762</v>
      </c>
      <c r="I241" s="814">
        <f t="shared" si="291"/>
        <v>0.1147254206591406</v>
      </c>
      <c r="J241" s="814">
        <f t="shared" si="291"/>
        <v>0.12486275114626455</v>
      </c>
      <c r="K241" s="814">
        <f t="shared" si="291"/>
        <v>0.13469288339859187</v>
      </c>
      <c r="L241" s="814">
        <f t="shared" si="291"/>
        <v>0.14423600139806236</v>
      </c>
      <c r="M241" s="417"/>
      <c r="N241" s="417"/>
      <c r="O241" s="417"/>
      <c r="P241" s="417"/>
      <c r="Q241" s="417"/>
      <c r="AT241" s="832">
        <f t="shared" ref="AT241:BB241" si="292">IF(Z215&lt;$G$282,0,MIN($G$279,1+IFERROR(INT((Z215-$G$282)/$G$297),0)))</f>
        <v>0</v>
      </c>
      <c r="AU241" s="832">
        <f t="shared" si="292"/>
        <v>0</v>
      </c>
      <c r="AV241" s="832">
        <f t="shared" si="292"/>
        <v>2</v>
      </c>
      <c r="AW241" s="832">
        <f t="shared" si="292"/>
        <v>3</v>
      </c>
      <c r="AX241" s="832">
        <f t="shared" si="292"/>
        <v>4</v>
      </c>
      <c r="AY241" s="832">
        <f t="shared" si="292"/>
        <v>6</v>
      </c>
      <c r="AZ241" s="832">
        <f t="shared" si="292"/>
        <v>7</v>
      </c>
      <c r="BA241" s="832">
        <f t="shared" si="292"/>
        <v>8</v>
      </c>
      <c r="BB241" s="832">
        <f t="shared" si="292"/>
        <v>10</v>
      </c>
    </row>
    <row r="242" spans="1:54" ht="15" customHeight="1">
      <c r="A242" s="417"/>
      <c r="B242" s="801"/>
      <c r="C242" s="829">
        <f>C241-$G$291</f>
        <v>36</v>
      </c>
      <c r="D242" s="816">
        <f t="shared" ref="D242:L242" si="293">D202-$AM176</f>
        <v>6.5695062342606469E-2</v>
      </c>
      <c r="E242" s="816">
        <f t="shared" si="293"/>
        <v>7.8072300055807675E-2</v>
      </c>
      <c r="F242" s="816">
        <f t="shared" si="293"/>
        <v>8.9972713156720729E-2</v>
      </c>
      <c r="G242" s="816">
        <f t="shared" si="293"/>
        <v>0.10143574211566575</v>
      </c>
      <c r="H242" s="816">
        <f t="shared" si="293"/>
        <v>0.11249597471064887</v>
      </c>
      <c r="I242" s="816">
        <f t="shared" si="293"/>
        <v>0.1231839223624791</v>
      </c>
      <c r="J242" s="816">
        <f t="shared" si="293"/>
        <v>0.13352664590105778</v>
      </c>
      <c r="K242" s="816">
        <f t="shared" si="293"/>
        <v>0.14354826468384285</v>
      </c>
      <c r="L242" s="816">
        <f t="shared" si="293"/>
        <v>0.15327037438384816</v>
      </c>
      <c r="M242" s="417"/>
      <c r="N242" s="417"/>
      <c r="O242" s="417"/>
      <c r="P242" s="417"/>
      <c r="Q242" s="417"/>
      <c r="AT242" s="832">
        <f t="shared" ref="AT242:BB242" si="294">IF(Z216&lt;$G$282,0,MIN($G$279,1+IFERROR(INT((Z216-$G$282)/$G$297),0)))</f>
        <v>0</v>
      </c>
      <c r="AU242" s="832">
        <f t="shared" si="294"/>
        <v>1</v>
      </c>
      <c r="AV242" s="832">
        <f t="shared" si="294"/>
        <v>3</v>
      </c>
      <c r="AW242" s="832">
        <f t="shared" si="294"/>
        <v>4</v>
      </c>
      <c r="AX242" s="832">
        <f t="shared" si="294"/>
        <v>5</v>
      </c>
      <c r="AY242" s="832">
        <f t="shared" si="294"/>
        <v>7</v>
      </c>
      <c r="AZ242" s="832">
        <f t="shared" si="294"/>
        <v>8</v>
      </c>
      <c r="BA242" s="832">
        <f t="shared" si="294"/>
        <v>9</v>
      </c>
      <c r="BB242" s="832">
        <f t="shared" si="294"/>
        <v>10</v>
      </c>
    </row>
    <row r="243" spans="1:54" ht="15" hidden="1" customHeight="1" outlineLevel="1">
      <c r="A243" s="417"/>
      <c r="B243" s="423" t="s">
        <v>2735</v>
      </c>
      <c r="D243" s="417"/>
      <c r="E243" s="417"/>
      <c r="F243" s="417"/>
      <c r="G243" s="417"/>
      <c r="H243" s="417"/>
      <c r="I243" s="417"/>
      <c r="J243" s="417"/>
      <c r="K243" s="417"/>
      <c r="L243" s="417"/>
      <c r="M243" s="417"/>
      <c r="N243" s="417"/>
      <c r="O243" s="417"/>
      <c r="P243" s="417"/>
      <c r="Q243" s="417"/>
    </row>
    <row r="244" spans="1:54" ht="3.95" customHeight="1" collapsed="1">
      <c r="A244" s="417"/>
      <c r="M244" s="417"/>
    </row>
    <row r="245" spans="1:54" ht="12" customHeight="1">
      <c r="A245" s="417"/>
      <c r="B245" s="374" t="s">
        <v>2566</v>
      </c>
      <c r="C245" s="374"/>
      <c r="D245" s="374"/>
      <c r="E245" s="374"/>
      <c r="F245" s="374"/>
      <c r="G245" s="374"/>
      <c r="H245" s="374"/>
      <c r="I245" s="374"/>
      <c r="J245" s="374"/>
      <c r="K245" s="374"/>
      <c r="L245" s="374"/>
      <c r="M245" s="417"/>
    </row>
    <row r="246" spans="1:54" ht="12" customHeight="1">
      <c r="A246" s="417"/>
      <c r="B246" s="417" t="s">
        <v>2567</v>
      </c>
      <c r="G246" s="623">
        <f>$O18+$G$268+$N18*$G$264+$R18*($Q18*(1+$G$270)+$G$264*(1-$N18))-$G$263</f>
        <v>6083.8455322633345</v>
      </c>
      <c r="H246" s="417"/>
      <c r="M246" s="417"/>
    </row>
    <row r="247" spans="1:54" ht="12" customHeight="1">
      <c r="A247" s="417"/>
      <c r="B247" s="784" t="s">
        <v>2571</v>
      </c>
      <c r="C247" s="818"/>
      <c r="D247" s="818"/>
      <c r="E247" s="818"/>
      <c r="F247" s="818"/>
      <c r="G247" s="792">
        <f>'Partnership Analysis'!$D$92-'Partnership Analysis'!$C$185</f>
        <v>6083.8455322633326</v>
      </c>
      <c r="H247" s="417"/>
      <c r="M247" s="417"/>
    </row>
    <row r="248" spans="1:54" ht="12" customHeight="1">
      <c r="A248" s="417"/>
      <c r="B248" s="819" t="s">
        <v>304</v>
      </c>
      <c r="G248" s="820">
        <f>G246-G247</f>
        <v>0</v>
      </c>
      <c r="H248" s="417"/>
      <c r="M248" s="417"/>
    </row>
    <row r="249" spans="1:54" ht="12" customHeight="1">
      <c r="A249" s="417"/>
      <c r="B249" s="417" t="s">
        <v>2651</v>
      </c>
      <c r="G249" s="623">
        <f>G246+$G$263-$G$280</f>
        <v>1593.5878335345224</v>
      </c>
      <c r="H249" s="417"/>
      <c r="M249" s="417"/>
    </row>
    <row r="250" spans="1:54" ht="12" customHeight="1">
      <c r="A250" s="417"/>
      <c r="B250" s="784" t="s">
        <v>2652</v>
      </c>
      <c r="C250" s="818"/>
      <c r="D250" s="818"/>
      <c r="E250" s="818"/>
      <c r="F250" s="818"/>
      <c r="G250" s="792">
        <f>'Partnership Analysis'!$D$95</f>
        <v>1593.5878335345205</v>
      </c>
      <c r="H250" s="417"/>
      <c r="M250" s="417"/>
    </row>
    <row r="251" spans="1:54" ht="12" customHeight="1">
      <c r="A251" s="417"/>
      <c r="B251" s="819" t="s">
        <v>2653</v>
      </c>
      <c r="G251" s="820">
        <f>ROUND(G249-G250,6)</f>
        <v>0</v>
      </c>
      <c r="H251" s="417"/>
      <c r="M251" s="417"/>
    </row>
    <row r="252" spans="1:54" ht="12" customHeight="1">
      <c r="A252" s="417"/>
      <c r="B252" s="417" t="s">
        <v>2671</v>
      </c>
      <c r="G252" s="623">
        <f>($G$286+$G$289*$G$278*$G$287)*$G$288</f>
        <v>13980.189077288132</v>
      </c>
      <c r="H252" s="417"/>
      <c r="M252" s="417"/>
    </row>
    <row r="253" spans="1:54" ht="12" customHeight="1">
      <c r="A253" s="417"/>
      <c r="B253" s="784" t="s">
        <v>2672</v>
      </c>
      <c r="C253" s="818"/>
      <c r="D253" s="818"/>
      <c r="E253" s="818"/>
      <c r="F253" s="818"/>
      <c r="G253" s="792">
        <f>$G$264</f>
        <v>13980.189077288132</v>
      </c>
      <c r="H253" s="417"/>
      <c r="M253" s="417"/>
    </row>
    <row r="254" spans="1:54" ht="12" customHeight="1">
      <c r="A254" s="417"/>
      <c r="B254" s="819" t="s">
        <v>2673</v>
      </c>
      <c r="G254" s="820">
        <f>ROUND(G252-G253,6)</f>
        <v>0</v>
      </c>
      <c r="H254" s="417"/>
      <c r="M254" s="417"/>
    </row>
    <row r="255" spans="1:54" ht="12" customHeight="1">
      <c r="A255" s="417"/>
      <c r="B255" s="417" t="s">
        <v>2704</v>
      </c>
      <c r="G255" s="623">
        <f>($G$286+($G$289-$G$292)*$G$278*$G$293)*$G$294*$G$295</f>
        <v>7490.2576987288121</v>
      </c>
      <c r="H255" s="417"/>
      <c r="M255" s="417"/>
    </row>
    <row r="256" spans="1:54" ht="12" customHeight="1">
      <c r="A256" s="417"/>
      <c r="B256" s="784" t="s">
        <v>2705</v>
      </c>
      <c r="C256" s="818"/>
      <c r="D256" s="818"/>
      <c r="E256" s="818"/>
      <c r="F256" s="818"/>
      <c r="G256" s="792">
        <f>$G$280</f>
        <v>7490.2576987288121</v>
      </c>
      <c r="H256" s="417"/>
      <c r="M256" s="417"/>
    </row>
    <row r="257" spans="1:13" ht="12" customHeight="1">
      <c r="A257" s="417"/>
      <c r="B257" s="819" t="s">
        <v>2706</v>
      </c>
      <c r="G257" s="820">
        <f>ROUND(G255-G256,6)</f>
        <v>0</v>
      </c>
      <c r="H257" s="417"/>
      <c r="M257" s="417"/>
    </row>
    <row r="258" spans="1:13" ht="12" customHeight="1">
      <c r="A258" s="417"/>
      <c r="B258" s="417" t="s">
        <v>2736</v>
      </c>
      <c r="G258" s="623">
        <f>$O$18+$G$268+$N$18*$G$252+$R$18*($Q$18*(1+$G$270)+$G$252*(1-$N$18))-$G$263</f>
        <v>6083.8455322633345</v>
      </c>
      <c r="H258" s="417"/>
      <c r="M258" s="417"/>
    </row>
    <row r="259" spans="1:13" ht="12" customHeight="1">
      <c r="A259" s="417"/>
      <c r="B259" s="784" t="s">
        <v>2571</v>
      </c>
      <c r="C259" s="818"/>
      <c r="D259" s="818"/>
      <c r="E259" s="818"/>
      <c r="F259" s="818"/>
      <c r="G259" s="792">
        <f>$G$247</f>
        <v>6083.8455322633326</v>
      </c>
      <c r="H259" s="417"/>
      <c r="M259" s="417"/>
    </row>
    <row r="260" spans="1:13" ht="12" customHeight="1">
      <c r="A260" s="417"/>
      <c r="B260" s="819" t="s">
        <v>2737</v>
      </c>
      <c r="G260" s="820">
        <f>ROUND(G258-G259,6)</f>
        <v>0</v>
      </c>
      <c r="H260" s="417"/>
      <c r="M260" s="417"/>
    </row>
    <row r="261" spans="1:13" ht="12" customHeight="1">
      <c r="A261" s="417"/>
      <c r="B261" s="417"/>
      <c r="G261" s="417"/>
      <c r="H261" s="417"/>
      <c r="M261" s="417"/>
    </row>
    <row r="262" spans="1:13" ht="12" customHeight="1">
      <c r="A262" s="417"/>
      <c r="B262" s="374" t="s">
        <v>2099</v>
      </c>
      <c r="C262" s="374"/>
      <c r="D262" s="374"/>
      <c r="E262" s="374"/>
      <c r="F262" s="374"/>
      <c r="G262" s="817" t="s">
        <v>1197</v>
      </c>
      <c r="H262" s="374" t="s">
        <v>287</v>
      </c>
      <c r="I262" s="374"/>
      <c r="J262" s="374"/>
      <c r="K262" s="374"/>
      <c r="L262" s="374"/>
      <c r="M262" s="417"/>
    </row>
    <row r="263" spans="1:13" ht="12" customHeight="1">
      <c r="B263" s="417" t="s">
        <v>2186</v>
      </c>
      <c r="G263" s="637">
        <f>'Partnership Analysis'!$C$185</f>
        <v>3000</v>
      </c>
      <c r="H263" s="417" t="s">
        <v>2543</v>
      </c>
    </row>
    <row r="264" spans="1:13" ht="12" customHeight="1">
      <c r="B264" s="417" t="s">
        <v>2568</v>
      </c>
      <c r="G264" s="472">
        <f>'Partnership Analysis'!$D$77</f>
        <v>13980.189077288132</v>
      </c>
      <c r="H264" s="417" t="s">
        <v>2544</v>
      </c>
    </row>
    <row r="265" spans="1:13" ht="12" customHeight="1">
      <c r="B265" s="417" t="s">
        <v>2039</v>
      </c>
      <c r="G265" s="472">
        <f>'Partnership Analysis'!$C$191</f>
        <v>60000</v>
      </c>
      <c r="H265" s="417" t="s">
        <v>2545</v>
      </c>
    </row>
    <row r="266" spans="1:13" ht="12" customHeight="1">
      <c r="B266" s="417" t="s">
        <v>2546</v>
      </c>
      <c r="G266" s="785">
        <f>'Partnership Analysis'!$C$168</f>
        <v>0.30952380952380953</v>
      </c>
      <c r="H266" s="417" t="s">
        <v>2547</v>
      </c>
    </row>
    <row r="267" spans="1:13" ht="12" customHeight="1">
      <c r="B267" s="417" t="s">
        <v>2569</v>
      </c>
      <c r="G267" s="785">
        <f>'Partnership Analysis'!$C$8</f>
        <v>0.05</v>
      </c>
      <c r="H267" s="417" t="s">
        <v>2548</v>
      </c>
    </row>
    <row r="268" spans="1:13" ht="12" customHeight="1">
      <c r="B268" s="417" t="s">
        <v>2447</v>
      </c>
      <c r="G268" s="472">
        <f>'Partnership Analysis'!$C$58</f>
        <v>0</v>
      </c>
      <c r="H268" s="417" t="s">
        <v>2549</v>
      </c>
    </row>
    <row r="269" spans="1:13" ht="12" customHeight="1">
      <c r="B269" s="417" t="s">
        <v>2550</v>
      </c>
      <c r="G269" s="785">
        <f>'Partnership Analysis'!$C$7</f>
        <v>0.3</v>
      </c>
      <c r="H269" s="417" t="s">
        <v>2551</v>
      </c>
    </row>
    <row r="270" spans="1:13" ht="12" customHeight="1">
      <c r="B270" s="417" t="s">
        <v>2570</v>
      </c>
      <c r="G270" s="785">
        <f>'Partnership Analysis'!$C$19</f>
        <v>2.0219039595619215</v>
      </c>
      <c r="H270" s="417" t="s">
        <v>2552</v>
      </c>
    </row>
    <row r="271" spans="1:13" ht="12" customHeight="1">
      <c r="B271" s="417" t="s">
        <v>2553</v>
      </c>
      <c r="G271" s="636">
        <v>0.3</v>
      </c>
      <c r="H271" s="417" t="s">
        <v>2554</v>
      </c>
    </row>
    <row r="272" spans="1:13" ht="12" customHeight="1">
      <c r="B272" s="417" t="s">
        <v>2555</v>
      </c>
      <c r="G272" s="636">
        <v>0.05</v>
      </c>
      <c r="H272" s="417" t="s">
        <v>2556</v>
      </c>
    </row>
    <row r="273" spans="2:8" ht="12" customHeight="1">
      <c r="B273" s="417" t="s">
        <v>2557</v>
      </c>
      <c r="G273" s="636">
        <v>2</v>
      </c>
      <c r="H273" s="417" t="s">
        <v>2558</v>
      </c>
    </row>
    <row r="274" spans="2:8" ht="12" customHeight="1">
      <c r="B274" s="417" t="s">
        <v>2559</v>
      </c>
      <c r="G274" s="636">
        <v>0.25</v>
      </c>
      <c r="H274" s="417" t="s">
        <v>2560</v>
      </c>
    </row>
    <row r="275" spans="2:8" ht="12" customHeight="1">
      <c r="B275" s="417" t="s">
        <v>2641</v>
      </c>
      <c r="G275" s="543">
        <f>$G$280-$G$263+$G$282</f>
        <v>5490.2576987288121</v>
      </c>
      <c r="H275" s="417" t="s">
        <v>2666</v>
      </c>
    </row>
    <row r="276" spans="2:8" ht="12" customHeight="1">
      <c r="B276" s="417" t="s">
        <v>2642</v>
      </c>
      <c r="G276" s="619">
        <f>IFERROR(($G$280+$G$282)/$G$263-1,0)</f>
        <v>1.8300858995762708</v>
      </c>
      <c r="H276" s="417" t="s">
        <v>2667</v>
      </c>
    </row>
    <row r="277" spans="2:8" ht="12" customHeight="1">
      <c r="B277" s="417" t="s">
        <v>2281</v>
      </c>
      <c r="G277" s="53">
        <f>'Partnership Analysis'!$C$46</f>
        <v>3</v>
      </c>
      <c r="H277" s="417" t="s">
        <v>2644</v>
      </c>
    </row>
    <row r="278" spans="2:8" ht="12" customHeight="1">
      <c r="B278" s="417" t="s">
        <v>2645</v>
      </c>
      <c r="G278" s="53">
        <f>'Partnership Analysis'!$C$9</f>
        <v>5</v>
      </c>
      <c r="H278" s="417" t="s">
        <v>2646</v>
      </c>
    </row>
    <row r="279" spans="2:8" ht="12" customHeight="1">
      <c r="B279" s="417" t="s">
        <v>2742</v>
      </c>
      <c r="G279" s="82">
        <v>10</v>
      </c>
      <c r="H279" s="417" t="s">
        <v>2743</v>
      </c>
    </row>
    <row r="280" spans="2:8" ht="12" customHeight="1">
      <c r="B280" s="417" t="s">
        <v>2654</v>
      </c>
      <c r="G280" s="53">
        <f>'Partnership Analysis'!$D$74</f>
        <v>7490.2576987288121</v>
      </c>
      <c r="H280" s="417" t="s">
        <v>2655</v>
      </c>
    </row>
    <row r="281" spans="2:8" ht="12" customHeight="1">
      <c r="B281" s="417" t="s">
        <v>2656</v>
      </c>
      <c r="G281" s="824">
        <f>IFERROR((G280/G263)^(1/G278)-1,0)</f>
        <v>0.20081222595661186</v>
      </c>
      <c r="H281" s="417" t="s">
        <v>2657</v>
      </c>
    </row>
    <row r="282" spans="2:8" ht="12" customHeight="1">
      <c r="B282" s="417" t="s">
        <v>2668</v>
      </c>
      <c r="G282" s="46">
        <v>1000</v>
      </c>
      <c r="H282" s="417" t="s">
        <v>2669</v>
      </c>
    </row>
    <row r="283" spans="2:8" ht="12" customHeight="1">
      <c r="B283" s="417" t="s">
        <v>2658</v>
      </c>
      <c r="G283" s="824">
        <f>IFERROR($G$282/$G$280,0)</f>
        <v>0.13350675507061821</v>
      </c>
      <c r="H283" s="417" t="s">
        <v>2670</v>
      </c>
    </row>
    <row r="284" spans="2:8" ht="12" customHeight="1">
      <c r="B284" s="417" t="s">
        <v>2744</v>
      </c>
      <c r="G284" s="543">
        <f>(MAX($Z$50:$AH$56)-$G$282)/$G$279</f>
        <v>266.01073068949211</v>
      </c>
      <c r="H284" s="417" t="s">
        <v>2745</v>
      </c>
    </row>
    <row r="285" spans="2:8" ht="12" customHeight="1">
      <c r="B285" s="417" t="s">
        <v>2662</v>
      </c>
      <c r="G285" s="812">
        <v>-2</v>
      </c>
      <c r="H285" s="417" t="s">
        <v>2663</v>
      </c>
    </row>
    <row r="286" spans="2:8" ht="12" customHeight="1">
      <c r="B286" s="417" t="s">
        <v>2282</v>
      </c>
      <c r="G286" s="53">
        <f>'Partnership Analysis'!$C$184</f>
        <v>2998.5410200000001</v>
      </c>
      <c r="H286" s="417" t="s">
        <v>2674</v>
      </c>
    </row>
    <row r="287" spans="2:8" ht="12" customHeight="1">
      <c r="B287" s="417" t="s">
        <v>2675</v>
      </c>
      <c r="G287" s="385">
        <f>'Partnership Analysis'!$C$36</f>
        <v>16.631472994350275</v>
      </c>
      <c r="H287" s="417" t="s">
        <v>2676</v>
      </c>
    </row>
    <row r="288" spans="2:8" ht="12" customHeight="1">
      <c r="B288" s="417" t="s">
        <v>2080</v>
      </c>
      <c r="G288" s="607">
        <f>'Partnership Analysis'!$C$31</f>
        <v>2</v>
      </c>
      <c r="H288" s="417" t="s">
        <v>2677</v>
      </c>
    </row>
    <row r="289" spans="2:8" ht="12" customHeight="1">
      <c r="B289" s="417" t="s">
        <v>2678</v>
      </c>
      <c r="G289" s="53">
        <f>'Partnership Analysis'!$C$40</f>
        <v>48</v>
      </c>
      <c r="H289" s="417" t="s">
        <v>2679</v>
      </c>
    </row>
    <row r="290" spans="2:8" ht="12" customHeight="1">
      <c r="B290" s="417" t="s">
        <v>2680</v>
      </c>
      <c r="G290" s="82">
        <v>48</v>
      </c>
      <c r="H290" s="417" t="s">
        <v>2681</v>
      </c>
    </row>
    <row r="291" spans="2:8" ht="12" customHeight="1">
      <c r="B291" s="417" t="s">
        <v>2682</v>
      </c>
      <c r="G291" s="82">
        <v>4</v>
      </c>
      <c r="H291" s="417" t="s">
        <v>2683</v>
      </c>
    </row>
    <row r="292" spans="2:8" ht="12" customHeight="1">
      <c r="B292" s="417" t="s">
        <v>2696</v>
      </c>
      <c r="G292" s="53">
        <f>'Partnership Analysis'!$C$39</f>
        <v>12</v>
      </c>
      <c r="H292" s="417" t="s">
        <v>2697</v>
      </c>
    </row>
    <row r="293" spans="2:8" ht="12" customHeight="1">
      <c r="B293" s="417" t="s">
        <v>2698</v>
      </c>
      <c r="G293" s="385">
        <f>'Partnership Analysis'!$C$24</f>
        <v>16.631472994350275</v>
      </c>
      <c r="H293" s="417" t="s">
        <v>2699</v>
      </c>
    </row>
    <row r="294" spans="2:8" ht="12" customHeight="1">
      <c r="B294" s="417" t="s">
        <v>2700</v>
      </c>
      <c r="G294" s="607">
        <f>'Partnership Analysis'!$C$23</f>
        <v>1.25</v>
      </c>
      <c r="H294" s="417" t="s">
        <v>2701</v>
      </c>
    </row>
    <row r="295" spans="2:8" ht="12" customHeight="1">
      <c r="B295" s="417" t="s">
        <v>2702</v>
      </c>
      <c r="G295" s="571">
        <f>'Partnership Analysis'!$C$73</f>
        <v>1</v>
      </c>
      <c r="H295" s="417" t="s">
        <v>2703</v>
      </c>
    </row>
    <row r="296" spans="2:8" ht="12" customHeight="1">
      <c r="B296" s="417" t="s">
        <v>2746</v>
      </c>
      <c r="G296" s="543">
        <f>(MAX($Z$130:$AH$136)-$G$282)/$G$279</f>
        <v>206.98347431399398</v>
      </c>
      <c r="H296" s="417" t="s">
        <v>2745</v>
      </c>
    </row>
    <row r="297" spans="2:8" ht="12" customHeight="1">
      <c r="B297" s="417" t="s">
        <v>2747</v>
      </c>
      <c r="G297" s="543">
        <f>(MAX($Z$210:$AH$216)-$G$282)/$G$279</f>
        <v>251.21818752665621</v>
      </c>
      <c r="H297" s="417" t="s">
        <v>2745</v>
      </c>
    </row>
  </sheetData>
  <mergeCells count="18">
    <mergeCell ref="B170:B176"/>
    <mergeCell ref="B183:B189"/>
    <mergeCell ref="B196:B202"/>
    <mergeCell ref="B210:B216"/>
    <mergeCell ref="B223:B229"/>
    <mergeCell ref="B236:B242"/>
    <mergeCell ref="B90:B96"/>
    <mergeCell ref="B103:B109"/>
    <mergeCell ref="B116:B122"/>
    <mergeCell ref="B130:B136"/>
    <mergeCell ref="B143:B149"/>
    <mergeCell ref="B156:B162"/>
    <mergeCell ref="B10:B16"/>
    <mergeCell ref="B23:B29"/>
    <mergeCell ref="B36:B42"/>
    <mergeCell ref="B50:B56"/>
    <mergeCell ref="B63:B69"/>
    <mergeCell ref="B76:B82"/>
  </mergeCells>
  <conditionalFormatting sqref="D10:L16 D23:L29 D36:L42 D50:L56 D63:L69 D76:L82 D90:L96 D103:L109 D116:L122 D130:L136 D143:L149 D156:L162 D170:L176 D183:L189 D196:L202 D210:L216 D223:L229 D236:L242">
    <cfRule type="expression" dxfId="12" priority="1">
      <formula>AT10=1</formula>
    </cfRule>
  </conditionalFormatting>
  <conditionalFormatting sqref="D10:L16 D23:L29 D36:L42 D50:L56 D63:L69 D76:L82 D90:L96 D103:L109 D116:L122 D130:L136 D143:L149 D156:L162 D170:L176 D183:L189 D196:L202 D210:L216 D223:L229 D236:L242">
    <cfRule type="expression" dxfId="11" priority="2">
      <formula>AT10=2</formula>
    </cfRule>
  </conditionalFormatting>
  <conditionalFormatting sqref="D10:L16 D23:L29 D36:L42 D50:L56 D63:L69 D76:L82 D90:L96 D103:L109 D116:L122 D130:L136 D143:L149 D156:L162 D170:L176 D183:L189 D196:L202 D210:L216 D223:L229 D236:L242">
    <cfRule type="expression" dxfId="10" priority="3">
      <formula>AT10=3</formula>
    </cfRule>
  </conditionalFormatting>
  <conditionalFormatting sqref="D10:L16 D23:L29 D36:L42 D50:L56 D63:L69 D76:L82 D90:L96 D103:L109 D116:L122 D130:L136 D143:L149 D156:L162 D170:L176 D183:L189 D196:L202 D210:L216 D223:L229 D236:L242">
    <cfRule type="expression" dxfId="9" priority="4">
      <formula>AT10=4</formula>
    </cfRule>
  </conditionalFormatting>
  <conditionalFormatting sqref="D10:L16 D23:L29 D36:L42 D50:L56 D63:L69 D76:L82 D90:L96 D103:L109 D116:L122 D130:L136 D143:L149 D156:L162 D170:L176 D183:L189 D196:L202 D210:L216 D223:L229 D236:L242">
    <cfRule type="expression" dxfId="8" priority="5">
      <formula>AT10=5</formula>
    </cfRule>
  </conditionalFormatting>
  <conditionalFormatting sqref="D10:L16 D23:L29 D36:L42 D50:L56 D63:L69 D76:L82 D90:L96 D103:L109 D116:L122 D130:L136 D143:L149 D156:L162 D170:L176 D183:L189 D196:L202 D210:L216 D223:L229 D236:L242">
    <cfRule type="expression" dxfId="7" priority="6">
      <formula>AT10=6</formula>
    </cfRule>
  </conditionalFormatting>
  <conditionalFormatting sqref="D10:L16 D23:L29 D36:L42 D50:L56 D63:L69 D76:L82 D90:L96 D103:L109 D116:L122 D130:L136 D143:L149 D156:L162 D170:L176 D183:L189 D196:L202 D210:L216 D223:L229 D236:L242">
    <cfRule type="expression" dxfId="6" priority="7">
      <formula>AT10=7</formula>
    </cfRule>
  </conditionalFormatting>
  <conditionalFormatting sqref="D10:L16 D23:L29 D36:L42 D50:L56 D63:L69 D76:L82 D90:L96 D103:L109 D116:L122 D130:L136 D143:L149 D156:L162 D170:L176 D183:L189 D196:L202 D210:L216 D223:L229 D236:L242">
    <cfRule type="expression" dxfId="5" priority="8">
      <formula>AT10=8</formula>
    </cfRule>
  </conditionalFormatting>
  <conditionalFormatting sqref="D10:L16 D23:L29 D36:L42 D50:L56 D63:L69 D76:L82 D90:L96 D103:L109 D116:L122 D130:L136 D143:L149 D156:L162 D170:L176 D183:L189 D196:L202 D210:L216 D223:L229 D236:L242">
    <cfRule type="expression" dxfId="4" priority="9">
      <formula>AT10=9</formula>
    </cfRule>
  </conditionalFormatting>
  <conditionalFormatting sqref="D10:L16 D23:L29 D36:L42 D50:L56 D63:L69 D76:L82 D90:L96 D103:L109 D116:L122 D130:L136 D143:L149 D156:L162 D170:L176 D183:L189 D196:L202 D210:L216 D223:L229 D236:L242">
    <cfRule type="expression" dxfId="3" priority="10">
      <formula>AT10=10</formula>
    </cfRule>
  </conditionalFormatting>
  <conditionalFormatting sqref="D10:L16 B17:L17 D23:L29 B30:L30 D36:L42 B43:L43 D50:L56 B57:L57 D63:L69 B70:L70 D76:L82 B83:L83 D90:L96 B97:L97 D103:L109 B110:L110 D116:L122 B123:L123 D130:L136 B137:L137 D143:L149 B150:L150 D156:L162 B163:L163 D170:L176 B177:L177 D183:L189 B190:L190 D196:L202 B203:L203 D210:L216 B217:L217 D223:L229 B230:L230 D236:L242 B243:L243">
    <cfRule type="expression" dxfId="2" priority="11">
      <formula>$O$3=1</formula>
    </cfRule>
  </conditionalFormatting>
  <pageMargins left="0.7" right="0.7" top="0.75" bottom="0.75" header="0.3" footer="0.3"/>
  <pageSetup scale="6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10BF-C87D-4061-B811-03B8C6B41CB1}">
  <dimension ref="A1:H204"/>
  <sheetViews>
    <sheetView showGridLines="0" view="pageBreakPreview" zoomScaleNormal="100" zoomScaleSheetLayoutView="100" workbookViewId="0"/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2"/>
      <c r="B1" s="542"/>
      <c r="C1" s="542"/>
      <c r="D1" s="542"/>
      <c r="E1" s="542"/>
      <c r="F1" s="542"/>
    </row>
    <row r="2" spans="1:8" ht="16.5">
      <c r="A2" s="542"/>
      <c r="B2" s="567" t="str">
        <f>Cover!$B$24</f>
        <v>Keystone Bookkeepers</v>
      </c>
      <c r="C2" s="542"/>
      <c r="D2" s="542"/>
      <c r="E2" s="542"/>
      <c r="F2" s="542"/>
      <c r="G2" s="2"/>
      <c r="H2" s="2"/>
    </row>
    <row r="3" spans="1:8">
      <c r="A3" s="542"/>
      <c r="B3" s="569" t="s">
        <v>2055</v>
      </c>
      <c r="C3" s="569"/>
      <c r="D3" s="569"/>
      <c r="E3" s="542"/>
      <c r="G3" s="542" t="s">
        <v>276</v>
      </c>
      <c r="H3" s="605">
        <v>1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2"/>
      <c r="B5" s="370" t="s">
        <v>2083</v>
      </c>
      <c r="C5" s="371" t="s">
        <v>1197</v>
      </c>
      <c r="D5" s="542"/>
      <c r="E5" s="542"/>
      <c r="F5" s="370" t="s">
        <v>2107</v>
      </c>
      <c r="G5" s="2"/>
    </row>
    <row r="6" spans="1:8">
      <c r="A6" s="542"/>
      <c r="B6" s="570" t="s">
        <v>2079</v>
      </c>
      <c r="C6" s="570"/>
      <c r="D6" s="542"/>
      <c r="E6" s="542"/>
      <c r="F6" s="542"/>
      <c r="G6" s="2"/>
    </row>
    <row r="7" spans="1:8" s="2" customFormat="1" ht="14.25">
      <c r="A7" s="542"/>
      <c r="B7" s="542" t="s">
        <v>2059</v>
      </c>
      <c r="C7" s="704">
        <f>'Offer Comparison'!$D$7</f>
        <v>5</v>
      </c>
      <c r="D7" s="542"/>
      <c r="E7" s="542"/>
      <c r="F7" s="542" t="s">
        <v>2108</v>
      </c>
    </row>
    <row r="8" spans="1:8" s="2" customFormat="1" ht="14.25">
      <c r="A8" s="542"/>
      <c r="B8" s="542" t="s">
        <v>2363</v>
      </c>
      <c r="C8" s="705">
        <f>'Offer Comparison'!$D$8</f>
        <v>0.05</v>
      </c>
      <c r="D8" s="542"/>
      <c r="E8" s="542"/>
      <c r="F8" s="542" t="s">
        <v>2364</v>
      </c>
    </row>
    <row r="9" spans="1:8" s="2" customFormat="1" ht="14.25">
      <c r="A9" s="542"/>
      <c r="B9" s="542" t="s">
        <v>2101</v>
      </c>
      <c r="C9" s="595">
        <v>261</v>
      </c>
      <c r="D9" s="542"/>
      <c r="E9" s="542"/>
      <c r="F9" s="85" t="s">
        <v>2109</v>
      </c>
    </row>
    <row r="10" spans="1:8" s="2" customFormat="1" ht="14.25">
      <c r="A10" s="542"/>
      <c r="B10" s="542" t="s">
        <v>2091</v>
      </c>
      <c r="C10" s="608">
        <f>C9*12</f>
        <v>3132</v>
      </c>
      <c r="D10" s="542"/>
      <c r="E10" s="542"/>
      <c r="F10" s="85"/>
    </row>
    <row r="11" spans="1:8" s="2" customFormat="1" ht="14.25">
      <c r="A11" s="542"/>
      <c r="B11" s="542" t="s">
        <v>2089</v>
      </c>
      <c r="C11" s="609">
        <f>IFERROR(C176/C10,0)</f>
        <v>19.157088122605366</v>
      </c>
      <c r="D11" s="542"/>
      <c r="E11" s="542"/>
      <c r="F11" s="542" t="s">
        <v>2580</v>
      </c>
    </row>
    <row r="12" spans="1:8" s="2" customFormat="1" ht="14.25">
      <c r="A12" s="542"/>
      <c r="B12" s="542" t="s">
        <v>2090</v>
      </c>
      <c r="C12" s="610">
        <f>C11</f>
        <v>19.157088122605366</v>
      </c>
      <c r="D12" s="542"/>
      <c r="E12" s="542"/>
      <c r="F12" s="542" t="s">
        <v>2110</v>
      </c>
    </row>
    <row r="13" spans="1:8" s="2" customFormat="1" ht="14.25">
      <c r="A13" s="542"/>
      <c r="B13" s="542" t="s">
        <v>2102</v>
      </c>
      <c r="C13" s="115">
        <v>325</v>
      </c>
      <c r="D13" s="542"/>
      <c r="E13" s="542"/>
      <c r="F13" s="85" t="s">
        <v>2111</v>
      </c>
    </row>
    <row r="14" spans="1:8" s="2" customFormat="1" ht="14.25">
      <c r="A14" s="542"/>
      <c r="B14" s="542" t="s">
        <v>2081</v>
      </c>
      <c r="C14" s="611">
        <f>C10/C13</f>
        <v>9.6369230769230771</v>
      </c>
      <c r="D14" s="542"/>
      <c r="E14" s="542"/>
      <c r="F14" s="542"/>
    </row>
    <row r="15" spans="1:8" s="2" customFormat="1" ht="14.25">
      <c r="A15" s="542"/>
      <c r="B15" s="542" t="s">
        <v>2082</v>
      </c>
      <c r="C15" s="115">
        <v>130</v>
      </c>
      <c r="D15" s="542"/>
      <c r="E15" s="542"/>
      <c r="F15" s="85" t="s">
        <v>2122</v>
      </c>
    </row>
    <row r="16" spans="1:8" s="2" customFormat="1" ht="14.25">
      <c r="A16" s="542"/>
      <c r="B16" s="577" t="s">
        <v>2086</v>
      </c>
      <c r="C16" s="594">
        <f>C15*$C$7</f>
        <v>650</v>
      </c>
      <c r="D16" s="542"/>
      <c r="E16" s="542"/>
      <c r="F16" s="542"/>
    </row>
    <row r="17" spans="1:7" s="2" customFormat="1" ht="14.25">
      <c r="A17" s="542"/>
      <c r="B17" s="588" t="s">
        <v>2088</v>
      </c>
      <c r="C17" s="591">
        <f>C16*C14</f>
        <v>6264</v>
      </c>
      <c r="D17" s="542"/>
      <c r="E17" s="542"/>
      <c r="F17" s="542"/>
    </row>
    <row r="18" spans="1:7" ht="14.25" customHeight="1">
      <c r="A18" s="542"/>
      <c r="B18" s="681" t="str">
        <f>"Check - "&amp;$C$7&amp;" Year Topkey Valuation Growth"</f>
        <v>Check - 5 Year Topkey Valuation Growth</v>
      </c>
      <c r="C18" s="682">
        <f>IFERROR(D75/C75-1,0)</f>
        <v>2.0084033613445382</v>
      </c>
      <c r="D18" s="542"/>
      <c r="E18" s="542"/>
      <c r="F18" s="542" t="s">
        <v>2581</v>
      </c>
      <c r="G18" s="2"/>
    </row>
    <row r="19" spans="1:7" ht="3.95" customHeight="1">
      <c r="A19" s="542"/>
      <c r="B19" s="553"/>
      <c r="C19" s="683"/>
      <c r="D19" s="542"/>
      <c r="E19" s="542"/>
      <c r="F19" s="542"/>
      <c r="G19" s="2"/>
    </row>
    <row r="20" spans="1:7">
      <c r="A20" s="542"/>
      <c r="B20" s="570" t="s">
        <v>2084</v>
      </c>
      <c r="C20" s="570"/>
      <c r="D20" s="542"/>
      <c r="E20" s="542"/>
      <c r="F20" s="542"/>
      <c r="G20" s="2"/>
    </row>
    <row r="21" spans="1:7" ht="15" customHeight="1">
      <c r="A21" s="542"/>
      <c r="B21" s="542" t="s">
        <v>2029</v>
      </c>
      <c r="C21" s="725">
        <f>'Offer Comparison'!$D$13</f>
        <v>1</v>
      </c>
      <c r="D21" s="542"/>
      <c r="E21" s="542"/>
      <c r="F21" s="542" t="s">
        <v>2362</v>
      </c>
      <c r="G21" s="2"/>
    </row>
    <row r="22" spans="1:7" ht="15" customHeight="1">
      <c r="A22" s="542"/>
      <c r="B22" s="542" t="s">
        <v>2123</v>
      </c>
      <c r="C22" s="725">
        <f>'Offer Comparison'!$D$14</f>
        <v>1.25</v>
      </c>
      <c r="D22" s="542"/>
      <c r="E22" s="542"/>
      <c r="F22" s="542" t="s">
        <v>2124</v>
      </c>
      <c r="G22" s="2"/>
    </row>
    <row r="23" spans="1:7">
      <c r="A23" s="542"/>
      <c r="B23" s="542" t="s">
        <v>2076</v>
      </c>
      <c r="C23" s="582">
        <f>+'Steady-State Staffing'!AB8</f>
        <v>16.631472994350275</v>
      </c>
      <c r="D23" s="2"/>
      <c r="E23" s="542"/>
      <c r="F23" s="542" t="s">
        <v>2113</v>
      </c>
      <c r="G23" s="2"/>
    </row>
    <row r="24" spans="1:7">
      <c r="A24" s="542"/>
      <c r="B24" s="542" t="s">
        <v>2136</v>
      </c>
      <c r="C24" s="286">
        <v>3</v>
      </c>
      <c r="D24" s="2"/>
      <c r="E24" s="542"/>
      <c r="F24" s="542" t="s">
        <v>2582</v>
      </c>
      <c r="G24" s="2"/>
    </row>
    <row r="25" spans="1:7">
      <c r="A25" s="542"/>
      <c r="B25" s="577" t="s">
        <v>2075</v>
      </c>
      <c r="C25" s="615">
        <f>C24*12</f>
        <v>36</v>
      </c>
      <c r="D25" s="542"/>
      <c r="E25" s="542"/>
      <c r="F25" s="542" t="s">
        <v>2137</v>
      </c>
      <c r="G25" s="2"/>
    </row>
    <row r="26" spans="1:7">
      <c r="A26" s="542"/>
      <c r="B26" s="588" t="s">
        <v>2086</v>
      </c>
      <c r="C26" s="589">
        <f>C25*$C$7</f>
        <v>180</v>
      </c>
      <c r="D26" s="542"/>
      <c r="E26" s="542"/>
      <c r="F26" s="542"/>
      <c r="G26" s="2"/>
    </row>
    <row r="27" spans="1:7">
      <c r="A27" s="542"/>
      <c r="B27" s="587" t="s">
        <v>2088</v>
      </c>
      <c r="C27" s="590">
        <f>C26*C23</f>
        <v>2993.6651389830495</v>
      </c>
      <c r="D27" s="542"/>
      <c r="E27" s="542"/>
      <c r="F27" s="542"/>
      <c r="G27" s="2"/>
    </row>
    <row r="28" spans="1:7" ht="3.95" customHeight="1">
      <c r="A28" s="542"/>
      <c r="B28" s="2"/>
      <c r="C28" s="2"/>
      <c r="D28" s="542"/>
      <c r="E28" s="542"/>
      <c r="F28" s="542"/>
      <c r="G28" s="2"/>
    </row>
    <row r="29" spans="1:7" ht="12.75" customHeight="1">
      <c r="A29" s="542"/>
      <c r="B29" s="570" t="s">
        <v>2085</v>
      </c>
      <c r="C29" s="570"/>
      <c r="D29" s="542"/>
      <c r="E29" s="542"/>
      <c r="F29" s="542"/>
      <c r="G29" s="2"/>
    </row>
    <row r="30" spans="1:7" ht="12.75" customHeight="1">
      <c r="A30" s="542"/>
      <c r="B30" s="542" t="s">
        <v>2080</v>
      </c>
      <c r="C30" s="725">
        <f>'Offer Comparison'!$D$15</f>
        <v>2</v>
      </c>
      <c r="D30" s="542"/>
      <c r="E30" s="542"/>
      <c r="F30" s="542" t="s">
        <v>2114</v>
      </c>
      <c r="G30" s="2"/>
    </row>
    <row r="31" spans="1:7" ht="12.75" customHeight="1">
      <c r="A31" s="542"/>
      <c r="B31" s="542" t="s">
        <v>2103</v>
      </c>
      <c r="C31" s="46">
        <v>240</v>
      </c>
      <c r="D31" s="542"/>
      <c r="E31" s="542"/>
      <c r="F31" s="542" t="s">
        <v>2583</v>
      </c>
      <c r="G31" s="2"/>
    </row>
    <row r="32" spans="1:7" ht="3.95" customHeight="1">
      <c r="A32" s="542"/>
      <c r="B32" s="542"/>
      <c r="C32" s="583"/>
      <c r="D32" s="542"/>
      <c r="E32" s="542"/>
      <c r="F32" s="542"/>
      <c r="G32" s="2"/>
    </row>
    <row r="33" spans="1:7" s="584" customFormat="1" ht="12.75" customHeight="1">
      <c r="A33" s="542"/>
      <c r="B33" s="614" t="str">
        <f>+B23</f>
        <v>Avg. Revenue Per Client</v>
      </c>
      <c r="C33" s="585">
        <f>+C23</f>
        <v>16.631472994350275</v>
      </c>
      <c r="D33" s="542"/>
      <c r="E33" s="542"/>
      <c r="F33" s="542"/>
      <c r="G33" s="614"/>
    </row>
    <row r="34" spans="1:7" s="584" customFormat="1" ht="12.75" customHeight="1">
      <c r="A34" s="542"/>
      <c r="B34" s="616" t="s">
        <v>2258</v>
      </c>
      <c r="C34" s="618">
        <v>0</v>
      </c>
      <c r="D34" s="542"/>
      <c r="E34" s="542"/>
      <c r="F34" s="542" t="s">
        <v>2279</v>
      </c>
      <c r="G34" s="614"/>
    </row>
    <row r="35" spans="1:7" s="584" customFormat="1" ht="12.75" customHeight="1">
      <c r="A35" s="542"/>
      <c r="B35" s="60" t="s">
        <v>2078</v>
      </c>
      <c r="C35" s="383">
        <f>+C33+C34</f>
        <v>16.631472994350275</v>
      </c>
      <c r="D35" s="542"/>
      <c r="E35" s="542"/>
      <c r="F35" s="542"/>
      <c r="G35" s="614"/>
    </row>
    <row r="36" spans="1:7" s="584" customFormat="1" ht="3.95" customHeight="1">
      <c r="A36" s="542"/>
      <c r="B36" s="614"/>
      <c r="C36" s="614"/>
      <c r="D36" s="542"/>
      <c r="E36" s="542"/>
      <c r="F36" s="542"/>
      <c r="G36" s="614"/>
    </row>
    <row r="37" spans="1:7" s="584" customFormat="1" ht="12.75" customHeight="1">
      <c r="A37" s="542"/>
      <c r="B37" s="614" t="str">
        <f>+B25</f>
        <v>Annual Net Client Wins</v>
      </c>
      <c r="C37" s="83">
        <f>+C25</f>
        <v>36</v>
      </c>
      <c r="D37" s="542"/>
      <c r="E37" s="542"/>
      <c r="F37" s="542"/>
      <c r="G37" s="614"/>
    </row>
    <row r="38" spans="1:7" s="584" customFormat="1" ht="12.75" customHeight="1">
      <c r="A38" s="542"/>
      <c r="B38" s="616" t="s">
        <v>2077</v>
      </c>
      <c r="C38" s="115">
        <v>12</v>
      </c>
      <c r="D38" s="542"/>
      <c r="E38" s="542"/>
      <c r="F38" s="85" t="s">
        <v>2112</v>
      </c>
      <c r="G38" s="614"/>
    </row>
    <row r="39" spans="1:7" s="584" customFormat="1" ht="12.75" customHeight="1">
      <c r="A39" s="542"/>
      <c r="B39" s="104" t="s">
        <v>2087</v>
      </c>
      <c r="C39" s="586">
        <f>SUM(C37:C38)</f>
        <v>48</v>
      </c>
      <c r="D39" s="542"/>
      <c r="E39" s="542"/>
      <c r="F39" s="542"/>
      <c r="G39" s="614"/>
    </row>
    <row r="40" spans="1:7">
      <c r="A40" s="542"/>
      <c r="B40" s="588" t="s">
        <v>2086</v>
      </c>
      <c r="C40" s="589">
        <f>C39*$C$7</f>
        <v>240</v>
      </c>
      <c r="D40" s="542"/>
      <c r="E40" s="542"/>
      <c r="F40" s="542"/>
      <c r="G40" s="2"/>
    </row>
    <row r="41" spans="1:7">
      <c r="A41" s="542"/>
      <c r="B41" s="588" t="s">
        <v>2088</v>
      </c>
      <c r="C41" s="591">
        <f>C40*C35</f>
        <v>3991.5535186440661</v>
      </c>
      <c r="D41" s="542"/>
      <c r="E41" s="542"/>
      <c r="F41" s="542"/>
      <c r="G41" s="2"/>
    </row>
    <row r="42" spans="1:7">
      <c r="A42" s="542"/>
      <c r="B42" s="665" t="s">
        <v>2092</v>
      </c>
      <c r="C42" s="666">
        <f>C41-C27</f>
        <v>997.88837966101664</v>
      </c>
      <c r="D42" s="542"/>
      <c r="E42" s="542"/>
      <c r="F42" s="542"/>
      <c r="G42" s="2"/>
    </row>
    <row r="43" spans="1:7" s="584" customFormat="1" ht="3.95" customHeight="1">
      <c r="A43" s="542"/>
      <c r="B43" s="614"/>
      <c r="C43" s="614"/>
      <c r="D43" s="542"/>
      <c r="E43" s="542"/>
      <c r="F43" s="542"/>
      <c r="G43" s="614"/>
    </row>
    <row r="44" spans="1:7" s="584" customFormat="1" ht="15" customHeight="1">
      <c r="A44" s="542"/>
      <c r="B44" s="570" t="s">
        <v>2331</v>
      </c>
      <c r="C44" s="570"/>
      <c r="D44" s="542"/>
      <c r="E44" s="542"/>
      <c r="F44" s="452"/>
      <c r="G44" s="614"/>
    </row>
    <row r="45" spans="1:7" s="584" customFormat="1" ht="15" customHeight="1">
      <c r="A45" s="542"/>
      <c r="B45" s="542" t="s">
        <v>2281</v>
      </c>
      <c r="C45" s="82">
        <v>3</v>
      </c>
      <c r="D45" s="542"/>
      <c r="E45" s="542"/>
      <c r="F45" s="452" t="s">
        <v>2349</v>
      </c>
      <c r="G45" s="614"/>
    </row>
    <row r="46" spans="1:7" s="584" customFormat="1" ht="15" customHeight="1">
      <c r="A46" s="542"/>
      <c r="B46" s="542" t="s">
        <v>2282</v>
      </c>
      <c r="C46" s="86">
        <f>C172</f>
        <v>2998.5410200000001</v>
      </c>
      <c r="D46" s="542"/>
      <c r="E46" s="542"/>
      <c r="F46" s="452" t="s">
        <v>2584</v>
      </c>
      <c r="G46" s="614"/>
    </row>
    <row r="47" spans="1:7" s="584" customFormat="1" ht="15" customHeight="1">
      <c r="A47" s="542"/>
      <c r="B47" s="542" t="s">
        <v>2345</v>
      </c>
      <c r="C47" s="154">
        <f>C46+C41*(C45-(C56-1)/2/12)/C7</f>
        <v>5326.9472392090383</v>
      </c>
      <c r="D47" s="542"/>
      <c r="E47" s="542"/>
      <c r="F47" s="452" t="s">
        <v>2346</v>
      </c>
      <c r="G47" s="614"/>
    </row>
    <row r="48" spans="1:7" s="584" customFormat="1" ht="15" customHeight="1">
      <c r="A48" s="542"/>
      <c r="B48" s="559" t="s">
        <v>2283</v>
      </c>
      <c r="C48" s="621">
        <v>1</v>
      </c>
      <c r="D48" s="542"/>
      <c r="E48" s="542"/>
      <c r="F48" s="452" t="s">
        <v>2289</v>
      </c>
      <c r="G48" s="614"/>
    </row>
    <row r="49" spans="1:7" s="584" customFormat="1" ht="15" customHeight="1">
      <c r="A49" s="542"/>
      <c r="B49" s="667" t="s">
        <v>2347</v>
      </c>
      <c r="C49" s="668">
        <f>C47*C48</f>
        <v>5326.9472392090383</v>
      </c>
      <c r="D49" s="542"/>
      <c r="E49" s="542"/>
      <c r="F49" s="452"/>
      <c r="G49" s="614"/>
    </row>
    <row r="50" spans="1:7" s="584" customFormat="1" ht="15" customHeight="1">
      <c r="A50" s="542"/>
      <c r="B50" s="542" t="s">
        <v>2284</v>
      </c>
      <c r="C50" s="621">
        <v>0.8</v>
      </c>
      <c r="D50" s="542"/>
      <c r="E50" s="542"/>
      <c r="F50" s="452" t="s">
        <v>2337</v>
      </c>
      <c r="G50" s="614"/>
    </row>
    <row r="51" spans="1:7" s="584" customFormat="1" ht="15" customHeight="1">
      <c r="A51" s="542"/>
      <c r="B51" s="542" t="s">
        <v>2332</v>
      </c>
      <c r="C51" s="46">
        <v>500</v>
      </c>
      <c r="D51" s="542"/>
      <c r="E51" s="542"/>
      <c r="F51" s="452" t="s">
        <v>2338</v>
      </c>
      <c r="G51" s="614"/>
    </row>
    <row r="52" spans="1:7" s="584" customFormat="1" ht="15" customHeight="1">
      <c r="A52" s="542"/>
      <c r="B52" s="542" t="s">
        <v>2333</v>
      </c>
      <c r="C52" s="621">
        <v>0.5</v>
      </c>
      <c r="D52" s="542"/>
      <c r="E52" s="542"/>
      <c r="F52" s="452" t="s">
        <v>2339</v>
      </c>
      <c r="G52" s="614"/>
    </row>
    <row r="53" spans="1:7" s="584" customFormat="1" ht="15" customHeight="1">
      <c r="A53" s="542"/>
      <c r="B53" s="542" t="s">
        <v>2334</v>
      </c>
      <c r="C53" s="621">
        <v>1.5</v>
      </c>
      <c r="D53" s="542"/>
      <c r="E53" s="542"/>
      <c r="F53" s="452" t="s">
        <v>2342</v>
      </c>
      <c r="G53" s="614"/>
    </row>
    <row r="54" spans="1:7" s="584" customFormat="1" ht="15" customHeight="1">
      <c r="A54" s="542"/>
      <c r="B54" s="542" t="s">
        <v>2335</v>
      </c>
      <c r="C54" s="619">
        <f>IF(C48&lt;C50,0,MIN(C53,C52+(1-C52)*(C48-C50)/(1-C50)))</f>
        <v>1</v>
      </c>
      <c r="D54" s="542"/>
      <c r="E54" s="542"/>
      <c r="F54" s="452" t="s">
        <v>2340</v>
      </c>
      <c r="G54" s="614"/>
    </row>
    <row r="55" spans="1:7" s="584" customFormat="1" ht="15" customHeight="1">
      <c r="A55" s="542"/>
      <c r="B55" s="542" t="s">
        <v>2336</v>
      </c>
      <c r="C55" s="154">
        <f>C51*C53</f>
        <v>750</v>
      </c>
      <c r="D55" s="542"/>
      <c r="E55" s="542"/>
      <c r="F55" s="452" t="s">
        <v>2341</v>
      </c>
      <c r="G55" s="614"/>
    </row>
    <row r="56" spans="1:7" s="584" customFormat="1" ht="15" customHeight="1">
      <c r="A56" s="542"/>
      <c r="B56" s="542" t="s">
        <v>2343</v>
      </c>
      <c r="C56" s="82">
        <v>3</v>
      </c>
      <c r="D56" s="542"/>
      <c r="E56" s="542"/>
      <c r="F56" s="452" t="s">
        <v>2344</v>
      </c>
      <c r="G56" s="614"/>
    </row>
    <row r="57" spans="1:7" s="584" customFormat="1" ht="15" customHeight="1">
      <c r="A57" s="542"/>
      <c r="B57" s="538" t="s">
        <v>2285</v>
      </c>
      <c r="C57" s="596">
        <f>C51*C54</f>
        <v>500</v>
      </c>
      <c r="D57" s="540"/>
      <c r="E57" s="542"/>
      <c r="F57" s="452" t="s">
        <v>2585</v>
      </c>
      <c r="G57" s="614"/>
    </row>
    <row r="58" spans="1:7" s="584" customFormat="1" ht="15" customHeight="1">
      <c r="A58" s="542"/>
      <c r="B58" s="542" t="s">
        <v>2286</v>
      </c>
      <c r="C58" s="621">
        <v>0.7</v>
      </c>
      <c r="D58" s="542"/>
      <c r="E58" s="542"/>
      <c r="F58" s="452" t="s">
        <v>2290</v>
      </c>
      <c r="G58" s="614"/>
    </row>
    <row r="59" spans="1:7" s="584" customFormat="1" ht="15" customHeight="1">
      <c r="A59" s="542"/>
      <c r="B59" s="542" t="s">
        <v>2287</v>
      </c>
      <c r="C59" s="613">
        <v>0.15</v>
      </c>
      <c r="D59" s="542"/>
      <c r="E59" s="542"/>
      <c r="F59" s="452" t="s">
        <v>2290</v>
      </c>
      <c r="G59" s="614"/>
    </row>
    <row r="60" spans="1:7" s="584" customFormat="1" ht="15" customHeight="1">
      <c r="A60" s="542"/>
      <c r="B60" s="542" t="s">
        <v>2288</v>
      </c>
      <c r="C60" s="543">
        <f>C57*C58/(1+C59)^C45</f>
        <v>230.13068135119593</v>
      </c>
      <c r="D60" s="542"/>
      <c r="E60" s="542"/>
      <c r="F60" s="452" t="s">
        <v>2291</v>
      </c>
      <c r="G60" s="614"/>
    </row>
    <row r="61" spans="1:7" s="584" customFormat="1" ht="3.95" customHeight="1">
      <c r="A61" s="542"/>
      <c r="B61" s="614"/>
      <c r="C61" s="614"/>
      <c r="D61" s="542"/>
      <c r="E61" s="542"/>
      <c r="F61" s="542"/>
      <c r="G61" s="614"/>
    </row>
    <row r="62" spans="1:7" s="584" customFormat="1" ht="15" customHeight="1">
      <c r="A62" s="542"/>
      <c r="B62" s="454" t="s">
        <v>2392</v>
      </c>
      <c r="C62" s="455" t="str">
        <f>C$171</f>
        <v>Today</v>
      </c>
      <c r="D62" s="455" t="s">
        <v>1861</v>
      </c>
      <c r="E62" s="452"/>
      <c r="F62" s="452"/>
      <c r="G62" s="614"/>
    </row>
    <row r="63" spans="1:7" s="584" customFormat="1" ht="15" customHeight="1">
      <c r="A63" s="542"/>
      <c r="B63" s="452" t="s">
        <v>2057</v>
      </c>
      <c r="C63" s="429">
        <f>$C$174</f>
        <v>500</v>
      </c>
      <c r="D63" s="528">
        <f>IFERROR(C63/C$65,0)</f>
        <v>0.16666666666666666</v>
      </c>
      <c r="E63" s="452"/>
      <c r="F63" s="452" t="s">
        <v>2577</v>
      </c>
      <c r="G63" s="614"/>
    </row>
    <row r="64" spans="1:7" s="584" customFormat="1" ht="15" customHeight="1">
      <c r="A64" s="542"/>
      <c r="B64" s="560" t="s">
        <v>2295</v>
      </c>
      <c r="C64" s="433">
        <f>$C$175</f>
        <v>2500</v>
      </c>
      <c r="D64" s="528">
        <f>IFERROR(C64/C$65,0)</f>
        <v>0.83333333333333337</v>
      </c>
      <c r="E64" s="452"/>
      <c r="F64" s="452" t="s">
        <v>2578</v>
      </c>
      <c r="G64" s="614"/>
    </row>
    <row r="65" spans="1:7" s="584" customFormat="1" ht="15" customHeight="1">
      <c r="A65" s="542"/>
      <c r="B65" s="794" t="s">
        <v>2572</v>
      </c>
      <c r="C65" s="441">
        <f>SUM(C63:C64)</f>
        <v>3000</v>
      </c>
      <c r="D65" s="795">
        <f>IFERROR(C65/C$65,0)</f>
        <v>1</v>
      </c>
      <c r="E65" s="452"/>
      <c r="F65" s="452" t="s">
        <v>2579</v>
      </c>
      <c r="G65" s="614"/>
    </row>
    <row r="66" spans="1:7" s="584" customFormat="1" ht="15" customHeight="1">
      <c r="A66" s="542"/>
      <c r="B66" s="560" t="s">
        <v>2573</v>
      </c>
      <c r="C66" s="433">
        <f>$C$57</f>
        <v>500</v>
      </c>
      <c r="D66" s="528">
        <f>IFERROR(C66/C$65,0)</f>
        <v>0.16666666666666666</v>
      </c>
      <c r="E66" s="452"/>
      <c r="F66" s="452" t="s">
        <v>2574</v>
      </c>
      <c r="G66" s="614"/>
    </row>
    <row r="67" spans="1:7" s="584" customFormat="1" ht="15" customHeight="1">
      <c r="A67" s="542"/>
      <c r="B67" s="521" t="s">
        <v>2575</v>
      </c>
      <c r="C67" s="525">
        <f>C65+C66</f>
        <v>3500</v>
      </c>
      <c r="D67" s="799">
        <f>IFERROR(C67/C$65,0)</f>
        <v>1.1666666666666667</v>
      </c>
      <c r="E67" s="452"/>
      <c r="F67" s="452" t="s">
        <v>2576</v>
      </c>
      <c r="G67" s="614"/>
    </row>
    <row r="68" spans="1:7" s="584" customFormat="1" ht="3.95" customHeight="1">
      <c r="A68" s="542"/>
      <c r="B68" s="452"/>
      <c r="C68" s="452"/>
      <c r="D68" s="452"/>
      <c r="E68" s="452"/>
      <c r="F68" s="452"/>
      <c r="G68" s="614"/>
    </row>
    <row r="69" spans="1:7">
      <c r="A69" s="542"/>
      <c r="B69" s="370" t="s">
        <v>2004</v>
      </c>
      <c r="C69" s="371" t="str">
        <f>C$171</f>
        <v>Today</v>
      </c>
      <c r="D69" s="371" t="str">
        <f>"Year "&amp;$C$7</f>
        <v>Year 5</v>
      </c>
      <c r="E69" s="542"/>
      <c r="F69" s="542"/>
      <c r="G69" s="2"/>
    </row>
    <row r="70" spans="1:7">
      <c r="A70" s="542"/>
      <c r="B70" s="542" t="s">
        <v>2006</v>
      </c>
      <c r="C70" s="166">
        <f>ROUND(C172*C21,-1)</f>
        <v>3000</v>
      </c>
      <c r="D70" s="543">
        <f>(C172+C27)*$C$22</f>
        <v>7490.2576987288121</v>
      </c>
      <c r="E70" s="542"/>
      <c r="F70" s="542" t="s">
        <v>2120</v>
      </c>
      <c r="G70" s="2"/>
    </row>
    <row r="71" spans="1:7">
      <c r="A71" s="542"/>
      <c r="B71" s="542" t="s">
        <v>2007</v>
      </c>
      <c r="C71" s="571">
        <f>'Offer Overview'!$C$27</f>
        <v>1</v>
      </c>
      <c r="D71" s="544">
        <f>$C$71</f>
        <v>1</v>
      </c>
      <c r="E71" s="542"/>
      <c r="F71" s="542"/>
      <c r="G71" s="2"/>
    </row>
    <row r="72" spans="1:7">
      <c r="A72" s="542"/>
      <c r="B72" s="538" t="s">
        <v>2060</v>
      </c>
      <c r="C72" s="552">
        <f>C70*C71</f>
        <v>3000</v>
      </c>
      <c r="D72" s="596">
        <f>D70*D71</f>
        <v>7490.2576987288121</v>
      </c>
      <c r="E72" s="542"/>
      <c r="F72" s="542"/>
      <c r="G72" s="2"/>
    </row>
    <row r="73" spans="1:7" ht="3.95" customHeight="1">
      <c r="A73" s="542"/>
      <c r="B73" s="542"/>
      <c r="C73" s="542"/>
      <c r="D73" s="542"/>
      <c r="E73" s="542"/>
      <c r="F73" s="542"/>
      <c r="G73" s="2"/>
    </row>
    <row r="74" spans="1:7">
      <c r="A74" s="542"/>
      <c r="B74" s="370" t="s">
        <v>2011</v>
      </c>
      <c r="C74" s="371" t="str">
        <f>C$171</f>
        <v>Today</v>
      </c>
      <c r="D74" s="371" t="str">
        <f>D$69</f>
        <v>Year 5</v>
      </c>
      <c r="E74" s="542"/>
      <c r="F74" s="542"/>
      <c r="G74" s="2"/>
    </row>
    <row r="75" spans="1:7">
      <c r="A75" s="542"/>
      <c r="B75" s="542" t="s">
        <v>2061</v>
      </c>
      <c r="C75" s="86">
        <f>C179</f>
        <v>59500</v>
      </c>
      <c r="D75" s="543">
        <f>(C10+C17)*C12-C174-$C$57</f>
        <v>179000.00000000003</v>
      </c>
      <c r="E75" s="542"/>
      <c r="F75" s="542"/>
      <c r="G75" s="2"/>
    </row>
    <row r="76" spans="1:7">
      <c r="A76" s="542"/>
      <c r="B76" s="559" t="s">
        <v>2062</v>
      </c>
      <c r="C76" s="83">
        <f>C70</f>
        <v>3000</v>
      </c>
      <c r="D76" s="154">
        <f>(C41+C172)*C30</f>
        <v>13980.189077288132</v>
      </c>
      <c r="E76" s="542"/>
      <c r="F76" s="542" t="s">
        <v>2121</v>
      </c>
      <c r="G76" s="2"/>
    </row>
    <row r="77" spans="1:7">
      <c r="A77" s="542"/>
      <c r="B77" s="537" t="s">
        <v>2063</v>
      </c>
      <c r="C77" s="551">
        <f>C75+C76</f>
        <v>62500</v>
      </c>
      <c r="D77" s="551">
        <f>D75+D76</f>
        <v>192980.18907728817</v>
      </c>
      <c r="E77" s="542"/>
      <c r="F77" s="154"/>
      <c r="G77" s="2"/>
    </row>
    <row r="78" spans="1:7">
      <c r="A78" s="542"/>
      <c r="B78" s="542" t="s">
        <v>2064</v>
      </c>
      <c r="C78" s="154">
        <f>C77*$C$178</f>
        <v>2500</v>
      </c>
      <c r="D78" s="154">
        <f>D77*$D$178</f>
        <v>7333.2471849369504</v>
      </c>
      <c r="E78" s="542"/>
      <c r="F78" s="542"/>
      <c r="G78" s="2"/>
    </row>
    <row r="79" spans="1:7">
      <c r="A79" s="542"/>
      <c r="B79" s="559" t="s">
        <v>2065</v>
      </c>
      <c r="C79" s="83">
        <f>$C$174</f>
        <v>500</v>
      </c>
      <c r="D79" s="83">
        <f>$C$174</f>
        <v>500</v>
      </c>
      <c r="E79" s="542"/>
      <c r="F79" s="542"/>
      <c r="G79" s="2"/>
    </row>
    <row r="80" spans="1:7" ht="15" customHeight="1">
      <c r="A80" s="542"/>
      <c r="B80" s="559" t="s">
        <v>2292</v>
      </c>
      <c r="C80" s="83"/>
      <c r="D80" s="83">
        <f>$C$57</f>
        <v>500</v>
      </c>
      <c r="E80" s="542"/>
      <c r="F80" s="452"/>
      <c r="G80" s="2"/>
    </row>
    <row r="81" spans="1:7">
      <c r="A81" s="542"/>
      <c r="B81" s="538" t="s">
        <v>2066</v>
      </c>
      <c r="C81" s="552">
        <f>C78+C79+C80</f>
        <v>3000</v>
      </c>
      <c r="D81" s="596">
        <f>D78+D79+D80</f>
        <v>8333.2471849369504</v>
      </c>
      <c r="E81" s="542"/>
      <c r="F81" s="452"/>
      <c r="G81" s="2"/>
    </row>
    <row r="82" spans="1:7" ht="3.95" customHeight="1">
      <c r="A82" s="542"/>
      <c r="B82" s="542"/>
      <c r="C82" s="542"/>
      <c r="D82" s="542"/>
      <c r="E82" s="542"/>
      <c r="F82" s="452"/>
      <c r="G82" s="2"/>
    </row>
    <row r="83" spans="1:7">
      <c r="A83" s="542"/>
      <c r="B83" s="370" t="s">
        <v>2073</v>
      </c>
      <c r="C83" s="371" t="str">
        <f>C$171</f>
        <v>Today</v>
      </c>
      <c r="D83" s="371" t="str">
        <f>D$69</f>
        <v>Year 5</v>
      </c>
      <c r="E83" s="542"/>
      <c r="F83" s="452"/>
      <c r="G83" s="2"/>
    </row>
    <row r="84" spans="1:7">
      <c r="A84" s="542"/>
      <c r="B84" s="577" t="s">
        <v>2074</v>
      </c>
      <c r="C84" s="597">
        <f>C81-C72</f>
        <v>0</v>
      </c>
      <c r="D84" s="598">
        <f>D81-D72</f>
        <v>842.98948620813826</v>
      </c>
      <c r="E84" s="542"/>
      <c r="F84" s="452"/>
      <c r="G84" s="2"/>
    </row>
    <row r="85" spans="1:7">
      <c r="A85" s="542"/>
      <c r="B85" s="669" t="s">
        <v>285</v>
      </c>
      <c r="C85" s="612">
        <f>IFERROR(C81/C72-1,0)</f>
        <v>0</v>
      </c>
      <c r="D85" s="670">
        <f>IFERROR(D81/D72-1,0)</f>
        <v>0.1125447908622963</v>
      </c>
      <c r="E85" s="542"/>
      <c r="F85" s="452"/>
      <c r="G85" s="2"/>
    </row>
    <row r="86" spans="1:7" ht="15" customHeight="1">
      <c r="A86" s="542"/>
      <c r="B86" s="588" t="s">
        <v>2350</v>
      </c>
      <c r="C86" s="671"/>
      <c r="D86" s="672">
        <f>IFERROR(D81/C173,0)</f>
        <v>2.7777490616456499</v>
      </c>
      <c r="E86" s="542"/>
      <c r="F86" s="542" t="s">
        <v>2586</v>
      </c>
      <c r="G86" s="2"/>
    </row>
    <row r="87" spans="1:7" ht="15" customHeight="1">
      <c r="A87" s="542"/>
      <c r="B87" s="588" t="s">
        <v>2351</v>
      </c>
      <c r="C87" s="671"/>
      <c r="D87" s="673">
        <f>IFERROR(IRR(D199:D204),0)</f>
        <v>0.26613900142438429</v>
      </c>
      <c r="E87" s="542"/>
      <c r="F87" s="542" t="s">
        <v>2587</v>
      </c>
      <c r="G87" s="2"/>
    </row>
    <row r="88" spans="1:7">
      <c r="A88" s="542"/>
      <c r="B88" s="588" t="s">
        <v>2067</v>
      </c>
      <c r="C88" s="599"/>
      <c r="D88" s="603">
        <f>IFERROR((((D72-$C$174-$C$57)/$D$178-D76+$C$57)/$C$179)^(1/C$7)-1,0)</f>
        <v>0.21465018998633023</v>
      </c>
      <c r="E88" s="542"/>
      <c r="F88" s="452"/>
      <c r="G88" s="2"/>
    </row>
    <row r="89" spans="1:7">
      <c r="A89" s="542"/>
      <c r="B89" s="587" t="s">
        <v>2093</v>
      </c>
      <c r="C89" s="604"/>
      <c r="D89" s="566">
        <f>IFERROR(((D75+$C$57)/$C$179)^(1/$C$7)-1,0)</f>
        <v>0.24712359925968785</v>
      </c>
      <c r="E89" s="542"/>
      <c r="F89" s="452"/>
      <c r="G89" s="2"/>
    </row>
    <row r="90" spans="1:7" ht="3.95" customHeight="1">
      <c r="A90" s="542"/>
      <c r="B90" s="542"/>
      <c r="C90" s="542"/>
      <c r="D90" s="542"/>
      <c r="E90" s="542"/>
      <c r="F90" s="452"/>
      <c r="G90" s="2"/>
    </row>
    <row r="91" spans="1:7" ht="15" customHeight="1">
      <c r="A91" s="542"/>
      <c r="B91" s="370" t="s">
        <v>2311</v>
      </c>
      <c r="C91" s="606" t="s">
        <v>1197</v>
      </c>
      <c r="D91" s="542"/>
      <c r="E91" s="542"/>
      <c r="F91" s="452"/>
      <c r="G91" s="2"/>
    </row>
    <row r="92" spans="1:7" ht="15" customHeight="1">
      <c r="A92" s="542"/>
      <c r="B92" s="542" t="s">
        <v>2294</v>
      </c>
      <c r="C92" s="86">
        <f>C174</f>
        <v>500</v>
      </c>
      <c r="D92" s="542"/>
      <c r="E92" s="542"/>
      <c r="F92" s="452" t="s">
        <v>2588</v>
      </c>
      <c r="G92" s="2"/>
    </row>
    <row r="93" spans="1:7" ht="15" customHeight="1">
      <c r="A93" s="542"/>
      <c r="B93" s="559" t="s">
        <v>2295</v>
      </c>
      <c r="C93" s="83">
        <f>C175</f>
        <v>2500</v>
      </c>
      <c r="D93" s="542"/>
      <c r="E93" s="542"/>
      <c r="F93" s="452" t="s">
        <v>2589</v>
      </c>
      <c r="G93" s="2"/>
    </row>
    <row r="94" spans="1:7" ht="15" customHeight="1">
      <c r="A94" s="542"/>
      <c r="B94" s="559" t="s">
        <v>2292</v>
      </c>
      <c r="C94" s="83">
        <f>C57</f>
        <v>500</v>
      </c>
      <c r="D94" s="542"/>
      <c r="E94" s="542"/>
      <c r="F94" s="452" t="s">
        <v>2315</v>
      </c>
      <c r="G94" s="2"/>
    </row>
    <row r="95" spans="1:7" ht="15" customHeight="1">
      <c r="A95" s="542"/>
      <c r="B95" s="537" t="s">
        <v>2296</v>
      </c>
      <c r="C95" s="551">
        <f>SUM(C92:C94)</f>
        <v>3500</v>
      </c>
      <c r="D95" s="540"/>
      <c r="E95" s="542"/>
      <c r="F95" s="452" t="s">
        <v>2316</v>
      </c>
      <c r="G95" s="2"/>
    </row>
    <row r="96" spans="1:7" ht="15" customHeight="1">
      <c r="A96" s="542"/>
      <c r="B96" s="559" t="s">
        <v>2297</v>
      </c>
      <c r="C96" s="621">
        <v>1</v>
      </c>
      <c r="D96" s="542"/>
      <c r="E96" s="542"/>
      <c r="F96" s="452" t="s">
        <v>2312</v>
      </c>
      <c r="G96" s="2"/>
    </row>
    <row r="97" spans="1:7" ht="15" customHeight="1">
      <c r="A97" s="542"/>
      <c r="B97" s="542" t="s">
        <v>2298</v>
      </c>
      <c r="C97" s="86">
        <f>D76</f>
        <v>13980.189077288132</v>
      </c>
      <c r="D97" s="542"/>
      <c r="E97" s="542"/>
      <c r="F97" s="452" t="s">
        <v>2590</v>
      </c>
      <c r="G97" s="2"/>
    </row>
    <row r="98" spans="1:7" ht="15" customHeight="1">
      <c r="A98" s="542"/>
      <c r="B98" s="577" t="s">
        <v>2299</v>
      </c>
      <c r="C98" s="598">
        <f>C96*C97</f>
        <v>13980.189077288132</v>
      </c>
      <c r="D98" s="540"/>
      <c r="E98" s="542"/>
      <c r="F98" s="452" t="s">
        <v>2313</v>
      </c>
      <c r="G98" s="2"/>
    </row>
    <row r="99" spans="1:7" ht="15" customHeight="1">
      <c r="A99" s="542"/>
      <c r="B99" s="588" t="s">
        <v>2300</v>
      </c>
      <c r="C99" s="674">
        <f>IFERROR(C98/C95,0)</f>
        <v>3.9943397363680377</v>
      </c>
      <c r="D99" s="540"/>
      <c r="E99" s="542"/>
      <c r="F99" s="452" t="s">
        <v>2306</v>
      </c>
      <c r="G99" s="2"/>
    </row>
    <row r="100" spans="1:7" ht="15" customHeight="1">
      <c r="A100" s="542"/>
      <c r="B100" s="587" t="s">
        <v>2303</v>
      </c>
      <c r="C100" s="675">
        <f>IFERROR(IRR(D191:D196),0)</f>
        <v>0.34242961148605366</v>
      </c>
      <c r="D100" s="540"/>
      <c r="E100" s="542"/>
      <c r="F100" s="452" t="s">
        <v>2591</v>
      </c>
      <c r="G100" s="2"/>
    </row>
    <row r="101" spans="1:7" ht="3.95" customHeight="1">
      <c r="A101" s="542"/>
      <c r="B101" s="542"/>
      <c r="C101" s="542"/>
      <c r="D101" s="542"/>
      <c r="E101" s="542"/>
      <c r="F101" s="452"/>
      <c r="G101" s="2"/>
    </row>
    <row r="102" spans="1:7">
      <c r="A102" s="542"/>
      <c r="B102" s="536" t="s">
        <v>2127</v>
      </c>
      <c r="C102" s="535" t="str">
        <f>D$69</f>
        <v>Year 5</v>
      </c>
      <c r="D102" s="2"/>
      <c r="E102" s="542"/>
      <c r="F102" s="452"/>
      <c r="G102" s="2"/>
    </row>
    <row r="103" spans="1:7">
      <c r="A103" s="542"/>
      <c r="B103" s="614" t="s">
        <v>2125</v>
      </c>
      <c r="C103" s="543">
        <f>+C27+C172</f>
        <v>5992.20615898305</v>
      </c>
      <c r="D103" s="542"/>
      <c r="E103" s="542"/>
      <c r="F103" s="452"/>
      <c r="G103" s="2"/>
    </row>
    <row r="104" spans="1:7" s="584" customFormat="1" ht="12">
      <c r="A104" s="542"/>
      <c r="B104" s="616" t="s">
        <v>2096</v>
      </c>
      <c r="C104" s="613">
        <v>0.15</v>
      </c>
      <c r="D104" s="600"/>
      <c r="E104" s="542"/>
      <c r="F104" s="452" t="s">
        <v>2117</v>
      </c>
      <c r="G104" s="614"/>
    </row>
    <row r="105" spans="1:7" s="584" customFormat="1" ht="12">
      <c r="A105" s="542"/>
      <c r="B105" s="601" t="s">
        <v>2097</v>
      </c>
      <c r="C105" s="125">
        <f>C104*C103</f>
        <v>898.83092384745748</v>
      </c>
      <c r="D105" s="542"/>
      <c r="E105" s="542"/>
      <c r="F105" s="452"/>
      <c r="G105" s="614"/>
    </row>
    <row r="106" spans="1:7">
      <c r="A106" s="542"/>
      <c r="B106" s="614" t="s">
        <v>2095</v>
      </c>
      <c r="C106" s="83">
        <f>+D72</f>
        <v>7490.2576987288121</v>
      </c>
      <c r="D106" s="542"/>
      <c r="E106" s="542"/>
      <c r="F106" s="452"/>
      <c r="G106" s="2"/>
    </row>
    <row r="107" spans="1:7">
      <c r="A107" s="542"/>
      <c r="B107" s="60" t="s">
        <v>2098</v>
      </c>
      <c r="C107" s="602">
        <f>C106/C105</f>
        <v>8.3333333333333339</v>
      </c>
      <c r="D107" s="542"/>
      <c r="E107" s="542"/>
      <c r="F107" s="452"/>
      <c r="G107" s="2"/>
    </row>
    <row r="108" spans="1:7" ht="3.95" customHeight="1">
      <c r="A108" s="542"/>
      <c r="B108" s="214"/>
      <c r="C108" s="617"/>
      <c r="D108" s="542"/>
      <c r="E108" s="542"/>
      <c r="F108" s="452"/>
      <c r="G108" s="2"/>
    </row>
    <row r="109" spans="1:7">
      <c r="A109" s="542"/>
      <c r="B109" s="536" t="s">
        <v>2128</v>
      </c>
      <c r="C109" s="535" t="str">
        <f>D$69</f>
        <v>Year 5</v>
      </c>
      <c r="D109" s="2"/>
      <c r="E109" s="542"/>
      <c r="F109" s="452"/>
      <c r="G109" s="2"/>
    </row>
    <row r="110" spans="1:7">
      <c r="A110" s="542"/>
      <c r="B110" s="614" t="s">
        <v>2094</v>
      </c>
      <c r="C110" s="543">
        <f>+C41+C172</f>
        <v>6990.0945386440662</v>
      </c>
      <c r="D110" s="542"/>
      <c r="E110" s="542"/>
      <c r="F110" s="452"/>
      <c r="G110" s="2"/>
    </row>
    <row r="111" spans="1:7" s="584" customFormat="1" ht="12">
      <c r="A111" s="542"/>
      <c r="B111" s="616" t="s">
        <v>2096</v>
      </c>
      <c r="C111" s="613">
        <v>0.2</v>
      </c>
      <c r="D111" s="542"/>
      <c r="E111" s="542"/>
      <c r="F111" s="452" t="s">
        <v>2126</v>
      </c>
      <c r="G111" s="614"/>
    </row>
    <row r="112" spans="1:7" s="584" customFormat="1" ht="12">
      <c r="A112" s="542"/>
      <c r="B112" s="601" t="s">
        <v>2097</v>
      </c>
      <c r="C112" s="125">
        <f>C111*C110</f>
        <v>1398.0189077288132</v>
      </c>
      <c r="D112" s="542"/>
      <c r="E112" s="542"/>
      <c r="F112" s="452"/>
      <c r="G112" s="614"/>
    </row>
    <row r="113" spans="1:7">
      <c r="A113" s="542"/>
      <c r="B113" s="614" t="s">
        <v>2095</v>
      </c>
      <c r="C113" s="83">
        <f>D76</f>
        <v>13980.189077288132</v>
      </c>
      <c r="D113" s="542"/>
      <c r="E113" s="542"/>
      <c r="F113" s="452"/>
      <c r="G113" s="2"/>
    </row>
    <row r="114" spans="1:7">
      <c r="A114" s="542"/>
      <c r="B114" s="60" t="s">
        <v>2098</v>
      </c>
      <c r="C114" s="602">
        <f>C113/C112</f>
        <v>10</v>
      </c>
      <c r="D114" s="542"/>
      <c r="E114" s="542"/>
      <c r="F114" s="452"/>
      <c r="G114" s="2"/>
    </row>
    <row r="115" spans="1:7" ht="3.95" customHeight="1">
      <c r="A115" s="542"/>
      <c r="B115" s="214"/>
      <c r="C115" s="617"/>
      <c r="D115" s="542"/>
      <c r="E115" s="542"/>
      <c r="F115" s="452"/>
      <c r="G115" s="2"/>
    </row>
    <row r="116" spans="1:7">
      <c r="A116" s="542"/>
      <c r="B116" s="370" t="s">
        <v>2181</v>
      </c>
      <c r="C116" s="620" t="str">
        <f>"Year "&amp;$C$7</f>
        <v>Year 5</v>
      </c>
      <c r="D116" s="620" t="s">
        <v>1861</v>
      </c>
      <c r="E116" s="542"/>
      <c r="F116" s="452"/>
      <c r="G116" s="2"/>
    </row>
    <row r="117" spans="1:7" ht="15" customHeight="1">
      <c r="A117" s="542"/>
      <c r="B117" s="542" t="s">
        <v>2138</v>
      </c>
      <c r="C117" s="543">
        <f>D75*$D$178</f>
        <v>6802.0000000000009</v>
      </c>
      <c r="D117" s="619">
        <f>IFERROR(C117/C$121,0)</f>
        <v>0.81624843821928039</v>
      </c>
      <c r="E117" s="542"/>
      <c r="F117" s="452" t="s">
        <v>2592</v>
      </c>
      <c r="G117" s="2"/>
    </row>
    <row r="118" spans="1:7" ht="15" customHeight="1">
      <c r="A118" s="542"/>
      <c r="B118" s="559" t="s">
        <v>2139</v>
      </c>
      <c r="C118" s="154">
        <f>D76*$D$178</f>
        <v>531.247184936949</v>
      </c>
      <c r="D118" s="619">
        <f>IFERROR(C118/C$121,0)</f>
        <v>6.3750321230987034E-2</v>
      </c>
      <c r="E118" s="542"/>
      <c r="F118" s="452" t="s">
        <v>2593</v>
      </c>
      <c r="G118" s="2"/>
    </row>
    <row r="119" spans="1:7" ht="15" customHeight="1">
      <c r="A119" s="542"/>
      <c r="B119" s="559" t="s">
        <v>2065</v>
      </c>
      <c r="C119" s="83">
        <f>D79</f>
        <v>500</v>
      </c>
      <c r="D119" s="619">
        <f>IFERROR(C119/C$121,0)</f>
        <v>6.0000620274866238E-2</v>
      </c>
      <c r="E119" s="542"/>
      <c r="F119" s="452" t="s">
        <v>2594</v>
      </c>
      <c r="G119" s="2"/>
    </row>
    <row r="120" spans="1:7" ht="15" customHeight="1">
      <c r="A120" s="542"/>
      <c r="B120" s="559" t="s">
        <v>2292</v>
      </c>
      <c r="C120" s="83">
        <f>D80</f>
        <v>500</v>
      </c>
      <c r="D120" s="619">
        <f>IFERROR(C120/C$121,0)</f>
        <v>6.0000620274866238E-2</v>
      </c>
      <c r="E120" s="542"/>
      <c r="F120" s="452" t="s">
        <v>2595</v>
      </c>
      <c r="G120" s="2"/>
    </row>
    <row r="121" spans="1:7" ht="15" customHeight="1">
      <c r="A121" s="542"/>
      <c r="B121" s="537" t="s">
        <v>2066</v>
      </c>
      <c r="C121" s="551">
        <f>SUM(C117:C120)</f>
        <v>8333.2471849369504</v>
      </c>
      <c r="D121" s="676">
        <f>SUM(D117:D120)</f>
        <v>0.99999999999999978</v>
      </c>
      <c r="E121" s="542"/>
      <c r="F121" s="452" t="s">
        <v>2596</v>
      </c>
      <c r="G121" s="2"/>
    </row>
    <row r="122" spans="1:7" ht="15" customHeight="1">
      <c r="A122" s="542"/>
      <c r="B122" s="542" t="s">
        <v>2140</v>
      </c>
      <c r="C122" s="543">
        <f>(C41+C172)*$D$178</f>
        <v>265.6235924684745</v>
      </c>
      <c r="D122" s="542"/>
      <c r="E122" s="542"/>
      <c r="F122" s="452" t="s">
        <v>2164</v>
      </c>
      <c r="G122" s="2"/>
    </row>
    <row r="123" spans="1:7" ht="3.95" customHeight="1">
      <c r="A123" s="542"/>
      <c r="B123" s="542"/>
      <c r="C123" s="542"/>
      <c r="D123" s="542"/>
      <c r="E123" s="542"/>
      <c r="F123" s="452"/>
      <c r="G123" s="2"/>
    </row>
    <row r="124" spans="1:7">
      <c r="A124" s="542"/>
      <c r="B124" s="370" t="s">
        <v>2182</v>
      </c>
      <c r="C124" s="620" t="str">
        <f>C$171</f>
        <v>Today</v>
      </c>
      <c r="D124" s="542"/>
      <c r="E124" s="542"/>
      <c r="F124" s="452"/>
      <c r="G124" s="2"/>
    </row>
    <row r="125" spans="1:7">
      <c r="A125" s="542"/>
      <c r="B125" s="542" t="s">
        <v>2141</v>
      </c>
      <c r="C125" s="609">
        <f>IFERROR(C173/C172,0)</f>
        <v>1.0004865632953721</v>
      </c>
      <c r="D125" s="542"/>
      <c r="E125" s="542"/>
      <c r="F125" s="452" t="s">
        <v>2165</v>
      </c>
      <c r="G125" s="2"/>
    </row>
    <row r="126" spans="1:7" ht="15" customHeight="1">
      <c r="A126" s="542"/>
      <c r="B126" s="542" t="s">
        <v>2318</v>
      </c>
      <c r="C126" s="609">
        <f>IFERROR((C173+C57)/C172,0)</f>
        <v>1.1672343238446008</v>
      </c>
      <c r="D126" s="542"/>
      <c r="E126" s="542"/>
      <c r="F126" s="452" t="s">
        <v>2319</v>
      </c>
      <c r="G126" s="2"/>
    </row>
    <row r="127" spans="1:7">
      <c r="A127" s="542"/>
      <c r="B127" s="542" t="s">
        <v>2142</v>
      </c>
      <c r="C127" s="610">
        <f>C11</f>
        <v>19.157088122605366</v>
      </c>
      <c r="D127" s="542"/>
      <c r="E127" s="542"/>
      <c r="F127" s="452" t="s">
        <v>2166</v>
      </c>
      <c r="G127" s="2"/>
    </row>
    <row r="128" spans="1:7">
      <c r="A128" s="542"/>
      <c r="B128" s="538" t="s">
        <v>2180</v>
      </c>
      <c r="C128" s="602">
        <f>IFERROR(C127/C125,0)</f>
        <v>19.147771519795661</v>
      </c>
      <c r="D128" s="540"/>
      <c r="E128" s="542"/>
      <c r="F128" s="452" t="s">
        <v>2167</v>
      </c>
      <c r="G128" s="2"/>
    </row>
    <row r="129" spans="1:8">
      <c r="A129" s="542"/>
      <c r="B129" s="542" t="s">
        <v>2143</v>
      </c>
      <c r="C129" s="86">
        <f>C172</f>
        <v>2998.5410200000001</v>
      </c>
      <c r="D129" s="542"/>
      <c r="E129" s="542"/>
      <c r="F129" s="452"/>
      <c r="G129" s="2"/>
    </row>
    <row r="130" spans="1:8">
      <c r="A130" s="542"/>
      <c r="B130" s="542" t="s">
        <v>2144</v>
      </c>
      <c r="C130" s="543">
        <f>(C10+C172)*$C$178</f>
        <v>245.22164080000002</v>
      </c>
      <c r="D130" s="542"/>
      <c r="E130" s="542"/>
      <c r="F130" s="452" t="s">
        <v>2168</v>
      </c>
      <c r="G130" s="2"/>
    </row>
    <row r="131" spans="1:8" ht="3.95" customHeight="1">
      <c r="A131" s="542"/>
      <c r="B131" s="542"/>
      <c r="C131" s="542"/>
      <c r="D131" s="542"/>
      <c r="E131" s="542"/>
      <c r="F131" s="452"/>
      <c r="G131" s="2"/>
    </row>
    <row r="132" spans="1:8">
      <c r="A132" s="542"/>
      <c r="B132" s="370" t="s">
        <v>2183</v>
      </c>
      <c r="C132" s="620" t="s">
        <v>2145</v>
      </c>
      <c r="D132" s="620" t="s">
        <v>2146</v>
      </c>
      <c r="E132" s="542"/>
      <c r="F132" s="452"/>
      <c r="G132" s="2"/>
    </row>
    <row r="133" spans="1:8">
      <c r="A133" s="542"/>
      <c r="B133" s="542" t="s">
        <v>2147</v>
      </c>
      <c r="C133" s="543">
        <f>(D72-D79-D80)/$D$178-D76</f>
        <v>156816.06615241745</v>
      </c>
      <c r="D133" s="86">
        <f>D75</f>
        <v>179000.00000000003</v>
      </c>
      <c r="E133" s="542"/>
      <c r="F133" s="452" t="s">
        <v>2169</v>
      </c>
      <c r="G133" s="2"/>
    </row>
    <row r="134" spans="1:8">
      <c r="A134" s="542"/>
      <c r="B134" s="542" t="s">
        <v>2148</v>
      </c>
      <c r="C134" s="609">
        <f>IFERROR((C133+$C$174+$C$57)/(C10+C17),0)</f>
        <v>16.796090480248772</v>
      </c>
      <c r="D134" s="610">
        <f>C12</f>
        <v>19.157088122605366</v>
      </c>
      <c r="E134" s="542"/>
      <c r="F134" s="452" t="s">
        <v>2170</v>
      </c>
      <c r="G134" s="2"/>
    </row>
    <row r="135" spans="1:8">
      <c r="A135" s="542"/>
      <c r="B135" s="542" t="s">
        <v>2149</v>
      </c>
      <c r="C135" s="154">
        <f>IFERROR(((C133+$C$174+$C$57)/C12-C10)/C14/C7,0)</f>
        <v>105.96740499845221</v>
      </c>
      <c r="D135" s="83">
        <f>C15</f>
        <v>130</v>
      </c>
      <c r="E135" s="542"/>
      <c r="F135" s="452" t="s">
        <v>2171</v>
      </c>
      <c r="G135" s="2"/>
    </row>
    <row r="136" spans="1:8">
      <c r="A136" s="542"/>
      <c r="B136" s="542" t="s">
        <v>2366</v>
      </c>
      <c r="C136" s="619">
        <f>IFERROR(1-(D72-D79-D80)/(D77*$C$178),0)</f>
        <v>0.15920673907497873</v>
      </c>
      <c r="D136" s="619">
        <f>$C$8</f>
        <v>0.05</v>
      </c>
      <c r="E136" s="542"/>
      <c r="F136" s="452" t="s">
        <v>2379</v>
      </c>
      <c r="G136" s="2"/>
    </row>
    <row r="137" spans="1:8">
      <c r="A137" s="542"/>
      <c r="B137" s="542" t="s">
        <v>2150</v>
      </c>
      <c r="C137" s="388">
        <f>D88</f>
        <v>0.21465018998633023</v>
      </c>
      <c r="D137" s="388">
        <f>D89</f>
        <v>0.24712359925968785</v>
      </c>
      <c r="E137" s="542"/>
      <c r="F137" s="452" t="s">
        <v>2597</v>
      </c>
      <c r="G137" s="2"/>
    </row>
    <row r="138" spans="1:8" ht="3.95" customHeight="1">
      <c r="A138" s="542"/>
      <c r="B138" s="542"/>
      <c r="C138" s="542"/>
      <c r="D138" s="542"/>
      <c r="E138" s="542"/>
      <c r="F138" s="452"/>
      <c r="G138" s="2"/>
    </row>
    <row r="139" spans="1:8" ht="14.25" customHeight="1">
      <c r="A139" s="684"/>
      <c r="B139" s="370" t="str">
        <f>"Topkey Dilution Impact — Ben (Year "&amp;$C$7&amp;")"</f>
        <v>Topkey Dilution Impact — Ben (Year 5)</v>
      </c>
      <c r="C139" s="606" t="s">
        <v>2370</v>
      </c>
      <c r="D139" s="606" t="s">
        <v>2371</v>
      </c>
      <c r="E139" s="684"/>
      <c r="F139" s="684"/>
      <c r="G139" s="684"/>
      <c r="H139" s="684"/>
    </row>
    <row r="140" spans="1:8" ht="14.25" customHeight="1">
      <c r="A140" s="684"/>
      <c r="B140" s="684" t="s">
        <v>2058</v>
      </c>
      <c r="C140" s="388">
        <f>$C$178</f>
        <v>0.04</v>
      </c>
      <c r="D140" s="388">
        <f>$D$178</f>
        <v>3.7999999999999999E-2</v>
      </c>
      <c r="E140" s="684"/>
      <c r="F140" s="684"/>
      <c r="G140" s="684"/>
      <c r="H140" s="684"/>
    </row>
    <row r="141" spans="1:8" ht="14.25" customHeight="1">
      <c r="A141" s="684"/>
      <c r="B141" s="684" t="s">
        <v>2064</v>
      </c>
      <c r="C141" s="685">
        <f>$D$77*C140</f>
        <v>7719.2075630915269</v>
      </c>
      <c r="D141" s="685">
        <f>$D$77*D140</f>
        <v>7333.2471849369504</v>
      </c>
      <c r="E141" s="684"/>
      <c r="F141" s="684" t="s">
        <v>2598</v>
      </c>
      <c r="G141" s="684"/>
      <c r="H141" s="684"/>
    </row>
    <row r="142" spans="1:8" ht="14.25" customHeight="1">
      <c r="A142" s="684"/>
      <c r="B142" s="723" t="s">
        <v>2308</v>
      </c>
      <c r="C142" s="686">
        <f>$D$79+$D$80</f>
        <v>1000</v>
      </c>
      <c r="D142" s="686">
        <f>$D$79+$D$80</f>
        <v>1000</v>
      </c>
      <c r="E142" s="684"/>
      <c r="F142" s="684" t="s">
        <v>2599</v>
      </c>
      <c r="G142" s="684"/>
      <c r="H142" s="684"/>
    </row>
    <row r="143" spans="1:8" ht="14.25" customHeight="1">
      <c r="A143" s="684"/>
      <c r="B143" s="690" t="s">
        <v>2066</v>
      </c>
      <c r="C143" s="689">
        <f>C141+C142</f>
        <v>8719.2075630915278</v>
      </c>
      <c r="D143" s="691">
        <f>D141+D142</f>
        <v>8333.2471849369504</v>
      </c>
      <c r="E143" s="684"/>
      <c r="F143" s="684"/>
      <c r="G143" s="684"/>
      <c r="H143" s="684"/>
    </row>
    <row r="144" spans="1:8" ht="14.25" customHeight="1">
      <c r="A144" s="684"/>
      <c r="B144" s="723" t="s">
        <v>2373</v>
      </c>
      <c r="C144" s="83">
        <f>$D$72</f>
        <v>7490.2576987288121</v>
      </c>
      <c r="D144" s="83">
        <f>$D$72</f>
        <v>7490.2576987288121</v>
      </c>
      <c r="E144" s="684"/>
      <c r="F144" s="684"/>
      <c r="G144" s="684"/>
      <c r="H144" s="684"/>
    </row>
    <row r="145" spans="1:8" ht="14.25" customHeight="1">
      <c r="A145" s="684"/>
      <c r="B145" s="692" t="s">
        <v>2374</v>
      </c>
      <c r="C145" s="693">
        <f>C143-C144</f>
        <v>1228.9498643627157</v>
      </c>
      <c r="D145" s="693">
        <f>D143-D144</f>
        <v>842.98948620813826</v>
      </c>
      <c r="E145" s="684"/>
      <c r="F145" s="684"/>
      <c r="G145" s="684"/>
      <c r="H145" s="684"/>
    </row>
    <row r="146" spans="1:8" ht="14.25" customHeight="1">
      <c r="A146" s="684"/>
      <c r="B146" s="684" t="s">
        <v>2375</v>
      </c>
      <c r="C146" s="684"/>
      <c r="D146" s="685">
        <f>D143-C143</f>
        <v>-385.96037815457748</v>
      </c>
      <c r="E146" s="684"/>
      <c r="F146" s="684" t="s">
        <v>2378</v>
      </c>
      <c r="G146" s="684"/>
      <c r="H146" s="684"/>
    </row>
    <row r="147" spans="1:8" ht="14.25" customHeight="1">
      <c r="A147" s="684"/>
      <c r="B147" s="684" t="s">
        <v>2376</v>
      </c>
      <c r="C147" s="684"/>
      <c r="D147" s="687">
        <f>$C$136-$D$136</f>
        <v>0.10920673907497873</v>
      </c>
      <c r="E147" s="684"/>
      <c r="F147" s="684" t="s">
        <v>2600</v>
      </c>
      <c r="G147" s="684"/>
      <c r="H147" s="684"/>
    </row>
    <row r="148" spans="1:8" ht="14.25" customHeight="1">
      <c r="B148" s="684" t="s">
        <v>2377</v>
      </c>
      <c r="D148" s="688">
        <f>D143-$D$81</f>
        <v>0</v>
      </c>
      <c r="F148" s="684" t="s">
        <v>2119</v>
      </c>
    </row>
    <row r="149" spans="1:8" ht="3.95" customHeight="1">
      <c r="A149" s="684"/>
      <c r="B149" s="684"/>
      <c r="C149" s="684"/>
      <c r="D149" s="684"/>
      <c r="E149" s="684"/>
      <c r="F149" s="684"/>
      <c r="G149" s="684"/>
      <c r="H149" s="684"/>
    </row>
    <row r="150" spans="1:8">
      <c r="A150" s="542"/>
      <c r="B150" s="370" t="s">
        <v>2184</v>
      </c>
      <c r="C150" s="620" t="s">
        <v>2151</v>
      </c>
      <c r="D150" s="620" t="str">
        <f>"Year "&amp;$C$7&amp;" Delta"</f>
        <v>Year 5 Delta</v>
      </c>
      <c r="E150" s="542"/>
      <c r="F150" s="452"/>
      <c r="G150" s="2"/>
    </row>
    <row r="151" spans="1:8">
      <c r="A151" s="542"/>
      <c r="B151" s="542" t="s">
        <v>2152</v>
      </c>
      <c r="C151" s="583">
        <v>12</v>
      </c>
      <c r="D151" s="543">
        <f>((C10+C17)*C151-$C$174-$C$57+D76)*$D$178+D79+D80-D72</f>
        <v>-1712.4345137918635</v>
      </c>
      <c r="E151" s="542"/>
      <c r="F151" s="452" t="s">
        <v>2172</v>
      </c>
      <c r="G151" s="2"/>
    </row>
    <row r="152" spans="1:8">
      <c r="A152" s="542"/>
      <c r="B152" s="542" t="s">
        <v>2153</v>
      </c>
      <c r="C152" s="82">
        <v>90</v>
      </c>
      <c r="D152" s="154">
        <f>((C10+C152*C7*C14)*C12-$C$174-$C$57+D76)*$D$178+D79+D80-D72</f>
        <v>-560.08743686878552</v>
      </c>
      <c r="E152" s="542"/>
      <c r="F152" s="452" t="s">
        <v>2173</v>
      </c>
      <c r="G152" s="2"/>
    </row>
    <row r="153" spans="1:8">
      <c r="A153" s="542"/>
      <c r="B153" s="542" t="s">
        <v>2367</v>
      </c>
      <c r="C153" s="621">
        <v>0.15</v>
      </c>
      <c r="D153" s="154">
        <f>D77*$C$178*(1-C153)+D79+D80-D72</f>
        <v>71.068729898986021</v>
      </c>
      <c r="E153" s="542"/>
      <c r="F153" s="452" t="s">
        <v>2174</v>
      </c>
      <c r="G153" s="2"/>
    </row>
    <row r="154" spans="1:8" ht="15" customHeight="1">
      <c r="A154" s="542"/>
      <c r="B154" s="542" t="s">
        <v>2320</v>
      </c>
      <c r="C154" s="619"/>
      <c r="D154" s="154">
        <f>D84-$C$57*(1-$D$178)</f>
        <v>361.98948620813826</v>
      </c>
      <c r="E154" s="542"/>
      <c r="F154" s="452" t="s">
        <v>2321</v>
      </c>
      <c r="G154" s="2"/>
    </row>
    <row r="155" spans="1:8">
      <c r="A155" s="542"/>
      <c r="B155" s="538" t="s">
        <v>2322</v>
      </c>
      <c r="C155" s="622"/>
      <c r="D155" s="596">
        <f>((C10+C152*C7*C14)*C151-$C$174+D76)*$C$178*(1-C153)+D79-D72</f>
        <v>-3484.7361931779383</v>
      </c>
      <c r="E155" s="542"/>
      <c r="F155" s="452" t="s">
        <v>2323</v>
      </c>
      <c r="G155" s="2"/>
    </row>
    <row r="156" spans="1:8" ht="3.95" customHeight="1">
      <c r="A156" s="542"/>
      <c r="B156" s="542"/>
      <c r="C156" s="542"/>
      <c r="D156" s="542"/>
      <c r="E156" s="542"/>
      <c r="F156" s="452"/>
      <c r="G156" s="2"/>
    </row>
    <row r="157" spans="1:8">
      <c r="A157" s="542"/>
      <c r="B157" s="370" t="s">
        <v>2219</v>
      </c>
      <c r="C157" s="620" t="str">
        <f>C$171</f>
        <v>Today</v>
      </c>
      <c r="D157" s="535" t="str">
        <f>D$69</f>
        <v>Year 5</v>
      </c>
      <c r="E157" s="542"/>
      <c r="F157" s="452"/>
      <c r="G157" s="2"/>
    </row>
    <row r="158" spans="1:8">
      <c r="A158" s="542"/>
      <c r="B158" s="542" t="s">
        <v>2324</v>
      </c>
      <c r="C158" s="86">
        <f>C174</f>
        <v>500</v>
      </c>
      <c r="D158" s="154">
        <f>C174+C57</f>
        <v>1000</v>
      </c>
      <c r="E158" s="542"/>
      <c r="F158" s="452" t="s">
        <v>2310</v>
      </c>
      <c r="G158" s="2"/>
    </row>
    <row r="159" spans="1:8">
      <c r="A159" s="542"/>
      <c r="B159" s="542" t="s">
        <v>2154</v>
      </c>
      <c r="C159" s="619">
        <f>IFERROR(C174/C173,0)</f>
        <v>0.16666666666666666</v>
      </c>
      <c r="D159" s="619">
        <f>IFERROR((C174+C57)/(C173+C57),0)</f>
        <v>0.2857142857142857</v>
      </c>
      <c r="E159" s="542"/>
      <c r="F159" s="452" t="s">
        <v>2325</v>
      </c>
      <c r="G159" s="2"/>
    </row>
    <row r="160" spans="1:8">
      <c r="A160" s="542"/>
      <c r="B160" s="542" t="s">
        <v>2155</v>
      </c>
      <c r="C160" s="619">
        <f>IFERROR(C175/C173,0)</f>
        <v>0.83333333333333337</v>
      </c>
      <c r="D160" s="619">
        <f>IFERROR(C175/(C173+C57),0)</f>
        <v>0.7142857142857143</v>
      </c>
      <c r="E160" s="542"/>
      <c r="F160" s="452"/>
      <c r="G160" s="2"/>
    </row>
    <row r="161" spans="1:7">
      <c r="A161" s="542"/>
      <c r="B161" s="542" t="s">
        <v>2058</v>
      </c>
      <c r="C161" s="388">
        <f>C178</f>
        <v>0.04</v>
      </c>
      <c r="D161" s="388">
        <f>D178</f>
        <v>3.7999999999999999E-2</v>
      </c>
      <c r="E161" s="542"/>
      <c r="F161" s="452"/>
      <c r="G161" s="2"/>
    </row>
    <row r="162" spans="1:7">
      <c r="A162" s="542"/>
      <c r="B162" s="542" t="s">
        <v>2156</v>
      </c>
      <c r="C162" s="619">
        <f>IFERROR(C78/C81,0)</f>
        <v>0.83333333333333337</v>
      </c>
      <c r="D162" s="619">
        <f>IFERROR(D78/D81,0)</f>
        <v>0.87999875945026751</v>
      </c>
      <c r="E162" s="542"/>
      <c r="F162" s="452" t="s">
        <v>2175</v>
      </c>
      <c r="G162" s="2"/>
    </row>
    <row r="163" spans="1:7" ht="3.95" customHeight="1">
      <c r="A163" s="542"/>
      <c r="B163" s="542"/>
      <c r="C163" s="542"/>
      <c r="D163" s="542"/>
      <c r="E163" s="542"/>
      <c r="F163" s="452"/>
      <c r="G163" s="2"/>
    </row>
    <row r="164" spans="1:7">
      <c r="A164" s="542"/>
      <c r="B164" s="370" t="s">
        <v>2224</v>
      </c>
      <c r="C164" s="620" t="s">
        <v>2157</v>
      </c>
      <c r="D164" s="535" t="s">
        <v>2158</v>
      </c>
      <c r="E164" s="542"/>
      <c r="F164" s="452"/>
      <c r="G164" s="2"/>
    </row>
    <row r="165" spans="1:7">
      <c r="A165" s="542"/>
      <c r="B165" s="542" t="s">
        <v>2160</v>
      </c>
      <c r="C165" s="542"/>
      <c r="D165" s="542"/>
      <c r="E165" s="542"/>
      <c r="F165" s="452" t="s">
        <v>2176</v>
      </c>
      <c r="G165" s="2"/>
    </row>
    <row r="166" spans="1:7">
      <c r="A166" s="542"/>
      <c r="B166" s="542" t="s">
        <v>2161</v>
      </c>
      <c r="C166" s="542"/>
      <c r="D166" s="542"/>
      <c r="E166" s="542"/>
      <c r="F166" s="452" t="s">
        <v>2177</v>
      </c>
      <c r="G166" s="2"/>
    </row>
    <row r="167" spans="1:7">
      <c r="A167" s="542"/>
      <c r="B167" s="542" t="s">
        <v>2162</v>
      </c>
      <c r="C167" s="542"/>
      <c r="D167" s="542"/>
      <c r="E167" s="542"/>
      <c r="F167" s="452" t="s">
        <v>2178</v>
      </c>
      <c r="G167" s="2"/>
    </row>
    <row r="168" spans="1:7">
      <c r="A168" s="542"/>
      <c r="B168" s="542" t="s">
        <v>2163</v>
      </c>
      <c r="C168" s="542"/>
      <c r="D168" s="542"/>
      <c r="E168" s="542"/>
      <c r="F168" s="452" t="s">
        <v>2179</v>
      </c>
      <c r="G168" s="2"/>
    </row>
    <row r="169" spans="1:7" ht="15" customHeight="1">
      <c r="A169" s="542"/>
      <c r="B169" s="542" t="s">
        <v>2326</v>
      </c>
      <c r="C169" s="86">
        <f>C57</f>
        <v>500</v>
      </c>
      <c r="D169" s="542"/>
      <c r="E169" s="542"/>
      <c r="F169" s="452" t="s">
        <v>2327</v>
      </c>
      <c r="G169" s="2"/>
    </row>
    <row r="170" spans="1:7">
      <c r="A170" s="542"/>
      <c r="B170" s="2"/>
      <c r="C170" s="2"/>
      <c r="D170" s="542"/>
      <c r="E170" s="542"/>
      <c r="F170" s="452"/>
      <c r="G170" s="2"/>
    </row>
    <row r="171" spans="1:7">
      <c r="B171" s="536" t="s">
        <v>2353</v>
      </c>
      <c r="C171" s="535" t="s">
        <v>2025</v>
      </c>
      <c r="D171" s="535" t="str">
        <f>"Year "&amp;$C$7</f>
        <v>Year 5</v>
      </c>
      <c r="E171" s="2"/>
      <c r="F171" s="452"/>
      <c r="G171" s="2"/>
    </row>
    <row r="172" spans="1:7">
      <c r="B172" s="614" t="s">
        <v>2104</v>
      </c>
      <c r="C172" s="47">
        <f>'P&amp;L Overview'!K16</f>
        <v>2998.5410200000001</v>
      </c>
      <c r="D172" s="2"/>
      <c r="E172" s="2"/>
      <c r="F172" s="452" t="s">
        <v>2118</v>
      </c>
      <c r="G172" s="2"/>
    </row>
    <row r="173" spans="1:7">
      <c r="B173" s="542" t="s">
        <v>2056</v>
      </c>
      <c r="C173" s="53">
        <f>'Offer Overview'!$C$17</f>
        <v>3000</v>
      </c>
      <c r="D173" s="2"/>
      <c r="E173" s="2"/>
      <c r="F173" s="452"/>
      <c r="G173" s="2"/>
    </row>
    <row r="174" spans="1:7">
      <c r="B174" s="542" t="s">
        <v>2057</v>
      </c>
      <c r="C174" s="435">
        <v>500</v>
      </c>
      <c r="D174" s="2"/>
      <c r="E174" s="2"/>
      <c r="F174" s="452" t="s">
        <v>2354</v>
      </c>
      <c r="G174" s="2"/>
    </row>
    <row r="175" spans="1:7">
      <c r="B175" s="542" t="s">
        <v>2024</v>
      </c>
      <c r="C175" s="430">
        <f>C173-C174</f>
        <v>2500</v>
      </c>
      <c r="D175" s="2"/>
      <c r="E175" s="2"/>
      <c r="F175" s="452" t="s">
        <v>2355</v>
      </c>
      <c r="G175" s="2"/>
    </row>
    <row r="176" spans="1:7">
      <c r="B176" s="542" t="s">
        <v>2039</v>
      </c>
      <c r="C176" s="53">
        <f>'Offer Comparison'!$D$9</f>
        <v>60000</v>
      </c>
      <c r="D176" s="2"/>
      <c r="E176" s="2"/>
      <c r="F176" s="452" t="s">
        <v>2195</v>
      </c>
      <c r="G176" s="2"/>
    </row>
    <row r="177" spans="2:8">
      <c r="B177" s="542" t="s">
        <v>2001</v>
      </c>
      <c r="C177" s="430">
        <f>C176+C173-C174</f>
        <v>62500</v>
      </c>
      <c r="D177" s="2"/>
      <c r="E177" s="2"/>
      <c r="F177" s="452" t="s">
        <v>2356</v>
      </c>
      <c r="G177" s="2"/>
    </row>
    <row r="178" spans="2:8">
      <c r="B178" s="542" t="s">
        <v>2058</v>
      </c>
      <c r="C178" s="528">
        <f>IFERROR(C175/C177,0)</f>
        <v>0.04</v>
      </c>
      <c r="D178" s="528">
        <f>C178*(1-$C$8)</f>
        <v>3.7999999999999999E-2</v>
      </c>
      <c r="E178" s="2"/>
      <c r="F178" s="542" t="s">
        <v>2368</v>
      </c>
      <c r="G178" s="2"/>
    </row>
    <row r="179" spans="2:8">
      <c r="B179" s="542" t="s">
        <v>2047</v>
      </c>
      <c r="C179" s="430">
        <f>C176-C174</f>
        <v>59500</v>
      </c>
      <c r="D179" s="2"/>
      <c r="E179" s="2"/>
      <c r="F179" s="452" t="s">
        <v>2197</v>
      </c>
      <c r="G179" s="2"/>
    </row>
    <row r="180" spans="2:8">
      <c r="B180" s="542" t="s">
        <v>2105</v>
      </c>
      <c r="C180" s="154">
        <f>C77-C177</f>
        <v>0</v>
      </c>
      <c r="D180" s="2"/>
      <c r="E180" s="2"/>
      <c r="F180" s="452" t="s">
        <v>2119</v>
      </c>
      <c r="G180" s="2"/>
    </row>
    <row r="181" spans="2:8">
      <c r="B181" s="542" t="s">
        <v>2106</v>
      </c>
      <c r="C181" s="154">
        <f>C78-C175</f>
        <v>0</v>
      </c>
      <c r="D181" s="2"/>
      <c r="E181" s="2"/>
      <c r="F181" s="452" t="s">
        <v>2119</v>
      </c>
      <c r="G181" s="2"/>
    </row>
    <row r="182" spans="2:8">
      <c r="B182" s="2"/>
      <c r="C182" s="2"/>
      <c r="D182" s="2"/>
      <c r="E182" s="2"/>
      <c r="F182" s="452"/>
      <c r="G182" s="2"/>
    </row>
    <row r="183" spans="2:8">
      <c r="B183" s="370" t="s">
        <v>2129</v>
      </c>
      <c r="C183" s="370" t="s">
        <v>1197</v>
      </c>
      <c r="D183" s="2"/>
      <c r="E183" s="2"/>
      <c r="F183" s="452"/>
      <c r="G183" s="2"/>
    </row>
    <row r="184" spans="2:8">
      <c r="B184" s="614" t="s">
        <v>2130</v>
      </c>
      <c r="C184" s="53">
        <f>'Client Retention'!H22</f>
        <v>151</v>
      </c>
      <c r="D184" s="2"/>
      <c r="E184" s="2"/>
      <c r="F184" s="452" t="s">
        <v>2133</v>
      </c>
      <c r="G184" s="2"/>
    </row>
    <row r="185" spans="2:8">
      <c r="B185" s="616" t="s">
        <v>1314</v>
      </c>
      <c r="C185" s="53">
        <f>'Client Retention'!H23</f>
        <v>83</v>
      </c>
      <c r="D185" s="2"/>
      <c r="E185" s="2"/>
      <c r="F185" s="452"/>
      <c r="G185" s="2"/>
    </row>
    <row r="186" spans="2:8">
      <c r="B186" s="616" t="s">
        <v>1532</v>
      </c>
      <c r="C186" s="53">
        <f>'Client Retention'!H27</f>
        <v>-57</v>
      </c>
      <c r="D186" s="2"/>
      <c r="E186" s="2"/>
      <c r="F186" s="452"/>
      <c r="G186" s="2"/>
    </row>
    <row r="187" spans="2:8">
      <c r="B187" s="614" t="s">
        <v>2131</v>
      </c>
      <c r="C187" s="154">
        <f>SUM(C184:C186)</f>
        <v>177</v>
      </c>
      <c r="D187" s="2"/>
      <c r="E187" s="2"/>
      <c r="F187" s="417" t="s">
        <v>2134</v>
      </c>
      <c r="G187" s="2"/>
      <c r="H187" s="542"/>
    </row>
    <row r="188" spans="2:8">
      <c r="B188" s="58" t="s">
        <v>2132</v>
      </c>
      <c r="C188" s="573">
        <f>C187-C184</f>
        <v>26</v>
      </c>
      <c r="D188" s="2"/>
      <c r="E188" s="2"/>
      <c r="F188" s="417" t="s">
        <v>2135</v>
      </c>
      <c r="G188" s="2"/>
      <c r="H188" s="542"/>
    </row>
    <row r="189" spans="2:8">
      <c r="F189" s="417"/>
    </row>
    <row r="190" spans="2:8" ht="15" customHeight="1">
      <c r="B190" s="454" t="s">
        <v>2314</v>
      </c>
      <c r="C190" s="625" t="s">
        <v>1242</v>
      </c>
      <c r="D190" s="625" t="s">
        <v>2302</v>
      </c>
      <c r="F190" s="417"/>
    </row>
    <row r="191" spans="2:8" ht="15" customHeight="1">
      <c r="B191" s="452" t="str">
        <f t="shared" ref="B191:B196" si="0">"Year "&amp;C191</f>
        <v>Year 0</v>
      </c>
      <c r="C191" s="657">
        <v>0</v>
      </c>
      <c r="D191" s="431">
        <f t="shared" ref="D191:D196" si="1">-IF(C191=0,$C$92+$C$93,0)-IF(C191=$C$45,$C$94,0)+IF(C191=$C$7,$C$98,0)</f>
        <v>-3000</v>
      </c>
      <c r="F191" s="417" t="s">
        <v>2317</v>
      </c>
    </row>
    <row r="192" spans="2:8" ht="15" customHeight="1">
      <c r="B192" s="452" t="str">
        <f t="shared" si="0"/>
        <v>Year 1</v>
      </c>
      <c r="C192" s="656">
        <f>C191+1</f>
        <v>1</v>
      </c>
      <c r="D192" s="430">
        <f t="shared" si="1"/>
        <v>0</v>
      </c>
      <c r="F192" s="417"/>
    </row>
    <row r="193" spans="2:6" ht="15" customHeight="1">
      <c r="B193" s="452" t="str">
        <f t="shared" si="0"/>
        <v>Year 2</v>
      </c>
      <c r="C193" s="656">
        <f>C192+1</f>
        <v>2</v>
      </c>
      <c r="D193" s="430">
        <f t="shared" si="1"/>
        <v>0</v>
      </c>
      <c r="F193" s="417"/>
    </row>
    <row r="194" spans="2:6" ht="15" customHeight="1">
      <c r="B194" s="452" t="str">
        <f t="shared" si="0"/>
        <v>Year 3</v>
      </c>
      <c r="C194" s="656">
        <f>C193+1</f>
        <v>3</v>
      </c>
      <c r="D194" s="430">
        <f t="shared" si="1"/>
        <v>-500</v>
      </c>
      <c r="F194" s="417"/>
    </row>
    <row r="195" spans="2:6" ht="15" customHeight="1">
      <c r="B195" s="452" t="str">
        <f t="shared" si="0"/>
        <v>Year 4</v>
      </c>
      <c r="C195" s="656">
        <f>C194+1</f>
        <v>4</v>
      </c>
      <c r="D195" s="430">
        <f t="shared" si="1"/>
        <v>0</v>
      </c>
      <c r="F195" s="417"/>
    </row>
    <row r="196" spans="2:6" ht="15" customHeight="1">
      <c r="B196" s="452" t="str">
        <f t="shared" si="0"/>
        <v>Year 5</v>
      </c>
      <c r="C196" s="656">
        <f>C195+1</f>
        <v>5</v>
      </c>
      <c r="D196" s="430">
        <f t="shared" si="1"/>
        <v>13980.189077288132</v>
      </c>
      <c r="F196" s="417"/>
    </row>
    <row r="198" spans="2:6" ht="15" customHeight="1">
      <c r="B198" s="454" t="s">
        <v>2328</v>
      </c>
      <c r="C198" s="625" t="s">
        <v>1242</v>
      </c>
      <c r="D198" s="625" t="s">
        <v>2302</v>
      </c>
    </row>
    <row r="199" spans="2:6" ht="15" customHeight="1">
      <c r="B199" s="452" t="str">
        <f t="shared" ref="B199:B204" si="2">"Year "&amp;C199</f>
        <v>Year 0</v>
      </c>
      <c r="C199" s="657">
        <v>0</v>
      </c>
      <c r="D199" s="431">
        <f t="shared" ref="D199:D204" si="3">IF(C199=0,$C$174-$C$173,0)+IF(C199=$C$45,$C$57,0)+IF(C199=$C$7,$D$78,0)</f>
        <v>-2500</v>
      </c>
      <c r="F199" s="614" t="s">
        <v>2601</v>
      </c>
    </row>
    <row r="200" spans="2:6" ht="15" customHeight="1">
      <c r="B200" s="452" t="str">
        <f t="shared" si="2"/>
        <v>Year 1</v>
      </c>
      <c r="C200" s="656">
        <f>C199+1</f>
        <v>1</v>
      </c>
      <c r="D200" s="430">
        <f t="shared" si="3"/>
        <v>0</v>
      </c>
    </row>
    <row r="201" spans="2:6" ht="15" customHeight="1">
      <c r="B201" s="452" t="str">
        <f t="shared" si="2"/>
        <v>Year 2</v>
      </c>
      <c r="C201" s="656">
        <f>C200+1</f>
        <v>2</v>
      </c>
      <c r="D201" s="430">
        <f t="shared" si="3"/>
        <v>0</v>
      </c>
    </row>
    <row r="202" spans="2:6" ht="15" customHeight="1">
      <c r="B202" s="452" t="str">
        <f t="shared" si="2"/>
        <v>Year 3</v>
      </c>
      <c r="C202" s="656">
        <f>C201+1</f>
        <v>3</v>
      </c>
      <c r="D202" s="430">
        <f t="shared" si="3"/>
        <v>500</v>
      </c>
    </row>
    <row r="203" spans="2:6" ht="15" customHeight="1">
      <c r="B203" s="452" t="str">
        <f t="shared" si="2"/>
        <v>Year 4</v>
      </c>
      <c r="C203" s="656">
        <f>C202+1</f>
        <v>4</v>
      </c>
      <c r="D203" s="430">
        <f t="shared" si="3"/>
        <v>0</v>
      </c>
    </row>
    <row r="204" spans="2:6" ht="15" customHeight="1">
      <c r="B204" s="452" t="str">
        <f t="shared" si="2"/>
        <v>Year 5</v>
      </c>
      <c r="C204" s="656">
        <f>C203+1</f>
        <v>5</v>
      </c>
      <c r="D204" s="430">
        <f t="shared" si="3"/>
        <v>7333.2471849369504</v>
      </c>
    </row>
  </sheetData>
  <conditionalFormatting sqref="B6:D61 B63:D68 B70:D73 B75:D82 B84:D90 B92:D101 B103:D108 B110:D115 B117:D123 B125:D131 B133:D138 B140:D149 B151:D156 B158:D163 B165:D170">
    <cfRule type="expression" dxfId="92" priority="3">
      <formula>$H$3=1</formula>
    </cfRule>
  </conditionalFormatting>
  <conditionalFormatting sqref="D91">
    <cfRule type="expression" dxfId="1" priority="2">
      <formula>$H$3=1</formula>
    </cfRule>
  </conditionalFormatting>
  <conditionalFormatting sqref="D124">
    <cfRule type="expression" dxfId="0" priority="1">
      <formula>$H$3=1</formula>
    </cfRule>
  </conditionalFormatting>
  <pageMargins left="0.7" right="0.7" top="0.75" bottom="0.75" header="0.3" footer="0.3"/>
  <pageSetup scale="90" orientation="portrait" horizontalDpi="1200" verticalDpi="1200" r:id="rId1"/>
  <rowBreaks count="2" manualBreakCount="2">
    <brk id="42" min="1" max="3" man="1"/>
    <brk id="115" min="1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994B-420B-4E09-9602-3EF4EFE0ABDD}">
  <dimension ref="A1:H259"/>
  <sheetViews>
    <sheetView showGridLines="0" view="pageBreakPreview" zoomScaleNormal="100" zoomScaleSheetLayoutView="100" workbookViewId="0"/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2"/>
      <c r="B1" s="542"/>
      <c r="C1" s="542"/>
      <c r="D1" s="542"/>
      <c r="E1" s="542"/>
      <c r="F1" s="542"/>
    </row>
    <row r="2" spans="1:8" ht="16.5">
      <c r="A2" s="542"/>
      <c r="B2" s="567" t="str">
        <f>Cover!$B$24</f>
        <v>Keystone Bookkeepers</v>
      </c>
      <c r="C2" s="542"/>
      <c r="D2" s="542"/>
      <c r="E2" s="542"/>
      <c r="F2" s="542"/>
      <c r="G2" s="2"/>
      <c r="H2" s="2"/>
    </row>
    <row r="3" spans="1:8">
      <c r="A3" s="542"/>
      <c r="B3" s="568" t="s">
        <v>2201</v>
      </c>
      <c r="C3" s="569"/>
      <c r="D3" s="569"/>
      <c r="E3" s="542"/>
      <c r="G3" s="542" t="s">
        <v>276</v>
      </c>
      <c r="H3" s="605">
        <v>1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2"/>
      <c r="B5" s="370" t="s">
        <v>2083</v>
      </c>
      <c r="C5" s="371" t="s">
        <v>1197</v>
      </c>
      <c r="D5" s="542"/>
      <c r="E5" s="542"/>
      <c r="F5" s="370" t="s">
        <v>2107</v>
      </c>
      <c r="G5" s="2"/>
    </row>
    <row r="6" spans="1:8">
      <c r="A6" s="542"/>
      <c r="B6" s="570" t="s">
        <v>2079</v>
      </c>
      <c r="C6" s="570"/>
      <c r="D6" s="542"/>
      <c r="E6" s="542"/>
      <c r="F6" s="542"/>
      <c r="G6" s="2"/>
    </row>
    <row r="7" spans="1:8" s="2" customFormat="1" ht="14.25">
      <c r="A7" s="542"/>
      <c r="B7" s="542" t="s">
        <v>2188</v>
      </c>
      <c r="C7" s="640">
        <v>0.3</v>
      </c>
      <c r="D7" s="542"/>
      <c r="E7" s="542"/>
      <c r="F7" s="542" t="s">
        <v>2236</v>
      </c>
    </row>
    <row r="8" spans="1:8" s="2" customFormat="1" ht="14.25">
      <c r="A8" s="542"/>
      <c r="B8" s="542" t="s">
        <v>2363</v>
      </c>
      <c r="C8" s="705">
        <f>'Offer Comparison'!$C$8</f>
        <v>0.05</v>
      </c>
      <c r="D8" s="542"/>
      <c r="E8" s="542"/>
      <c r="F8" s="542" t="s">
        <v>2364</v>
      </c>
    </row>
    <row r="9" spans="1:8" s="2" customFormat="1" ht="14.25">
      <c r="A9" s="542"/>
      <c r="B9" s="542" t="s">
        <v>2059</v>
      </c>
      <c r="C9" s="704">
        <f>'Offer Comparison'!$C$7</f>
        <v>5</v>
      </c>
      <c r="D9" s="542"/>
      <c r="E9" s="542"/>
      <c r="F9" s="542" t="s">
        <v>2108</v>
      </c>
    </row>
    <row r="10" spans="1:8" s="2" customFormat="1" ht="14.25">
      <c r="A10" s="542"/>
      <c r="B10" s="542" t="s">
        <v>2101</v>
      </c>
      <c r="C10" s="595">
        <v>261</v>
      </c>
      <c r="D10" s="542"/>
      <c r="E10" s="542"/>
      <c r="F10" s="85" t="s">
        <v>2109</v>
      </c>
    </row>
    <row r="11" spans="1:8" s="2" customFormat="1" ht="14.25">
      <c r="A11" s="542"/>
      <c r="B11" s="542" t="s">
        <v>2091</v>
      </c>
      <c r="C11" s="608">
        <f>C10*12</f>
        <v>3132</v>
      </c>
      <c r="D11" s="542"/>
      <c r="E11" s="542"/>
      <c r="F11" s="85"/>
    </row>
    <row r="12" spans="1:8" s="2" customFormat="1" ht="14.25">
      <c r="A12" s="542"/>
      <c r="B12" s="542" t="s">
        <v>2089</v>
      </c>
      <c r="C12" s="609">
        <f>IFERROR(C191/C11,0)</f>
        <v>19.157088122605366</v>
      </c>
      <c r="D12" s="542"/>
      <c r="E12" s="542"/>
      <c r="F12" s="542" t="s">
        <v>2608</v>
      </c>
    </row>
    <row r="13" spans="1:8" s="2" customFormat="1" ht="14.25">
      <c r="A13" s="542"/>
      <c r="B13" s="542" t="s">
        <v>2090</v>
      </c>
      <c r="C13" s="610">
        <f>C12</f>
        <v>19.157088122605366</v>
      </c>
      <c r="D13" s="542"/>
      <c r="E13" s="542"/>
      <c r="F13" s="542" t="s">
        <v>2110</v>
      </c>
    </row>
    <row r="14" spans="1:8" s="2" customFormat="1" ht="14.25">
      <c r="A14" s="542"/>
      <c r="B14" s="542" t="s">
        <v>2102</v>
      </c>
      <c r="C14" s="115">
        <v>325</v>
      </c>
      <c r="D14" s="542"/>
      <c r="E14" s="542"/>
      <c r="F14" s="85" t="s">
        <v>2111</v>
      </c>
    </row>
    <row r="15" spans="1:8" s="2" customFormat="1" ht="14.25">
      <c r="A15" s="542"/>
      <c r="B15" s="542" t="s">
        <v>2081</v>
      </c>
      <c r="C15" s="611">
        <f>C11/C14</f>
        <v>9.6369230769230771</v>
      </c>
      <c r="D15" s="542"/>
      <c r="E15" s="542"/>
      <c r="F15" s="542"/>
    </row>
    <row r="16" spans="1:8" s="2" customFormat="1" ht="14.25">
      <c r="A16" s="542"/>
      <c r="B16" s="542" t="s">
        <v>2082</v>
      </c>
      <c r="C16" s="115">
        <v>130</v>
      </c>
      <c r="D16" s="542"/>
      <c r="E16" s="542"/>
      <c r="F16" s="85" t="s">
        <v>2122</v>
      </c>
    </row>
    <row r="17" spans="1:7" s="2" customFormat="1" ht="14.25">
      <c r="A17" s="542"/>
      <c r="B17" s="577" t="s">
        <v>2086</v>
      </c>
      <c r="C17" s="594">
        <f>C16*$C$9</f>
        <v>650</v>
      </c>
      <c r="D17" s="542"/>
      <c r="E17" s="542"/>
      <c r="F17" s="542"/>
    </row>
    <row r="18" spans="1:7" s="2" customFormat="1" ht="14.25">
      <c r="A18" s="542"/>
      <c r="B18" s="588" t="s">
        <v>2088</v>
      </c>
      <c r="C18" s="591">
        <f>C17*C15</f>
        <v>6264</v>
      </c>
      <c r="D18" s="542"/>
      <c r="E18" s="542"/>
      <c r="F18" s="542"/>
    </row>
    <row r="19" spans="1:7" s="2" customFormat="1" ht="14.25">
      <c r="A19" s="542"/>
      <c r="B19" s="592" t="str">
        <f>"Check - "&amp;$C$9&amp;" Year Topkey Valuation Growth"</f>
        <v>Check - 5 Year Topkey Valuation Growth</v>
      </c>
      <c r="C19" s="679">
        <f>IFERROR(D81/C81-1,0)</f>
        <v>2.0219039595619215</v>
      </c>
      <c r="D19" s="542"/>
      <c r="E19" s="542"/>
      <c r="F19" s="542" t="s">
        <v>2609</v>
      </c>
    </row>
    <row r="20" spans="1:7" ht="3.95" customHeight="1">
      <c r="A20" s="542"/>
      <c r="B20" s="542"/>
      <c r="C20" s="576"/>
      <c r="D20" s="542"/>
      <c r="E20" s="542"/>
      <c r="F20" s="542"/>
      <c r="G20" s="2"/>
    </row>
    <row r="21" spans="1:7">
      <c r="A21" s="542"/>
      <c r="B21" s="570" t="s">
        <v>2084</v>
      </c>
      <c r="C21" s="570"/>
      <c r="D21" s="542"/>
      <c r="E21" s="542"/>
      <c r="F21" s="542"/>
      <c r="G21" s="2"/>
    </row>
    <row r="22" spans="1:7" ht="15" customHeight="1">
      <c r="A22" s="542"/>
      <c r="B22" s="542" t="s">
        <v>2029</v>
      </c>
      <c r="C22" s="725">
        <f>'Offer Comparison'!$C$13</f>
        <v>1</v>
      </c>
      <c r="D22" s="542"/>
      <c r="E22" s="542"/>
      <c r="F22" s="542" t="s">
        <v>2362</v>
      </c>
      <c r="G22" s="2"/>
    </row>
    <row r="23" spans="1:7" ht="15" customHeight="1">
      <c r="A23" s="542"/>
      <c r="B23" s="542" t="s">
        <v>2123</v>
      </c>
      <c r="C23" s="725">
        <f>'Offer Comparison'!$C$14</f>
        <v>1.25</v>
      </c>
      <c r="D23" s="542"/>
      <c r="E23" s="542"/>
      <c r="F23" s="542" t="s">
        <v>2124</v>
      </c>
      <c r="G23" s="2"/>
    </row>
    <row r="24" spans="1:7">
      <c r="A24" s="542"/>
      <c r="B24" s="542" t="s">
        <v>2076</v>
      </c>
      <c r="C24" s="582">
        <f>+'Steady-State Staffing'!AB8</f>
        <v>16.631472994350275</v>
      </c>
      <c r="D24" s="2"/>
      <c r="E24" s="542"/>
      <c r="F24" s="542" t="s">
        <v>2113</v>
      </c>
      <c r="G24" s="2"/>
    </row>
    <row r="25" spans="1:7">
      <c r="A25" s="542"/>
      <c r="B25" s="542" t="s">
        <v>2136</v>
      </c>
      <c r="C25" s="286">
        <v>3</v>
      </c>
      <c r="D25" s="2"/>
      <c r="E25" s="542"/>
      <c r="F25" s="542" t="s">
        <v>2610</v>
      </c>
      <c r="G25" s="2"/>
    </row>
    <row r="26" spans="1:7">
      <c r="A26" s="542"/>
      <c r="B26" s="577" t="s">
        <v>2075</v>
      </c>
      <c r="C26" s="615">
        <f>C25*12</f>
        <v>36</v>
      </c>
      <c r="D26" s="542"/>
      <c r="E26" s="542"/>
      <c r="F26" s="542" t="s">
        <v>2137</v>
      </c>
      <c r="G26" s="2"/>
    </row>
    <row r="27" spans="1:7">
      <c r="A27" s="542"/>
      <c r="B27" s="588" t="s">
        <v>2086</v>
      </c>
      <c r="C27" s="589">
        <f>C26*$C$9</f>
        <v>180</v>
      </c>
      <c r="D27" s="542"/>
      <c r="E27" s="542"/>
      <c r="F27" s="542"/>
      <c r="G27" s="2"/>
    </row>
    <row r="28" spans="1:7">
      <c r="A28" s="542"/>
      <c r="B28" s="587" t="s">
        <v>2088</v>
      </c>
      <c r="C28" s="590">
        <f>C27*C24</f>
        <v>2993.6651389830495</v>
      </c>
      <c r="D28" s="542"/>
      <c r="E28" s="542"/>
      <c r="F28" s="542"/>
      <c r="G28" s="2"/>
    </row>
    <row r="29" spans="1:7" ht="3.95" customHeight="1">
      <c r="A29" s="542"/>
      <c r="B29" s="2"/>
      <c r="C29" s="2"/>
      <c r="D29" s="542"/>
      <c r="E29" s="542"/>
      <c r="F29" s="542"/>
      <c r="G29" s="2"/>
    </row>
    <row r="30" spans="1:7" ht="12.75" customHeight="1">
      <c r="A30" s="542"/>
      <c r="B30" s="570" t="s">
        <v>2085</v>
      </c>
      <c r="C30" s="570"/>
      <c r="D30" s="542"/>
      <c r="E30" s="542"/>
      <c r="F30" s="542"/>
      <c r="G30" s="2"/>
    </row>
    <row r="31" spans="1:7" ht="12.75" customHeight="1">
      <c r="A31" s="542"/>
      <c r="B31" s="542" t="s">
        <v>2080</v>
      </c>
      <c r="C31" s="725">
        <f>'Offer Comparison'!$C$15</f>
        <v>2</v>
      </c>
      <c r="D31" s="542"/>
      <c r="E31" s="542"/>
      <c r="F31" s="542" t="s">
        <v>2114</v>
      </c>
      <c r="G31" s="2"/>
    </row>
    <row r="32" spans="1:7" ht="12.75" customHeight="1">
      <c r="A32" s="542"/>
      <c r="B32" s="542" t="s">
        <v>2103</v>
      </c>
      <c r="C32" s="46">
        <v>240</v>
      </c>
      <c r="D32" s="542"/>
      <c r="E32" s="542"/>
      <c r="F32" s="542" t="s">
        <v>2115</v>
      </c>
      <c r="G32" s="2"/>
    </row>
    <row r="33" spans="1:7" ht="3.95" customHeight="1">
      <c r="A33" s="542"/>
      <c r="B33" s="542"/>
      <c r="C33" s="583"/>
      <c r="D33" s="542"/>
      <c r="E33" s="542"/>
      <c r="F33" s="542"/>
      <c r="G33" s="2"/>
    </row>
    <row r="34" spans="1:7" s="584" customFormat="1" ht="12.75" customHeight="1">
      <c r="A34" s="542"/>
      <c r="B34" s="614" t="str">
        <f>+B24</f>
        <v>Avg. Revenue Per Client</v>
      </c>
      <c r="C34" s="585">
        <f>+C24</f>
        <v>16.631472994350275</v>
      </c>
      <c r="D34" s="542"/>
      <c r="E34" s="542"/>
      <c r="F34" s="542"/>
      <c r="G34" s="614"/>
    </row>
    <row r="35" spans="1:7" s="584" customFormat="1" ht="12.75" customHeight="1">
      <c r="A35" s="542"/>
      <c r="B35" s="616" t="s">
        <v>2258</v>
      </c>
      <c r="C35" s="618">
        <v>0</v>
      </c>
      <c r="D35" s="542"/>
      <c r="E35" s="542"/>
      <c r="F35" s="542" t="s">
        <v>2611</v>
      </c>
      <c r="G35" s="614"/>
    </row>
    <row r="36" spans="1:7" s="584" customFormat="1" ht="12.75" customHeight="1">
      <c r="A36" s="542"/>
      <c r="B36" s="60" t="s">
        <v>2078</v>
      </c>
      <c r="C36" s="383">
        <f>+C34+C35</f>
        <v>16.631472994350275</v>
      </c>
      <c r="D36" s="542"/>
      <c r="E36" s="542"/>
      <c r="F36" s="542"/>
      <c r="G36" s="614"/>
    </row>
    <row r="37" spans="1:7" s="584" customFormat="1" ht="3.95" customHeight="1">
      <c r="A37" s="542"/>
      <c r="B37" s="614"/>
      <c r="C37" s="614"/>
      <c r="D37" s="542"/>
      <c r="E37" s="542"/>
      <c r="F37" s="542"/>
      <c r="G37" s="614"/>
    </row>
    <row r="38" spans="1:7" s="584" customFormat="1" ht="12.75" customHeight="1">
      <c r="A38" s="542"/>
      <c r="B38" s="614" t="str">
        <f>+B26</f>
        <v>Annual Net Client Wins</v>
      </c>
      <c r="C38" s="83">
        <f>+C26</f>
        <v>36</v>
      </c>
      <c r="D38" s="542"/>
      <c r="E38" s="542"/>
      <c r="F38" s="542"/>
      <c r="G38" s="614"/>
    </row>
    <row r="39" spans="1:7" s="584" customFormat="1" ht="12.75" customHeight="1">
      <c r="A39" s="542"/>
      <c r="B39" s="616" t="s">
        <v>2077</v>
      </c>
      <c r="C39" s="115">
        <v>12</v>
      </c>
      <c r="D39" s="542"/>
      <c r="E39" s="542"/>
      <c r="F39" s="85" t="s">
        <v>2112</v>
      </c>
      <c r="G39" s="614"/>
    </row>
    <row r="40" spans="1:7" s="584" customFormat="1" ht="12.75" customHeight="1">
      <c r="A40" s="542"/>
      <c r="B40" s="104" t="s">
        <v>2087</v>
      </c>
      <c r="C40" s="586">
        <f>SUM(C38:C39)</f>
        <v>48</v>
      </c>
      <c r="D40" s="542"/>
      <c r="E40" s="542"/>
      <c r="F40" s="542"/>
      <c r="G40" s="614"/>
    </row>
    <row r="41" spans="1:7">
      <c r="A41" s="542"/>
      <c r="B41" s="588" t="s">
        <v>2086</v>
      </c>
      <c r="C41" s="589">
        <f>C40*$C$9</f>
        <v>240</v>
      </c>
      <c r="D41" s="542"/>
      <c r="E41" s="542"/>
      <c r="F41" s="542"/>
      <c r="G41" s="2"/>
    </row>
    <row r="42" spans="1:7">
      <c r="A42" s="542"/>
      <c r="B42" s="588" t="s">
        <v>2088</v>
      </c>
      <c r="C42" s="591">
        <f>C41*C36</f>
        <v>3991.5535186440661</v>
      </c>
      <c r="D42" s="542"/>
      <c r="E42" s="542"/>
      <c r="F42" s="542"/>
      <c r="G42" s="2"/>
    </row>
    <row r="43" spans="1:7">
      <c r="A43" s="542"/>
      <c r="B43" s="592" t="s">
        <v>2092</v>
      </c>
      <c r="C43" s="593">
        <f>C42-C28</f>
        <v>997.88837966101664</v>
      </c>
      <c r="D43" s="542"/>
      <c r="E43" s="542"/>
      <c r="F43" s="542"/>
      <c r="G43" s="2"/>
    </row>
    <row r="44" spans="1:7" ht="3.95" customHeight="1">
      <c r="A44" s="542"/>
      <c r="B44" s="452"/>
      <c r="C44" s="430"/>
      <c r="D44" s="452"/>
      <c r="E44" s="542"/>
      <c r="F44" s="452"/>
      <c r="G44" s="2"/>
    </row>
    <row r="45" spans="1:7" ht="15" customHeight="1">
      <c r="A45" s="542"/>
      <c r="B45" s="570" t="s">
        <v>2331</v>
      </c>
      <c r="C45" s="570"/>
      <c r="D45" s="542"/>
      <c r="F45" s="452"/>
      <c r="G45" s="2"/>
    </row>
    <row r="46" spans="1:7" ht="15" customHeight="1">
      <c r="A46" s="542"/>
      <c r="B46" s="452" t="s">
        <v>2281</v>
      </c>
      <c r="C46" s="435">
        <v>3</v>
      </c>
      <c r="D46" s="452"/>
      <c r="F46" s="452" t="s">
        <v>2348</v>
      </c>
      <c r="G46" s="2"/>
    </row>
    <row r="47" spans="1:7" ht="15" customHeight="1">
      <c r="A47" s="542"/>
      <c r="B47" s="452" t="s">
        <v>2282</v>
      </c>
      <c r="C47" s="429">
        <f>C184</f>
        <v>2998.5410200000001</v>
      </c>
      <c r="D47" s="452"/>
      <c r="F47" s="452" t="s">
        <v>2612</v>
      </c>
      <c r="G47" s="2"/>
    </row>
    <row r="48" spans="1:7" ht="15" customHeight="1">
      <c r="A48" s="542"/>
      <c r="B48" s="452" t="s">
        <v>2345</v>
      </c>
      <c r="C48" s="430">
        <f>C47+C42*(C46-(C57-1)/2/12)/C9</f>
        <v>5326.9472392090383</v>
      </c>
      <c r="D48" s="452"/>
      <c r="F48" s="452" t="s">
        <v>2346</v>
      </c>
      <c r="G48" s="2"/>
    </row>
    <row r="49" spans="1:7" ht="15" customHeight="1">
      <c r="A49" s="542"/>
      <c r="B49" s="560" t="s">
        <v>2283</v>
      </c>
      <c r="C49" s="636">
        <v>1</v>
      </c>
      <c r="D49" s="452"/>
      <c r="F49" s="452" t="s">
        <v>2289</v>
      </c>
      <c r="G49" s="2"/>
    </row>
    <row r="50" spans="1:7" ht="15" customHeight="1">
      <c r="A50" s="542"/>
      <c r="B50" s="660" t="s">
        <v>2347</v>
      </c>
      <c r="C50" s="664">
        <f>C48*C49</f>
        <v>5326.9472392090383</v>
      </c>
      <c r="D50" s="452"/>
      <c r="F50" s="452"/>
      <c r="G50" s="2"/>
    </row>
    <row r="51" spans="1:7" ht="15" customHeight="1">
      <c r="A51" s="542"/>
      <c r="B51" s="452" t="s">
        <v>2284</v>
      </c>
      <c r="C51" s="636">
        <v>0.8</v>
      </c>
      <c r="D51" s="452"/>
      <c r="F51" s="452" t="s">
        <v>2337</v>
      </c>
      <c r="G51" s="2"/>
    </row>
    <row r="52" spans="1:7" ht="15" customHeight="1">
      <c r="A52" s="542"/>
      <c r="B52" s="452" t="s">
        <v>2332</v>
      </c>
      <c r="C52" s="46">
        <v>0</v>
      </c>
      <c r="D52" s="452"/>
      <c r="F52" s="452" t="s">
        <v>2352</v>
      </c>
      <c r="G52" s="2"/>
    </row>
    <row r="53" spans="1:7" ht="15" customHeight="1">
      <c r="A53" s="542"/>
      <c r="B53" s="452" t="s">
        <v>2333</v>
      </c>
      <c r="C53" s="621">
        <v>0.5</v>
      </c>
      <c r="D53" s="452"/>
      <c r="F53" s="452" t="s">
        <v>2339</v>
      </c>
      <c r="G53" s="2"/>
    </row>
    <row r="54" spans="1:7" ht="15" customHeight="1">
      <c r="A54" s="542"/>
      <c r="B54" s="452" t="s">
        <v>2334</v>
      </c>
      <c r="C54" s="621">
        <v>1.5</v>
      </c>
      <c r="D54" s="452"/>
      <c r="F54" s="452" t="s">
        <v>2342</v>
      </c>
      <c r="G54" s="2"/>
    </row>
    <row r="55" spans="1:7" ht="15" customHeight="1">
      <c r="A55" s="542"/>
      <c r="B55" s="452" t="s">
        <v>2335</v>
      </c>
      <c r="C55" s="619">
        <f>IF(C49&lt;C51,0,MIN(C54,C53+(1-C53)*(C49-C51)/(1-C51)))</f>
        <v>1</v>
      </c>
      <c r="D55" s="452"/>
      <c r="F55" s="452" t="s">
        <v>2340</v>
      </c>
      <c r="G55" s="2"/>
    </row>
    <row r="56" spans="1:7" ht="15" customHeight="1">
      <c r="A56" s="542"/>
      <c r="B56" s="452" t="s">
        <v>2336</v>
      </c>
      <c r="C56" s="154">
        <f>C52*C54</f>
        <v>0</v>
      </c>
      <c r="D56" s="452"/>
      <c r="F56" s="452" t="s">
        <v>2341</v>
      </c>
      <c r="G56" s="2"/>
    </row>
    <row r="57" spans="1:7" ht="15" customHeight="1">
      <c r="A57" s="542"/>
      <c r="B57" s="542" t="s">
        <v>2343</v>
      </c>
      <c r="C57" s="82">
        <v>3</v>
      </c>
      <c r="D57" s="452"/>
      <c r="F57" s="452" t="s">
        <v>2344</v>
      </c>
      <c r="G57" s="2"/>
    </row>
    <row r="58" spans="1:7" ht="15" customHeight="1">
      <c r="A58" s="542"/>
      <c r="B58" s="521" t="s">
        <v>2285</v>
      </c>
      <c r="C58" s="527">
        <f>C52*C55</f>
        <v>0</v>
      </c>
      <c r="D58" s="453"/>
      <c r="F58" s="452" t="s">
        <v>2613</v>
      </c>
      <c r="G58" s="2"/>
    </row>
    <row r="59" spans="1:7" ht="15" customHeight="1">
      <c r="A59" s="542"/>
      <c r="B59" s="452" t="s">
        <v>2286</v>
      </c>
      <c r="C59" s="636">
        <v>0.7</v>
      </c>
      <c r="D59" s="452"/>
      <c r="F59" s="452" t="s">
        <v>2290</v>
      </c>
      <c r="G59" s="2"/>
    </row>
    <row r="60" spans="1:7" ht="15" customHeight="1">
      <c r="A60" s="542"/>
      <c r="B60" s="452" t="s">
        <v>2287</v>
      </c>
      <c r="C60" s="529">
        <v>0.15</v>
      </c>
      <c r="D60" s="452"/>
      <c r="F60" s="452" t="s">
        <v>2290</v>
      </c>
      <c r="G60" s="2"/>
    </row>
    <row r="61" spans="1:7" ht="15" customHeight="1">
      <c r="A61" s="542"/>
      <c r="B61" s="415" t="s">
        <v>2288</v>
      </c>
      <c r="C61" s="655">
        <f>C58*C59/(1+C60)^C46</f>
        <v>0</v>
      </c>
      <c r="D61" s="415"/>
      <c r="F61" s="452" t="s">
        <v>2291</v>
      </c>
      <c r="G61" s="2"/>
    </row>
    <row r="62" spans="1:7" s="584" customFormat="1" ht="3.95" customHeight="1">
      <c r="A62" s="542"/>
      <c r="B62" s="614"/>
      <c r="C62" s="614"/>
      <c r="D62" s="542"/>
      <c r="E62" s="542"/>
      <c r="F62" s="452"/>
      <c r="G62" s="614"/>
    </row>
    <row r="63" spans="1:7" s="584" customFormat="1" ht="15" customHeight="1">
      <c r="A63" s="542"/>
      <c r="B63" s="454" t="s">
        <v>2392</v>
      </c>
      <c r="C63" s="455" t="str">
        <f>C$183</f>
        <v>Today</v>
      </c>
      <c r="D63" s="455" t="s">
        <v>1861</v>
      </c>
      <c r="E63" s="452"/>
      <c r="F63" s="452"/>
      <c r="G63" s="614"/>
    </row>
    <row r="64" spans="1:7" s="584" customFormat="1" ht="15" customHeight="1">
      <c r="A64" s="542"/>
      <c r="B64" s="452" t="s">
        <v>2057</v>
      </c>
      <c r="C64" s="429">
        <f>$C$189</f>
        <v>650</v>
      </c>
      <c r="D64" s="528">
        <f>IFERROR(C64/C$67,0)</f>
        <v>0.21666666666666667</v>
      </c>
      <c r="E64" s="452"/>
      <c r="F64" s="452" t="s">
        <v>2602</v>
      </c>
      <c r="G64" s="614"/>
    </row>
    <row r="65" spans="1:7" s="584" customFormat="1" ht="15" customHeight="1">
      <c r="A65" s="542"/>
      <c r="B65" s="560" t="s">
        <v>2295</v>
      </c>
      <c r="C65" s="433">
        <f>$C$190</f>
        <v>1450</v>
      </c>
      <c r="D65" s="528">
        <f>IFERROR(C65/C$67,0)</f>
        <v>0.48333333333333334</v>
      </c>
      <c r="E65" s="452"/>
      <c r="F65" s="452" t="s">
        <v>2603</v>
      </c>
      <c r="G65" s="614"/>
    </row>
    <row r="66" spans="1:7" s="584" customFormat="1" ht="15" customHeight="1">
      <c r="A66" s="542"/>
      <c r="B66" s="560" t="s">
        <v>2604</v>
      </c>
      <c r="C66" s="430">
        <f>$C$185*$C$186</f>
        <v>900</v>
      </c>
      <c r="D66" s="528">
        <f>IFERROR(C66/C$67,0)</f>
        <v>0.3</v>
      </c>
      <c r="E66" s="452"/>
      <c r="F66" s="452" t="s">
        <v>2605</v>
      </c>
      <c r="G66" s="614"/>
    </row>
    <row r="67" spans="1:7" s="584" customFormat="1" ht="15" customHeight="1">
      <c r="A67" s="542"/>
      <c r="B67" s="794" t="s">
        <v>2572</v>
      </c>
      <c r="C67" s="441">
        <f>SUM(C64:C66)</f>
        <v>3000</v>
      </c>
      <c r="D67" s="795">
        <f>IFERROR(C67/C$67,0)</f>
        <v>1</v>
      </c>
      <c r="E67" s="452"/>
      <c r="F67" s="452" t="s">
        <v>2606</v>
      </c>
      <c r="G67" s="614"/>
    </row>
    <row r="68" spans="1:7" s="584" customFormat="1" ht="15" customHeight="1">
      <c r="A68" s="542"/>
      <c r="B68" s="560" t="s">
        <v>2573</v>
      </c>
      <c r="C68" s="433">
        <f>$C$58</f>
        <v>0</v>
      </c>
      <c r="D68" s="528">
        <f>IFERROR(C68/C$67,0)</f>
        <v>0</v>
      </c>
      <c r="E68" s="452"/>
      <c r="F68" s="452" t="s">
        <v>2607</v>
      </c>
      <c r="G68" s="614"/>
    </row>
    <row r="69" spans="1:7" s="584" customFormat="1" ht="15" customHeight="1">
      <c r="A69" s="542"/>
      <c r="B69" s="796" t="s">
        <v>2575</v>
      </c>
      <c r="C69" s="797">
        <f>C67+C68</f>
        <v>3000</v>
      </c>
      <c r="D69" s="798">
        <f>IFERROR(C69/C$67,0)</f>
        <v>1</v>
      </c>
      <c r="E69" s="452"/>
      <c r="F69" s="452"/>
      <c r="G69" s="614"/>
    </row>
    <row r="70" spans="1:7" s="584" customFormat="1" ht="3.95" customHeight="1">
      <c r="A70" s="542"/>
      <c r="B70" s="452"/>
      <c r="C70" s="452"/>
      <c r="D70" s="452"/>
      <c r="E70" s="452"/>
      <c r="F70" s="452"/>
      <c r="G70" s="614"/>
    </row>
    <row r="71" spans="1:7">
      <c r="A71" s="542"/>
      <c r="B71" s="370" t="s">
        <v>2004</v>
      </c>
      <c r="C71" s="371" t="str">
        <f>C$183</f>
        <v>Today</v>
      </c>
      <c r="D71" s="371" t="str">
        <f>"Year "&amp;$C$9</f>
        <v>Year 5</v>
      </c>
      <c r="E71" s="542"/>
      <c r="F71" s="452"/>
      <c r="G71" s="2"/>
    </row>
    <row r="72" spans="1:7">
      <c r="A72" s="542"/>
      <c r="B72" s="542" t="s">
        <v>2006</v>
      </c>
      <c r="C72" s="166">
        <f>ROUND(C184*C22,-1)</f>
        <v>3000</v>
      </c>
      <c r="D72" s="543">
        <f>(C184+C28)*$C$23</f>
        <v>7490.2576987288121</v>
      </c>
      <c r="E72" s="542"/>
      <c r="F72" s="452" t="s">
        <v>2120</v>
      </c>
      <c r="G72" s="2"/>
    </row>
    <row r="73" spans="1:7">
      <c r="A73" s="542"/>
      <c r="B73" s="542" t="s">
        <v>2007</v>
      </c>
      <c r="C73" s="571">
        <f>'Offer Overview'!$C$27</f>
        <v>1</v>
      </c>
      <c r="D73" s="544">
        <f>$C$73</f>
        <v>1</v>
      </c>
      <c r="E73" s="542"/>
      <c r="F73" s="452"/>
      <c r="G73" s="2"/>
    </row>
    <row r="74" spans="1:7">
      <c r="A74" s="542"/>
      <c r="B74" s="538" t="s">
        <v>2060</v>
      </c>
      <c r="C74" s="552">
        <f>C72*C73</f>
        <v>3000</v>
      </c>
      <c r="D74" s="596">
        <f>D72*D73</f>
        <v>7490.2576987288121</v>
      </c>
      <c r="E74" s="542"/>
      <c r="F74" s="452"/>
      <c r="G74" s="2"/>
    </row>
    <row r="75" spans="1:7" ht="3.95" customHeight="1">
      <c r="A75" s="542"/>
      <c r="B75" s="542"/>
      <c r="C75" s="542"/>
      <c r="D75" s="542"/>
      <c r="E75" s="542"/>
      <c r="F75" s="452"/>
      <c r="G75" s="2"/>
    </row>
    <row r="76" spans="1:7">
      <c r="A76" s="542"/>
      <c r="B76" s="370" t="str">
        <f>"Scenario 2 — Ben Rolls "&amp;TEXT($C$186,"0%")&amp;" of Keystone Equity"</f>
        <v>Scenario 2 — Ben Rolls 30% of Keystone Equity</v>
      </c>
      <c r="C76" s="606" t="str">
        <f>C$183</f>
        <v>Today</v>
      </c>
      <c r="D76" s="606" t="str">
        <f>D$71</f>
        <v>Year 5</v>
      </c>
      <c r="E76" s="542"/>
      <c r="F76" s="452"/>
      <c r="G76" s="2"/>
    </row>
    <row r="77" spans="1:7">
      <c r="A77" s="542"/>
      <c r="B77" s="452" t="s">
        <v>2202</v>
      </c>
      <c r="C77" s="429">
        <f>C185</f>
        <v>3000</v>
      </c>
      <c r="D77" s="431">
        <f>(C42+C184)*C31</f>
        <v>13980.189077288132</v>
      </c>
      <c r="E77" s="542"/>
      <c r="F77" s="452" t="s">
        <v>2242</v>
      </c>
      <c r="G77" s="2"/>
    </row>
    <row r="78" spans="1:7">
      <c r="A78" s="542"/>
      <c r="B78" s="560" t="s">
        <v>2203</v>
      </c>
      <c r="C78" s="638">
        <f>$C$186</f>
        <v>0.3</v>
      </c>
      <c r="D78" s="638">
        <f>$C$186</f>
        <v>0.3</v>
      </c>
      <c r="E78" s="542"/>
      <c r="F78" s="452"/>
      <c r="G78" s="2"/>
    </row>
    <row r="79" spans="1:7">
      <c r="A79" s="542"/>
      <c r="B79" s="521" t="s">
        <v>2008</v>
      </c>
      <c r="C79" s="525">
        <f>C77*C78</f>
        <v>900</v>
      </c>
      <c r="D79" s="527">
        <f>D77*D78</f>
        <v>4194.0567231864397</v>
      </c>
      <c r="E79" s="542"/>
      <c r="F79" s="430" t="s">
        <v>2243</v>
      </c>
      <c r="G79" s="2"/>
    </row>
    <row r="80" spans="1:7" ht="3.95" customHeight="1">
      <c r="A80" s="542"/>
      <c r="B80" s="452"/>
      <c r="C80" s="431"/>
      <c r="D80" s="431"/>
      <c r="E80" s="542"/>
      <c r="F80" s="430"/>
      <c r="G80" s="2"/>
    </row>
    <row r="81" spans="1:7">
      <c r="A81" s="542"/>
      <c r="B81" s="452" t="s">
        <v>2061</v>
      </c>
      <c r="C81" s="433">
        <f>C194</f>
        <v>59350</v>
      </c>
      <c r="D81" s="430">
        <f>(C11+C18)*C13-$C$189-$C$58</f>
        <v>179350.00000000003</v>
      </c>
      <c r="E81" s="542"/>
      <c r="F81" s="452"/>
      <c r="G81" s="2"/>
    </row>
    <row r="82" spans="1:7">
      <c r="A82" s="542"/>
      <c r="B82" s="560" t="s">
        <v>2205</v>
      </c>
      <c r="C82" s="430">
        <f>C77*$C$187</f>
        <v>2100</v>
      </c>
      <c r="D82" s="430">
        <f>D77*$C$187</f>
        <v>9786.1323541016918</v>
      </c>
      <c r="E82" s="542"/>
      <c r="F82" s="452" t="s">
        <v>2244</v>
      </c>
      <c r="G82" s="2"/>
    </row>
    <row r="83" spans="1:7">
      <c r="A83" s="542"/>
      <c r="B83" s="524" t="s">
        <v>2206</v>
      </c>
      <c r="C83" s="526">
        <f>C81+C82</f>
        <v>61450</v>
      </c>
      <c r="D83" s="526">
        <f>D81+D82</f>
        <v>189136.13235410172</v>
      </c>
      <c r="E83" s="542"/>
      <c r="F83" s="452"/>
      <c r="G83" s="2"/>
    </row>
    <row r="84" spans="1:7">
      <c r="A84" s="542"/>
      <c r="B84" s="560" t="s">
        <v>2207</v>
      </c>
      <c r="C84" s="530">
        <f>$C$193</f>
        <v>2.3596419853539462E-2</v>
      </c>
      <c r="D84" s="530">
        <f>$D$193</f>
        <v>2.2416598860862488E-2</v>
      </c>
      <c r="E84" s="542"/>
      <c r="F84" s="452"/>
      <c r="G84" s="2"/>
    </row>
    <row r="85" spans="1:7">
      <c r="A85" s="542"/>
      <c r="B85" s="521" t="s">
        <v>2064</v>
      </c>
      <c r="C85" s="525">
        <f>C83*C84</f>
        <v>1450</v>
      </c>
      <c r="D85" s="527">
        <f>D83*D84</f>
        <v>4239.7888090768938</v>
      </c>
      <c r="E85" s="542"/>
      <c r="F85" s="452" t="s">
        <v>2614</v>
      </c>
      <c r="G85" s="2"/>
    </row>
    <row r="86" spans="1:7" ht="15" customHeight="1">
      <c r="A86" s="542"/>
      <c r="B86" s="641" t="s">
        <v>2238</v>
      </c>
      <c r="C86" s="431"/>
      <c r="D86" s="431"/>
      <c r="E86" s="542"/>
      <c r="F86" s="452"/>
      <c r="G86" s="2"/>
    </row>
    <row r="87" spans="1:7" ht="15" customHeight="1">
      <c r="A87" s="542"/>
      <c r="B87" s="452" t="s">
        <v>2239</v>
      </c>
      <c r="C87" s="429">
        <f>C79</f>
        <v>900</v>
      </c>
      <c r="D87" s="429">
        <f>D79</f>
        <v>4194.0567231864397</v>
      </c>
      <c r="E87" s="542"/>
      <c r="F87" s="452" t="s">
        <v>2245</v>
      </c>
      <c r="G87" s="2"/>
    </row>
    <row r="88" spans="1:7" ht="15" customHeight="1">
      <c r="A88" s="542"/>
      <c r="B88" s="560" t="s">
        <v>2240</v>
      </c>
      <c r="C88" s="430">
        <f>C82*C84</f>
        <v>49.55248169243287</v>
      </c>
      <c r="D88" s="430">
        <f>D82*D84</f>
        <v>219.37180338120552</v>
      </c>
      <c r="E88" s="542"/>
      <c r="F88" s="452" t="s">
        <v>2212</v>
      </c>
      <c r="G88" s="2"/>
    </row>
    <row r="89" spans="1:7" ht="15" customHeight="1">
      <c r="A89" s="542"/>
      <c r="B89" s="560" t="s">
        <v>2241</v>
      </c>
      <c r="C89" s="430">
        <f>C81*C84</f>
        <v>1400.447518307567</v>
      </c>
      <c r="D89" s="430">
        <f>D81*D84</f>
        <v>4020.4170056956877</v>
      </c>
      <c r="E89" s="542"/>
      <c r="F89" s="452" t="s">
        <v>2246</v>
      </c>
      <c r="G89" s="2"/>
    </row>
    <row r="90" spans="1:7">
      <c r="A90" s="542"/>
      <c r="B90" s="560" t="s">
        <v>2065</v>
      </c>
      <c r="C90" s="433">
        <f>$C$189</f>
        <v>650</v>
      </c>
      <c r="D90" s="433">
        <f>$C$189</f>
        <v>650</v>
      </c>
      <c r="E90" s="542"/>
      <c r="F90" s="452"/>
      <c r="G90" s="2"/>
    </row>
    <row r="91" spans="1:7" ht="15" customHeight="1">
      <c r="A91" s="542"/>
      <c r="B91" s="560" t="s">
        <v>2292</v>
      </c>
      <c r="C91" s="430"/>
      <c r="D91" s="433">
        <f>$C$58</f>
        <v>0</v>
      </c>
      <c r="E91" s="542"/>
      <c r="F91" s="452"/>
      <c r="G91" s="2"/>
    </row>
    <row r="92" spans="1:7">
      <c r="A92" s="542"/>
      <c r="B92" s="521" t="s">
        <v>2066</v>
      </c>
      <c r="C92" s="525">
        <f>SUM(C87:C91)</f>
        <v>3000</v>
      </c>
      <c r="D92" s="527">
        <f>SUM(D87:D91)</f>
        <v>9083.8455322633326</v>
      </c>
      <c r="E92" s="542"/>
      <c r="F92" s="452" t="s">
        <v>2247</v>
      </c>
      <c r="G92" s="2"/>
    </row>
    <row r="93" spans="1:7" ht="3.95" customHeight="1">
      <c r="A93" s="542"/>
      <c r="B93" s="452"/>
      <c r="C93" s="452"/>
      <c r="D93" s="452"/>
      <c r="E93" s="542"/>
      <c r="F93" s="452"/>
      <c r="G93" s="2"/>
    </row>
    <row r="94" spans="1:7">
      <c r="A94" s="542"/>
      <c r="B94" s="370" t="s">
        <v>2073</v>
      </c>
      <c r="C94" s="606" t="str">
        <f>C$183</f>
        <v>Today</v>
      </c>
      <c r="D94" s="606" t="str">
        <f>D$71</f>
        <v>Year 5</v>
      </c>
      <c r="E94" s="542"/>
      <c r="F94" s="452"/>
      <c r="G94" s="2"/>
    </row>
    <row r="95" spans="1:7">
      <c r="A95" s="542"/>
      <c r="B95" s="627" t="s">
        <v>2074</v>
      </c>
      <c r="C95" s="633">
        <f>C92-C74</f>
        <v>0</v>
      </c>
      <c r="D95" s="628">
        <f>D92-D74</f>
        <v>1593.5878335345205</v>
      </c>
      <c r="E95" s="542"/>
      <c r="F95" s="452"/>
      <c r="G95" s="2"/>
    </row>
    <row r="96" spans="1:7">
      <c r="A96" s="542"/>
      <c r="B96" s="629" t="s">
        <v>285</v>
      </c>
      <c r="C96" s="642">
        <v>0</v>
      </c>
      <c r="D96" s="630">
        <f>IFERROR(D92/D74-1,0)</f>
        <v>0.21275474057521038</v>
      </c>
      <c r="E96" s="542"/>
      <c r="F96" s="452"/>
      <c r="G96" s="2"/>
    </row>
    <row r="97" spans="1:7" ht="15" customHeight="1">
      <c r="A97" s="542"/>
      <c r="B97" s="588" t="s">
        <v>2329</v>
      </c>
      <c r="C97" s="642"/>
      <c r="D97" s="644">
        <f>IFERROR(D92/C185,0)</f>
        <v>3.0279485107544444</v>
      </c>
      <c r="E97" s="542"/>
      <c r="F97" s="542" t="s">
        <v>2615</v>
      </c>
      <c r="G97" s="2"/>
    </row>
    <row r="98" spans="1:7" ht="15" customHeight="1">
      <c r="A98" s="542"/>
      <c r="B98" s="588" t="s">
        <v>2330</v>
      </c>
      <c r="C98" s="642"/>
      <c r="D98" s="662">
        <f>IFERROR(IRR(D227:D232),0)</f>
        <v>0.29119416880747639</v>
      </c>
      <c r="E98" s="542"/>
      <c r="F98" s="542" t="s">
        <v>2616</v>
      </c>
      <c r="G98" s="2"/>
    </row>
    <row r="99" spans="1:7">
      <c r="A99" s="542"/>
      <c r="B99" s="643" t="s">
        <v>2067</v>
      </c>
      <c r="C99" s="642">
        <v>0</v>
      </c>
      <c r="D99" s="663">
        <f>MAX(0,IFERROR(((C137+$C$58)/$C$194)^(1/$C$9)-1,0))</f>
        <v>0.12774199395700969</v>
      </c>
      <c r="E99" s="542"/>
      <c r="F99" s="452" t="s">
        <v>2617</v>
      </c>
      <c r="G99" s="2"/>
    </row>
    <row r="100" spans="1:7">
      <c r="A100" s="542"/>
      <c r="B100" s="645" t="s">
        <v>2093</v>
      </c>
      <c r="C100" s="646">
        <v>0</v>
      </c>
      <c r="D100" s="647">
        <f>IFERROR(((D81+$C$58)/$C$194)^(1/$C$9)-1,0)</f>
        <v>0.24754474605885002</v>
      </c>
      <c r="E100" s="542"/>
      <c r="F100" s="452"/>
      <c r="G100" s="2"/>
    </row>
    <row r="101" spans="1:7" ht="3.95" customHeight="1">
      <c r="A101" s="542"/>
      <c r="B101" s="542"/>
      <c r="C101" s="542"/>
      <c r="D101" s="542"/>
      <c r="E101" s="542"/>
      <c r="F101" s="452"/>
      <c r="G101" s="2"/>
    </row>
    <row r="102" spans="1:7" ht="15" customHeight="1">
      <c r="A102" s="542"/>
      <c r="B102" s="370" t="s">
        <v>2293</v>
      </c>
      <c r="C102" s="606" t="s">
        <v>1197</v>
      </c>
      <c r="D102" s="606"/>
      <c r="E102" s="542"/>
      <c r="F102" s="452"/>
      <c r="G102" s="2"/>
    </row>
    <row r="103" spans="1:7" ht="15" customHeight="1">
      <c r="A103" s="542"/>
      <c r="B103" s="452" t="s">
        <v>2294</v>
      </c>
      <c r="C103" s="429">
        <f>C189</f>
        <v>650</v>
      </c>
      <c r="D103" s="452"/>
      <c r="E103" s="542"/>
      <c r="F103" s="452" t="s">
        <v>2618</v>
      </c>
      <c r="G103" s="2"/>
    </row>
    <row r="104" spans="1:7" ht="15" customHeight="1">
      <c r="A104" s="542"/>
      <c r="B104" s="560" t="s">
        <v>2295</v>
      </c>
      <c r="C104" s="433">
        <f>C190</f>
        <v>1450</v>
      </c>
      <c r="D104" s="452"/>
      <c r="E104" s="542"/>
      <c r="F104" s="452" t="s">
        <v>2619</v>
      </c>
      <c r="G104" s="2"/>
    </row>
    <row r="105" spans="1:7" ht="15" customHeight="1">
      <c r="A105" s="542"/>
      <c r="B105" s="560" t="s">
        <v>2292</v>
      </c>
      <c r="C105" s="433">
        <f>C58</f>
        <v>0</v>
      </c>
      <c r="D105" s="452"/>
      <c r="E105" s="542"/>
      <c r="F105" s="452" t="s">
        <v>2304</v>
      </c>
      <c r="G105" s="2"/>
    </row>
    <row r="106" spans="1:7" ht="15" customHeight="1">
      <c r="A106" s="542"/>
      <c r="B106" s="524" t="s">
        <v>2296</v>
      </c>
      <c r="C106" s="526">
        <f>SUM(C103:C105)</f>
        <v>2100</v>
      </c>
      <c r="D106" s="453"/>
      <c r="E106" s="542"/>
      <c r="F106" s="452" t="s">
        <v>2305</v>
      </c>
      <c r="G106" s="2"/>
    </row>
    <row r="107" spans="1:7" ht="15" customHeight="1">
      <c r="A107" s="542"/>
      <c r="B107" s="560" t="s">
        <v>2297</v>
      </c>
      <c r="C107" s="638">
        <f>C187</f>
        <v>0.7</v>
      </c>
      <c r="D107" s="452"/>
      <c r="E107" s="542"/>
      <c r="F107" s="452" t="s">
        <v>2620</v>
      </c>
      <c r="G107" s="2"/>
    </row>
    <row r="108" spans="1:7" ht="15" customHeight="1">
      <c r="A108" s="542"/>
      <c r="B108" s="452" t="s">
        <v>2298</v>
      </c>
      <c r="C108" s="429">
        <f>D77</f>
        <v>13980.189077288132</v>
      </c>
      <c r="D108" s="452"/>
      <c r="E108" s="542"/>
      <c r="F108" s="452" t="s">
        <v>2621</v>
      </c>
      <c r="G108" s="2"/>
    </row>
    <row r="109" spans="1:7" ht="15" customHeight="1">
      <c r="A109" s="542"/>
      <c r="B109" s="627" t="s">
        <v>2299</v>
      </c>
      <c r="C109" s="628">
        <f>C107*C108</f>
        <v>9786.1323541016918</v>
      </c>
      <c r="D109" s="453"/>
      <c r="E109" s="542"/>
      <c r="F109" s="452" t="s">
        <v>2622</v>
      </c>
      <c r="G109" s="2"/>
    </row>
    <row r="110" spans="1:7" ht="15" customHeight="1">
      <c r="A110" s="542"/>
      <c r="B110" s="643" t="s">
        <v>2300</v>
      </c>
      <c r="C110" s="659">
        <f>IFERROR(C109/C106,0)</f>
        <v>4.6600630257627103</v>
      </c>
      <c r="D110" s="453"/>
      <c r="E110" s="542"/>
      <c r="F110" s="452" t="s">
        <v>2306</v>
      </c>
      <c r="G110" s="2"/>
    </row>
    <row r="111" spans="1:7" ht="15" customHeight="1">
      <c r="A111" s="542"/>
      <c r="B111" s="645" t="s">
        <v>2303</v>
      </c>
      <c r="C111" s="647">
        <f>IFERROR(IRR(D219:D224),0)</f>
        <v>0.36043675908506367</v>
      </c>
      <c r="D111" s="658"/>
      <c r="E111" s="542"/>
      <c r="F111" s="452" t="s">
        <v>2623</v>
      </c>
      <c r="G111" s="2"/>
    </row>
    <row r="112" spans="1:7" ht="3.95" customHeight="1">
      <c r="A112" s="542"/>
      <c r="B112" s="542"/>
      <c r="C112" s="542"/>
      <c r="D112" s="542"/>
      <c r="E112" s="542"/>
      <c r="F112" s="452"/>
      <c r="G112" s="2"/>
    </row>
    <row r="113" spans="1:7">
      <c r="A113" s="542"/>
      <c r="B113" s="536" t="s">
        <v>2127</v>
      </c>
      <c r="C113" s="535" t="str">
        <f>D$71</f>
        <v>Year 5</v>
      </c>
      <c r="D113" s="2"/>
      <c r="E113" s="542"/>
      <c r="F113" s="452"/>
      <c r="G113" s="2"/>
    </row>
    <row r="114" spans="1:7">
      <c r="A114" s="542"/>
      <c r="B114" s="614" t="s">
        <v>2125</v>
      </c>
      <c r="C114" s="543">
        <f>+C28+C184</f>
        <v>5992.20615898305</v>
      </c>
      <c r="D114" s="542"/>
      <c r="E114" s="542"/>
      <c r="F114" s="452"/>
      <c r="G114" s="2"/>
    </row>
    <row r="115" spans="1:7" s="584" customFormat="1" ht="12">
      <c r="A115" s="542"/>
      <c r="B115" s="616" t="s">
        <v>2096</v>
      </c>
      <c r="C115" s="613">
        <v>0.15</v>
      </c>
      <c r="D115" s="600"/>
      <c r="E115" s="542"/>
      <c r="F115" s="452" t="s">
        <v>2117</v>
      </c>
      <c r="G115" s="614"/>
    </row>
    <row r="116" spans="1:7" s="584" customFormat="1" ht="12">
      <c r="A116" s="542"/>
      <c r="B116" s="601" t="s">
        <v>2097</v>
      </c>
      <c r="C116" s="125">
        <f>C115*C114</f>
        <v>898.83092384745748</v>
      </c>
      <c r="D116" s="542"/>
      <c r="E116" s="542"/>
      <c r="F116" s="452"/>
      <c r="G116" s="614"/>
    </row>
    <row r="117" spans="1:7">
      <c r="A117" s="542"/>
      <c r="B117" s="614" t="s">
        <v>2095</v>
      </c>
      <c r="C117" s="83">
        <f>+D74</f>
        <v>7490.2576987288121</v>
      </c>
      <c r="D117" s="542"/>
      <c r="E117" s="542"/>
      <c r="F117" s="452"/>
      <c r="G117" s="2"/>
    </row>
    <row r="118" spans="1:7">
      <c r="A118" s="542"/>
      <c r="B118" s="60" t="s">
        <v>2098</v>
      </c>
      <c r="C118" s="602">
        <f>C117/C116</f>
        <v>8.3333333333333339</v>
      </c>
      <c r="D118" s="542"/>
      <c r="E118" s="542"/>
      <c r="F118" s="452"/>
      <c r="G118" s="2"/>
    </row>
    <row r="119" spans="1:7" ht="3.95" customHeight="1">
      <c r="A119" s="542"/>
      <c r="B119" s="214"/>
      <c r="C119" s="617"/>
      <c r="D119" s="542"/>
      <c r="E119" s="542"/>
      <c r="F119" s="452"/>
      <c r="G119" s="2"/>
    </row>
    <row r="120" spans="1:7">
      <c r="A120" s="542"/>
      <c r="B120" s="536" t="s">
        <v>2128</v>
      </c>
      <c r="C120" s="535" t="str">
        <f>D$71</f>
        <v>Year 5</v>
      </c>
      <c r="D120" s="2"/>
      <c r="E120" s="542"/>
      <c r="F120" s="452"/>
      <c r="G120" s="2"/>
    </row>
    <row r="121" spans="1:7">
      <c r="A121" s="542"/>
      <c r="B121" s="614" t="s">
        <v>2094</v>
      </c>
      <c r="C121" s="543">
        <f>+C42+C184</f>
        <v>6990.0945386440662</v>
      </c>
      <c r="D121" s="542"/>
      <c r="E121" s="542"/>
      <c r="F121" s="452"/>
      <c r="G121" s="2"/>
    </row>
    <row r="122" spans="1:7" s="584" customFormat="1" ht="15" customHeight="1">
      <c r="A122" s="542"/>
      <c r="B122" s="560" t="s">
        <v>2096</v>
      </c>
      <c r="C122" s="529">
        <v>0.2</v>
      </c>
      <c r="D122" s="452"/>
      <c r="E122" s="542"/>
      <c r="F122" s="452" t="s">
        <v>2280</v>
      </c>
      <c r="G122" s="614"/>
    </row>
    <row r="123" spans="1:7" s="584" customFormat="1" ht="15" customHeight="1">
      <c r="A123" s="542"/>
      <c r="B123" s="653" t="s">
        <v>2097</v>
      </c>
      <c r="C123" s="526">
        <f>C122*C121</f>
        <v>1398.0189077288132</v>
      </c>
      <c r="D123" s="453"/>
      <c r="E123" s="542"/>
      <c r="F123" s="452"/>
      <c r="G123" s="614"/>
    </row>
    <row r="124" spans="1:7" ht="15" customHeight="1">
      <c r="A124" s="542"/>
      <c r="B124" s="452" t="s">
        <v>2095</v>
      </c>
      <c r="C124" s="433">
        <f>D77</f>
        <v>13980.189077288132</v>
      </c>
      <c r="D124" s="452"/>
      <c r="E124" s="542"/>
      <c r="F124" s="452"/>
      <c r="G124" s="2"/>
    </row>
    <row r="125" spans="1:7" ht="15" customHeight="1">
      <c r="A125" s="542"/>
      <c r="B125" s="521" t="s">
        <v>2098</v>
      </c>
      <c r="C125" s="654">
        <f>IFERROR(C124/C123,0)</f>
        <v>10</v>
      </c>
      <c r="D125" s="453"/>
      <c r="E125" s="542"/>
      <c r="F125" s="452"/>
      <c r="G125" s="2"/>
    </row>
    <row r="126" spans="1:7" ht="3.95" customHeight="1">
      <c r="A126" s="542"/>
      <c r="B126" s="214"/>
      <c r="C126" s="617"/>
      <c r="D126" s="542"/>
      <c r="E126" s="542"/>
      <c r="F126" s="452"/>
      <c r="G126" s="2"/>
    </row>
    <row r="127" spans="1:7">
      <c r="A127" s="542"/>
      <c r="B127" s="454" t="s">
        <v>2181</v>
      </c>
      <c r="C127" s="625" t="str">
        <f>"Year "&amp;$C$9</f>
        <v>Year 5</v>
      </c>
      <c r="D127" s="625" t="s">
        <v>1861</v>
      </c>
      <c r="E127" s="417"/>
      <c r="F127" s="452" t="s">
        <v>2208</v>
      </c>
      <c r="G127" s="417"/>
    </row>
    <row r="128" spans="1:7">
      <c r="A128" s="542"/>
      <c r="B128" s="417" t="s">
        <v>2204</v>
      </c>
      <c r="C128" s="429">
        <f>D79</f>
        <v>4194.0567231864397</v>
      </c>
      <c r="D128" s="490">
        <f>IFERROR(C128/C$132,0)</f>
        <v>0.46170498037315788</v>
      </c>
      <c r="E128" s="417"/>
      <c r="F128" s="452" t="s">
        <v>2624</v>
      </c>
      <c r="G128" s="417"/>
    </row>
    <row r="129" spans="1:7">
      <c r="A129" s="542"/>
      <c r="B129" s="471" t="s">
        <v>2209</v>
      </c>
      <c r="C129" s="470">
        <f>D81*$D$193</f>
        <v>4020.4170056956877</v>
      </c>
      <c r="D129" s="490">
        <f>IFERROR(C129/C$132,0)</f>
        <v>0.44258975908565013</v>
      </c>
      <c r="E129" s="417"/>
      <c r="F129" s="452" t="s">
        <v>2210</v>
      </c>
      <c r="G129" s="417"/>
    </row>
    <row r="130" spans="1:7">
      <c r="A130" s="542"/>
      <c r="B130" s="471" t="s">
        <v>2211</v>
      </c>
      <c r="C130" s="470">
        <f>D82*$D$193</f>
        <v>219.37180338120552</v>
      </c>
      <c r="D130" s="490">
        <f>IFERROR(C130/C$132,0)</f>
        <v>2.4149662453204091E-2</v>
      </c>
      <c r="E130" s="417"/>
      <c r="F130" s="452" t="s">
        <v>2212</v>
      </c>
      <c r="G130" s="417"/>
    </row>
    <row r="131" spans="1:7">
      <c r="A131" s="542"/>
      <c r="B131" s="471" t="s">
        <v>2308</v>
      </c>
      <c r="C131" s="433">
        <f>D90+D91</f>
        <v>650</v>
      </c>
      <c r="D131" s="490">
        <f>IFERROR(C131/C$132,0)</f>
        <v>7.1555598087987948E-2</v>
      </c>
      <c r="E131" s="417"/>
      <c r="F131" s="452" t="s">
        <v>2625</v>
      </c>
      <c r="G131" s="417"/>
    </row>
    <row r="132" spans="1:7" ht="15" customHeight="1">
      <c r="A132" s="542"/>
      <c r="B132" s="631" t="s">
        <v>2066</v>
      </c>
      <c r="C132" s="632">
        <f>SUM(C128:C131)</f>
        <v>9083.8455322633326</v>
      </c>
      <c r="D132" s="661">
        <f>SUM(D128:D131)</f>
        <v>1</v>
      </c>
      <c r="E132" s="417"/>
      <c r="F132" s="452" t="s">
        <v>2626</v>
      </c>
      <c r="G132" s="417"/>
    </row>
    <row r="133" spans="1:7">
      <c r="A133" s="542"/>
      <c r="B133" s="417" t="s">
        <v>2140</v>
      </c>
      <c r="C133" s="623">
        <f>(C42+C184)*($C$186+$C$187*$D$193)</f>
        <v>2206.7142632838227</v>
      </c>
      <c r="D133" s="417"/>
      <c r="E133" s="417"/>
      <c r="F133" s="452" t="s">
        <v>2213</v>
      </c>
      <c r="G133" s="417"/>
    </row>
    <row r="134" spans="1:7" ht="3.95" customHeight="1">
      <c r="A134" s="542"/>
      <c r="B134" s="417"/>
      <c r="C134" s="417"/>
      <c r="D134" s="417"/>
      <c r="E134" s="417"/>
      <c r="F134" s="452"/>
      <c r="G134" s="417"/>
    </row>
    <row r="135" spans="1:7">
      <c r="A135" s="542"/>
      <c r="B135" s="454" t="s">
        <v>2183</v>
      </c>
      <c r="C135" s="625" t="s">
        <v>2145</v>
      </c>
      <c r="D135" s="625" t="s">
        <v>2146</v>
      </c>
      <c r="E135" s="417"/>
      <c r="F135" s="452"/>
      <c r="G135" s="417"/>
    </row>
    <row r="136" spans="1:7">
      <c r="A136" s="542"/>
      <c r="B136" s="417" t="s">
        <v>2100</v>
      </c>
      <c r="C136" s="624">
        <f>IFERROR((D74-D90-D91-D81*$D$193)/(($C$186+$C$187*$D$193)*(C42+C184)),0)</f>
        <v>1.2778458633955196</v>
      </c>
      <c r="D136" s="639">
        <f>C31</f>
        <v>2</v>
      </c>
      <c r="E136" s="417"/>
      <c r="F136" s="452" t="s">
        <v>2214</v>
      </c>
      <c r="G136" s="417"/>
    </row>
    <row r="137" spans="1:7">
      <c r="A137" s="542"/>
      <c r="B137" s="417" t="s">
        <v>2147</v>
      </c>
      <c r="C137" s="623">
        <f>MAX(0,(D74-D90-D91-D79)/$D$193-D82)</f>
        <v>108260.36488515696</v>
      </c>
      <c r="D137" s="429">
        <f>D81</f>
        <v>179350.00000000003</v>
      </c>
      <c r="E137" s="417"/>
      <c r="F137" s="452" t="s">
        <v>2215</v>
      </c>
      <c r="G137" s="417"/>
    </row>
    <row r="138" spans="1:7">
      <c r="A138" s="542"/>
      <c r="B138" s="417" t="s">
        <v>2148</v>
      </c>
      <c r="C138" s="695">
        <f>IFERROR((C137+$C$189+$C$58)/(C11+C18),0)</f>
        <v>11.591141430944759</v>
      </c>
      <c r="D138" s="694">
        <f>C13</f>
        <v>19.157088122605366</v>
      </c>
      <c r="E138" s="417"/>
      <c r="F138" s="452" t="s">
        <v>2380</v>
      </c>
      <c r="G138" s="417"/>
    </row>
    <row r="139" spans="1:7">
      <c r="A139" s="542"/>
      <c r="B139" s="417" t="s">
        <v>2149</v>
      </c>
      <c r="C139" s="154">
        <f>IFERROR(((C137+$C$189+$C$58)/C13-C11)/C15/C9,0)</f>
        <v>52.986228625586691</v>
      </c>
      <c r="D139" s="83">
        <f>C16</f>
        <v>130</v>
      </c>
      <c r="E139" s="417"/>
      <c r="F139" s="452" t="s">
        <v>2171</v>
      </c>
      <c r="G139" s="417"/>
    </row>
    <row r="140" spans="1:7">
      <c r="A140" s="542"/>
      <c r="B140" s="417" t="s">
        <v>2150</v>
      </c>
      <c r="C140" s="388">
        <f>D99</f>
        <v>0.12774199395700969</v>
      </c>
      <c r="D140" s="388">
        <f>D100</f>
        <v>0.24754474605885002</v>
      </c>
      <c r="E140" s="417"/>
      <c r="F140" s="452" t="s">
        <v>2627</v>
      </c>
      <c r="G140" s="417"/>
    </row>
    <row r="141" spans="1:7">
      <c r="A141" s="542"/>
      <c r="B141" s="417" t="s">
        <v>2366</v>
      </c>
      <c r="C141" s="490">
        <f>MIN(1,IFERROR(1-(D74-D90-D91-D79)/(D83*$C$193),0))</f>
        <v>0.40707166324338928</v>
      </c>
      <c r="D141" s="490">
        <f>$C$8</f>
        <v>0.05</v>
      </c>
      <c r="E141" s="417"/>
      <c r="F141" s="452" t="s">
        <v>2379</v>
      </c>
      <c r="G141" s="417"/>
    </row>
    <row r="142" spans="1:7" ht="15" customHeight="1">
      <c r="A142" s="542"/>
      <c r="B142" s="417" t="s">
        <v>2309</v>
      </c>
      <c r="C142" s="623">
        <f>D79+D90+D91-D74</f>
        <v>-2646.2009755423724</v>
      </c>
      <c r="D142" s="417"/>
      <c r="E142" s="417"/>
      <c r="F142" s="452" t="s">
        <v>2216</v>
      </c>
      <c r="G142" s="417"/>
    </row>
    <row r="143" spans="1:7">
      <c r="A143" s="542"/>
      <c r="B143" s="417" t="s">
        <v>2248</v>
      </c>
      <c r="C143" s="439">
        <f>IFERROR(1-C137/D137,0)</f>
        <v>0.39637376701891869</v>
      </c>
      <c r="D143" s="530"/>
      <c r="E143" s="417"/>
      <c r="F143" s="452" t="s">
        <v>2628</v>
      </c>
      <c r="G143" s="417"/>
    </row>
    <row r="144" spans="1:7" ht="3.95" customHeight="1">
      <c r="A144" s="542"/>
      <c r="B144" s="417"/>
      <c r="C144" s="417"/>
      <c r="D144" s="417"/>
      <c r="E144" s="417"/>
      <c r="F144" s="452"/>
      <c r="G144" s="417"/>
    </row>
    <row r="145" spans="1:8" ht="14.25" customHeight="1">
      <c r="A145" s="684"/>
      <c r="B145" s="370" t="str">
        <f>"Topkey Dilution Impact — Ben (Year "&amp;$C$9&amp;")"</f>
        <v>Topkey Dilution Impact — Ben (Year 5)</v>
      </c>
      <c r="C145" s="606" t="s">
        <v>2370</v>
      </c>
      <c r="D145" s="606" t="s">
        <v>2371</v>
      </c>
      <c r="E145" s="684"/>
      <c r="F145" s="684"/>
      <c r="G145" s="684"/>
      <c r="H145" s="684"/>
    </row>
    <row r="146" spans="1:8" ht="14.25" customHeight="1">
      <c r="A146" s="684"/>
      <c r="B146" s="684" t="s">
        <v>2058</v>
      </c>
      <c r="C146" s="388">
        <f>$C$193</f>
        <v>2.3596419853539462E-2</v>
      </c>
      <c r="D146" s="388">
        <f>$D$193</f>
        <v>2.2416598860862488E-2</v>
      </c>
      <c r="E146" s="684"/>
      <c r="F146" s="684"/>
      <c r="G146" s="684"/>
      <c r="H146" s="684"/>
    </row>
    <row r="147" spans="1:8" ht="14.25" customHeight="1">
      <c r="A147" s="684"/>
      <c r="B147" s="684" t="s">
        <v>2064</v>
      </c>
      <c r="C147" s="685">
        <f>$D$83*C146</f>
        <v>4462.9355885019932</v>
      </c>
      <c r="D147" s="685">
        <f>$D$83*D146</f>
        <v>4239.7888090768938</v>
      </c>
      <c r="E147" s="684"/>
      <c r="F147" s="684" t="s">
        <v>2629</v>
      </c>
      <c r="G147" s="684"/>
      <c r="H147" s="684"/>
    </row>
    <row r="148" spans="1:8" ht="14.25" customHeight="1">
      <c r="A148" s="684"/>
      <c r="B148" s="723" t="s">
        <v>2372</v>
      </c>
      <c r="C148" s="686">
        <f>$D$79+$D$90+$D$91</f>
        <v>4844.0567231864397</v>
      </c>
      <c r="D148" s="686">
        <f>$D$79+$D$90+$D$91</f>
        <v>4844.0567231864397</v>
      </c>
      <c r="E148" s="684"/>
      <c r="F148" s="684" t="s">
        <v>2630</v>
      </c>
      <c r="G148" s="684"/>
      <c r="H148" s="684"/>
    </row>
    <row r="149" spans="1:8" ht="14.25" customHeight="1">
      <c r="A149" s="684"/>
      <c r="B149" s="690" t="s">
        <v>2066</v>
      </c>
      <c r="C149" s="689">
        <f>C147+C148</f>
        <v>9306.9923116884329</v>
      </c>
      <c r="D149" s="691">
        <f>D147+D148</f>
        <v>9083.8455322633345</v>
      </c>
      <c r="E149" s="684"/>
      <c r="F149" s="684"/>
      <c r="G149" s="684"/>
      <c r="H149" s="684"/>
    </row>
    <row r="150" spans="1:8" ht="14.25" customHeight="1">
      <c r="A150" s="684"/>
      <c r="B150" s="723" t="s">
        <v>2373</v>
      </c>
      <c r="C150" s="83">
        <f>$D$74</f>
        <v>7490.2576987288121</v>
      </c>
      <c r="D150" s="83">
        <f>$D$74</f>
        <v>7490.2576987288121</v>
      </c>
      <c r="E150" s="684"/>
      <c r="F150" s="684"/>
      <c r="G150" s="684"/>
      <c r="H150" s="684"/>
    </row>
    <row r="151" spans="1:8" ht="14.25" customHeight="1">
      <c r="A151" s="684"/>
      <c r="B151" s="692" t="s">
        <v>2374</v>
      </c>
      <c r="C151" s="693">
        <f>C149-C150</f>
        <v>1816.7346129596208</v>
      </c>
      <c r="D151" s="693">
        <f>D149-D150</f>
        <v>1593.5878335345224</v>
      </c>
      <c r="E151" s="684"/>
      <c r="F151" s="684"/>
      <c r="G151" s="684"/>
      <c r="H151" s="684"/>
    </row>
    <row r="152" spans="1:8" ht="14.25" customHeight="1">
      <c r="A152" s="684"/>
      <c r="B152" s="684" t="s">
        <v>2375</v>
      </c>
      <c r="C152" s="684"/>
      <c r="D152" s="685">
        <f>D149-C149</f>
        <v>-223.14677942509843</v>
      </c>
      <c r="E152" s="684"/>
      <c r="F152" s="684" t="s">
        <v>2378</v>
      </c>
      <c r="G152" s="684"/>
      <c r="H152" s="684"/>
    </row>
    <row r="153" spans="1:8" ht="14.25" customHeight="1">
      <c r="A153" s="684"/>
      <c r="B153" s="684" t="s">
        <v>2376</v>
      </c>
      <c r="C153" s="684"/>
      <c r="D153" s="687">
        <f>$C$141-$D$141</f>
        <v>0.35707166324338929</v>
      </c>
      <c r="E153" s="684"/>
      <c r="F153" s="684" t="s">
        <v>2631</v>
      </c>
      <c r="G153" s="684"/>
      <c r="H153" s="684"/>
    </row>
    <row r="154" spans="1:8" ht="14.25" customHeight="1">
      <c r="B154" s="684" t="s">
        <v>2377</v>
      </c>
      <c r="D154" s="688">
        <f>D149-$D$92</f>
        <v>0</v>
      </c>
      <c r="F154" s="684" t="s">
        <v>2119</v>
      </c>
    </row>
    <row r="155" spans="1:8" ht="3.95" customHeight="1">
      <c r="A155" s="684"/>
      <c r="B155" s="684"/>
      <c r="C155" s="684"/>
      <c r="D155" s="684"/>
      <c r="E155" s="684"/>
      <c r="F155" s="684"/>
      <c r="G155" s="684"/>
      <c r="H155" s="684"/>
    </row>
    <row r="156" spans="1:8">
      <c r="A156" s="542"/>
      <c r="B156" s="454" t="s">
        <v>2249</v>
      </c>
      <c r="C156" s="625" t="s">
        <v>2151</v>
      </c>
      <c r="D156" s="625" t="str">
        <f>"Year "&amp;$C$9</f>
        <v>Year 5</v>
      </c>
      <c r="E156" s="417"/>
      <c r="F156" s="452"/>
      <c r="G156" s="417"/>
    </row>
    <row r="157" spans="1:8" ht="15" customHeight="1">
      <c r="A157" s="542"/>
      <c r="B157" s="452" t="s">
        <v>2004</v>
      </c>
      <c r="C157" s="648"/>
      <c r="D157" s="429">
        <f>D74</f>
        <v>7490.2576987288121</v>
      </c>
      <c r="E157" s="417"/>
      <c r="F157" s="452" t="s">
        <v>2632</v>
      </c>
      <c r="G157" s="417"/>
    </row>
    <row r="158" spans="1:8" ht="15" customHeight="1">
      <c r="A158" s="542"/>
      <c r="B158" s="452" t="s">
        <v>2250</v>
      </c>
      <c r="C158" s="648"/>
      <c r="D158" s="433">
        <f>D92</f>
        <v>9083.8455322633326</v>
      </c>
      <c r="E158" s="417"/>
      <c r="F158" s="452" t="s">
        <v>2633</v>
      </c>
      <c r="G158" s="417"/>
    </row>
    <row r="159" spans="1:8" ht="15" customHeight="1">
      <c r="A159" s="542"/>
      <c r="B159" s="452" t="s">
        <v>2217</v>
      </c>
      <c r="C159" s="649">
        <v>1.5</v>
      </c>
      <c r="D159" s="430">
        <f>($C$186+$C$187*$D$193)*(C42+C184)*C159+D81*$D$193+D90+D91</f>
        <v>7980.4884006214215</v>
      </c>
      <c r="E159" s="417"/>
      <c r="F159" s="452" t="s">
        <v>2252</v>
      </c>
      <c r="G159" s="417"/>
    </row>
    <row r="160" spans="1:8" ht="15" customHeight="1">
      <c r="A160" s="542"/>
      <c r="B160" s="452" t="s">
        <v>2152</v>
      </c>
      <c r="C160" s="649">
        <v>12</v>
      </c>
      <c r="D160" s="430">
        <f>D79+((C11+C18)*C160-$C$189-$C$58+D82)*$D$193+D90+D91</f>
        <v>7576.3740920680521</v>
      </c>
      <c r="E160" s="417"/>
      <c r="F160" s="452" t="s">
        <v>2253</v>
      </c>
      <c r="G160" s="417"/>
    </row>
    <row r="161" spans="1:7" ht="15" customHeight="1">
      <c r="A161" s="542"/>
      <c r="B161" s="452" t="s">
        <v>2153</v>
      </c>
      <c r="C161" s="435">
        <v>90</v>
      </c>
      <c r="D161" s="430">
        <f>D79+((C11+C161*C9*C15)*C13-$C$189-$C$58+D82)*$D$193+D90+D91</f>
        <v>8256.1557281699497</v>
      </c>
      <c r="E161" s="417"/>
      <c r="F161" s="452" t="s">
        <v>2254</v>
      </c>
      <c r="G161" s="417"/>
    </row>
    <row r="162" spans="1:7" ht="15" customHeight="1">
      <c r="A162" s="542"/>
      <c r="B162" s="452" t="s">
        <v>2367</v>
      </c>
      <c r="C162" s="636">
        <v>0.15</v>
      </c>
      <c r="D162" s="430">
        <f>D79+D83*$C$193*(1-C162)+D90+D91</f>
        <v>8637.551973413134</v>
      </c>
      <c r="E162" s="417"/>
      <c r="F162" s="452" t="s">
        <v>2255</v>
      </c>
      <c r="G162" s="417"/>
    </row>
    <row r="163" spans="1:7" ht="15" customHeight="1">
      <c r="A163" s="542"/>
      <c r="B163" s="524" t="s">
        <v>2218</v>
      </c>
      <c r="C163" s="524"/>
      <c r="D163" s="526">
        <f>$C$186*(C42+C184)*C159+((C11+C161*C9*C15)*C160-$C$189-$C$58+$C$187*(C42+C184)*C159)*$C$193*(1-C162)+D90+D91</f>
        <v>5727.2879066418118</v>
      </c>
      <c r="E163" s="417"/>
      <c r="F163" s="452" t="s">
        <v>2256</v>
      </c>
      <c r="G163" s="417"/>
    </row>
    <row r="164" spans="1:7" ht="15" customHeight="1">
      <c r="A164" s="542"/>
      <c r="B164" s="521" t="s">
        <v>2251</v>
      </c>
      <c r="C164" s="626"/>
      <c r="D164" s="527">
        <f>D163-D157</f>
        <v>-1762.9697920870003</v>
      </c>
      <c r="E164" s="417"/>
      <c r="F164" s="452" t="s">
        <v>2257</v>
      </c>
      <c r="G164" s="417"/>
    </row>
    <row r="165" spans="1:7" ht="3.95" customHeight="1">
      <c r="A165" s="542"/>
      <c r="B165" s="417"/>
      <c r="C165" s="417"/>
      <c r="D165" s="417"/>
      <c r="E165" s="417"/>
      <c r="F165" s="452"/>
      <c r="G165" s="417"/>
    </row>
    <row r="166" spans="1:7">
      <c r="A166" s="542"/>
      <c r="B166" s="454" t="s">
        <v>2219</v>
      </c>
      <c r="C166" s="625" t="str">
        <f>C$183</f>
        <v>Today</v>
      </c>
      <c r="D166" s="625" t="str">
        <f>D$71</f>
        <v>Year 5</v>
      </c>
      <c r="E166" s="417"/>
      <c r="F166" s="452"/>
      <c r="G166" s="417"/>
    </row>
    <row r="167" spans="1:7">
      <c r="A167" s="542"/>
      <c r="B167" s="417" t="s">
        <v>2057</v>
      </c>
      <c r="C167" s="429">
        <f>C189</f>
        <v>650</v>
      </c>
      <c r="D167" s="470">
        <f>C189+C58</f>
        <v>650</v>
      </c>
      <c r="E167" s="417"/>
      <c r="F167" s="452" t="s">
        <v>2310</v>
      </c>
      <c r="G167" s="417"/>
    </row>
    <row r="168" spans="1:7">
      <c r="A168" s="542"/>
      <c r="B168" s="417" t="s">
        <v>2220</v>
      </c>
      <c r="C168" s="490">
        <f>IFERROR(C189/C188,0)</f>
        <v>0.30952380952380953</v>
      </c>
      <c r="D168" s="417"/>
      <c r="E168" s="417"/>
      <c r="F168" s="452"/>
      <c r="G168" s="417"/>
    </row>
    <row r="169" spans="1:7" ht="15" customHeight="1">
      <c r="A169" s="542"/>
      <c r="B169" s="417" t="s">
        <v>2221</v>
      </c>
      <c r="C169" s="638">
        <f>C186</f>
        <v>0.3</v>
      </c>
      <c r="D169" s="417"/>
      <c r="E169" s="417"/>
      <c r="F169" s="452" t="s">
        <v>2222</v>
      </c>
      <c r="G169" s="417"/>
    </row>
    <row r="170" spans="1:7">
      <c r="A170" s="542"/>
      <c r="B170" s="417" t="s">
        <v>2058</v>
      </c>
      <c r="C170" s="530">
        <f>C193</f>
        <v>2.3596419853539462E-2</v>
      </c>
      <c r="D170" s="530">
        <f>D193</f>
        <v>2.2416598860862488E-2</v>
      </c>
      <c r="E170" s="417"/>
      <c r="F170" s="452"/>
      <c r="G170" s="417"/>
    </row>
    <row r="171" spans="1:7">
      <c r="A171" s="542"/>
      <c r="B171" s="417" t="s">
        <v>2156</v>
      </c>
      <c r="C171" s="490">
        <f>IFERROR((C79+C85)/C92,0)</f>
        <v>0.78333333333333333</v>
      </c>
      <c r="D171" s="490">
        <f>IFERROR((D79+D85)/D92,0)</f>
        <v>0.92844440191201227</v>
      </c>
      <c r="E171" s="417"/>
      <c r="F171" s="452" t="s">
        <v>2223</v>
      </c>
      <c r="G171" s="417"/>
    </row>
    <row r="172" spans="1:7" ht="3.95" customHeight="1">
      <c r="A172" s="542"/>
      <c r="B172" s="417"/>
      <c r="C172" s="417"/>
      <c r="D172" s="417"/>
      <c r="E172" s="417"/>
      <c r="F172" s="452"/>
      <c r="G172" s="417"/>
    </row>
    <row r="173" spans="1:7">
      <c r="A173" s="542"/>
      <c r="B173" s="454" t="s">
        <v>2224</v>
      </c>
      <c r="C173" s="625" t="s">
        <v>2157</v>
      </c>
      <c r="D173" s="625" t="s">
        <v>2158</v>
      </c>
      <c r="E173" s="417"/>
      <c r="F173" s="452"/>
      <c r="G173" s="417"/>
    </row>
    <row r="174" spans="1:7">
      <c r="A174" s="542"/>
      <c r="B174" s="417" t="s">
        <v>2225</v>
      </c>
      <c r="C174" s="636">
        <v>0.45</v>
      </c>
      <c r="D174" s="417"/>
      <c r="E174" s="417"/>
      <c r="F174" s="452" t="s">
        <v>2226</v>
      </c>
      <c r="G174" s="417"/>
    </row>
    <row r="175" spans="1:7">
      <c r="A175" s="542"/>
      <c r="B175" s="417" t="s">
        <v>2159</v>
      </c>
      <c r="C175" s="623">
        <f>C188*C174</f>
        <v>945</v>
      </c>
      <c r="D175" s="623">
        <f>C175-C189</f>
        <v>295</v>
      </c>
      <c r="E175" s="417"/>
      <c r="F175" s="452" t="s">
        <v>2227</v>
      </c>
      <c r="G175" s="417"/>
    </row>
    <row r="176" spans="1:7">
      <c r="B176" s="417" t="s">
        <v>2228</v>
      </c>
      <c r="C176" s="417"/>
      <c r="D176" s="417"/>
      <c r="E176" s="417"/>
      <c r="F176" s="452" t="s">
        <v>2229</v>
      </c>
      <c r="G176" s="417"/>
    </row>
    <row r="177" spans="2:7">
      <c r="B177" s="417" t="s">
        <v>2230</v>
      </c>
      <c r="C177" s="417"/>
      <c r="D177" s="417"/>
      <c r="E177" s="417"/>
      <c r="F177" s="452" t="s">
        <v>2231</v>
      </c>
      <c r="G177" s="417"/>
    </row>
    <row r="178" spans="2:7">
      <c r="B178" s="417" t="s">
        <v>2232</v>
      </c>
      <c r="C178" s="417"/>
      <c r="D178" s="417"/>
      <c r="E178" s="417"/>
      <c r="F178" s="452" t="s">
        <v>2233</v>
      </c>
      <c r="G178" s="417"/>
    </row>
    <row r="179" spans="2:7">
      <c r="B179" s="417" t="s">
        <v>2234</v>
      </c>
      <c r="C179" s="417"/>
      <c r="D179" s="417"/>
      <c r="E179" s="417"/>
      <c r="F179" s="452" t="s">
        <v>2235</v>
      </c>
      <c r="G179" s="417"/>
    </row>
    <row r="180" spans="2:7">
      <c r="B180" s="417" t="s">
        <v>2163</v>
      </c>
      <c r="C180" s="417"/>
      <c r="D180" s="417"/>
      <c r="E180" s="417"/>
      <c r="F180" s="452" t="s">
        <v>2179</v>
      </c>
      <c r="G180" s="417"/>
    </row>
    <row r="181" spans="2:7" ht="15" customHeight="1">
      <c r="B181" s="417" t="s">
        <v>2276</v>
      </c>
      <c r="C181" s="417"/>
      <c r="D181" s="417"/>
      <c r="E181" s="417"/>
      <c r="F181" s="452" t="s">
        <v>2277</v>
      </c>
      <c r="G181" s="417"/>
    </row>
    <row r="182" spans="2:7">
      <c r="B182" s="417"/>
      <c r="C182" s="417"/>
      <c r="D182" s="417"/>
      <c r="E182" s="417"/>
      <c r="F182" s="452"/>
      <c r="G182" s="417"/>
    </row>
    <row r="183" spans="2:7">
      <c r="B183" s="454" t="s">
        <v>2185</v>
      </c>
      <c r="C183" s="625" t="s">
        <v>2025</v>
      </c>
      <c r="D183" s="625" t="str">
        <f>"Year "&amp;$C$9</f>
        <v>Year 5</v>
      </c>
      <c r="E183" s="417"/>
      <c r="F183" s="452"/>
      <c r="G183" s="417"/>
    </row>
    <row r="184" spans="2:7">
      <c r="B184" s="417" t="s">
        <v>2104</v>
      </c>
      <c r="C184" s="637">
        <f>'P&amp;L Overview'!K16</f>
        <v>2998.5410200000001</v>
      </c>
      <c r="D184" s="417"/>
      <c r="E184" s="417"/>
      <c r="F184" s="452" t="s">
        <v>2118</v>
      </c>
      <c r="G184" s="417"/>
    </row>
    <row r="185" spans="2:7">
      <c r="B185" s="417" t="s">
        <v>2186</v>
      </c>
      <c r="C185" s="637">
        <f>'Offer Overview'!$C$17</f>
        <v>3000</v>
      </c>
      <c r="D185" s="417"/>
      <c r="E185" s="417"/>
      <c r="F185" s="452" t="s">
        <v>2187</v>
      </c>
      <c r="G185" s="417"/>
    </row>
    <row r="186" spans="2:7">
      <c r="B186" s="417" t="s">
        <v>2188</v>
      </c>
      <c r="C186" s="638">
        <f>C7</f>
        <v>0.3</v>
      </c>
      <c r="D186" s="417"/>
      <c r="E186" s="417"/>
      <c r="F186" s="452" t="s">
        <v>2237</v>
      </c>
      <c r="G186" s="417"/>
    </row>
    <row r="187" spans="2:7">
      <c r="B187" s="417" t="s">
        <v>2189</v>
      </c>
      <c r="C187" s="490">
        <f>1-C186</f>
        <v>0.7</v>
      </c>
      <c r="D187" s="417"/>
      <c r="E187" s="417"/>
      <c r="F187" s="452"/>
      <c r="G187" s="417"/>
    </row>
    <row r="188" spans="2:7">
      <c r="B188" s="417" t="s">
        <v>2190</v>
      </c>
      <c r="C188" s="623">
        <f>C185*C187</f>
        <v>2100</v>
      </c>
      <c r="D188" s="417"/>
      <c r="E188" s="417"/>
      <c r="F188" s="452" t="s">
        <v>2191</v>
      </c>
      <c r="G188" s="417"/>
    </row>
    <row r="189" spans="2:7">
      <c r="B189" s="471" t="s">
        <v>2000</v>
      </c>
      <c r="C189" s="472">
        <f>'Offer Overview'!$C$9</f>
        <v>650</v>
      </c>
      <c r="D189" s="417"/>
      <c r="E189" s="417"/>
      <c r="F189" s="452" t="s">
        <v>2192</v>
      </c>
      <c r="G189" s="417"/>
    </row>
    <row r="190" spans="2:7">
      <c r="B190" s="417" t="s">
        <v>2193</v>
      </c>
      <c r="C190" s="470">
        <f>C188-C189</f>
        <v>1450</v>
      </c>
      <c r="D190" s="417"/>
      <c r="E190" s="417"/>
      <c r="F190" s="452" t="s">
        <v>2194</v>
      </c>
      <c r="G190" s="417"/>
    </row>
    <row r="191" spans="2:7">
      <c r="B191" s="417" t="s">
        <v>2039</v>
      </c>
      <c r="C191" s="53">
        <f>'Offer Comparison'!$C$9</f>
        <v>60000</v>
      </c>
      <c r="D191" s="417"/>
      <c r="E191" s="417"/>
      <c r="F191" s="452" t="s">
        <v>2195</v>
      </c>
      <c r="G191" s="417"/>
    </row>
    <row r="192" spans="2:7">
      <c r="B192" s="417" t="s">
        <v>2001</v>
      </c>
      <c r="C192" s="470">
        <f>C191+C188-C189</f>
        <v>61450</v>
      </c>
      <c r="D192" s="417"/>
      <c r="E192" s="417"/>
      <c r="F192" s="452" t="s">
        <v>2196</v>
      </c>
      <c r="G192" s="417"/>
    </row>
    <row r="193" spans="2:8">
      <c r="B193" s="417" t="s">
        <v>2058</v>
      </c>
      <c r="C193" s="634">
        <f>IFERROR(C190/C192,0)</f>
        <v>2.3596419853539462E-2</v>
      </c>
      <c r="D193" s="634">
        <f>C193*(1-$C$8)</f>
        <v>2.2416598860862488E-2</v>
      </c>
      <c r="E193" s="417"/>
      <c r="F193" s="542" t="s">
        <v>2365</v>
      </c>
      <c r="G193" s="417"/>
      <c r="H193" s="542"/>
    </row>
    <row r="194" spans="2:8">
      <c r="B194" s="417" t="s">
        <v>2047</v>
      </c>
      <c r="C194" s="470">
        <f>C191-C189</f>
        <v>59350</v>
      </c>
      <c r="D194" s="417"/>
      <c r="E194" s="417"/>
      <c r="F194" s="452" t="s">
        <v>2197</v>
      </c>
      <c r="G194" s="417"/>
      <c r="H194" s="542"/>
    </row>
    <row r="195" spans="2:8">
      <c r="B195" s="417" t="s">
        <v>2198</v>
      </c>
      <c r="C195" s="470">
        <f>C83-C192</f>
        <v>0</v>
      </c>
      <c r="D195" s="417"/>
      <c r="E195" s="417"/>
      <c r="F195" s="452" t="s">
        <v>2119</v>
      </c>
      <c r="G195" s="417"/>
    </row>
    <row r="196" spans="2:8">
      <c r="B196" s="417" t="s">
        <v>2199</v>
      </c>
      <c r="C196" s="470">
        <f>C85-C190</f>
        <v>0</v>
      </c>
      <c r="D196" s="417"/>
      <c r="E196" s="417"/>
      <c r="F196" s="452" t="s">
        <v>2119</v>
      </c>
      <c r="G196" s="417"/>
    </row>
    <row r="197" spans="2:8">
      <c r="B197" s="417" t="s">
        <v>2200</v>
      </c>
      <c r="C197" s="470">
        <f>C92-C185</f>
        <v>0</v>
      </c>
      <c r="D197" s="417"/>
      <c r="E197" s="417"/>
      <c r="F197" s="452" t="s">
        <v>2119</v>
      </c>
      <c r="G197" s="417"/>
    </row>
    <row r="198" spans="2:8">
      <c r="B198" s="417"/>
      <c r="C198" s="417"/>
      <c r="D198" s="417"/>
      <c r="E198" s="417"/>
      <c r="F198" s="452"/>
      <c r="G198" s="417"/>
    </row>
    <row r="199" spans="2:8">
      <c r="B199" s="454" t="s">
        <v>2129</v>
      </c>
      <c r="C199" s="625" t="s">
        <v>1197</v>
      </c>
      <c r="D199" s="625"/>
      <c r="E199" s="417"/>
      <c r="F199" s="452"/>
      <c r="G199" s="417"/>
    </row>
    <row r="200" spans="2:8">
      <c r="B200" s="417" t="s">
        <v>2130</v>
      </c>
      <c r="C200" s="472">
        <f>'Client Retention'!H22</f>
        <v>151</v>
      </c>
      <c r="D200" s="417"/>
      <c r="E200" s="417"/>
      <c r="F200" s="452" t="s">
        <v>2133</v>
      </c>
      <c r="G200" s="417"/>
    </row>
    <row r="201" spans="2:8">
      <c r="B201" s="471" t="s">
        <v>1314</v>
      </c>
      <c r="C201" s="472">
        <f>'Client Retention'!H23</f>
        <v>83</v>
      </c>
      <c r="D201" s="417"/>
      <c r="E201" s="417"/>
      <c r="F201" s="452"/>
      <c r="G201" s="417"/>
    </row>
    <row r="202" spans="2:8">
      <c r="B202" s="471" t="s">
        <v>1532</v>
      </c>
      <c r="C202" s="472">
        <f>'Client Retention'!H27</f>
        <v>-57</v>
      </c>
      <c r="D202" s="417"/>
      <c r="E202" s="417"/>
      <c r="F202" s="452"/>
      <c r="G202" s="417"/>
    </row>
    <row r="203" spans="2:8">
      <c r="B203" s="677" t="s">
        <v>2131</v>
      </c>
      <c r="C203" s="678">
        <f>SUM(C200:C202)</f>
        <v>177</v>
      </c>
      <c r="D203" s="480"/>
      <c r="E203" s="417"/>
      <c r="F203" s="452" t="s">
        <v>2134</v>
      </c>
      <c r="G203" s="417"/>
    </row>
    <row r="204" spans="2:8">
      <c r="B204" s="631" t="s">
        <v>2132</v>
      </c>
      <c r="C204" s="635">
        <f>C203-C200</f>
        <v>26</v>
      </c>
      <c r="D204" s="480"/>
      <c r="E204" s="417"/>
      <c r="F204" s="452" t="s">
        <v>2135</v>
      </c>
      <c r="G204" s="417"/>
    </row>
    <row r="205" spans="2:8">
      <c r="B205" s="417"/>
      <c r="C205" s="417"/>
      <c r="D205" s="417"/>
      <c r="E205" s="417"/>
      <c r="F205" s="417"/>
      <c r="G205" s="417"/>
    </row>
    <row r="206" spans="2:8">
      <c r="B206" s="570" t="s">
        <v>2259</v>
      </c>
      <c r="C206" s="570"/>
      <c r="D206" s="542"/>
      <c r="E206" s="542"/>
      <c r="F206" s="452"/>
      <c r="G206" s="417"/>
    </row>
    <row r="207" spans="2:8">
      <c r="B207" s="452" t="s">
        <v>2260</v>
      </c>
      <c r="C207" s="650">
        <f>C32/'Client Retention'!H30</f>
        <v>1.4634146341463414</v>
      </c>
      <c r="D207" s="452"/>
      <c r="E207" s="542"/>
      <c r="F207" s="452" t="s">
        <v>2116</v>
      </c>
      <c r="G207" s="417"/>
    </row>
    <row r="208" spans="2:8">
      <c r="B208" s="560" t="s">
        <v>2261</v>
      </c>
      <c r="C208" s="636">
        <v>0.5</v>
      </c>
      <c r="D208" s="452"/>
      <c r="E208" s="542"/>
      <c r="F208" s="452" t="s">
        <v>2270</v>
      </c>
      <c r="G208" s="417"/>
    </row>
    <row r="209" spans="2:7">
      <c r="B209" s="452" t="s">
        <v>2262</v>
      </c>
      <c r="C209" s="652">
        <v>0</v>
      </c>
      <c r="D209" s="452"/>
      <c r="E209" s="542"/>
      <c r="F209" s="452" t="s">
        <v>2271</v>
      </c>
      <c r="G209" s="417"/>
    </row>
    <row r="210" spans="2:7">
      <c r="B210" s="452" t="s">
        <v>2263</v>
      </c>
      <c r="C210" s="651">
        <f>MAX(C207*C208,C209)</f>
        <v>0.73170731707317072</v>
      </c>
      <c r="D210" s="452"/>
      <c r="E210" s="542"/>
      <c r="F210" s="452" t="s">
        <v>2272</v>
      </c>
      <c r="G210" s="417"/>
    </row>
    <row r="211" spans="2:7">
      <c r="B211" s="452" t="s">
        <v>2264</v>
      </c>
      <c r="C211" s="651">
        <f>C207-C210</f>
        <v>0.73170731707317072</v>
      </c>
      <c r="D211" s="452"/>
      <c r="E211" s="542"/>
      <c r="F211" s="452" t="s">
        <v>2273</v>
      </c>
      <c r="G211" s="417"/>
    </row>
    <row r="212" spans="2:7">
      <c r="B212" s="452" t="s">
        <v>2265</v>
      </c>
      <c r="C212" s="430">
        <f>C203+C41</f>
        <v>417</v>
      </c>
      <c r="D212" s="452"/>
      <c r="E212" s="542"/>
      <c r="F212" s="452" t="s">
        <v>2634</v>
      </c>
      <c r="G212" s="417"/>
    </row>
    <row r="213" spans="2:7">
      <c r="B213" s="452" t="s">
        <v>2266</v>
      </c>
      <c r="C213" s="430">
        <f>C210*C212</f>
        <v>305.1219512195122</v>
      </c>
      <c r="D213" s="452"/>
      <c r="E213" s="542"/>
      <c r="F213" s="452" t="s">
        <v>2274</v>
      </c>
      <c r="G213" s="417"/>
    </row>
    <row r="214" spans="2:7">
      <c r="B214" s="524" t="s">
        <v>2267</v>
      </c>
      <c r="C214" s="526">
        <f>C211*C212</f>
        <v>305.1219512195122</v>
      </c>
      <c r="D214" s="453"/>
      <c r="E214" s="542"/>
      <c r="F214" s="452" t="s">
        <v>2278</v>
      </c>
      <c r="G214" s="417"/>
    </row>
    <row r="215" spans="2:7">
      <c r="B215" s="452" t="s">
        <v>2268</v>
      </c>
      <c r="C215" s="528">
        <f>IFERROR(C214/C121,0)</f>
        <v>4.3650618676567936E-2</v>
      </c>
      <c r="D215" s="452"/>
      <c r="E215" s="542"/>
      <c r="F215" s="452" t="s">
        <v>2635</v>
      </c>
      <c r="G215" s="417"/>
    </row>
    <row r="216" spans="2:7">
      <c r="B216" s="521" t="s">
        <v>2269</v>
      </c>
      <c r="C216" s="527">
        <f>C214*($C$186+$C$187*$D$193)</f>
        <v>96.324442834745682</v>
      </c>
      <c r="D216" s="453"/>
      <c r="E216" s="542"/>
      <c r="F216" s="452" t="s">
        <v>2275</v>
      </c>
      <c r="G216" s="417"/>
    </row>
    <row r="217" spans="2:7" ht="15" customHeight="1">
      <c r="B217" s="417"/>
      <c r="C217" s="417"/>
      <c r="D217" s="417"/>
      <c r="E217" s="417"/>
      <c r="F217" s="417"/>
      <c r="G217" s="417"/>
    </row>
    <row r="218" spans="2:7" ht="15" customHeight="1">
      <c r="B218" s="454" t="s">
        <v>2301</v>
      </c>
      <c r="C218" s="625" t="s">
        <v>1242</v>
      </c>
      <c r="D218" s="625" t="s">
        <v>2302</v>
      </c>
      <c r="E218" s="542"/>
      <c r="F218" s="452"/>
      <c r="G218" s="417"/>
    </row>
    <row r="219" spans="2:7" ht="15" customHeight="1">
      <c r="B219" s="452" t="str">
        <f t="shared" ref="B219:B224" si="0">"Year "&amp;C219</f>
        <v>Year 0</v>
      </c>
      <c r="C219" s="657">
        <v>0</v>
      </c>
      <c r="D219" s="431">
        <f t="shared" ref="D219:D224" si="1">-IF(C219=0,$C$103+$C$104,0)-IF(C219=$C$46,$C$105,0)+IF(C219=$C$9,$C$109,0)</f>
        <v>-2100</v>
      </c>
      <c r="E219" s="542"/>
      <c r="F219" s="452" t="s">
        <v>2307</v>
      </c>
      <c r="G219" s="417"/>
    </row>
    <row r="220" spans="2:7" ht="15" customHeight="1">
      <c r="B220" s="452" t="str">
        <f t="shared" si="0"/>
        <v>Year 1</v>
      </c>
      <c r="C220" s="656">
        <f>C219+1</f>
        <v>1</v>
      </c>
      <c r="D220" s="430">
        <f t="shared" si="1"/>
        <v>0</v>
      </c>
      <c r="E220" s="542"/>
      <c r="F220" s="452"/>
      <c r="G220" s="417"/>
    </row>
    <row r="221" spans="2:7" ht="15" customHeight="1">
      <c r="B221" s="452" t="str">
        <f t="shared" si="0"/>
        <v>Year 2</v>
      </c>
      <c r="C221" s="656">
        <f>C220+1</f>
        <v>2</v>
      </c>
      <c r="D221" s="430">
        <f t="shared" si="1"/>
        <v>0</v>
      </c>
      <c r="E221" s="542"/>
      <c r="F221" s="452"/>
      <c r="G221" s="417"/>
    </row>
    <row r="222" spans="2:7" ht="15" customHeight="1">
      <c r="B222" s="452" t="str">
        <f t="shared" si="0"/>
        <v>Year 3</v>
      </c>
      <c r="C222" s="656">
        <f>C221+1</f>
        <v>3</v>
      </c>
      <c r="D222" s="430">
        <f t="shared" si="1"/>
        <v>0</v>
      </c>
      <c r="E222" s="542"/>
      <c r="F222" s="452"/>
      <c r="G222" s="417"/>
    </row>
    <row r="223" spans="2:7" ht="15" customHeight="1">
      <c r="B223" s="452" t="str">
        <f t="shared" si="0"/>
        <v>Year 4</v>
      </c>
      <c r="C223" s="656">
        <f>C222+1</f>
        <v>4</v>
      </c>
      <c r="D223" s="430">
        <f t="shared" si="1"/>
        <v>0</v>
      </c>
      <c r="E223" s="542"/>
      <c r="F223" s="452"/>
      <c r="G223" s="417"/>
    </row>
    <row r="224" spans="2:7" ht="15" customHeight="1">
      <c r="B224" s="452" t="str">
        <f t="shared" si="0"/>
        <v>Year 5</v>
      </c>
      <c r="C224" s="656">
        <f>C223+1</f>
        <v>5</v>
      </c>
      <c r="D224" s="430">
        <f t="shared" si="1"/>
        <v>9786.1323541016918</v>
      </c>
      <c r="E224" s="542"/>
      <c r="F224" s="452"/>
      <c r="G224" s="417"/>
    </row>
    <row r="225" spans="2:7">
      <c r="B225" s="417"/>
      <c r="C225" s="417"/>
      <c r="D225" s="417"/>
      <c r="E225" s="417"/>
      <c r="F225" s="417"/>
      <c r="G225" s="417"/>
    </row>
    <row r="226" spans="2:7" ht="15" customHeight="1">
      <c r="B226" s="454" t="s">
        <v>2328</v>
      </c>
      <c r="C226" s="625" t="s">
        <v>1242</v>
      </c>
      <c r="D226" s="625" t="s">
        <v>2302</v>
      </c>
      <c r="E226" s="417"/>
      <c r="F226" s="417"/>
      <c r="G226" s="417"/>
    </row>
    <row r="227" spans="2:7" ht="15" customHeight="1">
      <c r="B227" s="452" t="str">
        <f t="shared" ref="B227:B232" si="2">"Year "&amp;C227</f>
        <v>Year 0</v>
      </c>
      <c r="C227" s="657">
        <v>0</v>
      </c>
      <c r="D227" s="431">
        <f t="shared" ref="D227:D232" si="3">IF(C227=0,$C$189-$C$185,0)+IF(C227=$C$46,$C$58,0)+IF(C227=$C$9,$D$79+$D$85,0)</f>
        <v>-2350</v>
      </c>
      <c r="E227" s="417"/>
      <c r="F227" s="614" t="s">
        <v>2636</v>
      </c>
      <c r="G227" s="417"/>
    </row>
    <row r="228" spans="2:7" ht="15" customHeight="1">
      <c r="B228" s="452" t="str">
        <f t="shared" si="2"/>
        <v>Year 1</v>
      </c>
      <c r="C228" s="656">
        <f>C227+1</f>
        <v>1</v>
      </c>
      <c r="D228" s="430">
        <f t="shared" si="3"/>
        <v>0</v>
      </c>
      <c r="E228" s="417"/>
      <c r="F228" s="417"/>
      <c r="G228" s="417"/>
    </row>
    <row r="229" spans="2:7" ht="15" customHeight="1">
      <c r="B229" s="452" t="str">
        <f t="shared" si="2"/>
        <v>Year 2</v>
      </c>
      <c r="C229" s="656">
        <f>C228+1</f>
        <v>2</v>
      </c>
      <c r="D229" s="430">
        <f t="shared" si="3"/>
        <v>0</v>
      </c>
      <c r="E229" s="417"/>
      <c r="F229" s="417"/>
      <c r="G229" s="417"/>
    </row>
    <row r="230" spans="2:7" ht="15" customHeight="1">
      <c r="B230" s="452" t="str">
        <f t="shared" si="2"/>
        <v>Year 3</v>
      </c>
      <c r="C230" s="656">
        <f>C229+1</f>
        <v>3</v>
      </c>
      <c r="D230" s="430">
        <f t="shared" si="3"/>
        <v>0</v>
      </c>
      <c r="E230" s="417"/>
      <c r="F230" s="417"/>
      <c r="G230" s="417"/>
    </row>
    <row r="231" spans="2:7" ht="15" customHeight="1">
      <c r="B231" s="452" t="str">
        <f t="shared" si="2"/>
        <v>Year 4</v>
      </c>
      <c r="C231" s="656">
        <f>C230+1</f>
        <v>4</v>
      </c>
      <c r="D231" s="430">
        <f t="shared" si="3"/>
        <v>0</v>
      </c>
      <c r="E231" s="417"/>
      <c r="F231" s="417"/>
      <c r="G231" s="417"/>
    </row>
    <row r="232" spans="2:7" ht="15" customHeight="1">
      <c r="B232" s="452" t="str">
        <f t="shared" si="2"/>
        <v>Year 5</v>
      </c>
      <c r="C232" s="656">
        <f>C231+1</f>
        <v>5</v>
      </c>
      <c r="D232" s="430">
        <f t="shared" si="3"/>
        <v>8433.8455322633345</v>
      </c>
      <c r="E232" s="417"/>
      <c r="F232" s="417"/>
      <c r="G232" s="417"/>
    </row>
    <row r="233" spans="2:7">
      <c r="B233" s="417"/>
      <c r="C233" s="417"/>
      <c r="D233" s="417"/>
      <c r="E233" s="417"/>
      <c r="F233" s="417"/>
      <c r="G233" s="417"/>
    </row>
    <row r="234" spans="2:7">
      <c r="B234" s="417"/>
      <c r="C234" s="417"/>
      <c r="D234" s="417"/>
      <c r="E234" s="417"/>
      <c r="F234" s="417"/>
      <c r="G234" s="417"/>
    </row>
    <row r="235" spans="2:7">
      <c r="B235" s="417"/>
      <c r="C235" s="417"/>
      <c r="D235" s="417"/>
      <c r="E235" s="417"/>
      <c r="F235" s="417"/>
      <c r="G235" s="417"/>
    </row>
    <row r="236" spans="2:7">
      <c r="B236" s="417"/>
      <c r="C236" s="417"/>
      <c r="D236" s="417"/>
      <c r="E236" s="417"/>
      <c r="F236" s="417"/>
      <c r="G236" s="417"/>
    </row>
    <row r="237" spans="2:7">
      <c r="B237" s="417"/>
      <c r="C237" s="417"/>
      <c r="D237" s="417"/>
      <c r="E237" s="417"/>
      <c r="F237" s="417"/>
      <c r="G237" s="417"/>
    </row>
    <row r="238" spans="2:7">
      <c r="B238" s="417"/>
      <c r="C238" s="417"/>
      <c r="D238" s="417"/>
      <c r="E238" s="417"/>
      <c r="F238" s="417"/>
      <c r="G238" s="417"/>
    </row>
    <row r="239" spans="2:7">
      <c r="B239" s="417"/>
      <c r="C239" s="417"/>
      <c r="D239" s="417"/>
      <c r="E239" s="417"/>
      <c r="F239" s="417"/>
      <c r="G239" s="417"/>
    </row>
    <row r="240" spans="2:7">
      <c r="B240" s="417"/>
      <c r="C240" s="417"/>
      <c r="D240" s="417"/>
      <c r="E240" s="417"/>
      <c r="F240" s="417"/>
      <c r="G240" s="417"/>
    </row>
    <row r="241" spans="2:7">
      <c r="B241" s="417"/>
      <c r="C241" s="417"/>
      <c r="D241" s="417"/>
      <c r="E241" s="417"/>
      <c r="F241" s="417"/>
      <c r="G241" s="417"/>
    </row>
    <row r="242" spans="2:7">
      <c r="B242" s="417"/>
      <c r="C242" s="417"/>
      <c r="D242" s="417"/>
      <c r="E242" s="417"/>
      <c r="F242" s="417"/>
      <c r="G242" s="417"/>
    </row>
    <row r="243" spans="2:7">
      <c r="B243" s="417"/>
      <c r="C243" s="417"/>
      <c r="D243" s="417"/>
      <c r="E243" s="417"/>
      <c r="F243" s="417"/>
      <c r="G243" s="417"/>
    </row>
    <row r="244" spans="2:7">
      <c r="B244" s="417"/>
      <c r="C244" s="417"/>
      <c r="D244" s="417"/>
      <c r="E244" s="417"/>
      <c r="F244" s="417"/>
      <c r="G244" s="417"/>
    </row>
    <row r="245" spans="2:7">
      <c r="B245" s="417"/>
      <c r="C245" s="417"/>
      <c r="D245" s="417"/>
      <c r="E245" s="417"/>
      <c r="F245" s="417"/>
      <c r="G245" s="417"/>
    </row>
    <row r="246" spans="2:7">
      <c r="B246" s="417"/>
      <c r="C246" s="417"/>
      <c r="D246" s="417"/>
      <c r="E246" s="417"/>
      <c r="F246" s="417"/>
      <c r="G246" s="417"/>
    </row>
    <row r="247" spans="2:7">
      <c r="B247" s="417"/>
      <c r="C247" s="417"/>
      <c r="D247" s="417"/>
      <c r="E247" s="417"/>
      <c r="F247" s="417"/>
      <c r="G247" s="417"/>
    </row>
    <row r="248" spans="2:7">
      <c r="B248" s="417"/>
      <c r="C248" s="417"/>
      <c r="D248" s="417"/>
      <c r="E248" s="417"/>
      <c r="F248" s="417"/>
      <c r="G248" s="417"/>
    </row>
    <row r="249" spans="2:7">
      <c r="B249" s="417"/>
      <c r="C249" s="417"/>
      <c r="D249" s="417"/>
      <c r="E249" s="417"/>
      <c r="F249" s="417"/>
      <c r="G249" s="417"/>
    </row>
    <row r="250" spans="2:7">
      <c r="B250" s="417"/>
      <c r="C250" s="417"/>
      <c r="D250" s="417"/>
      <c r="E250" s="417"/>
      <c r="F250" s="417"/>
      <c r="G250" s="417"/>
    </row>
    <row r="251" spans="2:7">
      <c r="B251" s="417"/>
      <c r="C251" s="417"/>
      <c r="D251" s="417"/>
      <c r="E251" s="417"/>
      <c r="F251" s="417"/>
      <c r="G251" s="417"/>
    </row>
    <row r="252" spans="2:7">
      <c r="B252" s="417"/>
      <c r="C252" s="417"/>
      <c r="D252" s="417"/>
      <c r="E252" s="417"/>
      <c r="F252" s="417"/>
      <c r="G252" s="417"/>
    </row>
    <row r="253" spans="2:7">
      <c r="B253" s="417"/>
      <c r="C253" s="417"/>
      <c r="D253" s="417"/>
      <c r="E253" s="417"/>
      <c r="F253" s="417"/>
      <c r="G253" s="417"/>
    </row>
    <row r="254" spans="2:7">
      <c r="B254" s="417"/>
      <c r="C254" s="417"/>
      <c r="D254" s="417"/>
      <c r="E254" s="417"/>
      <c r="F254" s="417"/>
      <c r="G254" s="417"/>
    </row>
    <row r="255" spans="2:7">
      <c r="B255" s="417"/>
      <c r="C255" s="417"/>
      <c r="D255" s="417"/>
      <c r="E255" s="417"/>
      <c r="F255" s="417"/>
      <c r="G255" s="417"/>
    </row>
    <row r="256" spans="2:7">
      <c r="B256" s="417"/>
      <c r="C256" s="417"/>
      <c r="D256" s="417"/>
      <c r="E256" s="417"/>
      <c r="F256" s="417"/>
      <c r="G256" s="417"/>
    </row>
    <row r="257" spans="2:7">
      <c r="B257" s="417"/>
      <c r="C257" s="417"/>
      <c r="D257" s="417"/>
      <c r="E257" s="417"/>
      <c r="F257" s="417"/>
      <c r="G257" s="417"/>
    </row>
    <row r="258" spans="2:7">
      <c r="B258" s="417"/>
      <c r="C258" s="417"/>
      <c r="D258" s="417"/>
      <c r="E258" s="417"/>
      <c r="F258" s="417"/>
      <c r="G258" s="417"/>
    </row>
    <row r="259" spans="2:7">
      <c r="B259" s="417"/>
      <c r="C259" s="417"/>
      <c r="D259" s="417"/>
      <c r="E259" s="417"/>
      <c r="F259" s="417"/>
      <c r="G259" s="417"/>
    </row>
  </sheetData>
  <conditionalFormatting sqref="B6:D62 B64:D70 B72:D75 B77:D93 B95:D101 B103:D112 B114:D119 B121:D126 B128:D134 B136:D144 B146:D155 B157:D165 B167:D172 B174:D181">
    <cfRule type="expression" dxfId="91" priority="1">
      <formula>$H$3=1</formula>
    </cfRule>
  </conditionalFormatting>
  <pageMargins left="0.7" right="0.7" top="0.75" bottom="0.75" header="0.3" footer="0.3"/>
  <pageSetup orientation="portrait" horizontalDpi="1200" verticalDpi="1200" r:id="rId1"/>
  <rowBreaks count="2" manualBreakCount="2">
    <brk id="70" max="16383" man="1"/>
    <brk id="155" min="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8.7109375" style="36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1889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>
      <c r="B17" s="56" t="s">
        <v>1888</v>
      </c>
      <c r="C17" s="23">
        <f>+'P&amp;L Forecast'!C26</f>
        <v>0</v>
      </c>
      <c r="D17" s="23">
        <f>+'P&amp;L Forecast'!D26</f>
        <v>0</v>
      </c>
      <c r="E17" s="23"/>
      <c r="F17" s="23">
        <f>+'P&amp;L Forecast'!F26</f>
        <v>0</v>
      </c>
      <c r="G17" s="23">
        <f>+'P&amp;L Forecast'!G26</f>
        <v>0</v>
      </c>
      <c r="H17" s="23"/>
      <c r="I17" s="23">
        <f>+'P&amp;L Forecast'!I26</f>
        <v>0</v>
      </c>
      <c r="J17" s="23">
        <f>+'P&amp;L Forecast'!J26</f>
        <v>0</v>
      </c>
      <c r="K17" s="23">
        <f>+'P&amp;L Forecast'!K26</f>
        <v>93.982699999999113</v>
      </c>
      <c r="L17" s="52"/>
      <c r="M17" s="23">
        <f>K17-J17</f>
        <v>93.982699999999113</v>
      </c>
      <c r="N17" s="66">
        <f>IFERROR(K17/J17-1,0)</f>
        <v>0</v>
      </c>
    </row>
    <row r="18" spans="2:46">
      <c r="B18" s="60" t="s">
        <v>1890</v>
      </c>
      <c r="C18" s="61">
        <f>+'P&amp;L Forecast'!C28</f>
        <v>1134.96585</v>
      </c>
      <c r="D18" s="62">
        <f>+'P&amp;L Forecast'!D28</f>
        <v>1879.3831299999999</v>
      </c>
      <c r="F18" s="63">
        <f>+'P&amp;L Forecast'!F28</f>
        <v>997.87309999999991</v>
      </c>
      <c r="G18" s="62">
        <f>+'P&amp;L Forecast'!G28</f>
        <v>1671.0211999999999</v>
      </c>
      <c r="I18" s="63">
        <f>+'P&amp;L Forecast'!I28</f>
        <v>1524.41065</v>
      </c>
      <c r="J18" s="61">
        <f>+'P&amp;L Forecast'!J28</f>
        <v>2552.5312300000001</v>
      </c>
      <c r="K18" s="62">
        <f>+'P&amp;L Forecast'!K28</f>
        <v>3092.5237199999992</v>
      </c>
      <c r="M18" s="63">
        <f>SUM(M16:M17)</f>
        <v>539.99248999999963</v>
      </c>
      <c r="N18" s="87">
        <f>IFERROR(K18/J18-1,0)</f>
        <v>0.21155176620503058</v>
      </c>
    </row>
    <row r="19" spans="2:46" ht="3.95" customHeight="1"/>
    <row r="20" spans="2:46">
      <c r="B20" s="42" t="s">
        <v>49</v>
      </c>
      <c r="C20" s="43"/>
      <c r="D20" s="43"/>
      <c r="E20" s="6"/>
      <c r="F20" s="43"/>
      <c r="G20" s="43"/>
      <c r="H20" s="6"/>
      <c r="I20" s="43"/>
      <c r="J20" s="43"/>
      <c r="K20" s="43"/>
      <c r="M20" s="43"/>
      <c r="N20" s="43"/>
    </row>
    <row r="21" spans="2:46" s="14" customFormat="1">
      <c r="B21" s="56" t="str">
        <f>+'P&amp;L Forecast'!B31</f>
        <v>Indirect Labor</v>
      </c>
      <c r="C21" s="64">
        <f>+'P&amp;L Forecast'!C31</f>
        <v>101.37520000000001</v>
      </c>
      <c r="D21" s="64">
        <f>+'P&amp;L Forecast'!D31</f>
        <v>281.24054000000001</v>
      </c>
      <c r="E21" s="23"/>
      <c r="F21" s="64">
        <f>+'P&amp;L Forecast'!F31</f>
        <v>136.29648</v>
      </c>
      <c r="G21" s="64">
        <f>+'P&amp;L Forecast'!G31</f>
        <v>357.27472</v>
      </c>
      <c r="H21" s="23"/>
      <c r="I21" s="64">
        <f>+'P&amp;L Forecast'!I31</f>
        <v>202.41598000000002</v>
      </c>
      <c r="J21" s="64">
        <f>+'P&amp;L Forecast'!J31</f>
        <v>502.21877999999998</v>
      </c>
      <c r="K21" s="64">
        <f>+'P&amp;L Forecast'!K31</f>
        <v>681.3</v>
      </c>
      <c r="L21" s="52"/>
      <c r="M21" s="23">
        <f>K21-J21</f>
        <v>179.08121999999997</v>
      </c>
      <c r="N21" s="66">
        <f>IFERROR(K21/J21-1,0)</f>
        <v>0.35658009443613392</v>
      </c>
      <c r="P21" s="149">
        <f>K21/$K$30</f>
        <v>0.32533849361983658</v>
      </c>
    </row>
    <row r="22" spans="2:46">
      <c r="B22" s="56" t="str">
        <f>+'P&amp;L Forecast'!B32</f>
        <v>Bookkeeper Wages</v>
      </c>
      <c r="C22" s="64">
        <f>+'P&amp;L Forecast'!C32</f>
        <v>183.36902999999998</v>
      </c>
      <c r="D22" s="64">
        <f>+'P&amp;L Forecast'!D32</f>
        <v>316.18462</v>
      </c>
      <c r="E22" s="23"/>
      <c r="F22" s="64">
        <f>+'P&amp;L Forecast'!F32</f>
        <v>147.26813000000001</v>
      </c>
      <c r="G22" s="64">
        <f>+'P&amp;L Forecast'!G32</f>
        <v>267.75739999999996</v>
      </c>
      <c r="H22" s="23"/>
      <c r="I22" s="64">
        <f>+'P&amp;L Forecast'!I32</f>
        <v>240.18097999999998</v>
      </c>
      <c r="J22" s="64">
        <f>+'P&amp;L Forecast'!J32</f>
        <v>436.67388999999997</v>
      </c>
      <c r="K22" s="64">
        <f>+'P&amp;L Forecast'!K32</f>
        <v>492.6</v>
      </c>
      <c r="L22" s="52"/>
      <c r="M22" s="23">
        <f t="shared" ref="M22:M29" si="4">K22-J22</f>
        <v>55.926110000000051</v>
      </c>
      <c r="N22" s="66">
        <f t="shared" ref="N22:N29" si="5">IFERROR(K22/J22-1,0)</f>
        <v>0.12807294248804313</v>
      </c>
      <c r="P22" s="149">
        <f t="shared" ref="P22:P29" si="6">K22/$K$30</f>
        <v>0.23522932916062164</v>
      </c>
    </row>
    <row r="23" spans="2:46">
      <c r="B23" s="56" t="str">
        <f>+'P&amp;L Forecast'!B33</f>
        <v>Client Lead Wages</v>
      </c>
      <c r="C23" s="64">
        <f>+'P&amp;L Forecast'!C33</f>
        <v>286.16129000000001</v>
      </c>
      <c r="D23" s="64">
        <f>+'P&amp;L Forecast'!D33</f>
        <v>352.95844</v>
      </c>
      <c r="E23" s="23"/>
      <c r="F23" s="64">
        <f>+'P&amp;L Forecast'!F33</f>
        <v>201.27983</v>
      </c>
      <c r="G23" s="64">
        <f>+'P&amp;L Forecast'!G33</f>
        <v>202.05309</v>
      </c>
      <c r="H23" s="23"/>
      <c r="I23" s="64">
        <f>+'P&amp;L Forecast'!I33</f>
        <v>353.12842999999998</v>
      </c>
      <c r="J23" s="64">
        <f>+'P&amp;L Forecast'!J33</f>
        <v>353.7317000000001</v>
      </c>
      <c r="K23" s="64">
        <f>+'P&amp;L Forecast'!K33</f>
        <v>392.92452000000003</v>
      </c>
      <c r="L23" s="52"/>
      <c r="M23" s="23">
        <f t="shared" si="4"/>
        <v>39.192819999999926</v>
      </c>
      <c r="N23" s="66">
        <f t="shared" si="5"/>
        <v>0.11079815577738694</v>
      </c>
      <c r="P23" s="149">
        <f t="shared" si="6"/>
        <v>0.18763169153544307</v>
      </c>
    </row>
    <row r="24" spans="2:46">
      <c r="B24" s="56" t="str">
        <f>+'P&amp;L Forecast'!B34</f>
        <v>Onboarding Team Wages</v>
      </c>
      <c r="C24" s="64">
        <f>+'P&amp;L Forecast'!C34</f>
        <v>122.81254999999999</v>
      </c>
      <c r="D24" s="64">
        <f>+'P&amp;L Forecast'!D34</f>
        <v>152.16972000000001</v>
      </c>
      <c r="E24" s="23"/>
      <c r="F24" s="64">
        <f>+'P&amp;L Forecast'!F34</f>
        <v>73.949619999999996</v>
      </c>
      <c r="G24" s="64">
        <f>+'P&amp;L Forecast'!G34</f>
        <v>111.27999</v>
      </c>
      <c r="H24" s="23"/>
      <c r="I24" s="64">
        <f>+'P&amp;L Forecast'!I34</f>
        <v>121.30735</v>
      </c>
      <c r="J24" s="64">
        <f>+'P&amp;L Forecast'!J34</f>
        <v>189.50009</v>
      </c>
      <c r="K24" s="64">
        <f>+'P&amp;L Forecast'!K34</f>
        <v>197.14943999999997</v>
      </c>
      <c r="L24" s="52"/>
      <c r="M24" s="23">
        <f t="shared" si="4"/>
        <v>7.6493499999999699</v>
      </c>
      <c r="N24" s="66">
        <f t="shared" si="5"/>
        <v>4.0365943889525191E-2</v>
      </c>
      <c r="P24" s="149">
        <f t="shared" si="6"/>
        <v>9.4143992114478714E-2</v>
      </c>
    </row>
    <row r="25" spans="2:46" s="14" customFormat="1">
      <c r="B25" s="56" t="str">
        <f>+'P&amp;L Forecast'!B35</f>
        <v>Owner Wages</v>
      </c>
      <c r="C25" s="64">
        <f>+'P&amp;L Forecast'!C35</f>
        <v>0</v>
      </c>
      <c r="D25" s="64">
        <f>+'P&amp;L Forecast'!D35</f>
        <v>90.66704</v>
      </c>
      <c r="E25" s="23"/>
      <c r="F25" s="64">
        <f>+'P&amp;L Forecast'!F35</f>
        <v>45.466120000000004</v>
      </c>
      <c r="G25" s="64">
        <f>+'P&amp;L Forecast'!G35</f>
        <v>63.143019999999993</v>
      </c>
      <c r="H25" s="23"/>
      <c r="I25" s="64">
        <f>+'P&amp;L Forecast'!I35</f>
        <v>45.466120000000004</v>
      </c>
      <c r="J25" s="64">
        <f>+'P&amp;L Forecast'!J35</f>
        <v>108.34394</v>
      </c>
      <c r="K25" s="64">
        <f>+'P&amp;L Forecast'!K35</f>
        <v>108.34394</v>
      </c>
      <c r="L25" s="52"/>
      <c r="M25" s="23">
        <f t="shared" si="4"/>
        <v>0</v>
      </c>
      <c r="N25" s="66">
        <f t="shared" si="5"/>
        <v>0</v>
      </c>
      <c r="P25" s="149">
        <f t="shared" si="6"/>
        <v>5.1737053034548598E-2</v>
      </c>
    </row>
    <row r="26" spans="2:46" s="14" customFormat="1">
      <c r="B26" s="56" t="str">
        <f>+'P&amp;L Forecast'!B36</f>
        <v>S&amp;M Wages</v>
      </c>
      <c r="C26" s="64">
        <f>+'P&amp;L Forecast'!C36</f>
        <v>0</v>
      </c>
      <c r="D26" s="64">
        <f>+'P&amp;L Forecast'!D36</f>
        <v>19.149630000000002</v>
      </c>
      <c r="E26" s="23"/>
      <c r="F26" s="64">
        <f>+'P&amp;L Forecast'!F36</f>
        <v>3.09945</v>
      </c>
      <c r="G26" s="64">
        <f>+'P&amp;L Forecast'!G36</f>
        <v>51.941310000000001</v>
      </c>
      <c r="H26" s="23"/>
      <c r="I26" s="64">
        <f>+'P&amp;L Forecast'!I36</f>
        <v>3.09945</v>
      </c>
      <c r="J26" s="64">
        <f>+'P&amp;L Forecast'!J36</f>
        <v>67.991489999999999</v>
      </c>
      <c r="K26" s="64">
        <f>+'P&amp;L Forecast'!K36</f>
        <v>98.349119999999999</v>
      </c>
      <c r="L26" s="52"/>
      <c r="M26" s="23">
        <f t="shared" si="4"/>
        <v>30.35763</v>
      </c>
      <c r="N26" s="66">
        <f t="shared" si="5"/>
        <v>0.44649161240619972</v>
      </c>
      <c r="P26" s="149">
        <f t="shared" si="6"/>
        <v>4.6964266181765073E-2</v>
      </c>
    </row>
    <row r="27" spans="2:46">
      <c r="B27" s="56" t="str">
        <f>+'P&amp;L Forecast'!B37</f>
        <v>Occupancy Tax Specialist</v>
      </c>
      <c r="C27" s="64">
        <f>+'P&amp;L Forecast'!C37</f>
        <v>1.1133499999999998</v>
      </c>
      <c r="D27" s="64">
        <f>+'P&amp;L Forecast'!D37</f>
        <v>29.564150000000001</v>
      </c>
      <c r="E27" s="23"/>
      <c r="F27" s="64">
        <f>+'P&amp;L Forecast'!F37</f>
        <v>14.275850000000002</v>
      </c>
      <c r="G27" s="64">
        <f>+'P&amp;L Forecast'!G37</f>
        <v>42.085049999999995</v>
      </c>
      <c r="H27" s="23"/>
      <c r="I27" s="64">
        <f>+'P&amp;L Forecast'!I37</f>
        <v>15.389199999999999</v>
      </c>
      <c r="J27" s="64">
        <f>+'P&amp;L Forecast'!J37</f>
        <v>57.373349999999995</v>
      </c>
      <c r="K27" s="64">
        <f>+'P&amp;L Forecast'!K37</f>
        <v>58.2</v>
      </c>
      <c r="L27" s="52"/>
      <c r="M27" s="23">
        <f t="shared" si="4"/>
        <v>0.82665000000000788</v>
      </c>
      <c r="N27" s="66">
        <f t="shared" si="5"/>
        <v>1.4408257492372512E-2</v>
      </c>
      <c r="P27" s="149">
        <f t="shared" si="6"/>
        <v>2.7792015747357245E-2</v>
      </c>
    </row>
    <row r="28" spans="2:46">
      <c r="B28" s="56" t="str">
        <f>+'P&amp;L Forecast'!B38</f>
        <v>Sr. Client Lead Wages</v>
      </c>
      <c r="C28" s="64">
        <f>+'P&amp;L Forecast'!C38</f>
        <v>0</v>
      </c>
      <c r="D28" s="64">
        <f>+'P&amp;L Forecast'!D38</f>
        <v>0</v>
      </c>
      <c r="E28" s="23"/>
      <c r="F28" s="64">
        <f>+'P&amp;L Forecast'!F38</f>
        <v>0</v>
      </c>
      <c r="G28" s="64">
        <f>+'P&amp;L Forecast'!G38</f>
        <v>7.9949999999999992</v>
      </c>
      <c r="H28" s="23"/>
      <c r="I28" s="64">
        <f>+'P&amp;L Forecast'!I38</f>
        <v>0</v>
      </c>
      <c r="J28" s="64">
        <f>+'P&amp;L Forecast'!J38</f>
        <v>7.9949999999999992</v>
      </c>
      <c r="K28" s="64">
        <f>+'P&amp;L Forecast'!K38</f>
        <v>33.081240000000001</v>
      </c>
      <c r="L28" s="52"/>
      <c r="M28" s="23">
        <f t="shared" si="4"/>
        <v>25.086240000000004</v>
      </c>
      <c r="N28" s="66">
        <f t="shared" si="5"/>
        <v>3.1377410881801131</v>
      </c>
      <c r="P28" s="149">
        <f t="shared" si="6"/>
        <v>1.5797153660173615E-2</v>
      </c>
    </row>
    <row r="29" spans="2:46">
      <c r="B29" s="56" t="str">
        <f>+'P&amp;L Forecast'!B39</f>
        <v>Employee Benefits</v>
      </c>
      <c r="C29" s="64">
        <f>+'P&amp;L Forecast'!C39</f>
        <v>5.3740499999999995</v>
      </c>
      <c r="D29" s="64">
        <f>+'P&amp;L Forecast'!D39</f>
        <v>19.23245</v>
      </c>
      <c r="E29" s="23"/>
      <c r="F29" s="64">
        <f>+'P&amp;L Forecast'!F39</f>
        <v>9.0216600000000007</v>
      </c>
      <c r="G29" s="64">
        <f>+'P&amp;L Forecast'!G39</f>
        <v>17.36251</v>
      </c>
      <c r="H29" s="23"/>
      <c r="I29" s="64">
        <f>+'P&amp;L Forecast'!I39</f>
        <v>12.16686</v>
      </c>
      <c r="J29" s="64">
        <f>+'P&amp;L Forecast'!J39</f>
        <v>27.573299999999996</v>
      </c>
      <c r="K29" s="64">
        <f>+'P&amp;L Forecast'!K39</f>
        <v>32.178359999999998</v>
      </c>
      <c r="L29" s="52"/>
      <c r="M29" s="23">
        <f t="shared" si="4"/>
        <v>4.6050600000000017</v>
      </c>
      <c r="N29" s="66">
        <f t="shared" si="5"/>
        <v>0.16701156553622543</v>
      </c>
      <c r="P29" s="149">
        <f t="shared" si="6"/>
        <v>1.5366004945775436E-2</v>
      </c>
    </row>
    <row r="30" spans="2:46" ht="12" customHeight="1">
      <c r="B30" s="58" t="str">
        <f>+'P&amp;L Forecast'!B40</f>
        <v>Total Payroll Expenses</v>
      </c>
      <c r="C30" s="59">
        <f>SUM(C21:C29)</f>
        <v>700.20546999999999</v>
      </c>
      <c r="D30" s="59">
        <f>SUM(D21:D29)</f>
        <v>1261.16659</v>
      </c>
      <c r="F30" s="59">
        <f>SUM(F21:F29)</f>
        <v>630.65714000000014</v>
      </c>
      <c r="G30" s="59">
        <f>SUM(G21:G29)</f>
        <v>1120.8920899999996</v>
      </c>
      <c r="I30" s="59">
        <f>SUM(I21:I29)</f>
        <v>993.15437000000009</v>
      </c>
      <c r="J30" s="59">
        <f>SUM(J21:J29)</f>
        <v>1751.4015400000001</v>
      </c>
      <c r="K30" s="59">
        <f>SUM(K21:K29)</f>
        <v>2094.12662</v>
      </c>
      <c r="L30" s="71"/>
      <c r="M30" s="59">
        <f>SUM(M21:M29)</f>
        <v>342.72507999999993</v>
      </c>
      <c r="N30" s="142">
        <f>K30/J30-1</f>
        <v>0.1956861817079365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</row>
    <row r="31" spans="2:46" ht="3.95" customHeight="1">
      <c r="C31" s="33"/>
      <c r="D31" s="35"/>
      <c r="E31" s="35"/>
      <c r="F31" s="35"/>
      <c r="G31" s="35"/>
      <c r="H31" s="35"/>
      <c r="I31" s="33"/>
      <c r="J31" s="35"/>
      <c r="K31" s="35"/>
    </row>
    <row r="32" spans="2:46">
      <c r="B32" s="57" t="str">
        <f>+'P&amp;L Forecast'!B42</f>
        <v>Software &amp; Apps - COGS</v>
      </c>
      <c r="C32" s="64">
        <f>+'P&amp;L Forecast'!C42</f>
        <v>114.42268999999999</v>
      </c>
      <c r="D32" s="64">
        <f>+'P&amp;L Forecast'!D42</f>
        <v>157.49471000000003</v>
      </c>
      <c r="E32" s="34"/>
      <c r="F32" s="64">
        <f>+'P&amp;L Forecast'!F42</f>
        <v>84.968590000000006</v>
      </c>
      <c r="G32" s="64">
        <f>+'P&amp;L Forecast'!G42</f>
        <v>152.28157000000002</v>
      </c>
      <c r="H32" s="34"/>
      <c r="I32" s="64">
        <f>+'P&amp;L Forecast'!I42</f>
        <v>142.28344999999999</v>
      </c>
      <c r="J32" s="64">
        <f>+'P&amp;L Forecast'!J42</f>
        <v>224.80769000000001</v>
      </c>
      <c r="K32" s="64">
        <f>+'P&amp;L Forecast'!K42</f>
        <v>335.70816000000002</v>
      </c>
      <c r="M32" s="23">
        <f t="shared" ref="M32:M35" si="7">K32-J32</f>
        <v>110.90047000000001</v>
      </c>
      <c r="N32" s="66">
        <f t="shared" ref="N32:N35" si="8">IFERROR(K32/J32-1,0)</f>
        <v>0.49331261755325184</v>
      </c>
    </row>
    <row r="33" spans="2:46">
      <c r="B33" s="57" t="str">
        <f>+'P&amp;L Forecast'!B43</f>
        <v>Software &amp; Apps - G&amp;A</v>
      </c>
      <c r="C33" s="64">
        <f>+'P&amp;L Forecast'!C43</f>
        <v>60.915939999999999</v>
      </c>
      <c r="D33" s="64">
        <f>+'P&amp;L Forecast'!D43</f>
        <v>117.05866</v>
      </c>
      <c r="F33" s="64">
        <f>+'P&amp;L Forecast'!F43</f>
        <v>56.811500000000009</v>
      </c>
      <c r="G33" s="64">
        <f>+'P&amp;L Forecast'!G43</f>
        <v>97.04798000000001</v>
      </c>
      <c r="I33" s="64">
        <f>+'P&amp;L Forecast'!I43</f>
        <v>86.514889999999994</v>
      </c>
      <c r="J33" s="64">
        <f>+'P&amp;L Forecast'!J43</f>
        <v>157.29514</v>
      </c>
      <c r="K33" s="64">
        <f>+'P&amp;L Forecast'!K43</f>
        <v>155.82264000000001</v>
      </c>
      <c r="M33" s="23">
        <f t="shared" si="7"/>
        <v>-1.4724999999999966</v>
      </c>
      <c r="N33" s="66">
        <f t="shared" si="8"/>
        <v>-9.3613826848051307E-3</v>
      </c>
    </row>
    <row r="34" spans="2:46">
      <c r="B34" s="57" t="str">
        <f>+'P&amp;L Forecast'!B44</f>
        <v>Software &amp; Apps - Topkey</v>
      </c>
      <c r="C34" s="64">
        <f>+'P&amp;L Forecast'!C44</f>
        <v>0</v>
      </c>
      <c r="D34" s="64">
        <f>+'P&amp;L Forecast'!D44</f>
        <v>7.1412499999999994</v>
      </c>
      <c r="F34" s="64">
        <f>+'P&amp;L Forecast'!F44</f>
        <v>0</v>
      </c>
      <c r="G34" s="64">
        <f>+'P&amp;L Forecast'!G44</f>
        <v>28.827750000000002</v>
      </c>
      <c r="I34" s="64">
        <f>+'P&amp;L Forecast'!I44</f>
        <v>0</v>
      </c>
      <c r="J34" s="64">
        <f>+'P&amp;L Forecast'!J44</f>
        <v>35.969000000000001</v>
      </c>
      <c r="K34" s="64">
        <f>+'P&amp;L Forecast'!K44</f>
        <v>60.84</v>
      </c>
      <c r="M34" s="23">
        <f t="shared" si="7"/>
        <v>24.871000000000002</v>
      </c>
      <c r="N34" s="66">
        <f t="shared" si="8"/>
        <v>0.69145653201367852</v>
      </c>
    </row>
    <row r="35" spans="2:46">
      <c r="B35" s="57" t="str">
        <f>+'P&amp;L Forecast'!B45</f>
        <v>Software &amp; Apps - AI tools</v>
      </c>
      <c r="C35" s="64">
        <f>+'P&amp;L Forecast'!C45</f>
        <v>0</v>
      </c>
      <c r="D35" s="64">
        <f>+'P&amp;L Forecast'!D45</f>
        <v>0</v>
      </c>
      <c r="F35" s="64">
        <f>+'P&amp;L Forecast'!F45</f>
        <v>0</v>
      </c>
      <c r="G35" s="64">
        <f>+'P&amp;L Forecast'!G45</f>
        <v>6.52752</v>
      </c>
      <c r="I35" s="64">
        <f>+'P&amp;L Forecast'!I45</f>
        <v>0</v>
      </c>
      <c r="J35" s="64">
        <f>+'P&amp;L Forecast'!J45</f>
        <v>6.52752</v>
      </c>
      <c r="K35" s="64">
        <f>+'P&amp;L Forecast'!K45</f>
        <v>15.743759999999998</v>
      </c>
      <c r="M35" s="23">
        <f t="shared" si="7"/>
        <v>9.2162399999999991</v>
      </c>
      <c r="N35" s="66">
        <f t="shared" si="8"/>
        <v>1.4119052871534667</v>
      </c>
    </row>
    <row r="36" spans="2:46" ht="12" customHeight="1">
      <c r="B36" s="58" t="str">
        <f>+'P&amp;L Forecast'!B46</f>
        <v>Total Software Expenses</v>
      </c>
      <c r="C36" s="59">
        <f>SUM(C32:C35)</f>
        <v>175.33862999999999</v>
      </c>
      <c r="D36" s="59">
        <f>SUM(D32:D35)</f>
        <v>281.69462000000004</v>
      </c>
      <c r="F36" s="59">
        <f>SUM(F32:F35)</f>
        <v>141.78009000000003</v>
      </c>
      <c r="G36" s="59">
        <f>SUM(G32:G35)</f>
        <v>284.68482</v>
      </c>
      <c r="I36" s="59">
        <f>SUM(I32:I35)</f>
        <v>228.79834</v>
      </c>
      <c r="J36" s="59">
        <f>SUM(J32:J35)</f>
        <v>424.59935000000002</v>
      </c>
      <c r="K36" s="59">
        <f>SUM(K32:K35)</f>
        <v>568.11455999999998</v>
      </c>
      <c r="L36" s="71"/>
      <c r="M36" s="59">
        <f>SUM(M32:M35)</f>
        <v>143.51521000000002</v>
      </c>
      <c r="N36" s="142">
        <f>K36/J36-1</f>
        <v>0.33800148304513411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</row>
    <row r="37" spans="2:46" ht="3.95" customHeight="1">
      <c r="C37" s="34"/>
      <c r="D37" s="34"/>
      <c r="E37" s="34"/>
      <c r="F37" s="34"/>
      <c r="G37" s="34"/>
      <c r="H37" s="34"/>
      <c r="I37" s="34"/>
      <c r="J37" s="34"/>
      <c r="K37" s="34"/>
    </row>
    <row r="38" spans="2:46">
      <c r="B38" s="57" t="str">
        <f>+'P&amp;L Forecast'!B48</f>
        <v>Other Professional Fees</v>
      </c>
      <c r="C38" s="64">
        <f>+'P&amp;L Forecast'!C48</f>
        <v>18.234249999999999</v>
      </c>
      <c r="D38" s="64">
        <f>+'P&amp;L Forecast'!D48</f>
        <v>27.040950000000002</v>
      </c>
      <c r="F38" s="64">
        <f>+'P&amp;L Forecast'!F48</f>
        <v>12.014000000000001</v>
      </c>
      <c r="G38" s="64">
        <f>+'P&amp;L Forecast'!G48</f>
        <v>57.55</v>
      </c>
      <c r="I38" s="64">
        <f>+'P&amp;L Forecast'!I48</f>
        <v>21.74858</v>
      </c>
      <c r="J38" s="64">
        <f>+'P&amp;L Forecast'!J48</f>
        <v>72.576949999999997</v>
      </c>
      <c r="K38" s="64">
        <f>+'P&amp;L Forecast'!K48</f>
        <v>72.576949999999997</v>
      </c>
      <c r="M38" s="23">
        <f>K38-J38</f>
        <v>0</v>
      </c>
      <c r="N38" s="66">
        <f>IFERROR(K38/J38-1,0)</f>
        <v>0</v>
      </c>
    </row>
    <row r="39" spans="2:46">
      <c r="B39" s="57" t="str">
        <f>+'P&amp;L Forecast'!B49</f>
        <v>Referral Fees</v>
      </c>
      <c r="C39" s="64">
        <f>+'P&amp;L Forecast'!C49</f>
        <v>24.819999999999997</v>
      </c>
      <c r="D39" s="64">
        <f>+'P&amp;L Forecast'!D49</f>
        <v>27.153739999999999</v>
      </c>
      <c r="F39" s="64">
        <f>+'P&amp;L Forecast'!F49</f>
        <v>17.089500000000001</v>
      </c>
      <c r="G39" s="64">
        <f>+'P&amp;L Forecast'!G49</f>
        <v>20.62969</v>
      </c>
      <c r="I39" s="64">
        <f>+'P&amp;L Forecast'!I49</f>
        <v>26.209499999999998</v>
      </c>
      <c r="J39" s="64">
        <f>+'P&amp;L Forecast'!J49</f>
        <v>30.693929999999998</v>
      </c>
      <c r="K39" s="64">
        <f>+'P&amp;L Forecast'!K49</f>
        <v>30.693929999999998</v>
      </c>
      <c r="M39" s="23">
        <f t="shared" ref="M39:M46" si="9">K39-J39</f>
        <v>0</v>
      </c>
      <c r="N39" s="66">
        <f t="shared" ref="N39:N46" si="10">IFERROR(K39/J39-1,0)</f>
        <v>0</v>
      </c>
    </row>
    <row r="40" spans="2:46">
      <c r="B40" s="57" t="str">
        <f>+'P&amp;L Forecast'!B50</f>
        <v>Travel, Meals &amp; Entertainment</v>
      </c>
      <c r="C40" s="64">
        <f>+'P&amp;L Forecast'!C50</f>
        <v>0</v>
      </c>
      <c r="D40" s="64">
        <f>+'P&amp;L Forecast'!D50</f>
        <v>29.761219999999998</v>
      </c>
      <c r="F40" s="64">
        <f>+'P&amp;L Forecast'!F50</f>
        <v>22.295579999999998</v>
      </c>
      <c r="G40" s="64">
        <f>+'P&amp;L Forecast'!G50</f>
        <v>20.685420000000001</v>
      </c>
      <c r="I40" s="64">
        <f>+'P&amp;L Forecast'!I50</f>
        <v>22.295579999999998</v>
      </c>
      <c r="J40" s="64">
        <f>+'P&amp;L Forecast'!J50</f>
        <v>28.151060000000001</v>
      </c>
      <c r="K40" s="64">
        <f>+'P&amp;L Forecast'!K50</f>
        <v>28.151060000000001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Forecast'!B51</f>
        <v>Payment Collection Fees</v>
      </c>
      <c r="C41" s="64">
        <f>+'P&amp;L Forecast'!C51</f>
        <v>8.670989999999998</v>
      </c>
      <c r="D41" s="64">
        <f>+'P&amp;L Forecast'!D51</f>
        <v>13.35153</v>
      </c>
      <c r="F41" s="64">
        <f>+'P&amp;L Forecast'!F51</f>
        <v>6.8044500000000001</v>
      </c>
      <c r="G41" s="64">
        <f>+'P&amp;L Forecast'!G51</f>
        <v>9.02684</v>
      </c>
      <c r="I41" s="64">
        <f>+'P&amp;L Forecast'!I51</f>
        <v>10.54373</v>
      </c>
      <c r="J41" s="64">
        <f>+'P&amp;L Forecast'!J51</f>
        <v>15.573919999999999</v>
      </c>
      <c r="K41" s="64">
        <f>+'P&amp;L Forecast'!K51</f>
        <v>15.573919999999999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Forecast'!B52</f>
        <v>Professional Organizations</v>
      </c>
      <c r="C42" s="64">
        <f>+'P&amp;L Forecast'!C52</f>
        <v>5.4433199999999999</v>
      </c>
      <c r="D42" s="64">
        <f>+'P&amp;L Forecast'!D52</f>
        <v>11.22296</v>
      </c>
      <c r="F42" s="64">
        <f>+'P&amp;L Forecast'!F52</f>
        <v>6.1909999999999989</v>
      </c>
      <c r="G42" s="64">
        <f>+'P&amp;L Forecast'!G52</f>
        <v>6.5788099999999998</v>
      </c>
      <c r="I42" s="64">
        <f>+'P&amp;L Forecast'!I52</f>
        <v>9.5326799999999974</v>
      </c>
      <c r="J42" s="64">
        <f>+'P&amp;L Forecast'!J52</f>
        <v>11.61077</v>
      </c>
      <c r="K42" s="64">
        <f>+'P&amp;L Forecast'!K52</f>
        <v>11.61077</v>
      </c>
      <c r="M42" s="23">
        <f t="shared" si="9"/>
        <v>0</v>
      </c>
      <c r="N42" s="66">
        <f t="shared" si="10"/>
        <v>0</v>
      </c>
    </row>
    <row r="43" spans="2:46">
      <c r="B43" s="57" t="str">
        <f>+'P&amp;L Forecast'!B53</f>
        <v>S&amp;M Events</v>
      </c>
      <c r="C43" s="64">
        <f>+'P&amp;L Forecast'!C53</f>
        <v>0</v>
      </c>
      <c r="D43" s="64">
        <f>+'P&amp;L Forecast'!D53</f>
        <v>11.4983</v>
      </c>
      <c r="F43" s="64">
        <f>+'P&amp;L Forecast'!F53</f>
        <v>0</v>
      </c>
      <c r="G43" s="64">
        <f>+'P&amp;L Forecast'!G53</f>
        <v>11.84548</v>
      </c>
      <c r="I43" s="64">
        <f>+'P&amp;L Forecast'!I53</f>
        <v>0</v>
      </c>
      <c r="J43" s="64">
        <f>+'P&amp;L Forecast'!J53</f>
        <v>23.343780000000002</v>
      </c>
      <c r="K43" s="64">
        <f>+'P&amp;L Forecast'!K53</f>
        <v>23.343780000000002</v>
      </c>
      <c r="M43" s="23">
        <f t="shared" si="9"/>
        <v>0</v>
      </c>
      <c r="N43" s="66">
        <f t="shared" si="10"/>
        <v>0</v>
      </c>
    </row>
    <row r="44" spans="2:46">
      <c r="B44" s="57" t="str">
        <f>+'P&amp;L Forecast'!B54</f>
        <v>Contract Labor - Tax</v>
      </c>
      <c r="C44" s="64">
        <f>+'P&amp;L Forecast'!C54</f>
        <v>0</v>
      </c>
      <c r="D44" s="64">
        <f>+'P&amp;L Forecast'!D54</f>
        <v>1.5874999999999999</v>
      </c>
      <c r="F44" s="64">
        <f>+'P&amp;L Forecast'!F54</f>
        <v>0</v>
      </c>
      <c r="G44" s="64">
        <f>+'P&amp;L Forecast'!G54</f>
        <v>30.515499999999999</v>
      </c>
      <c r="I44" s="64">
        <f>+'P&amp;L Forecast'!I54</f>
        <v>0</v>
      </c>
      <c r="J44" s="64">
        <f>+'P&amp;L Forecast'!J54</f>
        <v>32.103000000000002</v>
      </c>
      <c r="K44" s="64">
        <f>+'P&amp;L Forecast'!K54</f>
        <v>38.761499999999998</v>
      </c>
      <c r="M44" s="23">
        <f t="shared" si="9"/>
        <v>6.6584999999999965</v>
      </c>
      <c r="N44" s="66">
        <f t="shared" si="10"/>
        <v>0.20741052238108582</v>
      </c>
    </row>
    <row r="45" spans="2:46">
      <c r="B45" s="57" t="str">
        <f>+'P&amp;L Forecast'!B55</f>
        <v>Recruiting Fees</v>
      </c>
      <c r="C45" s="64">
        <f>+'P&amp;L Forecast'!C55</f>
        <v>14.902050000000003</v>
      </c>
      <c r="D45" s="64">
        <f>+'P&amp;L Forecast'!D55</f>
        <v>31.604100000000003</v>
      </c>
      <c r="F45" s="64">
        <f>+'P&amp;L Forecast'!F55</f>
        <v>28.299939999999999</v>
      </c>
      <c r="G45" s="64">
        <f>+'P&amp;L Forecast'!G55</f>
        <v>5.5646000000000004</v>
      </c>
      <c r="I45" s="64">
        <f>+'P&amp;L Forecast'!I55</f>
        <v>35.346060000000008</v>
      </c>
      <c r="J45" s="64">
        <f>+'P&amp;L Forecast'!J55</f>
        <v>8.86876</v>
      </c>
      <c r="K45" s="64">
        <f>+'P&amp;L Forecast'!K55</f>
        <v>8.86876</v>
      </c>
      <c r="M45" s="23">
        <f t="shared" si="9"/>
        <v>0</v>
      </c>
      <c r="N45" s="66">
        <f t="shared" si="10"/>
        <v>0</v>
      </c>
    </row>
    <row r="46" spans="2:46">
      <c r="B46" s="144" t="s">
        <v>107</v>
      </c>
      <c r="C46" s="143">
        <f>+C47-SUM(C38:C45)</f>
        <v>41.879289999999997</v>
      </c>
      <c r="D46" s="143">
        <f>+D47-SUM(D38:D45)</f>
        <v>52.321320000000014</v>
      </c>
      <c r="F46" s="143">
        <f>+F47-SUM(F38:F45)</f>
        <v>28.905420000000021</v>
      </c>
      <c r="G46" s="143">
        <f>+G47-SUM(G38:G45)</f>
        <v>26.904449999999997</v>
      </c>
      <c r="I46" s="143">
        <f>+I47-SUM(I38:I45)</f>
        <v>41.76881000000003</v>
      </c>
      <c r="J46" s="143">
        <f>+J47-SUM(J38:J45)</f>
        <v>50.320349999999991</v>
      </c>
      <c r="K46" s="143">
        <f>+K47-SUM(K38:K45)</f>
        <v>56.05462</v>
      </c>
      <c r="M46" s="23">
        <f t="shared" si="9"/>
        <v>5.7342700000000093</v>
      </c>
      <c r="N46" s="66">
        <f t="shared" si="10"/>
        <v>0.11395528846679337</v>
      </c>
    </row>
    <row r="47" spans="2:46" ht="12" customHeight="1">
      <c r="B47" s="58" t="s">
        <v>299</v>
      </c>
      <c r="C47" s="59">
        <f>+'P&amp;L Forecast'!C66</f>
        <v>113.94989999999999</v>
      </c>
      <c r="D47" s="59">
        <f>+'P&amp;L Forecast'!D66</f>
        <v>205.54162000000002</v>
      </c>
      <c r="F47" s="59">
        <f>+'P&amp;L Forecast'!F66</f>
        <v>121.59989000000002</v>
      </c>
      <c r="G47" s="59">
        <f>+'P&amp;L Forecast'!G66</f>
        <v>189.30078999999998</v>
      </c>
      <c r="I47" s="59">
        <f>+'P&amp;L Forecast'!I66</f>
        <v>167.44494000000003</v>
      </c>
      <c r="J47" s="59">
        <f>+'P&amp;L Forecast'!J66</f>
        <v>273.24252000000001</v>
      </c>
      <c r="K47" s="59">
        <f>+'P&amp;L Forecast'!K66</f>
        <v>285.63529</v>
      </c>
      <c r="L47" s="71"/>
      <c r="M47" s="59">
        <f>SUM(M38:M46)</f>
        <v>12.392770000000006</v>
      </c>
      <c r="N47" s="142">
        <f>K47/J47-1</f>
        <v>4.5354471185524048E-2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</row>
    <row r="48" spans="2:46" ht="3.95" customHeight="1"/>
    <row r="49" spans="2:46">
      <c r="B49" s="104" t="s">
        <v>114</v>
      </c>
      <c r="C49" s="105">
        <f>+C16-C30-C36-C47</f>
        <v>145.4718500000001</v>
      </c>
      <c r="D49" s="106">
        <f>+D16-D30-D36-D47</f>
        <v>130.98029999999983</v>
      </c>
      <c r="F49" s="110">
        <f>+F16-F30-F36-F47</f>
        <v>103.83597999999972</v>
      </c>
      <c r="G49" s="106">
        <f>+G16-G30-G36-G47</f>
        <v>76.14350000000033</v>
      </c>
      <c r="I49" s="110">
        <f>+I16-I30-I36-I47</f>
        <v>135.01299999999992</v>
      </c>
      <c r="J49" s="105">
        <f>+J16-J30-J36-J47</f>
        <v>103.28781999999995</v>
      </c>
      <c r="K49" s="106">
        <f>+K16-K30-K36-K47</f>
        <v>50.664550000000133</v>
      </c>
      <c r="L49" s="71"/>
      <c r="M49" s="110">
        <f>+M16-M30-M36-M47</f>
        <v>-52.623269999999444</v>
      </c>
      <c r="N49" s="112">
        <f t="shared" ref="N49" si="11">IFERROR(K49/J49-1,0)</f>
        <v>-0.50948185371711641</v>
      </c>
    </row>
    <row r="50" spans="2:46">
      <c r="B50" s="107" t="s">
        <v>305</v>
      </c>
      <c r="C50" s="108">
        <f>C49/C$16</f>
        <v>0.12817288731638937</v>
      </c>
      <c r="D50" s="109">
        <f>D49/D$16</f>
        <v>6.9693240249527957E-2</v>
      </c>
      <c r="E50" s="97"/>
      <c r="F50" s="111">
        <f>F49/F$16</f>
        <v>0.10405729947024299</v>
      </c>
      <c r="G50" s="109">
        <f>G49/G$16</f>
        <v>4.5567046067398989E-2</v>
      </c>
      <c r="H50" s="97"/>
      <c r="I50" s="111">
        <f>I49/I$16</f>
        <v>8.8567342402127616E-2</v>
      </c>
      <c r="J50" s="108">
        <f>J49/J$16</f>
        <v>4.0464860443646736E-2</v>
      </c>
      <c r="K50" s="109">
        <f>K49/K$16</f>
        <v>1.6896400503468894E-2</v>
      </c>
      <c r="L50" s="103"/>
      <c r="M50" s="111">
        <f>M49/M$16</f>
        <v>-0.11798680472910557</v>
      </c>
      <c r="N50" s="113">
        <v>0</v>
      </c>
    </row>
    <row r="51" spans="2:46" ht="3.95" customHeight="1"/>
    <row r="52" spans="2:46">
      <c r="B52" s="42" t="s">
        <v>460</v>
      </c>
      <c r="C52" s="43"/>
      <c r="D52" s="43"/>
      <c r="E52" s="6"/>
      <c r="F52" s="43"/>
      <c r="G52" s="43"/>
      <c r="H52" s="6"/>
      <c r="I52" s="43"/>
      <c r="J52" s="43"/>
      <c r="K52" s="43"/>
      <c r="M52" s="43"/>
      <c r="N52" s="43"/>
    </row>
    <row r="53" spans="2:46">
      <c r="B53" s="144" t="s">
        <v>1892</v>
      </c>
      <c r="C53" s="53">
        <f>+'P&amp;L Forecast'!C91</f>
        <v>0</v>
      </c>
      <c r="D53" s="53">
        <f>+'P&amp;L Forecast'!D91</f>
        <v>0</v>
      </c>
      <c r="F53" s="53">
        <f>+'P&amp;L Forecast'!F91</f>
        <v>0</v>
      </c>
      <c r="G53" s="53">
        <f>+'P&amp;L Forecast'!G91</f>
        <v>0</v>
      </c>
      <c r="I53" s="53">
        <f>+'P&amp;L Forecast'!I91</f>
        <v>0</v>
      </c>
      <c r="J53" s="53">
        <f>+'P&amp;L Forecast'!J91</f>
        <v>0</v>
      </c>
      <c r="K53" s="53">
        <f>+'P&amp;L Forecast'!K91</f>
        <v>96.800000000000011</v>
      </c>
      <c r="M53" s="23">
        <f t="shared" ref="M53:M59" si="12">K53-J53</f>
        <v>96.800000000000011</v>
      </c>
      <c r="N53" s="66">
        <f t="shared" ref="N53:N59" si="13">IFERROR(K53/J53-1,0)</f>
        <v>0</v>
      </c>
    </row>
    <row r="54" spans="2:46">
      <c r="B54" s="144" t="s">
        <v>67</v>
      </c>
      <c r="C54" s="53">
        <f>+'P&amp;L Forecast'!C90</f>
        <v>18.234249999999999</v>
      </c>
      <c r="D54" s="53">
        <f>+'P&amp;L Forecast'!D90</f>
        <v>27.040950000000002</v>
      </c>
      <c r="F54" s="53">
        <f>+'P&amp;L Forecast'!F90</f>
        <v>12.014000000000001</v>
      </c>
      <c r="G54" s="53">
        <f>+'P&amp;L Forecast'!G90</f>
        <v>57.55</v>
      </c>
      <c r="I54" s="53">
        <f>+'P&amp;L Forecast'!I90</f>
        <v>21.74858</v>
      </c>
      <c r="J54" s="53">
        <f>+'P&amp;L Forecast'!J90</f>
        <v>72.576949999999997</v>
      </c>
      <c r="K54" s="53">
        <f>+'P&amp;L Forecast'!K90</f>
        <v>72.576949999999997</v>
      </c>
      <c r="M54" s="23">
        <f t="shared" si="12"/>
        <v>0</v>
      </c>
      <c r="N54" s="66">
        <f t="shared" si="13"/>
        <v>0</v>
      </c>
    </row>
    <row r="55" spans="2:46">
      <c r="B55" s="144" t="s">
        <v>1897</v>
      </c>
      <c r="C55" s="53">
        <f>+'P&amp;L Forecast'!C92</f>
        <v>0</v>
      </c>
      <c r="D55" s="53">
        <f>+'P&amp;L Forecast'!D92</f>
        <v>0</v>
      </c>
      <c r="F55" s="53">
        <f>+'P&amp;L Forecast'!F92</f>
        <v>0</v>
      </c>
      <c r="G55" s="53">
        <f>+'P&amp;L Forecast'!G92</f>
        <v>0</v>
      </c>
      <c r="I55" s="53">
        <f>+'P&amp;L Forecast'!I92</f>
        <v>0</v>
      </c>
      <c r="J55" s="53">
        <f>+'P&amp;L Forecast'!J92</f>
        <v>0</v>
      </c>
      <c r="K55" s="53">
        <f>+'P&amp;L Forecast'!K92</f>
        <v>50.703312800560958</v>
      </c>
      <c r="M55" s="23">
        <f t="shared" si="12"/>
        <v>50.703312800560958</v>
      </c>
      <c r="N55" s="66">
        <f t="shared" si="13"/>
        <v>0</v>
      </c>
    </row>
    <row r="56" spans="2:46">
      <c r="B56" s="144" t="s">
        <v>461</v>
      </c>
      <c r="C56" s="53">
        <f>SUM('P&amp;L Forecast'!C75:C77)</f>
        <v>14.249639999999999</v>
      </c>
      <c r="D56" s="53">
        <f>SUM('P&amp;L Forecast'!D75:D77)</f>
        <v>18.07948</v>
      </c>
      <c r="F56" s="53">
        <f>SUM('P&amp;L Forecast'!F75:F77)</f>
        <v>6.9710400000000003</v>
      </c>
      <c r="G56" s="53">
        <f>SUM('P&amp;L Forecast'!G75:G77)</f>
        <v>1.9830299999999998</v>
      </c>
      <c r="I56" s="53">
        <f>SUM('P&amp;L Forecast'!I75:I77)</f>
        <v>12.50268</v>
      </c>
      <c r="J56" s="53">
        <f>SUM('P&amp;L Forecast'!J75:J77)</f>
        <v>13.091469999999999</v>
      </c>
      <c r="K56" s="53">
        <f>SUM('P&amp;L Forecast'!K75:K77)</f>
        <v>13.091469999999999</v>
      </c>
      <c r="M56" s="23">
        <f t="shared" si="12"/>
        <v>0</v>
      </c>
      <c r="N56" s="66">
        <f t="shared" si="13"/>
        <v>0</v>
      </c>
    </row>
    <row r="57" spans="2:46">
      <c r="B57" s="144" t="s">
        <v>306</v>
      </c>
      <c r="C57" s="53">
        <f>+'P&amp;L Forecast'!C82+'P&amp;L Forecast'!C83</f>
        <v>1.0598299999999998</v>
      </c>
      <c r="D57" s="53">
        <f>+'P&amp;L Forecast'!D82+'P&amp;L Forecast'!D83</f>
        <v>5.9953300000000009</v>
      </c>
      <c r="F57" s="53">
        <f>+'P&amp;L Forecast'!F82+'P&amp;L Forecast'!F83</f>
        <v>2.0263300000000002</v>
      </c>
      <c r="G57" s="53">
        <f>+'P&amp;L Forecast'!G82+'P&amp;L Forecast'!G83</f>
        <v>1.9429999999999996</v>
      </c>
      <c r="I57" s="53">
        <f>+'P&amp;L Forecast'!I82+'P&amp;L Forecast'!I83</f>
        <v>2.4513300000000005</v>
      </c>
      <c r="J57" s="53">
        <f>+'P&amp;L Forecast'!J82+'P&amp;L Forecast'!J83</f>
        <v>5.9120000000000008</v>
      </c>
      <c r="K57" s="53">
        <f>+'P&amp;L Forecast'!K82+'P&amp;L Forecast'!K83</f>
        <v>5.9120000000000008</v>
      </c>
      <c r="M57" s="23">
        <f t="shared" si="12"/>
        <v>0</v>
      </c>
      <c r="N57" s="66">
        <f t="shared" si="13"/>
        <v>0</v>
      </c>
    </row>
    <row r="58" spans="2:46">
      <c r="B58" s="144" t="s">
        <v>1599</v>
      </c>
      <c r="C58" s="53">
        <f>+'P&amp;L Forecast'!C89</f>
        <v>0</v>
      </c>
      <c r="D58" s="53">
        <f>+'P&amp;L Forecast'!D89</f>
        <v>0</v>
      </c>
      <c r="F58" s="53">
        <f>+'P&amp;L Forecast'!F89</f>
        <v>0</v>
      </c>
      <c r="G58" s="53">
        <f>+'P&amp;L Forecast'!G89</f>
        <v>0</v>
      </c>
      <c r="I58" s="53">
        <f>+'P&amp;L Forecast'!I89</f>
        <v>0</v>
      </c>
      <c r="J58" s="53">
        <f>+'P&amp;L Forecast'!J89</f>
        <v>0</v>
      </c>
      <c r="K58" s="53">
        <f>+'P&amp;L Forecast'!K89</f>
        <v>-116.25</v>
      </c>
      <c r="M58" s="23">
        <f t="shared" si="12"/>
        <v>-116.25</v>
      </c>
      <c r="N58" s="66">
        <f t="shared" si="13"/>
        <v>0</v>
      </c>
    </row>
    <row r="59" spans="2:46">
      <c r="B59" s="144" t="s">
        <v>462</v>
      </c>
      <c r="C59" s="53">
        <f>+'P&amp;L Forecast'!C88</f>
        <v>-228.245</v>
      </c>
      <c r="D59" s="53">
        <f>+'P&amp;L Forecast'!D88</f>
        <v>-137.57796000000002</v>
      </c>
      <c r="F59" s="53">
        <f>+'P&amp;L Forecast'!F88</f>
        <v>-182.77888000000002</v>
      </c>
      <c r="G59" s="53">
        <f>+'P&amp;L Forecast'!G88</f>
        <v>-165.10198000000003</v>
      </c>
      <c r="I59" s="53">
        <f>+'P&amp;L Forecast'!I88</f>
        <v>-182.77888000000002</v>
      </c>
      <c r="J59" s="53">
        <f>+'P&amp;L Forecast'!J88</f>
        <v>-119.90106</v>
      </c>
      <c r="K59" s="53">
        <f>+'P&amp;L Forecast'!K88</f>
        <v>-119.90106</v>
      </c>
      <c r="M59" s="23">
        <f t="shared" si="12"/>
        <v>0</v>
      </c>
      <c r="N59" s="66">
        <f t="shared" si="13"/>
        <v>0</v>
      </c>
    </row>
    <row r="60" spans="2:46" ht="12" customHeight="1">
      <c r="B60" s="58" t="s">
        <v>324</v>
      </c>
      <c r="C60" s="59">
        <f>SUM(C53:C59)</f>
        <v>-194.70128</v>
      </c>
      <c r="D60" s="59">
        <f>SUM(D53:D59)</f>
        <v>-86.462200000000024</v>
      </c>
      <c r="F60" s="59">
        <f>SUM(F53:F59)</f>
        <v>-161.76751000000002</v>
      </c>
      <c r="G60" s="59">
        <f>SUM(G53:G59)</f>
        <v>-103.62595000000003</v>
      </c>
      <c r="I60" s="59">
        <f>SUM(I53:I59)</f>
        <v>-146.07629000000003</v>
      </c>
      <c r="J60" s="59">
        <f>SUM(J53:J59)</f>
        <v>-28.320639999999997</v>
      </c>
      <c r="K60" s="59">
        <f>SUM(K53:K59)</f>
        <v>2.9326728005609652</v>
      </c>
      <c r="L60" s="71"/>
      <c r="M60" s="59">
        <f>SUM(M53:M59)</f>
        <v>31.253312800560963</v>
      </c>
      <c r="N60" s="142">
        <f>K60/J60-1</f>
        <v>-1.103552490359009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</row>
    <row r="61" spans="2:46" ht="3.95" customHeight="1"/>
    <row r="62" spans="2:46">
      <c r="B62" s="104" t="str">
        <f>+'P&amp;L Forecast'!B95</f>
        <v>Near-Term Adj. EBITDA</v>
      </c>
      <c r="C62" s="105">
        <f>+C49+C60</f>
        <v>-49.229429999999894</v>
      </c>
      <c r="D62" s="106">
        <f>+D49+D60</f>
        <v>44.518099999999805</v>
      </c>
      <c r="F62" s="110">
        <f>+F49+F60</f>
        <v>-57.931530000000294</v>
      </c>
      <c r="G62" s="106">
        <f>+G49+G60</f>
        <v>-27.482449999999702</v>
      </c>
      <c r="I62" s="110">
        <f>+I49+I60</f>
        <v>-11.063290000000109</v>
      </c>
      <c r="J62" s="105">
        <f>+J49+J60</f>
        <v>74.967179999999956</v>
      </c>
      <c r="K62" s="106">
        <f>+K49+K60</f>
        <v>53.597222800561099</v>
      </c>
      <c r="L62" s="71"/>
      <c r="M62" s="110">
        <f>+M49+M60</f>
        <v>-21.369957199438481</v>
      </c>
      <c r="N62" s="112">
        <f t="shared" ref="N62" si="14">IFERROR(K62/J62-1,0)</f>
        <v>-0.28505750382285777</v>
      </c>
    </row>
    <row r="63" spans="2:46">
      <c r="B63" s="107" t="s">
        <v>305</v>
      </c>
      <c r="C63" s="108">
        <f>C62/C$18</f>
        <v>-4.3375252215738382E-2</v>
      </c>
      <c r="D63" s="109">
        <f>D62/D$18</f>
        <v>2.3687612860502694E-2</v>
      </c>
      <c r="E63" s="97"/>
      <c r="F63" s="111">
        <f>F62/F$18</f>
        <v>-5.8055007194802923E-2</v>
      </c>
      <c r="G63" s="109">
        <f>G62/G$18</f>
        <v>-1.6446499900779059E-2</v>
      </c>
      <c r="H63" s="97"/>
      <c r="I63" s="111">
        <f>I62/I$18</f>
        <v>-7.2574210892584019E-3</v>
      </c>
      <c r="J63" s="108">
        <f>J62/J$18</f>
        <v>2.9369740561411253E-2</v>
      </c>
      <c r="K63" s="109">
        <f>K62/K$18</f>
        <v>1.7331224479843636E-2</v>
      </c>
      <c r="L63" s="103"/>
      <c r="M63" s="111">
        <f>M62/M$16</f>
        <v>-4.7913650504035926E-2</v>
      </c>
      <c r="N63" s="113">
        <v>0</v>
      </c>
    </row>
    <row r="64" spans="2:46" ht="3.95" customHeight="1"/>
    <row r="65" spans="2:16">
      <c r="B65" s="144" t="s">
        <v>1845</v>
      </c>
      <c r="C65" s="53">
        <f>+'P&amp;L Forecast'!C101</f>
        <v>0</v>
      </c>
      <c r="D65" s="53">
        <f>+'P&amp;L Forecast'!D101</f>
        <v>0</v>
      </c>
      <c r="F65" s="53">
        <f>+'P&amp;L Forecast'!F101</f>
        <v>0</v>
      </c>
      <c r="G65" s="53">
        <f>+'P&amp;L Forecast'!G101</f>
        <v>0</v>
      </c>
      <c r="I65" s="53">
        <f>+'P&amp;L Forecast'!I101</f>
        <v>0</v>
      </c>
      <c r="J65" s="53">
        <f>+'P&amp;L Forecast'!J101</f>
        <v>0</v>
      </c>
      <c r="K65" s="53">
        <f>+'P&amp;L Forecast'!K101</f>
        <v>220.13062500000001</v>
      </c>
      <c r="M65" s="23">
        <f>K65-J65</f>
        <v>220.13062500000001</v>
      </c>
      <c r="N65" s="66">
        <f t="shared" ref="N65:N70" si="15">IFERROR(K65/J65-1,0)</f>
        <v>0</v>
      </c>
      <c r="P65" s="205"/>
    </row>
    <row r="66" spans="2:16">
      <c r="B66" s="144" t="s">
        <v>1893</v>
      </c>
      <c r="C66" s="53">
        <f>+'P&amp;L Forecast'!C102</f>
        <v>0</v>
      </c>
      <c r="D66" s="53">
        <f>+'P&amp;L Forecast'!D102</f>
        <v>0</v>
      </c>
      <c r="F66" s="53">
        <f>+'P&amp;L Forecast'!F102</f>
        <v>0</v>
      </c>
      <c r="G66" s="53">
        <f>+'P&amp;L Forecast'!G102</f>
        <v>0</v>
      </c>
      <c r="I66" s="53">
        <f>+'P&amp;L Forecast'!I102</f>
        <v>0</v>
      </c>
      <c r="J66" s="53">
        <f>+'P&amp;L Forecast'!J102</f>
        <v>0</v>
      </c>
      <c r="K66" s="53">
        <f>+'P&amp;L Forecast'!K102</f>
        <v>143.23972444444445</v>
      </c>
      <c r="M66" s="23">
        <f>K66-J66</f>
        <v>143.23972444444445</v>
      </c>
      <c r="N66" s="66">
        <f t="shared" si="15"/>
        <v>0</v>
      </c>
      <c r="P66" s="205"/>
    </row>
    <row r="67" spans="2:16">
      <c r="B67" s="144" t="s">
        <v>37</v>
      </c>
      <c r="C67" s="53">
        <f>+'P&amp;L Forecast'!C100</f>
        <v>0</v>
      </c>
      <c r="D67" s="53">
        <f>+'P&amp;L Forecast'!D100</f>
        <v>0</v>
      </c>
      <c r="F67" s="53">
        <f>+'P&amp;L Forecast'!F100</f>
        <v>0</v>
      </c>
      <c r="G67" s="53">
        <f>+'P&amp;L Forecast'!G100</f>
        <v>0</v>
      </c>
      <c r="I67" s="53">
        <f>+'P&amp;L Forecast'!I100</f>
        <v>0</v>
      </c>
      <c r="J67" s="53">
        <f>+'P&amp;L Forecast'!J100</f>
        <v>0</v>
      </c>
      <c r="K67" s="53">
        <f>+'P&amp;L Forecast'!K100</f>
        <v>49.287359999999993</v>
      </c>
      <c r="M67" s="23">
        <f>K67-J67</f>
        <v>49.287359999999993</v>
      </c>
      <c r="N67" s="66">
        <f t="shared" si="15"/>
        <v>0</v>
      </c>
      <c r="P67" s="277"/>
    </row>
    <row r="68" spans="2:16">
      <c r="B68" s="144" t="s">
        <v>278</v>
      </c>
      <c r="C68" s="53">
        <f>+'P&amp;L Forecast'!C103</f>
        <v>0</v>
      </c>
      <c r="D68" s="53">
        <f>+'P&amp;L Forecast'!D103</f>
        <v>0</v>
      </c>
      <c r="F68" s="53">
        <f>+'P&amp;L Forecast'!F103</f>
        <v>0</v>
      </c>
      <c r="G68" s="53">
        <f>+'P&amp;L Forecast'!G103</f>
        <v>0</v>
      </c>
      <c r="I68" s="53">
        <f>+'P&amp;L Forecast'!I103</f>
        <v>0</v>
      </c>
      <c r="J68" s="53">
        <f>+'P&amp;L Forecast'!J103</f>
        <v>0</v>
      </c>
      <c r="K68" s="53">
        <f>+'P&amp;L Forecast'!K103</f>
        <v>28.2</v>
      </c>
      <c r="M68" s="23">
        <f>K68-J68</f>
        <v>28.2</v>
      </c>
      <c r="N68" s="66">
        <f t="shared" si="15"/>
        <v>0</v>
      </c>
      <c r="P68" s="204"/>
    </row>
    <row r="69" spans="2:16">
      <c r="B69" s="144" t="s">
        <v>17</v>
      </c>
      <c r="C69" s="53">
        <f>+'P&amp;L Forecast'!C99</f>
        <v>0</v>
      </c>
      <c r="D69" s="53">
        <f>+'P&amp;L Forecast'!D99</f>
        <v>0</v>
      </c>
      <c r="F69" s="53">
        <f>+'P&amp;L Forecast'!F99</f>
        <v>0</v>
      </c>
      <c r="G69" s="53">
        <f>+'P&amp;L Forecast'!G99</f>
        <v>0</v>
      </c>
      <c r="I69" s="53">
        <f>+'P&amp;L Forecast'!I99</f>
        <v>0</v>
      </c>
      <c r="J69" s="53">
        <f>+'P&amp;L Forecast'!J99</f>
        <v>0</v>
      </c>
      <c r="K69" s="53">
        <f>+'P&amp;L Forecast'!K99</f>
        <v>-25.891874999999999</v>
      </c>
      <c r="M69" s="23">
        <f>K69-J69</f>
        <v>-25.891874999999999</v>
      </c>
      <c r="N69" s="66">
        <f t="shared" si="15"/>
        <v>0</v>
      </c>
      <c r="P69" s="204"/>
    </row>
    <row r="70" spans="2:16">
      <c r="B70" s="58" t="s">
        <v>314</v>
      </c>
      <c r="C70" s="59">
        <f>SUM(C65:C69)</f>
        <v>0</v>
      </c>
      <c r="D70" s="59">
        <f>SUM(D65:D69)</f>
        <v>0</v>
      </c>
      <c r="F70" s="59">
        <f>SUM(F65:F69)</f>
        <v>0</v>
      </c>
      <c r="G70" s="59">
        <f>SUM(G65:G69)</f>
        <v>0</v>
      </c>
      <c r="I70" s="59">
        <f>SUM(I65:I69)</f>
        <v>0</v>
      </c>
      <c r="J70" s="59">
        <f>SUM(J65:J69)</f>
        <v>0</v>
      </c>
      <c r="K70" s="59">
        <f>SUM(K65:K69)</f>
        <v>414.96583444444445</v>
      </c>
      <c r="M70" s="59">
        <f>SUM(M65:M69)</f>
        <v>414.96583444444445</v>
      </c>
      <c r="N70" s="142">
        <f t="shared" si="15"/>
        <v>0</v>
      </c>
    </row>
    <row r="71" spans="2:16" ht="3.95" customHeight="1"/>
    <row r="72" spans="2:16">
      <c r="B72" s="104" t="str">
        <f>+'P&amp;L Forecast'!B106</f>
        <v>Steady-State Adj. EBITDA</v>
      </c>
      <c r="C72" s="105">
        <f>+C70+C62</f>
        <v>-49.229429999999894</v>
      </c>
      <c r="D72" s="106">
        <f>+D70+D62</f>
        <v>44.518099999999805</v>
      </c>
      <c r="F72" s="110">
        <f>+F70+F62</f>
        <v>-57.931530000000294</v>
      </c>
      <c r="G72" s="106">
        <f>+G70+G62</f>
        <v>-27.482449999999702</v>
      </c>
      <c r="I72" s="110">
        <f>+I70+I62</f>
        <v>-11.063290000000109</v>
      </c>
      <c r="J72" s="105">
        <f>+J70+J62</f>
        <v>74.967179999999956</v>
      </c>
      <c r="K72" s="106">
        <f>+K70+K62</f>
        <v>468.56305724500555</v>
      </c>
      <c r="L72" s="71"/>
      <c r="M72" s="110">
        <f>+M70+M62</f>
        <v>393.59587724500597</v>
      </c>
      <c r="N72" s="112">
        <f t="shared" ref="N72" si="16">IFERROR(K72/J72-1,0)</f>
        <v>5.2502425360671943</v>
      </c>
    </row>
    <row r="73" spans="2:16">
      <c r="B73" s="107" t="s">
        <v>305</v>
      </c>
      <c r="C73" s="108">
        <f>C72/C$18</f>
        <v>-4.3375252215738382E-2</v>
      </c>
      <c r="D73" s="109">
        <f>D72/D$18</f>
        <v>2.3687612860502694E-2</v>
      </c>
      <c r="E73" s="97"/>
      <c r="F73" s="111">
        <f>F72/F$18</f>
        <v>-5.8055007194802923E-2</v>
      </c>
      <c r="G73" s="109">
        <f>G72/G$18</f>
        <v>-1.6446499900779059E-2</v>
      </c>
      <c r="H73" s="97"/>
      <c r="I73" s="111">
        <f>I72/I$18</f>
        <v>-7.2574210892584019E-3</v>
      </c>
      <c r="J73" s="108">
        <f>J72/J$18</f>
        <v>2.9369740561411253E-2</v>
      </c>
      <c r="K73" s="109">
        <f>K72/K$18</f>
        <v>0.15151478199333121</v>
      </c>
      <c r="L73" s="103"/>
      <c r="M73" s="111">
        <f>M72/M$16</f>
        <v>0.88248259583047606</v>
      </c>
      <c r="N73" s="113">
        <v>0</v>
      </c>
    </row>
    <row r="75" spans="2:16">
      <c r="K75" s="266"/>
    </row>
    <row r="76" spans="2:16">
      <c r="K76" s="140"/>
    </row>
    <row r="77" spans="2:16">
      <c r="K77" s="155"/>
    </row>
    <row r="78" spans="2:16">
      <c r="K78" s="155"/>
    </row>
  </sheetData>
  <conditionalFormatting sqref="A7:XFD55 A56 C56:XFD56 C57:N59 A60:XFD64 A65:O70 Q65:XFD70 P67 A71:XFD78">
    <cfRule type="expression" dxfId="90" priority="1">
      <formula>$Q$3=1</formula>
    </cfRule>
  </conditionalFormatting>
  <pageMargins left="0.7" right="0.7" top="0.75" bottom="0.75" header="0.3" footer="0.3"/>
  <pageSetup scale="88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F53-B6BD-4666-97DC-06783308A726}">
  <sheetPr>
    <pageSetUpPr fitToPage="1"/>
  </sheetPr>
  <dimension ref="B1:AZ55"/>
  <sheetViews>
    <sheetView showGridLines="0" view="pageBreakPreview" zoomScale="130" zoomScaleNormal="130" zoomScaleSheetLayoutView="130" workbookViewId="0"/>
  </sheetViews>
  <sheetFormatPr defaultRowHeight="12"/>
  <cols>
    <col min="1" max="1" width="1.28515625" style="349" customWidth="1"/>
    <col min="2" max="2" width="16.42578125" style="349" customWidth="1"/>
    <col min="3" max="3" width="7.7109375" style="349" customWidth="1"/>
    <col min="4" max="4" width="9.5703125" style="349" bestFit="1" customWidth="1"/>
    <col min="5" max="5" width="14.5703125" style="349" bestFit="1" customWidth="1"/>
    <col min="6" max="6" width="0.85546875" style="349" customWidth="1"/>
    <col min="7" max="7" width="7.7109375" style="349" customWidth="1"/>
    <col min="8" max="8" width="9.5703125" style="349" bestFit="1" customWidth="1"/>
    <col min="9" max="9" width="14.5703125" style="349" bestFit="1" customWidth="1"/>
    <col min="10" max="10" width="0.85546875" style="349" customWidth="1"/>
    <col min="11" max="11" width="7.7109375" style="349" customWidth="1"/>
    <col min="12" max="12" width="9.5703125" style="349" bestFit="1" customWidth="1"/>
    <col min="13" max="13" width="11.42578125" style="349" customWidth="1"/>
    <col min="14" max="14" width="10.28515625" style="349" bestFit="1" customWidth="1"/>
    <col min="15" max="16384" width="9.140625" style="349"/>
  </cols>
  <sheetData>
    <row r="1" spans="2:52" ht="15">
      <c r="AZ1"/>
    </row>
    <row r="2" spans="2:52" ht="16.5">
      <c r="B2" s="37" t="str">
        <f>+Cover!B24</f>
        <v>Keystone Bookkeepers</v>
      </c>
      <c r="AZ2"/>
    </row>
    <row r="3" spans="2:52">
      <c r="B3" s="97" t="s">
        <v>1913</v>
      </c>
      <c r="D3" s="351"/>
      <c r="E3" s="351"/>
      <c r="F3" s="351"/>
      <c r="G3" s="351"/>
      <c r="H3" s="351"/>
      <c r="I3" s="351"/>
      <c r="J3" s="351"/>
      <c r="K3" s="351"/>
      <c r="L3" s="351"/>
    </row>
    <row r="4" spans="2:52">
      <c r="B4" s="350"/>
      <c r="C4" s="350"/>
      <c r="M4" s="350"/>
    </row>
    <row r="5" spans="2:52">
      <c r="B5" s="372" t="s">
        <v>1898</v>
      </c>
      <c r="C5" s="780" t="s">
        <v>1899</v>
      </c>
      <c r="D5" s="780"/>
      <c r="E5" s="780"/>
      <c r="F5" s="382"/>
      <c r="G5" s="780" t="s">
        <v>1900</v>
      </c>
      <c r="H5" s="780"/>
      <c r="I5" s="780"/>
      <c r="J5" s="382"/>
      <c r="K5" s="780" t="s">
        <v>134</v>
      </c>
      <c r="L5" s="780"/>
      <c r="M5" s="780"/>
    </row>
    <row r="6" spans="2:52">
      <c r="B6" s="374" t="s">
        <v>485</v>
      </c>
      <c r="C6" s="360" t="s">
        <v>1259</v>
      </c>
      <c r="D6" s="360" t="s">
        <v>1862</v>
      </c>
      <c r="E6" s="360" t="s">
        <v>1901</v>
      </c>
      <c r="F6" s="394"/>
      <c r="G6" s="360" t="s">
        <v>1259</v>
      </c>
      <c r="H6" s="360" t="s">
        <v>1862</v>
      </c>
      <c r="I6" s="360" t="s">
        <v>1901</v>
      </c>
      <c r="J6" s="394"/>
      <c r="K6" s="360" t="s">
        <v>1259</v>
      </c>
      <c r="L6" s="360" t="s">
        <v>1862</v>
      </c>
      <c r="M6" s="360" t="s">
        <v>1902</v>
      </c>
    </row>
    <row r="7" spans="2:52">
      <c r="B7" s="349" t="s">
        <v>504</v>
      </c>
      <c r="C7" s="364">
        <f>COUNTIFS('Customer List w Software'!$B$4:$B$310,"&lt;&gt;Former client",'Customer List w Software'!$V$4:$V$310,$B7)</f>
        <v>41</v>
      </c>
      <c r="D7" s="364">
        <f>SUMIFS('Customer List w Software'!$K$4:$K$310,'Customer List w Software'!$B$4:$B$310,"&lt;&gt;Former client",'Customer List w Software'!$V$4:$V$310,$B7)</f>
        <v>1285</v>
      </c>
      <c r="E7" s="352">
        <f>IFERROR(AVERAGEIFS('Customer List w Software'!$J$4:$J$310,'Customer List w Software'!$B$4:$B$310,"&lt;&gt;Former client",'Customer List w Software'!$V$4:$V$310,$B7),0)</f>
        <v>2011.8226829268294</v>
      </c>
      <c r="G7" s="364">
        <f>COUNTIFS('Customer List w Software'!$B$4:$B$310,"Former client",'Customer List w Software'!$V$4:$V$310,$B7)</f>
        <v>4</v>
      </c>
      <c r="H7" s="364">
        <f>SUMIFS('Customer List w Software'!$K$4:$K$310,'Customer List w Software'!$B$4:$B$310,"Former client",'Customer List w Software'!$V$4:$V$310,$B7)</f>
        <v>72</v>
      </c>
      <c r="I7" s="352">
        <f>IFERROR(AVERAGEIFS('Customer List w Software'!$J$4:$J$310,'Customer List w Software'!$B$4:$B$310,"Former client",'Customer List w Software'!$V$4:$V$310,$B7),0)</f>
        <v>1602.6666666666665</v>
      </c>
      <c r="K7" s="364">
        <f t="shared" ref="K7:L10" si="0">C7+G7</f>
        <v>45</v>
      </c>
      <c r="L7" s="364">
        <f t="shared" si="0"/>
        <v>1357</v>
      </c>
      <c r="M7" s="390">
        <f>K7/K$10</f>
        <v>0.1465798045602606</v>
      </c>
    </row>
    <row r="8" spans="2:52">
      <c r="B8" s="349" t="s">
        <v>505</v>
      </c>
      <c r="C8" s="364">
        <f>COUNTIFS('Customer List w Software'!$B$4:$B$310,"&lt;&gt;Former client",'Customer List w Software'!$V$4:$V$310,$B8)</f>
        <v>133</v>
      </c>
      <c r="D8" s="364">
        <f>SUMIFS('Customer List w Software'!$K$4:$K$310,'Customer List w Software'!$B$4:$B$310,"&lt;&gt;Former client",'Customer List w Software'!$V$4:$V$310,$B8)</f>
        <v>2472</v>
      </c>
      <c r="E8" s="364">
        <f>IFERROR(AVERAGEIFS('Customer List w Software'!$J$4:$J$310,'Customer List w Software'!$B$4:$B$310,"&lt;&gt;Former client",'Customer List w Software'!$V$4:$V$310,$B8),0)</f>
        <v>1186.0576190476188</v>
      </c>
      <c r="G8" s="364">
        <f>COUNTIFS('Customer List w Software'!$B$4:$B$310,"Former client",'Customer List w Software'!$V$4:$V$310,$B8)</f>
        <v>52</v>
      </c>
      <c r="H8" s="364">
        <f>SUMIFS('Customer List w Software'!$K$4:$K$310,'Customer List w Software'!$B$4:$B$310,"Former client",'Customer List w Software'!$V$4:$V$310,$B8)</f>
        <v>352</v>
      </c>
      <c r="I8" s="364">
        <f>IFERROR(AVERAGEIFS('Customer List w Software'!$J$4:$J$310,'Customer List w Software'!$B$4:$B$310,"Former client",'Customer List w Software'!$V$4:$V$310,$B8),0)</f>
        <v>631.64102564102564</v>
      </c>
      <c r="K8" s="364">
        <f t="shared" si="0"/>
        <v>185</v>
      </c>
      <c r="L8" s="364">
        <f t="shared" si="0"/>
        <v>2824</v>
      </c>
      <c r="M8" s="390">
        <f>K8/K$10</f>
        <v>0.60260586319218246</v>
      </c>
    </row>
    <row r="9" spans="2:52">
      <c r="B9" s="349" t="s">
        <v>1903</v>
      </c>
      <c r="C9" s="364">
        <f>COUNTIFS('Customer List w Software'!$B$4:$B$310,"&lt;&gt;Former client",'Customer List w Software'!$V$4:$V$310,"")</f>
        <v>0</v>
      </c>
      <c r="D9" s="364">
        <f>SUMIFS('Customer List w Software'!$K$4:$K$310,'Customer List w Software'!$B$4:$B$310,"&lt;&gt;Former client",'Customer List w Software'!$V$4:$V$310,"")</f>
        <v>0</v>
      </c>
      <c r="E9" s="364">
        <f>IFERROR(AVERAGEIFS('Customer List w Software'!$J$4:$J$310,'Customer List w Software'!$B$4:$B$310,"&lt;&gt;Former client",'Customer List w Software'!$V$4:$V$310,""),0)</f>
        <v>0</v>
      </c>
      <c r="G9" s="364">
        <f>COUNTIFS('Customer List w Software'!$B$4:$B$310,"Former client",'Customer List w Software'!$V$4:$V$310,"")</f>
        <v>77</v>
      </c>
      <c r="H9" s="364">
        <f>SUMIFS('Customer List w Software'!$K$4:$K$310,'Customer List w Software'!$B$4:$B$310,"Former client",'Customer List w Software'!$V$4:$V$310,"")</f>
        <v>30</v>
      </c>
      <c r="I9" s="364">
        <f>IFERROR(AVERAGEIFS('Customer List w Software'!$J$4:$J$310,'Customer List w Software'!$B$4:$B$310,"Former client",'Customer List w Software'!$V$4:$V$310,""),0)</f>
        <v>592.10266233766231</v>
      </c>
      <c r="K9" s="364">
        <f t="shared" si="0"/>
        <v>77</v>
      </c>
      <c r="L9" s="364">
        <f t="shared" si="0"/>
        <v>30</v>
      </c>
      <c r="M9" s="390">
        <f>K9/K$10</f>
        <v>0.250814332247557</v>
      </c>
    </row>
    <row r="10" spans="2:52">
      <c r="B10" s="60" t="s">
        <v>1904</v>
      </c>
      <c r="C10" s="226">
        <f>COUNTIFS('Customer List w Software'!$B$4:$B$310,"&lt;&gt;Former client")</f>
        <v>174</v>
      </c>
      <c r="D10" s="226">
        <f>SUMIFS('Customer List w Software'!$K$4:$K$310,'Customer List w Software'!$B$4:$B$310,"&lt;&gt;Former client")</f>
        <v>3757</v>
      </c>
      <c r="E10" s="62">
        <f>AVERAGEIFS('Customer List w Software'!$J$4:$J$310,'Customer List w Software'!$B$4:$B$310,"&lt;&gt;Former client")</f>
        <v>1380.6344444444439</v>
      </c>
      <c r="F10" s="214"/>
      <c r="G10" s="395">
        <f>COUNTIFS('Customer List w Software'!$B$4:$B$310,"Former client")</f>
        <v>133</v>
      </c>
      <c r="H10" s="226">
        <f>SUMIFS('Customer List w Software'!$K$4:$K$310,'Customer List w Software'!$B$4:$B$310,"Former client")</f>
        <v>454</v>
      </c>
      <c r="I10" s="62">
        <f>AVERAGEIFS('Customer List w Software'!$J$4:$J$310,'Customer List w Software'!$B$4:$B$310,"Former client")</f>
        <v>637.95417293233061</v>
      </c>
      <c r="J10" s="214"/>
      <c r="K10" s="395">
        <f t="shared" si="0"/>
        <v>307</v>
      </c>
      <c r="L10" s="226">
        <f t="shared" si="0"/>
        <v>4211</v>
      </c>
      <c r="M10" s="391">
        <f>K10/K$10</f>
        <v>1</v>
      </c>
      <c r="N10" s="392"/>
    </row>
    <row r="11" spans="2:52" ht="3.95" customHeight="1"/>
    <row r="12" spans="2:52">
      <c r="B12" s="374" t="s">
        <v>1905</v>
      </c>
      <c r="C12" s="348"/>
      <c r="D12" s="348"/>
      <c r="E12" s="348"/>
      <c r="G12" s="348"/>
      <c r="H12" s="348"/>
      <c r="I12" s="348"/>
      <c r="K12" s="348"/>
      <c r="L12" s="348"/>
      <c r="M12" s="348"/>
    </row>
    <row r="13" spans="2:52">
      <c r="B13" s="349" t="s">
        <v>506</v>
      </c>
      <c r="C13" s="364">
        <f>COUNTIFS('Customer List w Software'!$B$4:$B$310,"&lt;&gt;Former client",'Customer List w Software'!$W$4:$W$310,$B13)</f>
        <v>117</v>
      </c>
      <c r="D13" s="364">
        <f>SUMIFS('Customer List w Software'!$K$4:$K$310,'Customer List w Software'!$B$4:$B$310,"&lt;&gt;Former client",'Customer List w Software'!$W$4:$W$310,$B13)</f>
        <v>2999</v>
      </c>
      <c r="E13" s="352">
        <f>IFERROR(AVERAGEIFS('Customer List w Software'!$J$4:$J$310,'Customer List w Software'!$B$4:$B$310,"&lt;&gt;Former client",'Customer List w Software'!$W$4:$W$310,$B13),0)</f>
        <v>1521.7698860398859</v>
      </c>
      <c r="G13" s="364">
        <f>COUNTIFS('Customer List w Software'!$B$4:$B$310,"Former client",'Customer List w Software'!$W$4:$W$310,$B13)</f>
        <v>6</v>
      </c>
      <c r="H13" s="364">
        <f>SUMIFS('Customer List w Software'!$K$4:$K$310,'Customer List w Software'!$B$4:$B$310,"Former client",'Customer List w Software'!$W$4:$W$310,$B13)</f>
        <v>84</v>
      </c>
      <c r="I13" s="352">
        <f>IFERROR(AVERAGEIFS('Customer List w Software'!$J$4:$J$310,'Customer List w Software'!$B$4:$B$310,"Former client",'Customer List w Software'!$W$4:$W$310,$B13),0)</f>
        <v>1230.2222222222222</v>
      </c>
      <c r="K13" s="364">
        <f t="shared" ref="K13:L18" si="1">C13+G13</f>
        <v>123</v>
      </c>
      <c r="L13" s="364">
        <f t="shared" si="1"/>
        <v>3083</v>
      </c>
      <c r="M13" s="390">
        <f t="shared" ref="M13:M18" si="2">K13/K$18</f>
        <v>0.40065146579804561</v>
      </c>
    </row>
    <row r="14" spans="2:52">
      <c r="B14" s="349" t="s">
        <v>513</v>
      </c>
      <c r="C14" s="364">
        <f>COUNTIFS('Customer List w Software'!$B$4:$B$310,"&lt;&gt;Former client",'Customer List w Software'!$W$4:$W$310,$B14)</f>
        <v>36</v>
      </c>
      <c r="D14" s="364">
        <f>SUMIFS('Customer List w Software'!$K$4:$K$310,'Customer List w Software'!$B$4:$B$310,"&lt;&gt;Former client",'Customer List w Software'!$W$4:$W$310,$B14)</f>
        <v>659</v>
      </c>
      <c r="E14" s="364">
        <f>IFERROR(AVERAGEIFS('Customer List w Software'!$J$4:$J$310,'Customer List w Software'!$B$4:$B$310,"&lt;&gt;Former client",'Customer List w Software'!$W$4:$W$310,$B14),0)</f>
        <v>1378.1986111111112</v>
      </c>
      <c r="G14" s="364">
        <f>COUNTIFS('Customer List w Software'!$B$4:$B$310,"Former client",'Customer List w Software'!$W$4:$W$310,$B14)</f>
        <v>8</v>
      </c>
      <c r="H14" s="364">
        <f>SUMIFS('Customer List w Software'!$K$4:$K$310,'Customer List w Software'!$B$4:$B$310,"Former client",'Customer List w Software'!$W$4:$W$310,$B14)</f>
        <v>123</v>
      </c>
      <c r="I14" s="364">
        <f>IFERROR(AVERAGEIFS('Customer List w Software'!$J$4:$J$310,'Customer List w Software'!$B$4:$B$310,"Former client",'Customer List w Software'!$W$4:$W$310,$B14),0)</f>
        <v>1073.6041666666665</v>
      </c>
      <c r="K14" s="364">
        <f t="shared" si="1"/>
        <v>44</v>
      </c>
      <c r="L14" s="364">
        <f t="shared" si="1"/>
        <v>782</v>
      </c>
      <c r="M14" s="390">
        <f t="shared" si="2"/>
        <v>0.14332247557003258</v>
      </c>
    </row>
    <row r="15" spans="2:52">
      <c r="B15" s="349" t="s">
        <v>514</v>
      </c>
      <c r="C15" s="364">
        <f>COUNTIFS('Customer List w Software'!$B$4:$B$310,"&lt;&gt;Former client",'Customer List w Software'!$W$4:$W$310,$B15)</f>
        <v>2</v>
      </c>
      <c r="D15" s="364">
        <f>SUMIFS('Customer List w Software'!$K$4:$K$310,'Customer List w Software'!$B$4:$B$310,"&lt;&gt;Former client",'Customer List w Software'!$W$4:$W$310,$B15)</f>
        <v>47</v>
      </c>
      <c r="E15" s="364">
        <f>IFERROR(AVERAGEIFS('Customer List w Software'!$J$4:$J$310,'Customer List w Software'!$B$4:$B$310,"&lt;&gt;Former client",'Customer List w Software'!$W$4:$W$310,$B15),0)</f>
        <v>1226.1666666666665</v>
      </c>
      <c r="G15" s="364">
        <f>COUNTIFS('Customer List w Software'!$B$4:$B$310,"Former client",'Customer List w Software'!$W$4:$W$310,$B15)</f>
        <v>2</v>
      </c>
      <c r="H15" s="364">
        <f>SUMIFS('Customer List w Software'!$K$4:$K$310,'Customer List w Software'!$B$4:$B$310,"Former client",'Customer List w Software'!$W$4:$W$310,$B15)</f>
        <v>17</v>
      </c>
      <c r="I15" s="364">
        <f>IFERROR(AVERAGEIFS('Customer List w Software'!$J$4:$J$310,'Customer List w Software'!$B$4:$B$310,"Former client",'Customer List w Software'!$W$4:$W$310,$B15),0)</f>
        <v>841.83333333333326</v>
      </c>
      <c r="K15" s="364">
        <f t="shared" si="1"/>
        <v>4</v>
      </c>
      <c r="L15" s="364">
        <f t="shared" si="1"/>
        <v>64</v>
      </c>
      <c r="M15" s="390">
        <f t="shared" si="2"/>
        <v>1.3029315960912053E-2</v>
      </c>
    </row>
    <row r="16" spans="2:52">
      <c r="B16" s="349" t="s">
        <v>842</v>
      </c>
      <c r="C16" s="364">
        <f>COUNTIFS('Customer List w Software'!$B$4:$B$310,"&lt;&gt;Former client",'Customer List w Software'!$W$4:$W$310,$B16)</f>
        <v>1</v>
      </c>
      <c r="D16" s="364">
        <f>SUMIFS('Customer List w Software'!$K$4:$K$310,'Customer List w Software'!$B$4:$B$310,"&lt;&gt;Former client",'Customer List w Software'!$W$4:$W$310,$B16)</f>
        <v>15</v>
      </c>
      <c r="E16" s="364">
        <f>IFERROR(AVERAGEIFS('Customer List w Software'!$J$4:$J$310,'Customer List w Software'!$B$4:$B$310,"&lt;&gt;Former client",'Customer List w Software'!$W$4:$W$310,$B16),0)</f>
        <v>1662.5</v>
      </c>
      <c r="G16" s="364">
        <f>COUNTIFS('Customer List w Software'!$B$4:$B$310,"Former client",'Customer List w Software'!$W$4:$W$310,$B16)</f>
        <v>3</v>
      </c>
      <c r="H16" s="364">
        <f>SUMIFS('Customer List w Software'!$K$4:$K$310,'Customer List w Software'!$B$4:$B$310,"Former client",'Customer List w Software'!$W$4:$W$310,$B16)</f>
        <v>34</v>
      </c>
      <c r="I16" s="364">
        <f>IFERROR(AVERAGEIFS('Customer List w Software'!$J$4:$J$310,'Customer List w Software'!$B$4:$B$310,"Former client",'Customer List w Software'!$W$4:$W$310,$B16),0)</f>
        <v>723.22222222222217</v>
      </c>
      <c r="K16" s="364">
        <f t="shared" si="1"/>
        <v>4</v>
      </c>
      <c r="L16" s="364">
        <f t="shared" si="1"/>
        <v>49</v>
      </c>
      <c r="M16" s="390">
        <f t="shared" si="2"/>
        <v>1.3029315960912053E-2</v>
      </c>
    </row>
    <row r="17" spans="2:13">
      <c r="B17" s="349" t="s">
        <v>1906</v>
      </c>
      <c r="C17" s="364">
        <f>COUNTIFS('Customer List w Software'!$B$4:$B$310,"&lt;&gt;Former client",'Customer List w Software'!$W$4:$W$310,"")</f>
        <v>18</v>
      </c>
      <c r="D17" s="364">
        <f>SUMIFS('Customer List w Software'!$K$4:$K$310,'Customer List w Software'!$B$4:$B$310,"&lt;&gt;Former client",'Customer List w Software'!$W$4:$W$310,"")</f>
        <v>37</v>
      </c>
      <c r="E17" s="364">
        <f>IFERROR(AVERAGEIFS('Customer List w Software'!$J$4:$J$310,'Customer List w Software'!$B$4:$B$310,"&lt;&gt;Former client",'Customer List w Software'!$W$4:$W$310,""),0)</f>
        <v>469.62962962962968</v>
      </c>
      <c r="G17" s="364">
        <f>COUNTIFS('Customer List w Software'!$B$4:$B$310,"Former client",'Customer List w Software'!$W$4:$W$310,"")</f>
        <v>114</v>
      </c>
      <c r="H17" s="364">
        <f>SUMIFS('Customer List w Software'!$K$4:$K$310,'Customer List w Software'!$B$4:$B$310,"Former client",'Customer List w Software'!$W$4:$W$310,"")</f>
        <v>196</v>
      </c>
      <c r="I17" s="364">
        <f>IFERROR(AVERAGEIFS('Customer List w Software'!$J$4:$J$310,'Customer List w Software'!$B$4:$B$310,"Former client",'Customer List w Software'!$W$4:$W$310,""),0)</f>
        <v>570.3895175438596</v>
      </c>
      <c r="K17" s="364">
        <f t="shared" si="1"/>
        <v>132</v>
      </c>
      <c r="L17" s="364">
        <f t="shared" si="1"/>
        <v>233</v>
      </c>
      <c r="M17" s="390">
        <f t="shared" si="2"/>
        <v>0.42996742671009774</v>
      </c>
    </row>
    <row r="18" spans="2:13">
      <c r="B18" s="60" t="s">
        <v>1904</v>
      </c>
      <c r="C18" s="226">
        <f>COUNTIFS('Customer List w Software'!$B$4:$B$310,"&lt;&gt;Former client")</f>
        <v>174</v>
      </c>
      <c r="D18" s="226">
        <f>SUMIFS('Customer List w Software'!$K$4:$K$310,'Customer List w Software'!$B$4:$B$310,"&lt;&gt;Former client")</f>
        <v>3757</v>
      </c>
      <c r="E18" s="62">
        <f>AVERAGEIFS('Customer List w Software'!$J$4:$J$310,'Customer List w Software'!$B$4:$B$310,"&lt;&gt;Former client")</f>
        <v>1380.6344444444439</v>
      </c>
      <c r="F18" s="214"/>
      <c r="G18" s="395">
        <f>COUNTIFS('Customer List w Software'!$B$4:$B$310,"Former client")</f>
        <v>133</v>
      </c>
      <c r="H18" s="226">
        <f>SUMIFS('Customer List w Software'!$K$4:$K$310,'Customer List w Software'!$B$4:$B$310,"Former client")</f>
        <v>454</v>
      </c>
      <c r="I18" s="62">
        <f>AVERAGEIFS('Customer List w Software'!$J$4:$J$310,'Customer List w Software'!$B$4:$B$310,"Former client")</f>
        <v>637.95417293233061</v>
      </c>
      <c r="J18" s="214"/>
      <c r="K18" s="395">
        <f t="shared" si="1"/>
        <v>307</v>
      </c>
      <c r="L18" s="226">
        <f t="shared" si="1"/>
        <v>4211</v>
      </c>
      <c r="M18" s="391">
        <f t="shared" si="2"/>
        <v>1</v>
      </c>
    </row>
    <row r="19" spans="2:13" ht="3.95" customHeight="1">
      <c r="M19" s="390"/>
    </row>
    <row r="20" spans="2:13">
      <c r="B20" s="374" t="s">
        <v>1907</v>
      </c>
      <c r="C20" s="348"/>
      <c r="D20" s="348"/>
      <c r="E20" s="348"/>
      <c r="G20" s="348"/>
      <c r="H20" s="348"/>
      <c r="I20" s="348"/>
      <c r="K20" s="348"/>
      <c r="L20" s="348"/>
      <c r="M20" s="393"/>
    </row>
    <row r="21" spans="2:13">
      <c r="B21" s="349" t="s">
        <v>514</v>
      </c>
      <c r="C21" s="364">
        <f>COUNTIFS('Customer List w Software'!$B$4:$B$310,"&lt;&gt;Former client",'Customer List w Software'!$X$4:$X$310,$B21)</f>
        <v>51</v>
      </c>
      <c r="D21" s="364">
        <f>SUMIFS('Customer List w Software'!$K$4:$K$310,'Customer List w Software'!$B$4:$B$310,"&lt;&gt;Former client",'Customer List w Software'!$X$4:$X$310,$B21)</f>
        <v>1338</v>
      </c>
      <c r="E21" s="352">
        <f>IFERROR(AVERAGEIFS('Customer List w Software'!$J$4:$J$310,'Customer List w Software'!$B$4:$B$310,"&lt;&gt;Former client",'Customer List w Software'!$X$4:$X$310,$B21),0)</f>
        <v>1661.0775816993464</v>
      </c>
      <c r="G21" s="364">
        <f>COUNTIFS('Customer List w Software'!$B$4:$B$310,"Former client",'Customer List w Software'!$X$4:$X$310,$B21)</f>
        <v>6</v>
      </c>
      <c r="H21" s="364">
        <f>SUMIFS('Customer List w Software'!$K$4:$K$310,'Customer List w Software'!$B$4:$B$310,"Former client",'Customer List w Software'!$X$4:$X$310,$B21)</f>
        <v>70</v>
      </c>
      <c r="I21" s="352">
        <f>IFERROR(AVERAGEIFS('Customer List w Software'!$J$4:$J$310,'Customer List w Software'!$B$4:$B$310,"Former client",'Customer List w Software'!$X$4:$X$310,$B21),0)</f>
        <v>976.33333333333337</v>
      </c>
      <c r="K21" s="364">
        <f t="shared" ref="K21:K29" si="3">C21+G21</f>
        <v>57</v>
      </c>
      <c r="L21" s="364">
        <f t="shared" ref="L21:L29" si="4">D21+H21</f>
        <v>1408</v>
      </c>
      <c r="M21" s="390">
        <f t="shared" ref="M21:M29" si="5">K21/K$29</f>
        <v>0.18566775244299674</v>
      </c>
    </row>
    <row r="22" spans="2:13">
      <c r="B22" s="349" t="s">
        <v>530</v>
      </c>
      <c r="C22" s="364">
        <f>COUNTIFS('Customer List w Software'!$B$4:$B$310,"&lt;&gt;Former client",'Customer List w Software'!$X$4:$X$310,$B22)</f>
        <v>48</v>
      </c>
      <c r="D22" s="364">
        <f>SUMIFS('Customer List w Software'!$K$4:$K$310,'Customer List w Software'!$B$4:$B$310,"&lt;&gt;Former client",'Customer List w Software'!$X$4:$X$310,$B22)</f>
        <v>829</v>
      </c>
      <c r="E22" s="364">
        <f>IFERROR(AVERAGEIFS('Customer List w Software'!$J$4:$J$310,'Customer List w Software'!$B$4:$B$310,"&lt;&gt;Former client",'Customer List w Software'!$X$4:$X$310,$B22),0)</f>
        <v>1090.3716666666667</v>
      </c>
      <c r="G22" s="364">
        <f>COUNTIFS('Customer List w Software'!$B$4:$B$310,"Former client",'Customer List w Software'!$X$4:$X$310,$B22)</f>
        <v>2</v>
      </c>
      <c r="H22" s="364">
        <f>SUMIFS('Customer List w Software'!$K$4:$K$310,'Customer List w Software'!$B$4:$B$310,"Former client",'Customer List w Software'!$X$4:$X$310,$B22)</f>
        <v>0</v>
      </c>
      <c r="I22" s="364">
        <f>IFERROR(AVERAGEIFS('Customer List w Software'!$J$4:$J$310,'Customer List w Software'!$B$4:$B$310,"Former client",'Customer List w Software'!$X$4:$X$310,$B22),0)</f>
        <v>459</v>
      </c>
      <c r="K22" s="364">
        <f t="shared" si="3"/>
        <v>50</v>
      </c>
      <c r="L22" s="364">
        <f t="shared" si="4"/>
        <v>829</v>
      </c>
      <c r="M22" s="390">
        <f t="shared" si="5"/>
        <v>0.16286644951140064</v>
      </c>
    </row>
    <row r="23" spans="2:13">
      <c r="B23" s="349" t="s">
        <v>525</v>
      </c>
      <c r="C23" s="364">
        <f>COUNTIFS('Customer List w Software'!$B$4:$B$310,"&lt;&gt;Former client",'Customer List w Software'!$X$4:$X$310,$B23)</f>
        <v>24</v>
      </c>
      <c r="D23" s="364">
        <f>SUMIFS('Customer List w Software'!$K$4:$K$310,'Customer List w Software'!$B$4:$B$310,"&lt;&gt;Former client",'Customer List w Software'!$X$4:$X$310,$B23)</f>
        <v>438</v>
      </c>
      <c r="E23" s="364">
        <f>IFERROR(AVERAGEIFS('Customer List w Software'!$J$4:$J$310,'Customer List w Software'!$B$4:$B$310,"&lt;&gt;Former client",'Customer List w Software'!$X$4:$X$310,$B23),0)</f>
        <v>1275.3854166666667</v>
      </c>
      <c r="G23" s="364">
        <f>COUNTIFS('Customer List w Software'!$B$4:$B$310,"Former client",'Customer List w Software'!$X$4:$X$310,$B23)</f>
        <v>5</v>
      </c>
      <c r="H23" s="364">
        <f>SUMIFS('Customer List w Software'!$K$4:$K$310,'Customer List w Software'!$B$4:$B$310,"Former client",'Customer List w Software'!$X$4:$X$310,$B23)</f>
        <v>48</v>
      </c>
      <c r="I23" s="364">
        <f>IFERROR(AVERAGEIFS('Customer List w Software'!$J$4:$J$310,'Customer List w Software'!$B$4:$B$310,"Former client",'Customer List w Software'!$X$4:$X$310,$B23),0)</f>
        <v>833.16666666666663</v>
      </c>
      <c r="K23" s="364">
        <f t="shared" si="3"/>
        <v>29</v>
      </c>
      <c r="L23" s="364">
        <f t="shared" si="4"/>
        <v>486</v>
      </c>
      <c r="M23" s="390">
        <f t="shared" si="5"/>
        <v>9.4462540716612378E-2</v>
      </c>
    </row>
    <row r="24" spans="2:13">
      <c r="B24" s="349" t="s">
        <v>540</v>
      </c>
      <c r="C24" s="364">
        <f>COUNTIFS('Customer List w Software'!$B$4:$B$310,"&lt;&gt;Former client",'Customer List w Software'!$X$4:$X$310,$B24)</f>
        <v>20</v>
      </c>
      <c r="D24" s="364">
        <f>SUMIFS('Customer List w Software'!$K$4:$K$310,'Customer List w Software'!$B$4:$B$310,"&lt;&gt;Former client",'Customer List w Software'!$X$4:$X$310,$B24)</f>
        <v>544</v>
      </c>
      <c r="E24" s="364">
        <f>IFERROR(AVERAGEIFS('Customer List w Software'!$J$4:$J$310,'Customer List w Software'!$B$4:$B$310,"&lt;&gt;Former client",'Customer List w Software'!$X$4:$X$310,$B24),0)</f>
        <v>1667.55</v>
      </c>
      <c r="G24" s="364">
        <f>COUNTIFS('Customer List w Software'!$B$4:$B$310,"Former client",'Customer List w Software'!$X$4:$X$310,$B24)</f>
        <v>2</v>
      </c>
      <c r="H24" s="364">
        <f>SUMIFS('Customer List w Software'!$K$4:$K$310,'Customer List w Software'!$B$4:$B$310,"Former client",'Customer List w Software'!$X$4:$X$310,$B24)</f>
        <v>29</v>
      </c>
      <c r="I24" s="364">
        <f>IFERROR(AVERAGEIFS('Customer List w Software'!$J$4:$J$310,'Customer List w Software'!$B$4:$B$310,"Former client",'Customer List w Software'!$X$4:$X$310,$B24),0)</f>
        <v>375</v>
      </c>
      <c r="K24" s="364">
        <f t="shared" si="3"/>
        <v>22</v>
      </c>
      <c r="L24" s="364">
        <f t="shared" si="4"/>
        <v>573</v>
      </c>
      <c r="M24" s="390">
        <f t="shared" si="5"/>
        <v>7.1661237785016291E-2</v>
      </c>
    </row>
    <row r="25" spans="2:13">
      <c r="B25" s="349" t="s">
        <v>610</v>
      </c>
      <c r="C25" s="364">
        <f>COUNTIFS('Customer List w Software'!$B$4:$B$310,"&lt;&gt;Former client",'Customer List w Software'!$X$4:$X$310,$B25)</f>
        <v>8</v>
      </c>
      <c r="D25" s="364">
        <f>SUMIFS('Customer List w Software'!$K$4:$K$310,'Customer List w Software'!$B$4:$B$310,"&lt;&gt;Former client",'Customer List w Software'!$X$4:$X$310,$B25)</f>
        <v>152</v>
      </c>
      <c r="E25" s="364">
        <f>IFERROR(AVERAGEIFS('Customer List w Software'!$J$4:$J$310,'Customer List w Software'!$B$4:$B$310,"&lt;&gt;Former client",'Customer List w Software'!$X$4:$X$310,$B25),0)</f>
        <v>1303.4375</v>
      </c>
      <c r="G25" s="364">
        <f>COUNTIFS('Customer List w Software'!$B$4:$B$310,"Former client",'Customer List w Software'!$X$4:$X$310,$B25)</f>
        <v>0</v>
      </c>
      <c r="H25" s="364">
        <f>SUMIFS('Customer List w Software'!$K$4:$K$310,'Customer List w Software'!$B$4:$B$310,"Former client",'Customer List w Software'!$X$4:$X$310,$B25)</f>
        <v>0</v>
      </c>
      <c r="I25" s="364">
        <f>IFERROR(AVERAGEIFS('Customer List w Software'!$J$4:$J$310,'Customer List w Software'!$B$4:$B$310,"Former client",'Customer List w Software'!$X$4:$X$310,$B25),0)</f>
        <v>0</v>
      </c>
      <c r="K25" s="364">
        <f t="shared" si="3"/>
        <v>8</v>
      </c>
      <c r="L25" s="364">
        <f t="shared" si="4"/>
        <v>152</v>
      </c>
      <c r="M25" s="390">
        <f t="shared" si="5"/>
        <v>2.6058631921824105E-2</v>
      </c>
    </row>
    <row r="26" spans="2:13">
      <c r="B26" s="349" t="s">
        <v>718</v>
      </c>
      <c r="C26" s="364">
        <f>COUNTIFS('Customer List w Software'!$B$4:$B$310,"&lt;&gt;Former client",'Customer List w Software'!$X$4:$X$310,$B26)</f>
        <v>1</v>
      </c>
      <c r="D26" s="364">
        <f>SUMIFS('Customer List w Software'!$K$4:$K$310,'Customer List w Software'!$B$4:$B$310,"&lt;&gt;Former client",'Customer List w Software'!$X$4:$X$310,$B26)</f>
        <v>29</v>
      </c>
      <c r="E26" s="364">
        <f>IFERROR(AVERAGEIFS('Customer List w Software'!$J$4:$J$310,'Customer List w Software'!$B$4:$B$310,"&lt;&gt;Former client",'Customer List w Software'!$X$4:$X$310,$B26),0)</f>
        <v>2639</v>
      </c>
      <c r="G26" s="364">
        <f>COUNTIFS('Customer List w Software'!$B$4:$B$310,"Former client",'Customer List w Software'!$X$4:$X$310,$B26)</f>
        <v>0</v>
      </c>
      <c r="H26" s="364">
        <f>SUMIFS('Customer List w Software'!$K$4:$K$310,'Customer List w Software'!$B$4:$B$310,"Former client",'Customer List w Software'!$X$4:$X$310,$B26)</f>
        <v>0</v>
      </c>
      <c r="I26" s="364">
        <f>IFERROR(AVERAGEIFS('Customer List w Software'!$J$4:$J$310,'Customer List w Software'!$B$4:$B$310,"Former client",'Customer List w Software'!$X$4:$X$310,$B26),0)</f>
        <v>0</v>
      </c>
      <c r="K26" s="364">
        <f t="shared" si="3"/>
        <v>1</v>
      </c>
      <c r="L26" s="364">
        <f t="shared" si="4"/>
        <v>29</v>
      </c>
      <c r="M26" s="390">
        <f t="shared" si="5"/>
        <v>3.2573289902280132E-3</v>
      </c>
    </row>
    <row r="27" spans="2:13">
      <c r="B27" s="349" t="s">
        <v>1908</v>
      </c>
      <c r="C27" s="364">
        <f>COUNTIFS('Customer List w Software'!$B$4:$B$310,"&lt;&gt;Former client",'Customer List w Software'!$X$4:$X$310,"*,*")</f>
        <v>4</v>
      </c>
      <c r="D27" s="364">
        <f>SUMIFS('Customer List w Software'!$K$4:$K$310,'Customer List w Software'!$B$4:$B$310,"&lt;&gt;Former client",'Customer List w Software'!$X$4:$X$310,"*,*")</f>
        <v>98</v>
      </c>
      <c r="E27" s="364">
        <f>IFERROR(AVERAGEIFS('Customer List w Software'!$J$4:$J$310,'Customer List w Software'!$B$4:$B$310,"&lt;&gt;Former client",'Customer List w Software'!$X$4:$X$310,"*,*"),0)</f>
        <v>1695.7041666666667</v>
      </c>
      <c r="G27" s="364">
        <f>COUNTIFS('Customer List w Software'!$B$4:$B$310,"Former client",'Customer List w Software'!$X$4:$X$310,"*,*")</f>
        <v>0</v>
      </c>
      <c r="H27" s="364">
        <f>SUMIFS('Customer List w Software'!$K$4:$K$310,'Customer List w Software'!$B$4:$B$310,"Former client",'Customer List w Software'!$X$4:$X$310,"*,*")</f>
        <v>0</v>
      </c>
      <c r="I27" s="364">
        <f>IFERROR(AVERAGEIFS('Customer List w Software'!$J$4:$J$310,'Customer List w Software'!$B$4:$B$310,"Former client",'Customer List w Software'!$X$4:$X$310,"*,*"),0)</f>
        <v>0</v>
      </c>
      <c r="K27" s="364">
        <f t="shared" si="3"/>
        <v>4</v>
      </c>
      <c r="L27" s="364">
        <f t="shared" si="4"/>
        <v>98</v>
      </c>
      <c r="M27" s="390">
        <f t="shared" si="5"/>
        <v>1.3029315960912053E-2</v>
      </c>
    </row>
    <row r="28" spans="2:13">
      <c r="B28" s="349" t="s">
        <v>1906</v>
      </c>
      <c r="C28" s="364">
        <f>COUNTIFS('Customer List w Software'!$B$4:$B$310,"&lt;&gt;Former client",'Customer List w Software'!$X$4:$X$310,"")</f>
        <v>18</v>
      </c>
      <c r="D28" s="364">
        <f>SUMIFS('Customer List w Software'!$K$4:$K$310,'Customer List w Software'!$B$4:$B$310,"&lt;&gt;Former client",'Customer List w Software'!$X$4:$X$310,"")</f>
        <v>329</v>
      </c>
      <c r="E28" s="364">
        <f>IFERROR(AVERAGEIFS('Customer List w Software'!$J$4:$J$310,'Customer List w Software'!$B$4:$B$310,"&lt;&gt;Former client",'Customer List w Software'!$X$4:$X$310,""),0)</f>
        <v>1076.0016666666668</v>
      </c>
      <c r="G28" s="364">
        <f>COUNTIFS('Customer List w Software'!$B$4:$B$310,"Former client",'Customer List w Software'!$X$4:$X$310,"")</f>
        <v>118</v>
      </c>
      <c r="H28" s="364">
        <f>SUMIFS('Customer List w Software'!$K$4:$K$310,'Customer List w Software'!$B$4:$B$310,"Former client",'Customer List w Software'!$X$4:$X$310,"")</f>
        <v>307</v>
      </c>
      <c r="I28" s="364">
        <f>IFERROR(AVERAGEIFS('Customer List w Software'!$J$4:$J$310,'Customer List w Software'!$B$4:$B$310,"Former client",'Customer List w Software'!$X$4:$X$310,""),0)</f>
        <v>619.96670903954794</v>
      </c>
      <c r="K28" s="364">
        <f t="shared" si="3"/>
        <v>136</v>
      </c>
      <c r="L28" s="364">
        <f t="shared" si="4"/>
        <v>636</v>
      </c>
      <c r="M28" s="390">
        <f t="shared" si="5"/>
        <v>0.44299674267100975</v>
      </c>
    </row>
    <row r="29" spans="2:13">
      <c r="B29" s="60" t="s">
        <v>1904</v>
      </c>
      <c r="C29" s="226">
        <f>COUNTIFS('Customer List w Software'!$B$4:$B$310,"&lt;&gt;Former client")</f>
        <v>174</v>
      </c>
      <c r="D29" s="226">
        <f>SUMIFS('Customer List w Software'!$K$4:$K$310,'Customer List w Software'!$B$4:$B$310,"&lt;&gt;Former client")</f>
        <v>3757</v>
      </c>
      <c r="E29" s="62">
        <f>AVERAGEIFS('Customer List w Software'!$J$4:$J$310,'Customer List w Software'!$B$4:$B$310,"&lt;&gt;Former client")</f>
        <v>1380.6344444444439</v>
      </c>
      <c r="F29" s="214"/>
      <c r="G29" s="395">
        <f>COUNTIFS('Customer List w Software'!$B$4:$B$310,"Former client")</f>
        <v>133</v>
      </c>
      <c r="H29" s="226">
        <f>SUMIFS('Customer List w Software'!$K$4:$K$310,'Customer List w Software'!$B$4:$B$310,"Former client")</f>
        <v>454</v>
      </c>
      <c r="I29" s="62">
        <f>AVERAGEIFS('Customer List w Software'!$J$4:$J$310,'Customer List w Software'!$B$4:$B$310,"Former client")</f>
        <v>637.95417293233061</v>
      </c>
      <c r="J29" s="214"/>
      <c r="K29" s="395">
        <f t="shared" si="3"/>
        <v>307</v>
      </c>
      <c r="L29" s="226">
        <f t="shared" si="4"/>
        <v>4211</v>
      </c>
      <c r="M29" s="391">
        <f t="shared" si="5"/>
        <v>1</v>
      </c>
    </row>
    <row r="30" spans="2:13" ht="3.95" customHeight="1">
      <c r="M30" s="390"/>
    </row>
    <row r="31" spans="2:13">
      <c r="B31" s="374" t="s">
        <v>488</v>
      </c>
      <c r="C31" s="348"/>
      <c r="D31" s="348"/>
      <c r="E31" s="348"/>
      <c r="G31" s="348"/>
      <c r="H31" s="348"/>
      <c r="I31" s="348"/>
      <c r="K31" s="348"/>
      <c r="L31" s="348"/>
      <c r="M31" s="393"/>
    </row>
    <row r="32" spans="2:13">
      <c r="B32" s="349" t="s">
        <v>342</v>
      </c>
      <c r="C32" s="364">
        <f>COUNTIFS('Customer List w Software'!$B$4:$B$310,"&lt;&gt;Former client",'Customer List w Software'!$Y$4:$Y$310,$B32)</f>
        <v>48</v>
      </c>
      <c r="D32" s="364">
        <f>SUMIFS('Customer List w Software'!$K$4:$K$310,'Customer List w Software'!$B$4:$B$310,"&lt;&gt;Former client",'Customer List w Software'!$Y$4:$Y$310,$B32)</f>
        <v>1841</v>
      </c>
      <c r="E32" s="352">
        <f>IFERROR(AVERAGEIFS('Customer List w Software'!$J$4:$J$310,'Customer List w Software'!$B$4:$B$310,"&lt;&gt;Former client",'Customer List w Software'!$Y$4:$Y$310,$B32),0)</f>
        <v>2389.2050694444442</v>
      </c>
      <c r="G32" s="364">
        <f>COUNTIFS('Customer List w Software'!$B$4:$B$310,"Former client",'Customer List w Software'!$Y$4:$Y$310,$B32)</f>
        <v>4</v>
      </c>
      <c r="H32" s="364">
        <f>SUMIFS('Customer List w Software'!$K$4:$K$310,'Customer List w Software'!$B$4:$B$310,"Former client",'Customer List w Software'!$Y$4:$Y$310,$B32)</f>
        <v>120</v>
      </c>
      <c r="I32" s="352">
        <f>IFERROR(AVERAGEIFS('Customer List w Software'!$J$4:$J$310,'Customer List w Software'!$B$4:$B$310,"Former client",'Customer List w Software'!$Y$4:$Y$310,$B32),0)</f>
        <v>2159.8333333333335</v>
      </c>
      <c r="K32" s="364">
        <f t="shared" ref="K32:L36" si="6">C32+G32</f>
        <v>52</v>
      </c>
      <c r="L32" s="364">
        <f t="shared" si="6"/>
        <v>1961</v>
      </c>
      <c r="M32" s="390">
        <f>K32/K$36</f>
        <v>0.16938110749185667</v>
      </c>
    </row>
    <row r="33" spans="2:13">
      <c r="B33" s="349" t="s">
        <v>354</v>
      </c>
      <c r="C33" s="364">
        <f>COUNTIFS('Customer List w Software'!$B$4:$B$310,"&lt;&gt;Former client",'Customer List w Software'!$Y$4:$Y$310,$B33)</f>
        <v>12</v>
      </c>
      <c r="D33" s="364">
        <f>SUMIFS('Customer List w Software'!$K$4:$K$310,'Customer List w Software'!$B$4:$B$310,"&lt;&gt;Former client",'Customer List w Software'!$Y$4:$Y$310,$B33)</f>
        <v>231</v>
      </c>
      <c r="E33" s="364">
        <f>IFERROR(AVERAGEIFS('Customer List w Software'!$J$4:$J$310,'Customer List w Software'!$B$4:$B$310,"&lt;&gt;Former client",'Customer List w Software'!$Y$4:$Y$310,$B33),0)</f>
        <v>1409.9444444444443</v>
      </c>
      <c r="G33" s="364">
        <f>COUNTIFS('Customer List w Software'!$B$4:$B$310,"Former client",'Customer List w Software'!$Y$4:$Y$310,$B33)</f>
        <v>1</v>
      </c>
      <c r="H33" s="364">
        <f>SUMIFS('Customer List w Software'!$K$4:$K$310,'Customer List w Software'!$B$4:$B$310,"Former client",'Customer List w Software'!$Y$4:$Y$310,$B33)</f>
        <v>0</v>
      </c>
      <c r="I33" s="364">
        <f>IFERROR(AVERAGEIFS('Customer List w Software'!$J$4:$J$310,'Customer List w Software'!$B$4:$B$310,"Former client",'Customer List w Software'!$Y$4:$Y$310,$B33),0)</f>
        <v>540</v>
      </c>
      <c r="K33" s="364">
        <f t="shared" si="6"/>
        <v>13</v>
      </c>
      <c r="L33" s="364">
        <f t="shared" si="6"/>
        <v>231</v>
      </c>
      <c r="M33" s="390">
        <f>K33/K$36</f>
        <v>4.2345276872964167E-2</v>
      </c>
    </row>
    <row r="34" spans="2:13">
      <c r="B34" s="349" t="s">
        <v>764</v>
      </c>
      <c r="C34" s="364">
        <f>COUNTIFS('Customer List w Software'!$B$4:$B$310,"&lt;&gt;Former client",'Customer List w Software'!$Y$4:$Y$310,$B34)</f>
        <v>0</v>
      </c>
      <c r="D34" s="364">
        <f>SUMIFS('Customer List w Software'!$K$4:$K$310,'Customer List w Software'!$B$4:$B$310,"&lt;&gt;Former client",'Customer List w Software'!$Y$4:$Y$310,$B34)</f>
        <v>0</v>
      </c>
      <c r="E34" s="364">
        <f>IFERROR(AVERAGEIFS('Customer List w Software'!$J$4:$J$310,'Customer List w Software'!$B$4:$B$310,"&lt;&gt;Former client",'Customer List w Software'!$Y$4:$Y$310,$B34),0)</f>
        <v>0</v>
      </c>
      <c r="G34" s="364">
        <f>COUNTIFS('Customer List w Software'!$B$4:$B$310,"Former client",'Customer List w Software'!$Y$4:$Y$310,$B34)</f>
        <v>1</v>
      </c>
      <c r="H34" s="364">
        <f>SUMIFS('Customer List w Software'!$K$4:$K$310,'Customer List w Software'!$B$4:$B$310,"Former client",'Customer List w Software'!$Y$4:$Y$310,$B34)</f>
        <v>0</v>
      </c>
      <c r="I34" s="364">
        <f>IFERROR(AVERAGEIFS('Customer List w Software'!$J$4:$J$310,'Customer List w Software'!$B$4:$B$310,"Former client",'Customer List w Software'!$Y$4:$Y$310,$B34),0)</f>
        <v>486.33333333333331</v>
      </c>
      <c r="K34" s="364">
        <f t="shared" si="6"/>
        <v>1</v>
      </c>
      <c r="L34" s="364">
        <f t="shared" si="6"/>
        <v>0</v>
      </c>
      <c r="M34" s="390">
        <f>K34/K$36</f>
        <v>3.2573289902280132E-3</v>
      </c>
    </row>
    <row r="35" spans="2:13">
      <c r="B35" s="349" t="s">
        <v>1906</v>
      </c>
      <c r="C35" s="364">
        <f>COUNTIFS('Customer List w Software'!$B$4:$B$310,"&lt;&gt;Former client",'Customer List w Software'!$Y$4:$Y$310,"")</f>
        <v>114</v>
      </c>
      <c r="D35" s="364">
        <f>SUMIFS('Customer List w Software'!$K$4:$K$310,'Customer List w Software'!$B$4:$B$310,"&lt;&gt;Former client",'Customer List w Software'!$Y$4:$Y$310,"")</f>
        <v>1685</v>
      </c>
      <c r="E35" s="364">
        <f>IFERROR(AVERAGEIFS('Customer List w Software'!$J$4:$J$310,'Customer List w Software'!$B$4:$B$310,"&lt;&gt;Former client",'Customer List w Software'!$Y$4:$Y$310,""),0)</f>
        <v>952.88786549707595</v>
      </c>
      <c r="G35" s="364">
        <f>COUNTIFS('Customer List w Software'!$B$4:$B$310,"Former client",'Customer List w Software'!$Y$4:$Y$310,"")</f>
        <v>127</v>
      </c>
      <c r="H35" s="364">
        <f>SUMIFS('Customer List w Software'!$K$4:$K$310,'Customer List w Software'!$B$4:$B$310,"Former client",'Customer List w Software'!$Y$4:$Y$310,"")</f>
        <v>334</v>
      </c>
      <c r="I35" s="364">
        <f>IFERROR(AVERAGEIFS('Customer List w Software'!$J$4:$J$310,'Customer List w Software'!$B$4:$B$310,"Former client",'Customer List w Software'!$Y$4:$Y$310,""),0)</f>
        <v>591.98612860892388</v>
      </c>
      <c r="K35" s="364">
        <f t="shared" si="6"/>
        <v>241</v>
      </c>
      <c r="L35" s="364">
        <f t="shared" si="6"/>
        <v>2019</v>
      </c>
      <c r="M35" s="390">
        <f>K35/K$36</f>
        <v>0.78501628664495116</v>
      </c>
    </row>
    <row r="36" spans="2:13">
      <c r="B36" s="60" t="s">
        <v>1904</v>
      </c>
      <c r="C36" s="226">
        <f>COUNTIFS('Customer List w Software'!$B$4:$B$310,"&lt;&gt;Former client")</f>
        <v>174</v>
      </c>
      <c r="D36" s="226">
        <f>SUMIFS('Customer List w Software'!$K$4:$K$310,'Customer List w Software'!$B$4:$B$310,"&lt;&gt;Former client")</f>
        <v>3757</v>
      </c>
      <c r="E36" s="62">
        <f>AVERAGEIFS('Customer List w Software'!$J$4:$J$310,'Customer List w Software'!$B$4:$B$310,"&lt;&gt;Former client")</f>
        <v>1380.6344444444439</v>
      </c>
      <c r="F36" s="214"/>
      <c r="G36" s="395">
        <f>COUNTIFS('Customer List w Software'!$B$4:$B$310,"Former client")</f>
        <v>133</v>
      </c>
      <c r="H36" s="226">
        <f>SUMIFS('Customer List w Software'!$K$4:$K$310,'Customer List w Software'!$B$4:$B$310,"Former client")</f>
        <v>454</v>
      </c>
      <c r="I36" s="62">
        <f>AVERAGEIFS('Customer List w Software'!$J$4:$J$310,'Customer List w Software'!$B$4:$B$310,"Former client")</f>
        <v>637.95417293233061</v>
      </c>
      <c r="J36" s="214"/>
      <c r="K36" s="395">
        <f t="shared" si="6"/>
        <v>307</v>
      </c>
      <c r="L36" s="226">
        <f t="shared" si="6"/>
        <v>4211</v>
      </c>
      <c r="M36" s="391">
        <f>K36/K$36</f>
        <v>1</v>
      </c>
    </row>
    <row r="37" spans="2:13" s="173" customFormat="1">
      <c r="M37" s="389"/>
    </row>
    <row r="38" spans="2:13" s="173" customFormat="1">
      <c r="B38" s="178" t="s">
        <v>1305</v>
      </c>
      <c r="C38" s="178"/>
    </row>
    <row r="39" spans="2:13" s="173" customFormat="1">
      <c r="B39" s="178" t="s">
        <v>1909</v>
      </c>
      <c r="C39" s="178"/>
    </row>
    <row r="40" spans="2:13" s="173" customFormat="1">
      <c r="B40" s="178" t="s">
        <v>1910</v>
      </c>
      <c r="C40" s="180">
        <f>COUNTIFS('Customer List w Software'!$B$4:$B$310,"Active")</f>
        <v>163</v>
      </c>
    </row>
    <row r="41" spans="2:13" s="173" customFormat="1">
      <c r="B41" s="178" t="s">
        <v>1911</v>
      </c>
      <c r="C41" s="180">
        <f>COUNTIFS('Customer List w Software'!$B$4:$B$310,"Onboarding")</f>
        <v>11</v>
      </c>
    </row>
    <row r="42" spans="2:13" s="173" customFormat="1">
      <c r="B42" s="178" t="s">
        <v>1912</v>
      </c>
      <c r="C42" s="178"/>
    </row>
    <row r="43" spans="2:13" s="173" customFormat="1"/>
    <row r="44" spans="2:13" s="173" customFormat="1">
      <c r="B44" s="374" t="s">
        <v>1914</v>
      </c>
      <c r="C44" s="360" t="s">
        <v>595</v>
      </c>
      <c r="D44" s="360" t="s">
        <v>1915</v>
      </c>
      <c r="E44" s="348"/>
    </row>
    <row r="45" spans="2:13">
      <c r="B45" s="349" t="s">
        <v>1916</v>
      </c>
      <c r="C45" s="352">
        <f>+E10</f>
        <v>1380.6344444444439</v>
      </c>
      <c r="D45" s="352">
        <f>C45*12</f>
        <v>16567.613333333327</v>
      </c>
    </row>
    <row r="46" spans="2:13">
      <c r="B46" s="349" t="s">
        <v>1917</v>
      </c>
      <c r="C46" s="352">
        <f>D46/12</f>
        <v>1355.1213297872339</v>
      </c>
      <c r="D46" s="352">
        <f>+'Client Retention $'!AD16*1000</f>
        <v>16261.455957446806</v>
      </c>
    </row>
    <row r="47" spans="2:13">
      <c r="B47" s="358" t="s">
        <v>1918</v>
      </c>
      <c r="C47" s="61">
        <f>C45-C46</f>
        <v>25.513114657210053</v>
      </c>
      <c r="D47" s="61">
        <f>D45-D46</f>
        <v>306.15737588652155</v>
      </c>
      <c r="E47" s="358"/>
    </row>
    <row r="48" spans="2:13">
      <c r="B48" s="349" t="s">
        <v>1919</v>
      </c>
      <c r="D48" s="377">
        <f>D47/D46</f>
        <v>1.8827181077000623E-2</v>
      </c>
    </row>
    <row r="50" spans="2:5">
      <c r="B50" s="374" t="s">
        <v>1920</v>
      </c>
      <c r="C50" s="348"/>
      <c r="D50" s="348"/>
      <c r="E50" s="348"/>
    </row>
    <row r="51" spans="2:5">
      <c r="B51" s="349" t="s">
        <v>1921</v>
      </c>
      <c r="C51" s="364">
        <f>+C10</f>
        <v>174</v>
      </c>
    </row>
    <row r="52" spans="2:5">
      <c r="B52" s="349" t="s">
        <v>1922</v>
      </c>
      <c r="C52" s="364">
        <f>+'Client Retention'!AD15</f>
        <v>188</v>
      </c>
    </row>
    <row r="53" spans="2:5">
      <c r="B53" s="349" t="s">
        <v>1923</v>
      </c>
      <c r="C53" s="352">
        <f>SUMIFS('Customer List w Software'!$J$4:$J$310,'Customer List w Software'!$B$4:$B$310,"&lt;&gt;Former client")</f>
        <v>240230.39333333325</v>
      </c>
    </row>
    <row r="54" spans="2:5">
      <c r="B54" s="349" t="s">
        <v>1924</v>
      </c>
      <c r="C54" s="352">
        <f>+'Client Retention $'!AD15*1000</f>
        <v>254762.80999999994</v>
      </c>
    </row>
    <row r="55" spans="2:5">
      <c r="B55" s="97" t="s">
        <v>1925</v>
      </c>
    </row>
  </sheetData>
  <mergeCells count="3">
    <mergeCell ref="C5:E5"/>
    <mergeCell ref="G5:I5"/>
    <mergeCell ref="K5:M5"/>
  </mergeCells>
  <pageMargins left="0.7" right="0.7" top="0.75" bottom="0.75" header="0.3" footer="0.3"/>
  <pageSetup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EE7D-8709-4F56-AB35-1C180CA2112E}">
  <dimension ref="B2:I37"/>
  <sheetViews>
    <sheetView showGridLines="0" zoomScale="115" zoomScaleNormal="115" workbookViewId="0">
      <selection activeCell="F29" sqref="F29"/>
    </sheetView>
  </sheetViews>
  <sheetFormatPr defaultRowHeight="15"/>
  <cols>
    <col min="1" max="1" width="1.28515625" customWidth="1"/>
    <col min="2" max="2" width="40" customWidth="1"/>
    <col min="3" max="9" width="9.7109375" customWidth="1"/>
  </cols>
  <sheetData>
    <row r="2" spans="2:9" ht="16.5">
      <c r="B2" s="37" t="str">
        <f>+Cover!B24</f>
        <v>Keystone Bookkeepers</v>
      </c>
    </row>
    <row r="3" spans="2:9">
      <c r="B3" s="97" t="s">
        <v>1926</v>
      </c>
    </row>
    <row r="4" spans="2:9">
      <c r="B4" s="346"/>
      <c r="C4" s="346"/>
      <c r="D4" s="346"/>
      <c r="E4" s="346"/>
      <c r="F4" s="346"/>
      <c r="G4" s="346"/>
      <c r="H4" s="346"/>
      <c r="I4" s="346"/>
    </row>
    <row r="5" spans="2:9">
      <c r="B5" s="370" t="s">
        <v>1927</v>
      </c>
      <c r="C5" s="370"/>
      <c r="D5" s="370"/>
      <c r="E5" s="370"/>
      <c r="F5" s="370"/>
      <c r="G5" s="370"/>
      <c r="H5" s="370"/>
      <c r="I5" s="370"/>
    </row>
    <row r="6" spans="2:9">
      <c r="B6" s="349" t="s">
        <v>1928</v>
      </c>
      <c r="C6" s="352">
        <f>'P&amp;L Forecast'!$K$106</f>
        <v>468.56305724500555</v>
      </c>
      <c r="D6" s="349"/>
      <c r="E6" s="349"/>
      <c r="F6" s="349"/>
      <c r="G6" s="349"/>
      <c r="H6" s="349"/>
      <c r="I6" s="349"/>
    </row>
    <row r="7" spans="2:9">
      <c r="B7" s="349" t="s">
        <v>1929</v>
      </c>
      <c r="C7" s="352">
        <f>'P&amp;L Forecast'!$C$185</f>
        <v>272.46937500000001</v>
      </c>
      <c r="D7" s="349"/>
      <c r="E7" s="349"/>
      <c r="F7" s="349"/>
      <c r="G7" s="349"/>
      <c r="H7" s="349"/>
      <c r="I7" s="349"/>
    </row>
    <row r="8" spans="2:9">
      <c r="B8" s="349" t="s">
        <v>1846</v>
      </c>
      <c r="C8" s="364">
        <f>'P&amp;L Forecast'!$C$181</f>
        <v>177</v>
      </c>
      <c r="D8" s="349"/>
      <c r="E8" s="349"/>
      <c r="F8" s="349"/>
      <c r="G8" s="349"/>
      <c r="H8" s="349"/>
      <c r="I8" s="349"/>
    </row>
    <row r="9" spans="2:9">
      <c r="B9" s="349" t="s">
        <v>1930</v>
      </c>
      <c r="C9" s="376">
        <f>'P&amp;L Forecast'!$C$182</f>
        <v>8</v>
      </c>
      <c r="D9" s="349"/>
      <c r="E9" s="349"/>
      <c r="F9" s="349"/>
      <c r="G9" s="349"/>
      <c r="H9" s="349"/>
      <c r="I9" s="349"/>
    </row>
    <row r="10" spans="2:9">
      <c r="B10" s="349" t="s">
        <v>1931</v>
      </c>
      <c r="C10" s="375">
        <f>'P&amp;L Forecast'!$C$184</f>
        <v>12.315000000000001</v>
      </c>
      <c r="D10" s="349"/>
      <c r="E10" s="349"/>
      <c r="F10" s="349"/>
      <c r="G10" s="349"/>
      <c r="H10" s="349"/>
      <c r="I10" s="349"/>
    </row>
    <row r="11" spans="2:9">
      <c r="B11" s="349" t="s">
        <v>1932</v>
      </c>
      <c r="C11" s="396">
        <v>7</v>
      </c>
      <c r="D11" s="349"/>
      <c r="E11" s="349"/>
      <c r="F11" s="349"/>
      <c r="G11" s="349"/>
      <c r="H11" s="349"/>
      <c r="I11" s="349"/>
    </row>
    <row r="13" spans="2:9">
      <c r="B13" s="370" t="s">
        <v>1933</v>
      </c>
      <c r="C13" s="370"/>
      <c r="D13" s="370"/>
      <c r="E13" s="370"/>
      <c r="F13" s="370"/>
      <c r="G13" s="370"/>
      <c r="H13" s="370"/>
      <c r="I13" s="370"/>
    </row>
    <row r="14" spans="2:9">
      <c r="B14" s="348"/>
      <c r="C14" s="781" t="s">
        <v>1934</v>
      </c>
      <c r="D14" s="781"/>
      <c r="E14" s="781"/>
      <c r="F14" s="781"/>
      <c r="G14" s="781"/>
      <c r="H14" s="781"/>
      <c r="I14" s="781"/>
    </row>
    <row r="15" spans="2:9">
      <c r="B15" s="400" t="s">
        <v>1935</v>
      </c>
      <c r="C15" s="398">
        <f>$C$9-3</f>
        <v>5</v>
      </c>
      <c r="D15" s="398">
        <f>$C$9-2</f>
        <v>6</v>
      </c>
      <c r="E15" s="398">
        <f>$C$9-1</f>
        <v>7</v>
      </c>
      <c r="F15" s="398">
        <f>$C$9+0</f>
        <v>8</v>
      </c>
      <c r="G15" s="398">
        <f>$C$9+1</f>
        <v>9</v>
      </c>
      <c r="H15" s="398">
        <f>$C$9+2</f>
        <v>10</v>
      </c>
      <c r="I15" s="403">
        <f>$C$9+3</f>
        <v>11</v>
      </c>
    </row>
    <row r="16" spans="2:9">
      <c r="B16" s="401">
        <f>$C$11-2</f>
        <v>5</v>
      </c>
      <c r="C16" s="352">
        <f t="shared" ref="C16:I20" si="0">($C$6+$C$7-($C$8/C$15)*$C$10)*$B16</f>
        <v>1525.4071612250277</v>
      </c>
      <c r="D16" s="352">
        <f t="shared" si="0"/>
        <v>1888.6996612250277</v>
      </c>
      <c r="E16" s="352">
        <f t="shared" si="0"/>
        <v>2148.1943040821707</v>
      </c>
      <c r="F16" s="352">
        <f t="shared" si="0"/>
        <v>2342.8152862250276</v>
      </c>
      <c r="G16" s="352">
        <f t="shared" si="0"/>
        <v>2494.1871612250275</v>
      </c>
      <c r="H16" s="352">
        <f t="shared" si="0"/>
        <v>2615.2846612250278</v>
      </c>
      <c r="I16" s="404">
        <f t="shared" si="0"/>
        <v>2714.3644339523007</v>
      </c>
    </row>
    <row r="17" spans="2:9">
      <c r="B17" s="401">
        <f>$C$11-1</f>
        <v>6</v>
      </c>
      <c r="C17" s="352">
        <f t="shared" si="0"/>
        <v>1830.4885934700333</v>
      </c>
      <c r="D17" s="352">
        <f t="shared" si="0"/>
        <v>2266.4395934700333</v>
      </c>
      <c r="E17" s="352">
        <f t="shared" si="0"/>
        <v>2577.8331648986045</v>
      </c>
      <c r="F17" s="352">
        <f t="shared" si="0"/>
        <v>2811.3783434700335</v>
      </c>
      <c r="G17" s="352">
        <f t="shared" si="0"/>
        <v>2993.0245934700333</v>
      </c>
      <c r="H17" s="352">
        <f t="shared" si="0"/>
        <v>3138.3415934700333</v>
      </c>
      <c r="I17" s="404">
        <f t="shared" si="0"/>
        <v>3257.2373207427609</v>
      </c>
    </row>
    <row r="18" spans="2:9">
      <c r="B18" s="401">
        <f>$C$11+0</f>
        <v>7</v>
      </c>
      <c r="C18" s="352">
        <f t="shared" si="0"/>
        <v>2135.5700257150388</v>
      </c>
      <c r="D18" s="352">
        <f t="shared" si="0"/>
        <v>2644.1795257150388</v>
      </c>
      <c r="E18" s="352">
        <f t="shared" si="0"/>
        <v>3007.4720257150384</v>
      </c>
      <c r="F18" s="397">
        <f t="shared" si="0"/>
        <v>3279.941400715039</v>
      </c>
      <c r="G18" s="352">
        <f t="shared" si="0"/>
        <v>3491.8620257150387</v>
      </c>
      <c r="H18" s="352">
        <f t="shared" si="0"/>
        <v>3661.3985257150389</v>
      </c>
      <c r="I18" s="404">
        <f t="shared" si="0"/>
        <v>3800.110207533221</v>
      </c>
    </row>
    <row r="19" spans="2:9">
      <c r="B19" s="401">
        <f>$C$11+1</f>
        <v>8</v>
      </c>
      <c r="C19" s="352">
        <f t="shared" si="0"/>
        <v>2440.6514579600444</v>
      </c>
      <c r="D19" s="352">
        <f t="shared" si="0"/>
        <v>3021.9194579600444</v>
      </c>
      <c r="E19" s="352">
        <f t="shared" si="0"/>
        <v>3437.1108865314727</v>
      </c>
      <c r="F19" s="352">
        <f t="shared" si="0"/>
        <v>3748.5044579600444</v>
      </c>
      <c r="G19" s="352">
        <f t="shared" si="0"/>
        <v>3990.6994579600441</v>
      </c>
      <c r="H19" s="352">
        <f t="shared" si="0"/>
        <v>4184.4554579600444</v>
      </c>
      <c r="I19" s="404">
        <f t="shared" si="0"/>
        <v>4342.9830943236811</v>
      </c>
    </row>
    <row r="20" spans="2:9">
      <c r="B20" s="402">
        <f>$C$11+2</f>
        <v>9</v>
      </c>
      <c r="C20" s="399">
        <f t="shared" si="0"/>
        <v>2745.7328902050499</v>
      </c>
      <c r="D20" s="399">
        <f t="shared" si="0"/>
        <v>3399.6593902050499</v>
      </c>
      <c r="E20" s="399">
        <f t="shared" si="0"/>
        <v>3866.749747347907</v>
      </c>
      <c r="F20" s="399">
        <f t="shared" si="0"/>
        <v>4217.0675152050499</v>
      </c>
      <c r="G20" s="399">
        <f t="shared" si="0"/>
        <v>4489.5368902050495</v>
      </c>
      <c r="H20" s="399">
        <f t="shared" si="0"/>
        <v>4707.51239020505</v>
      </c>
      <c r="I20" s="405">
        <f t="shared" si="0"/>
        <v>4885.8559811141413</v>
      </c>
    </row>
    <row r="21" spans="2:9">
      <c r="B21" s="349"/>
      <c r="C21" s="349"/>
      <c r="D21" s="349"/>
      <c r="E21" s="349"/>
      <c r="F21" s="349"/>
      <c r="G21" s="349"/>
      <c r="H21" s="349"/>
      <c r="I21" s="349"/>
    </row>
    <row r="22" spans="2:9">
      <c r="B22" s="370" t="s">
        <v>1936</v>
      </c>
      <c r="C22" s="370"/>
      <c r="D22" s="370"/>
      <c r="E22" s="370"/>
      <c r="F22" s="370"/>
      <c r="G22" s="370"/>
      <c r="H22" s="370"/>
      <c r="I22" s="370"/>
    </row>
    <row r="23" spans="2:9">
      <c r="B23" s="360"/>
      <c r="C23" s="781" t="s">
        <v>1934</v>
      </c>
      <c r="D23" s="781"/>
      <c r="E23" s="781"/>
      <c r="F23" s="781"/>
      <c r="G23" s="781"/>
      <c r="H23" s="781"/>
      <c r="I23" s="781"/>
    </row>
    <row r="24" spans="2:9">
      <c r="B24" s="400" t="s">
        <v>1931</v>
      </c>
      <c r="C24" s="398">
        <f t="shared" ref="C24:I24" si="1">C$15</f>
        <v>5</v>
      </c>
      <c r="D24" s="398">
        <f t="shared" si="1"/>
        <v>6</v>
      </c>
      <c r="E24" s="398">
        <f t="shared" si="1"/>
        <v>7</v>
      </c>
      <c r="F24" s="398">
        <f t="shared" si="1"/>
        <v>8</v>
      </c>
      <c r="G24" s="398">
        <f t="shared" si="1"/>
        <v>9</v>
      </c>
      <c r="H24" s="398">
        <f t="shared" si="1"/>
        <v>10</v>
      </c>
      <c r="I24" s="403">
        <f t="shared" si="1"/>
        <v>11</v>
      </c>
    </row>
    <row r="25" spans="2:9">
      <c r="B25" s="406">
        <f>$C$10-2</f>
        <v>10.315000000000001</v>
      </c>
      <c r="C25" s="352">
        <f t="shared" ref="C25:I29" si="2">$C$6+$C$7-($C$8/C$24)*$B25</f>
        <v>375.88143224500556</v>
      </c>
      <c r="D25" s="352">
        <f t="shared" si="2"/>
        <v>436.73993224500555</v>
      </c>
      <c r="E25" s="352">
        <f t="shared" si="2"/>
        <v>480.2102893878627</v>
      </c>
      <c r="F25" s="352">
        <f t="shared" si="2"/>
        <v>512.81305724500555</v>
      </c>
      <c r="G25" s="352">
        <f t="shared" si="2"/>
        <v>538.17076557833889</v>
      </c>
      <c r="H25" s="352">
        <f t="shared" si="2"/>
        <v>558.45693224500553</v>
      </c>
      <c r="I25" s="404">
        <f t="shared" si="2"/>
        <v>575.05470497227827</v>
      </c>
    </row>
    <row r="26" spans="2:9">
      <c r="B26" s="406">
        <f>$C$10-1</f>
        <v>11.315000000000001</v>
      </c>
      <c r="C26" s="352">
        <f t="shared" si="2"/>
        <v>340.48143224500552</v>
      </c>
      <c r="D26" s="352">
        <f t="shared" si="2"/>
        <v>407.23993224500555</v>
      </c>
      <c r="E26" s="352">
        <f t="shared" si="2"/>
        <v>454.92457510214842</v>
      </c>
      <c r="F26" s="352">
        <f t="shared" si="2"/>
        <v>490.68805724500555</v>
      </c>
      <c r="G26" s="352">
        <f t="shared" si="2"/>
        <v>518.50409891167214</v>
      </c>
      <c r="H26" s="352">
        <f t="shared" si="2"/>
        <v>540.7569322450056</v>
      </c>
      <c r="I26" s="404">
        <f t="shared" si="2"/>
        <v>558.96379588136915</v>
      </c>
    </row>
    <row r="27" spans="2:9">
      <c r="B27" s="406">
        <f>$C$10+0</f>
        <v>12.315000000000001</v>
      </c>
      <c r="C27" s="352">
        <f t="shared" si="2"/>
        <v>305.08143224500554</v>
      </c>
      <c r="D27" s="352">
        <f t="shared" si="2"/>
        <v>377.73993224500555</v>
      </c>
      <c r="E27" s="352">
        <f t="shared" si="2"/>
        <v>429.63886081643409</v>
      </c>
      <c r="F27" s="397">
        <f t="shared" si="2"/>
        <v>468.56305724500555</v>
      </c>
      <c r="G27" s="352">
        <f t="shared" si="2"/>
        <v>498.83743224500552</v>
      </c>
      <c r="H27" s="352">
        <f t="shared" si="2"/>
        <v>523.05693224500556</v>
      </c>
      <c r="I27" s="404">
        <f t="shared" si="2"/>
        <v>542.87288679046014</v>
      </c>
    </row>
    <row r="28" spans="2:9">
      <c r="B28" s="406">
        <f>$C$10+1</f>
        <v>13.315000000000001</v>
      </c>
      <c r="C28" s="352">
        <f t="shared" si="2"/>
        <v>269.68143224500557</v>
      </c>
      <c r="D28" s="352">
        <f t="shared" si="2"/>
        <v>348.23993224500555</v>
      </c>
      <c r="E28" s="352">
        <f t="shared" si="2"/>
        <v>404.35314653071981</v>
      </c>
      <c r="F28" s="352">
        <f t="shared" si="2"/>
        <v>446.43805724500555</v>
      </c>
      <c r="G28" s="352">
        <f t="shared" si="2"/>
        <v>479.17076557833883</v>
      </c>
      <c r="H28" s="352">
        <f t="shared" si="2"/>
        <v>505.35693224500557</v>
      </c>
      <c r="I28" s="404">
        <f t="shared" si="2"/>
        <v>526.78197769955102</v>
      </c>
    </row>
    <row r="29" spans="2:9">
      <c r="B29" s="407">
        <f>$C$10+2</f>
        <v>14.315000000000001</v>
      </c>
      <c r="C29" s="399">
        <f t="shared" si="2"/>
        <v>234.28143224500553</v>
      </c>
      <c r="D29" s="399">
        <f t="shared" si="2"/>
        <v>318.73993224500555</v>
      </c>
      <c r="E29" s="399">
        <f t="shared" si="2"/>
        <v>379.06743224500553</v>
      </c>
      <c r="F29" s="399">
        <f t="shared" si="2"/>
        <v>424.31305724500555</v>
      </c>
      <c r="G29" s="399">
        <f t="shared" si="2"/>
        <v>459.5040989116722</v>
      </c>
      <c r="H29" s="399">
        <f t="shared" si="2"/>
        <v>487.65693224500558</v>
      </c>
      <c r="I29" s="405">
        <f t="shared" si="2"/>
        <v>510.6910686086419</v>
      </c>
    </row>
    <row r="30" spans="2:9">
      <c r="F30" s="409"/>
    </row>
    <row r="31" spans="2:9">
      <c r="B31" s="97" t="s">
        <v>1937</v>
      </c>
      <c r="C31" s="97"/>
    </row>
    <row r="32" spans="2:9">
      <c r="B32" s="97" t="s">
        <v>4</v>
      </c>
      <c r="C32" s="408">
        <f>'Steady-State Staffing'!C21</f>
        <v>7.3863636363636367</v>
      </c>
    </row>
    <row r="33" spans="2:3">
      <c r="B33" s="97" t="s">
        <v>1317</v>
      </c>
      <c r="C33" s="408">
        <f>'Steady-State Staffing'!D21</f>
        <v>5.056338028169014</v>
      </c>
    </row>
    <row r="34" spans="2:3">
      <c r="B34" s="97" t="s">
        <v>1527</v>
      </c>
      <c r="C34" s="408">
        <f>'Steady-State Staffing'!F21</f>
        <v>5.3134328358208958</v>
      </c>
    </row>
    <row r="35" spans="2:3">
      <c r="B35" s="97" t="s">
        <v>1938</v>
      </c>
      <c r="C35" s="408">
        <f>'Steady-State Staffing'!H21</f>
        <v>11.23076923076923</v>
      </c>
    </row>
    <row r="36" spans="2:3">
      <c r="B36" s="97" t="s">
        <v>1939</v>
      </c>
      <c r="C36" s="408">
        <f>'Steady-State Staffing'!AB21</f>
        <v>4.481012658227848</v>
      </c>
    </row>
    <row r="37" spans="2:3">
      <c r="B37" s="97" t="s">
        <v>1940</v>
      </c>
      <c r="C37" s="97"/>
    </row>
  </sheetData>
  <mergeCells count="2">
    <mergeCell ref="C14:I14"/>
    <mergeCell ref="C23:I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Forecast'!B31</f>
        <v>Indirect Labor</v>
      </c>
      <c r="C19" s="64">
        <f>+'P&amp;L Forecast'!C31</f>
        <v>101.37520000000001</v>
      </c>
      <c r="D19" s="64">
        <f>+'P&amp;L Forecast'!D31</f>
        <v>281.24054000000001</v>
      </c>
      <c r="E19" s="23"/>
      <c r="F19" s="64">
        <f>+'P&amp;L Forecast'!F31</f>
        <v>136.29648</v>
      </c>
      <c r="G19" s="64">
        <f>+'P&amp;L Forecast'!G31</f>
        <v>357.27472</v>
      </c>
      <c r="H19" s="23"/>
      <c r="I19" s="64">
        <f>+'P&amp;L Forecast'!I31</f>
        <v>202.41598000000002</v>
      </c>
      <c r="J19" s="64">
        <f>+'P&amp;L Forecast'!J31</f>
        <v>502.21877999999998</v>
      </c>
      <c r="K19" s="64">
        <f>+'P&amp;L Forecast'!K31</f>
        <v>681.3</v>
      </c>
      <c r="L19" s="52"/>
      <c r="M19" s="23">
        <f>K19-J19</f>
        <v>179.08121999999997</v>
      </c>
      <c r="N19" s="66">
        <f>IFERROR(K19/J19-1,0)</f>
        <v>0.35658009443613392</v>
      </c>
      <c r="P19" s="149"/>
    </row>
    <row r="20" spans="2:46">
      <c r="B20" s="56" t="str">
        <f>+'P&amp;L Forecast'!B32</f>
        <v>Bookkeeper Wages</v>
      </c>
      <c r="C20" s="64">
        <f>+'P&amp;L Forecast'!C32</f>
        <v>183.36902999999998</v>
      </c>
      <c r="D20" s="64">
        <f>+'P&amp;L Forecast'!D32</f>
        <v>316.18462</v>
      </c>
      <c r="E20" s="23"/>
      <c r="F20" s="64">
        <f>+'P&amp;L Forecast'!F32</f>
        <v>147.26813000000001</v>
      </c>
      <c r="G20" s="64">
        <f>+'P&amp;L Forecast'!G32</f>
        <v>267.75739999999996</v>
      </c>
      <c r="H20" s="23"/>
      <c r="I20" s="64">
        <f>+'P&amp;L Forecast'!I32</f>
        <v>240.18097999999998</v>
      </c>
      <c r="J20" s="64">
        <f>+'P&amp;L Forecast'!J32</f>
        <v>436.67388999999997</v>
      </c>
      <c r="K20" s="64">
        <f>+'P&amp;L Forecast'!K32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Forecast'!B33</f>
        <v>Client Lead Wages</v>
      </c>
      <c r="C21" s="64">
        <f>+'P&amp;L Forecast'!C33</f>
        <v>286.16129000000001</v>
      </c>
      <c r="D21" s="64">
        <f>+'P&amp;L Forecast'!D33</f>
        <v>352.95844</v>
      </c>
      <c r="E21" s="23"/>
      <c r="F21" s="64">
        <f>+'P&amp;L Forecast'!F33</f>
        <v>201.27983</v>
      </c>
      <c r="G21" s="64">
        <f>+'P&amp;L Forecast'!G33</f>
        <v>202.05309</v>
      </c>
      <c r="H21" s="23"/>
      <c r="I21" s="64">
        <f>+'P&amp;L Forecast'!I33</f>
        <v>353.12842999999998</v>
      </c>
      <c r="J21" s="64">
        <f>+'P&amp;L Forecast'!J33</f>
        <v>353.7317000000001</v>
      </c>
      <c r="K21" s="64">
        <f>+'P&amp;L Forecast'!K33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Forecast'!B34</f>
        <v>Onboarding Team Wages</v>
      </c>
      <c r="C22" s="64">
        <f>+'P&amp;L Forecast'!C34</f>
        <v>122.81254999999999</v>
      </c>
      <c r="D22" s="64">
        <f>+'P&amp;L Forecast'!D34</f>
        <v>152.16972000000001</v>
      </c>
      <c r="E22" s="23"/>
      <c r="F22" s="64">
        <f>+'P&amp;L Forecast'!F34</f>
        <v>73.949619999999996</v>
      </c>
      <c r="G22" s="64">
        <f>+'P&amp;L Forecast'!G34</f>
        <v>111.27999</v>
      </c>
      <c r="H22" s="23"/>
      <c r="I22" s="64">
        <f>+'P&amp;L Forecast'!I34</f>
        <v>121.30735</v>
      </c>
      <c r="J22" s="64">
        <f>+'P&amp;L Forecast'!J34</f>
        <v>189.50009</v>
      </c>
      <c r="K22" s="64">
        <f>+'P&amp;L Forecast'!K34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Forecast'!B35</f>
        <v>Owner Wages</v>
      </c>
      <c r="C23" s="64">
        <f>+'P&amp;L Forecast'!C35</f>
        <v>0</v>
      </c>
      <c r="D23" s="64">
        <f>+'P&amp;L Forecast'!D35</f>
        <v>90.66704</v>
      </c>
      <c r="E23" s="23"/>
      <c r="F23" s="64">
        <f>+'P&amp;L Forecast'!F35</f>
        <v>45.466120000000004</v>
      </c>
      <c r="G23" s="64">
        <f>+'P&amp;L Forecast'!G35</f>
        <v>63.143019999999993</v>
      </c>
      <c r="H23" s="23"/>
      <c r="I23" s="64">
        <f>+'P&amp;L Forecast'!I35</f>
        <v>45.466120000000004</v>
      </c>
      <c r="J23" s="64">
        <f>+'P&amp;L Forecast'!J35</f>
        <v>108.34394</v>
      </c>
      <c r="K23" s="64">
        <f>+'P&amp;L Forecast'!K35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Forecast'!B36</f>
        <v>S&amp;M Wages</v>
      </c>
      <c r="C24" s="64">
        <f>+'P&amp;L Forecast'!C36</f>
        <v>0</v>
      </c>
      <c r="D24" s="64">
        <f>+'P&amp;L Forecast'!D36</f>
        <v>19.149630000000002</v>
      </c>
      <c r="E24" s="23"/>
      <c r="F24" s="64">
        <f>+'P&amp;L Forecast'!F36</f>
        <v>3.09945</v>
      </c>
      <c r="G24" s="64">
        <f>+'P&amp;L Forecast'!G36</f>
        <v>51.941310000000001</v>
      </c>
      <c r="H24" s="23"/>
      <c r="I24" s="64">
        <f>+'P&amp;L Forecast'!I36</f>
        <v>3.09945</v>
      </c>
      <c r="J24" s="64">
        <f>+'P&amp;L Forecast'!J36</f>
        <v>67.991489999999999</v>
      </c>
      <c r="K24" s="64">
        <f>+'P&amp;L Forecast'!K36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Forecast'!B37</f>
        <v>Occupancy Tax Specialist</v>
      </c>
      <c r="C25" s="64">
        <f>+'P&amp;L Forecast'!C37</f>
        <v>1.1133499999999998</v>
      </c>
      <c r="D25" s="64">
        <f>+'P&amp;L Forecast'!D37</f>
        <v>29.564150000000001</v>
      </c>
      <c r="E25" s="23"/>
      <c r="F25" s="64">
        <f>+'P&amp;L Forecast'!F37</f>
        <v>14.275850000000002</v>
      </c>
      <c r="G25" s="64">
        <f>+'P&amp;L Forecast'!G37</f>
        <v>42.085049999999995</v>
      </c>
      <c r="H25" s="23"/>
      <c r="I25" s="64">
        <f>+'P&amp;L Forecast'!I37</f>
        <v>15.389199999999999</v>
      </c>
      <c r="J25" s="64">
        <f>+'P&amp;L Forecast'!J37</f>
        <v>57.373349999999995</v>
      </c>
      <c r="K25" s="64">
        <f>+'P&amp;L Forecast'!K37</f>
        <v>58.2</v>
      </c>
      <c r="L25" s="52"/>
      <c r="M25" s="23">
        <f t="shared" si="2"/>
        <v>0.82665000000000788</v>
      </c>
      <c r="N25" s="66">
        <f t="shared" si="3"/>
        <v>1.4408257492372512E-2</v>
      </c>
      <c r="P25" s="149"/>
    </row>
    <row r="26" spans="2:46">
      <c r="B26" s="56" t="str">
        <f>+'P&amp;L Forecast'!B38</f>
        <v>Sr. Client Lead Wages</v>
      </c>
      <c r="C26" s="64">
        <f>+'P&amp;L Forecast'!C38</f>
        <v>0</v>
      </c>
      <c r="D26" s="64">
        <f>+'P&amp;L Forecast'!D38</f>
        <v>0</v>
      </c>
      <c r="E26" s="23"/>
      <c r="F26" s="64">
        <f>+'P&amp;L Forecast'!F38</f>
        <v>0</v>
      </c>
      <c r="G26" s="64">
        <f>+'P&amp;L Forecast'!G38</f>
        <v>7.9949999999999992</v>
      </c>
      <c r="H26" s="23"/>
      <c r="I26" s="64">
        <f>+'P&amp;L Forecast'!I38</f>
        <v>0</v>
      </c>
      <c r="J26" s="64">
        <f>+'P&amp;L Forecast'!J38</f>
        <v>7.9949999999999992</v>
      </c>
      <c r="K26" s="64">
        <f>+'P&amp;L Forecast'!K38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Forecast'!B39</f>
        <v>Employee Benefits</v>
      </c>
      <c r="C27" s="64">
        <f>+'P&amp;L Forecast'!C39</f>
        <v>5.3740499999999995</v>
      </c>
      <c r="D27" s="64">
        <f>+'P&amp;L Forecast'!D39</f>
        <v>19.23245</v>
      </c>
      <c r="E27" s="23"/>
      <c r="F27" s="64">
        <f>+'P&amp;L Forecast'!F39</f>
        <v>9.0216600000000007</v>
      </c>
      <c r="G27" s="64">
        <f>+'P&amp;L Forecast'!G39</f>
        <v>17.36251</v>
      </c>
      <c r="H27" s="23"/>
      <c r="I27" s="64">
        <f>+'P&amp;L Forecast'!I39</f>
        <v>12.16686</v>
      </c>
      <c r="J27" s="64">
        <f>+'P&amp;L Forecast'!J39</f>
        <v>27.573299999999996</v>
      </c>
      <c r="K27" s="64">
        <f>+'P&amp;L Forecast'!K39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Forecast'!B40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2094.12662</v>
      </c>
      <c r="L28" s="71"/>
      <c r="M28" s="59">
        <f>SUM(M19:M27)</f>
        <v>342.72507999999993</v>
      </c>
      <c r="N28" s="142">
        <f>K28/J28-1</f>
        <v>0.1956861817079365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Forecast'!B42</f>
        <v>Software &amp; Apps - COGS</v>
      </c>
      <c r="C30" s="64">
        <f>+'P&amp;L Forecast'!C42</f>
        <v>114.42268999999999</v>
      </c>
      <c r="D30" s="64">
        <f>+'P&amp;L Forecast'!D42</f>
        <v>157.49471000000003</v>
      </c>
      <c r="E30" s="34"/>
      <c r="F30" s="64">
        <f>+'P&amp;L Forecast'!F42</f>
        <v>84.968590000000006</v>
      </c>
      <c r="G30" s="64">
        <f>+'P&amp;L Forecast'!G42</f>
        <v>152.28157000000002</v>
      </c>
      <c r="H30" s="34"/>
      <c r="I30" s="64">
        <f>+'P&amp;L Forecast'!I42</f>
        <v>142.28344999999999</v>
      </c>
      <c r="J30" s="64">
        <f>+'P&amp;L Forecast'!J42</f>
        <v>224.80769000000001</v>
      </c>
      <c r="K30" s="64">
        <f>+'P&amp;L Forecast'!K42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Forecast'!B43</f>
        <v>Software &amp; Apps - G&amp;A</v>
      </c>
      <c r="C31" s="64">
        <f>+'P&amp;L Forecast'!C43</f>
        <v>60.915939999999999</v>
      </c>
      <c r="D31" s="64">
        <f>+'P&amp;L Forecast'!D43</f>
        <v>117.05866</v>
      </c>
      <c r="F31" s="64">
        <f>+'P&amp;L Forecast'!F43</f>
        <v>56.811500000000009</v>
      </c>
      <c r="G31" s="64">
        <f>+'P&amp;L Forecast'!G43</f>
        <v>97.04798000000001</v>
      </c>
      <c r="I31" s="64">
        <f>+'P&amp;L Forecast'!I43</f>
        <v>86.514889999999994</v>
      </c>
      <c r="J31" s="64">
        <f>+'P&amp;L Forecast'!J43</f>
        <v>157.29514</v>
      </c>
      <c r="K31" s="64">
        <f>+'P&amp;L Forecast'!K43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Forecast'!B44</f>
        <v>Software &amp; Apps - Topkey</v>
      </c>
      <c r="C32" s="64">
        <f>+'P&amp;L Forecast'!C44</f>
        <v>0</v>
      </c>
      <c r="D32" s="64">
        <f>+'P&amp;L Forecast'!D44</f>
        <v>7.1412499999999994</v>
      </c>
      <c r="F32" s="64">
        <f>+'P&amp;L Forecast'!F44</f>
        <v>0</v>
      </c>
      <c r="G32" s="64">
        <f>+'P&amp;L Forecast'!G44</f>
        <v>28.827750000000002</v>
      </c>
      <c r="I32" s="64">
        <f>+'P&amp;L Forecast'!I44</f>
        <v>0</v>
      </c>
      <c r="J32" s="64">
        <f>+'P&amp;L Forecast'!J44</f>
        <v>35.969000000000001</v>
      </c>
      <c r="K32" s="64">
        <f>+'P&amp;L Forecast'!K44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Forecast'!B45</f>
        <v>Software &amp; Apps - AI tools</v>
      </c>
      <c r="C33" s="64">
        <f>+'P&amp;L Forecast'!C45</f>
        <v>0</v>
      </c>
      <c r="D33" s="64">
        <f>+'P&amp;L Forecast'!D45</f>
        <v>0</v>
      </c>
      <c r="F33" s="64">
        <f>+'P&amp;L Forecast'!F45</f>
        <v>0</v>
      </c>
      <c r="G33" s="64">
        <f>+'P&amp;L Forecast'!G45</f>
        <v>6.52752</v>
      </c>
      <c r="I33" s="64">
        <f>+'P&amp;L Forecast'!I45</f>
        <v>0</v>
      </c>
      <c r="J33" s="64">
        <f>+'P&amp;L Forecast'!J45</f>
        <v>6.52752</v>
      </c>
      <c r="K33" s="64">
        <f>+'P&amp;L Forecast'!K45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Forecast'!B46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Forecast'!B48</f>
        <v>Other Professional Fees</v>
      </c>
      <c r="C36" s="64">
        <f>+'P&amp;L Forecast'!C48</f>
        <v>18.234249999999999</v>
      </c>
      <c r="D36" s="64">
        <f>+'P&amp;L Forecast'!D48</f>
        <v>27.040950000000002</v>
      </c>
      <c r="F36" s="64">
        <f>+'P&amp;L Forecast'!F48</f>
        <v>12.014000000000001</v>
      </c>
      <c r="G36" s="64">
        <f>+'P&amp;L Forecast'!G48</f>
        <v>57.55</v>
      </c>
      <c r="I36" s="64">
        <f>+'P&amp;L Forecast'!I48</f>
        <v>21.74858</v>
      </c>
      <c r="J36" s="64">
        <f>+'P&amp;L Forecast'!J48</f>
        <v>72.576949999999997</v>
      </c>
      <c r="K36" s="64">
        <f>+'P&amp;L Forecast'!K48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Forecast'!B49</f>
        <v>Referral Fees</v>
      </c>
      <c r="C37" s="64">
        <f>+'P&amp;L Forecast'!C49</f>
        <v>24.819999999999997</v>
      </c>
      <c r="D37" s="64">
        <f>+'P&amp;L Forecast'!D49</f>
        <v>27.153739999999999</v>
      </c>
      <c r="F37" s="64">
        <f>+'P&amp;L Forecast'!F49</f>
        <v>17.089500000000001</v>
      </c>
      <c r="G37" s="64">
        <f>+'P&amp;L Forecast'!G49</f>
        <v>20.62969</v>
      </c>
      <c r="I37" s="64">
        <f>+'P&amp;L Forecast'!I49</f>
        <v>26.209499999999998</v>
      </c>
      <c r="J37" s="64">
        <f>+'P&amp;L Forecast'!J49</f>
        <v>30.693929999999998</v>
      </c>
      <c r="K37" s="64">
        <f>+'P&amp;L Forecast'!K49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Forecast'!B50</f>
        <v>Travel, Meals &amp; Entertainment</v>
      </c>
      <c r="C38" s="64">
        <f>+'P&amp;L Forecast'!C50</f>
        <v>0</v>
      </c>
      <c r="D38" s="64">
        <f>+'P&amp;L Forecast'!D50</f>
        <v>29.761219999999998</v>
      </c>
      <c r="F38" s="64">
        <f>+'P&amp;L Forecast'!F50</f>
        <v>22.295579999999998</v>
      </c>
      <c r="G38" s="64">
        <f>+'P&amp;L Forecast'!G50</f>
        <v>20.685420000000001</v>
      </c>
      <c r="I38" s="64">
        <f>+'P&amp;L Forecast'!I50</f>
        <v>22.295579999999998</v>
      </c>
      <c r="J38" s="64">
        <f>+'P&amp;L Forecast'!J50</f>
        <v>28.151060000000001</v>
      </c>
      <c r="K38" s="64">
        <f>+'P&amp;L Forecast'!K50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Forecast'!B51</f>
        <v>Payment Collection Fees</v>
      </c>
      <c r="C39" s="64">
        <f>+'P&amp;L Forecast'!C51</f>
        <v>8.670989999999998</v>
      </c>
      <c r="D39" s="64">
        <f>+'P&amp;L Forecast'!D51</f>
        <v>13.35153</v>
      </c>
      <c r="F39" s="64">
        <f>+'P&amp;L Forecast'!F51</f>
        <v>6.8044500000000001</v>
      </c>
      <c r="G39" s="64">
        <f>+'P&amp;L Forecast'!G51</f>
        <v>9.02684</v>
      </c>
      <c r="I39" s="64">
        <f>+'P&amp;L Forecast'!I51</f>
        <v>10.54373</v>
      </c>
      <c r="J39" s="64">
        <f>+'P&amp;L Forecast'!J51</f>
        <v>15.573919999999999</v>
      </c>
      <c r="K39" s="64">
        <f>+'P&amp;L Forecast'!K51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Forecast'!B52</f>
        <v>Professional Organizations</v>
      </c>
      <c r="C40" s="64">
        <f>+'P&amp;L Forecast'!C52</f>
        <v>5.4433199999999999</v>
      </c>
      <c r="D40" s="64">
        <f>+'P&amp;L Forecast'!D52</f>
        <v>11.22296</v>
      </c>
      <c r="F40" s="64">
        <f>+'P&amp;L Forecast'!F52</f>
        <v>6.1909999999999989</v>
      </c>
      <c r="G40" s="64">
        <f>+'P&amp;L Forecast'!G52</f>
        <v>6.5788099999999998</v>
      </c>
      <c r="I40" s="64">
        <f>+'P&amp;L Forecast'!I52</f>
        <v>9.5326799999999974</v>
      </c>
      <c r="J40" s="64">
        <f>+'P&amp;L Forecast'!J52</f>
        <v>11.61077</v>
      </c>
      <c r="K40" s="64">
        <f>+'P&amp;L Forecast'!K52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Forecast'!B53</f>
        <v>S&amp;M Events</v>
      </c>
      <c r="C41" s="64">
        <f>+'P&amp;L Forecast'!C53</f>
        <v>0</v>
      </c>
      <c r="D41" s="64">
        <f>+'P&amp;L Forecast'!D53</f>
        <v>11.4983</v>
      </c>
      <c r="F41" s="64">
        <f>+'P&amp;L Forecast'!F53</f>
        <v>0</v>
      </c>
      <c r="G41" s="64">
        <f>+'P&amp;L Forecast'!G53</f>
        <v>11.84548</v>
      </c>
      <c r="I41" s="64">
        <f>+'P&amp;L Forecast'!I53</f>
        <v>0</v>
      </c>
      <c r="J41" s="64">
        <f>+'P&amp;L Forecast'!J53</f>
        <v>23.343780000000002</v>
      </c>
      <c r="K41" s="64">
        <f>+'P&amp;L Forecast'!K53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Forecast'!B54</f>
        <v>Contract Labor - Tax</v>
      </c>
      <c r="C42" s="64">
        <f>+'P&amp;L Forecast'!C54</f>
        <v>0</v>
      </c>
      <c r="D42" s="64">
        <f>+'P&amp;L Forecast'!D54</f>
        <v>1.5874999999999999</v>
      </c>
      <c r="F42" s="64">
        <f>+'P&amp;L Forecast'!F54</f>
        <v>0</v>
      </c>
      <c r="G42" s="64">
        <f>+'P&amp;L Forecast'!G54</f>
        <v>30.515499999999999</v>
      </c>
      <c r="I42" s="64">
        <f>+'P&amp;L Forecast'!I54</f>
        <v>0</v>
      </c>
      <c r="J42" s="64">
        <f>+'P&amp;L Forecast'!J54</f>
        <v>32.103000000000002</v>
      </c>
      <c r="K42" s="64">
        <f>+'P&amp;L Forecast'!K54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Forecast'!B55</f>
        <v>Recruiting Fees</v>
      </c>
      <c r="C43" s="64">
        <f>+'P&amp;L Forecast'!C55</f>
        <v>14.902050000000003</v>
      </c>
      <c r="D43" s="64">
        <f>+'P&amp;L Forecast'!D55</f>
        <v>31.604100000000003</v>
      </c>
      <c r="F43" s="64">
        <f>+'P&amp;L Forecast'!F55</f>
        <v>28.299939999999999</v>
      </c>
      <c r="G43" s="64">
        <f>+'P&amp;L Forecast'!G55</f>
        <v>5.5646000000000004</v>
      </c>
      <c r="I43" s="64">
        <f>+'P&amp;L Forecast'!I55</f>
        <v>35.346060000000008</v>
      </c>
      <c r="J43" s="64">
        <f>+'P&amp;L Forecast'!J55</f>
        <v>8.86876</v>
      </c>
      <c r="K43" s="64">
        <f>+'P&amp;L Forecast'!K55</f>
        <v>8.86876</v>
      </c>
      <c r="M43" s="23">
        <f t="shared" si="6"/>
        <v>0</v>
      </c>
      <c r="N43" s="66">
        <f t="shared" si="7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Forecast'!C66</f>
        <v>113.94989999999999</v>
      </c>
      <c r="D45" s="59">
        <f>+'P&amp;L Forecast'!D66</f>
        <v>205.54162000000002</v>
      </c>
      <c r="F45" s="59">
        <f>+'P&amp;L Forecast'!F66</f>
        <v>121.59989000000002</v>
      </c>
      <c r="G45" s="59">
        <f>+'P&amp;L Forecast'!G66</f>
        <v>189.30078999999998</v>
      </c>
      <c r="I45" s="59">
        <f>+'P&amp;L Forecast'!I66</f>
        <v>167.44494000000003</v>
      </c>
      <c r="J45" s="59">
        <f>+'P&amp;L Forecast'!J66</f>
        <v>273.24252000000001</v>
      </c>
      <c r="K45" s="59">
        <f>+'P&amp;L Forecast'!K66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50.664550000000133</v>
      </c>
      <c r="L47" s="71"/>
      <c r="M47" s="110">
        <f>+M16-M28-M34-M45</f>
        <v>-52.623269999999444</v>
      </c>
      <c r="N47" s="112">
        <f t="shared" ref="N47" si="8">IFERROR(K47/J47-1,0)</f>
        <v>-0.50948185371711641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1.6896400503468894E-2</v>
      </c>
      <c r="L48" s="103"/>
      <c r="M48" s="111">
        <f>M47/M$16</f>
        <v>-0.11798680472910557</v>
      </c>
      <c r="N48" s="113">
        <v>0</v>
      </c>
    </row>
  </sheetData>
  <conditionalFormatting sqref="A7:XFD53">
    <cfRule type="expression" dxfId="89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200"/>
  <sheetViews>
    <sheetView showGridLines="0" zoomScale="130" zoomScaleNormal="130" workbookViewId="0">
      <pane ySplit="5" topLeftCell="A157" activePane="bottomLeft" state="frozen"/>
      <selection pane="bottomLeft" activeCell="B189" sqref="B18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  <c r="K2" s="45"/>
      <c r="M2" s="45"/>
    </row>
    <row r="3" spans="1:46">
      <c r="B3" s="38" t="s">
        <v>451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SUMIFS($P7:$AT7,$P$5:$AT$5,"&gt;"&amp;C$199,$P$5:$AT$5,"&lt;"&amp;C$200)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SUMIFS($P7:$AT7,$P$5:$AT$5,"&gt;"&amp;F$199,$P$5:$AT$5,"&lt;"&amp;F$200)</f>
        <v>751.52859999999987</v>
      </c>
      <c r="G7" s="48">
        <f t="shared" si="2"/>
        <v>1261.47685</v>
      </c>
      <c r="H7" s="48"/>
      <c r="I7" s="48">
        <f t="shared" ref="I7:J14" si="3">SUMIFS($P7:$AT7,$P$5:$AT$5,"&gt;"&amp;I$199,$P$5:$AT$5,"&lt;"&amp;I$200)</f>
        <v>1152.3202500000002</v>
      </c>
      <c r="J7" s="48">
        <f t="shared" si="3"/>
        <v>1960.4406000000001</v>
      </c>
      <c r="K7" s="50">
        <f>+C111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+C113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+C112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+C114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+C116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+C115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+C117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+C118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SUMIFS($P17:$AT17,$P$5:$AT$5,"&gt;"&amp;C$199,$P$5:$AT$5,"&lt;"&amp;C$200)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SUMIFS($P17:$AT17,$P$5:$AT$5,"&gt;"&amp;F$199,$P$5:$AT$5,"&lt;"&amp;F$200)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SUMIFS($P17:$AT17,$P$5:$AT$5,"&gt;"&amp;I$199,$P$5:$AT$5,"&lt;"&amp;I$200)</f>
        <v>18.329350000000002</v>
      </c>
      <c r="J17" s="23">
        <f t="shared" si="9"/>
        <v>16.836220000000001</v>
      </c>
      <c r="K17" s="65">
        <f>+C123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+C121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+C122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+C124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+C125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3.95" customHeight="1"/>
    <row r="24" spans="2:46">
      <c r="B24" s="60" t="s">
        <v>1889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5.0999999999999996" customHeight="1"/>
    <row r="26" spans="2:46">
      <c r="B26" s="356" t="s">
        <v>1888</v>
      </c>
      <c r="C26" s="82">
        <v>0</v>
      </c>
      <c r="D26" s="82">
        <v>0</v>
      </c>
      <c r="F26" s="82">
        <v>0</v>
      </c>
      <c r="G26" s="82">
        <v>0</v>
      </c>
      <c r="I26" s="82">
        <v>0</v>
      </c>
      <c r="J26" s="82">
        <v>0</v>
      </c>
      <c r="K26" s="52">
        <f>+'Client Retention $'!F13-'P&amp;L Forecast'!K24</f>
        <v>93.982699999999113</v>
      </c>
      <c r="M26" s="23">
        <f>K26-J26</f>
        <v>93.982699999999113</v>
      </c>
      <c r="N26" s="88">
        <f t="shared" ref="N26" si="45">IFERROR(K26/J26-1,0)</f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</row>
    <row r="27" spans="2:46" ht="3.95" customHeight="1">
      <c r="B27" s="356"/>
      <c r="C27" s="82"/>
      <c r="D27" s="82"/>
      <c r="F27" s="82"/>
      <c r="G27" s="82"/>
      <c r="I27" s="82"/>
      <c r="J27" s="82"/>
      <c r="K27" s="52"/>
    </row>
    <row r="28" spans="2:46">
      <c r="B28" s="60" t="s">
        <v>1890</v>
      </c>
      <c r="C28" s="61">
        <f>+C26+C24</f>
        <v>1134.96585</v>
      </c>
      <c r="D28" s="62">
        <f>+D26+D24</f>
        <v>1879.3831299999999</v>
      </c>
      <c r="F28" s="63">
        <f t="shared" ref="F28:G28" si="46">+F26+F24</f>
        <v>997.87309999999991</v>
      </c>
      <c r="G28" s="62">
        <f t="shared" si="46"/>
        <v>1671.0211999999999</v>
      </c>
      <c r="I28" s="63">
        <f t="shared" ref="I28:K28" si="47">+I26+I24</f>
        <v>1524.41065</v>
      </c>
      <c r="J28" s="61">
        <f t="shared" si="47"/>
        <v>2552.5312300000001</v>
      </c>
      <c r="K28" s="62">
        <f t="shared" si="47"/>
        <v>3092.5237199999992</v>
      </c>
      <c r="L28" s="71"/>
      <c r="M28" s="63">
        <f>+M26+M24</f>
        <v>539.99248999999918</v>
      </c>
      <c r="N28" s="87">
        <f>IFERROR(K28/J28-1,0)</f>
        <v>0.21155176620503058</v>
      </c>
      <c r="P28" s="63">
        <f t="shared" ref="P28:AT28" si="48">+P26+P19</f>
        <v>0</v>
      </c>
      <c r="Q28" s="61">
        <f t="shared" si="48"/>
        <v>0</v>
      </c>
      <c r="R28" s="61">
        <f t="shared" si="48"/>
        <v>0</v>
      </c>
      <c r="S28" s="61">
        <f t="shared" si="48"/>
        <v>0</v>
      </c>
      <c r="T28" s="61">
        <f t="shared" si="48"/>
        <v>0</v>
      </c>
      <c r="U28" s="61">
        <f t="shared" si="48"/>
        <v>0</v>
      </c>
      <c r="V28" s="61">
        <f t="shared" si="48"/>
        <v>0</v>
      </c>
      <c r="W28" s="61">
        <f t="shared" si="48"/>
        <v>0</v>
      </c>
      <c r="X28" s="61">
        <f t="shared" si="48"/>
        <v>0</v>
      </c>
      <c r="Y28" s="61">
        <f t="shared" si="48"/>
        <v>0</v>
      </c>
      <c r="Z28" s="61">
        <f t="shared" si="48"/>
        <v>0</v>
      </c>
      <c r="AA28" s="61">
        <f t="shared" si="48"/>
        <v>0</v>
      </c>
      <c r="AB28" s="61">
        <f t="shared" si="48"/>
        <v>0</v>
      </c>
      <c r="AC28" s="61">
        <f t="shared" si="48"/>
        <v>0</v>
      </c>
      <c r="AD28" s="61">
        <f t="shared" si="48"/>
        <v>0</v>
      </c>
      <c r="AE28" s="61">
        <f t="shared" si="48"/>
        <v>0</v>
      </c>
      <c r="AF28" s="61">
        <f t="shared" si="48"/>
        <v>0</v>
      </c>
      <c r="AG28" s="61">
        <f t="shared" si="48"/>
        <v>0</v>
      </c>
      <c r="AH28" s="61">
        <f t="shared" si="48"/>
        <v>0</v>
      </c>
      <c r="AI28" s="61">
        <f t="shared" si="48"/>
        <v>0</v>
      </c>
      <c r="AJ28" s="61">
        <f t="shared" si="48"/>
        <v>0.875</v>
      </c>
      <c r="AK28" s="61">
        <f t="shared" si="48"/>
        <v>1.65</v>
      </c>
      <c r="AL28" s="61">
        <f t="shared" si="48"/>
        <v>0</v>
      </c>
      <c r="AM28" s="61">
        <f t="shared" si="48"/>
        <v>0.875</v>
      </c>
      <c r="AN28" s="61">
        <f t="shared" si="48"/>
        <v>0</v>
      </c>
      <c r="AO28" s="61">
        <f t="shared" si="48"/>
        <v>0</v>
      </c>
      <c r="AP28" s="61">
        <f t="shared" si="48"/>
        <v>14.19</v>
      </c>
      <c r="AQ28" s="61">
        <f t="shared" si="48"/>
        <v>6.625</v>
      </c>
      <c r="AR28" s="61">
        <f t="shared" si="48"/>
        <v>0</v>
      </c>
      <c r="AS28" s="61">
        <f t="shared" si="48"/>
        <v>3.1</v>
      </c>
      <c r="AT28" s="62">
        <f t="shared" si="48"/>
        <v>0</v>
      </c>
    </row>
    <row r="29" spans="2:46" ht="3.95" customHeight="1"/>
    <row r="30" spans="2:46">
      <c r="B30" s="42" t="s">
        <v>49</v>
      </c>
      <c r="C30" s="43"/>
      <c r="D30" s="43"/>
      <c r="E30" s="6"/>
      <c r="F30" s="43"/>
      <c r="G30" s="43"/>
      <c r="H30" s="6"/>
      <c r="I30" s="43"/>
      <c r="J30" s="43"/>
      <c r="K30" s="43"/>
      <c r="L30" s="6"/>
      <c r="M30" s="43"/>
      <c r="N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2:46" s="14" customFormat="1">
      <c r="B31" s="56" t="s">
        <v>63</v>
      </c>
      <c r="C31" s="23">
        <f t="shared" ref="C31:D39" si="49">SUMIFS($P31:$AT31,$P$5:$AT$5,"&gt;"&amp;C$199,$P$5:$AT$5,"&lt;"&amp;C$200)</f>
        <v>101.37520000000001</v>
      </c>
      <c r="D31" s="23">
        <f t="shared" si="49"/>
        <v>281.24054000000001</v>
      </c>
      <c r="E31" s="23"/>
      <c r="F31" s="23">
        <f t="shared" ref="F31:G39" si="50">SUMIFS($P31:$AT31,$P$5:$AT$5,"&gt;"&amp;F$199,$P$5:$AT$5,"&lt;"&amp;F$200)</f>
        <v>136.29648</v>
      </c>
      <c r="G31" s="23">
        <f t="shared" si="50"/>
        <v>357.27472</v>
      </c>
      <c r="H31" s="23"/>
      <c r="I31" s="23">
        <f t="shared" ref="I31:J39" si="51">SUMIFS($P31:$AT31,$P$5:$AT$5,"&gt;"&amp;I$199,$P$5:$AT$5,"&lt;"&amp;I$200)</f>
        <v>202.41598000000002</v>
      </c>
      <c r="J31" s="23">
        <f t="shared" si="51"/>
        <v>502.21877999999998</v>
      </c>
      <c r="K31" s="65">
        <f>+C129</f>
        <v>681.3</v>
      </c>
      <c r="L31" s="65"/>
      <c r="M31" s="23">
        <f>K31-J31</f>
        <v>179.08121999999997</v>
      </c>
      <c r="N31" s="66">
        <f t="shared" ref="N31:N40" si="52">IFERROR(K31/J31-1,0)</f>
        <v>0.35658009443613392</v>
      </c>
      <c r="O31" s="52"/>
      <c r="P31" s="53">
        <f>SUMIFS('Combined P&amp;L'!N:N,'Combined P&amp;L'!$C:$C,'P&amp;L Forecast'!$B31)</f>
        <v>3.0934599999999999</v>
      </c>
      <c r="Q31" s="53">
        <f>SUMIFS('Combined P&amp;L'!O:O,'Combined P&amp;L'!$C:$C,'P&amp;L Forecast'!$B31)</f>
        <v>4.6301699999999997</v>
      </c>
      <c r="R31" s="53">
        <f>SUMIFS('Combined P&amp;L'!P:P,'Combined P&amp;L'!$C:$C,'P&amp;L Forecast'!$B31)</f>
        <v>4.3950699999999996</v>
      </c>
      <c r="S31" s="53">
        <f>SUMIFS('Combined P&amp;L'!Q:Q,'Combined P&amp;L'!$C:$C,'P&amp;L Forecast'!$B31)</f>
        <v>5.8638699999999995</v>
      </c>
      <c r="T31" s="53">
        <f>SUMIFS('Combined P&amp;L'!R:R,'Combined P&amp;L'!$C:$C,'P&amp;L Forecast'!$B31)</f>
        <v>7.3723299999999998</v>
      </c>
      <c r="U31" s="53">
        <f>SUMIFS('Combined P&amp;L'!S:S,'Combined P&amp;L'!$C:$C,'P&amp;L Forecast'!$B31)</f>
        <v>4.9503999999999992</v>
      </c>
      <c r="V31" s="53">
        <f>SUMIFS('Combined P&amp;L'!T:T,'Combined P&amp;L'!$C:$C,'P&amp;L Forecast'!$B31)</f>
        <v>4.9503999999999992</v>
      </c>
      <c r="W31" s="53">
        <f>SUMIFS('Combined P&amp;L'!U:U,'Combined P&amp;L'!$C:$C,'P&amp;L Forecast'!$B31)</f>
        <v>4.7003500000000003</v>
      </c>
      <c r="X31" s="53">
        <f>SUMIFS('Combined P&amp;L'!V:V,'Combined P&amp;L'!$C:$C,'P&amp;L Forecast'!$B31)</f>
        <v>4.9503999999999992</v>
      </c>
      <c r="Y31" s="53">
        <f>SUMIFS('Combined P&amp;L'!W:W,'Combined P&amp;L'!$C:$C,'P&amp;L Forecast'!$B31)</f>
        <v>5.9998699999999996</v>
      </c>
      <c r="Z31" s="53">
        <f>SUMIFS('Combined P&amp;L'!X:X,'Combined P&amp;L'!$C:$C,'P&amp;L Forecast'!$B31)</f>
        <v>26.028759999999998</v>
      </c>
      <c r="AA31" s="53">
        <f>SUMIFS('Combined P&amp;L'!Y:Y,'Combined P&amp;L'!$C:$C,'P&amp;L Forecast'!$B31)</f>
        <v>24.44012</v>
      </c>
      <c r="AB31" s="53">
        <f>SUMIFS('Combined P&amp;L'!Z:Z,'Combined P&amp;L'!$C:$C,'P&amp;L Forecast'!$B31)</f>
        <v>21.052340000000001</v>
      </c>
      <c r="AC31" s="53">
        <f>SUMIFS('Combined P&amp;L'!AA:AA,'Combined P&amp;L'!$C:$C,'P&amp;L Forecast'!$B31)</f>
        <v>19.916029999999999</v>
      </c>
      <c r="AD31" s="53">
        <f>SUMIFS('Combined P&amp;L'!AB:AB,'Combined P&amp;L'!$C:$C,'P&amp;L Forecast'!$B31)</f>
        <v>11.743870000000001</v>
      </c>
      <c r="AE31" s="53">
        <f>SUMIFS('Combined P&amp;L'!AC:AC,'Combined P&amp;L'!$C:$C,'P&amp;L Forecast'!$B31)</f>
        <v>19.617919999999998</v>
      </c>
      <c r="AF31" s="53">
        <f>SUMIFS('Combined P&amp;L'!AD:AD,'Combined P&amp;L'!$C:$C,'P&amp;L Forecast'!$B31)</f>
        <v>20.669779999999999</v>
      </c>
      <c r="AG31" s="53">
        <f>SUMIFS('Combined P&amp;L'!AE:AE,'Combined P&amp;L'!$C:$C,'P&amp;L Forecast'!$B31)</f>
        <v>20.693900000000003</v>
      </c>
      <c r="AH31" s="53">
        <f>SUMIFS('Combined P&amp;L'!AF:AF,'Combined P&amp;L'!$C:$C,'P&amp;L Forecast'!$B31)</f>
        <v>22.602640000000001</v>
      </c>
      <c r="AI31" s="53">
        <f>SUMIFS('Combined P&amp;L'!AG:AG,'Combined P&amp;L'!$C:$C,'P&amp;L Forecast'!$B31)</f>
        <v>19.961279999999999</v>
      </c>
      <c r="AJ31" s="53">
        <f>SUMIFS('Combined P&amp;L'!AH:AH,'Combined P&amp;L'!$C:$C,'P&amp;L Forecast'!$B31)</f>
        <v>27.605630000000001</v>
      </c>
      <c r="AK31" s="53">
        <f>SUMIFS('Combined P&amp;L'!AI:AI,'Combined P&amp;L'!$C:$C,'P&amp;L Forecast'!$B31)</f>
        <v>34.185890000000001</v>
      </c>
      <c r="AL31" s="53">
        <f>SUMIFS('Combined P&amp;L'!AJ:AJ,'Combined P&amp;L'!$C:$C,'P&amp;L Forecast'!$B31)</f>
        <v>29.731570000000001</v>
      </c>
      <c r="AM31" s="53">
        <f>SUMIFS('Combined P&amp;L'!AK:AK,'Combined P&amp;L'!$C:$C,'P&amp;L Forecast'!$B31)</f>
        <v>33.459690000000002</v>
      </c>
      <c r="AN31" s="53">
        <f>SUMIFS('Combined P&amp;L'!AL:AL,'Combined P&amp;L'!$C:$C,'P&amp;L Forecast'!$B31)</f>
        <v>36.253599999999999</v>
      </c>
      <c r="AO31" s="53">
        <f>SUMIFS('Combined P&amp;L'!AM:AM,'Combined P&amp;L'!$C:$C,'P&amp;L Forecast'!$B31)</f>
        <v>33.607510000000005</v>
      </c>
      <c r="AP31" s="53">
        <f>SUMIFS('Combined P&amp;L'!AN:AN,'Combined P&amp;L'!$C:$C,'P&amp;L Forecast'!$B31)</f>
        <v>57.199239999999996</v>
      </c>
      <c r="AQ31" s="53">
        <f>SUMIFS('Combined P&amp;L'!AO:AO,'Combined P&amp;L'!$C:$C,'P&amp;L Forecast'!$B31)</f>
        <v>58.245950000000001</v>
      </c>
      <c r="AR31" s="53">
        <f>SUMIFS('Combined P&amp;L'!AP:AP,'Combined P&amp;L'!$C:$C,'P&amp;L Forecast'!$B31)</f>
        <v>54.069230000000005</v>
      </c>
      <c r="AS31" s="53">
        <f>SUMIFS('Combined P&amp;L'!AQ:AQ,'Combined P&amp;L'!$C:$C,'P&amp;L Forecast'!$B31)</f>
        <v>60.003809999999994</v>
      </c>
      <c r="AT31" s="53">
        <f>SUMIFS('Combined P&amp;L'!AR:AR,'Combined P&amp;L'!$C:$C,'P&amp;L Forecast'!$B31)</f>
        <v>57.895379999999996</v>
      </c>
    </row>
    <row r="32" spans="2:46">
      <c r="B32" s="57" t="s">
        <v>34</v>
      </c>
      <c r="C32" s="23">
        <f t="shared" si="49"/>
        <v>183.36902999999998</v>
      </c>
      <c r="D32" s="23">
        <f t="shared" si="49"/>
        <v>316.18462</v>
      </c>
      <c r="E32" s="23"/>
      <c r="F32" s="23">
        <f t="shared" si="50"/>
        <v>147.26813000000001</v>
      </c>
      <c r="G32" s="23">
        <f t="shared" si="50"/>
        <v>267.75739999999996</v>
      </c>
      <c r="H32" s="23"/>
      <c r="I32" s="23">
        <f t="shared" si="51"/>
        <v>240.18097999999998</v>
      </c>
      <c r="J32" s="23">
        <f t="shared" si="51"/>
        <v>436.67388999999997</v>
      </c>
      <c r="K32" s="65">
        <f>+C130</f>
        <v>492.6</v>
      </c>
      <c r="L32" s="65"/>
      <c r="M32" s="23">
        <f t="shared" ref="M32:M39" si="53">K32-J32</f>
        <v>55.926110000000051</v>
      </c>
      <c r="N32" s="66">
        <f t="shared" si="52"/>
        <v>0.12807294248804313</v>
      </c>
      <c r="O32" s="52"/>
      <c r="P32" s="53">
        <f>SUMIFS('Combined P&amp;L'!N:N,'Combined P&amp;L'!$C:$C,'P&amp;L Forecast'!$B32)</f>
        <v>9.5549999999999997</v>
      </c>
      <c r="Q32" s="53">
        <f>SUMIFS('Combined P&amp;L'!O:O,'Combined P&amp;L'!$C:$C,'P&amp;L Forecast'!$B32)</f>
        <v>9.5549999999999997</v>
      </c>
      <c r="R32" s="53">
        <f>SUMIFS('Combined P&amp;L'!P:P,'Combined P&amp;L'!$C:$C,'P&amp;L Forecast'!$B32)</f>
        <v>10.397200000000002</v>
      </c>
      <c r="S32" s="53">
        <f>SUMIFS('Combined P&amp;L'!Q:Q,'Combined P&amp;L'!$C:$C,'P&amp;L Forecast'!$B32)</f>
        <v>14.99967</v>
      </c>
      <c r="T32" s="53">
        <f>SUMIFS('Combined P&amp;L'!R:R,'Combined P&amp;L'!$C:$C,'P&amp;L Forecast'!$B32)</f>
        <v>18.009799999999998</v>
      </c>
      <c r="U32" s="53">
        <f>SUMIFS('Combined P&amp;L'!S:S,'Combined P&amp;L'!$C:$C,'P&amp;L Forecast'!$B32)</f>
        <v>13.89127</v>
      </c>
      <c r="V32" s="53">
        <f>SUMIFS('Combined P&amp;L'!T:T,'Combined P&amp;L'!$C:$C,'P&amp;L Forecast'!$B32)</f>
        <v>14.04824</v>
      </c>
      <c r="W32" s="53">
        <f>SUMIFS('Combined P&amp;L'!U:U,'Combined P&amp;L'!$C:$C,'P&amp;L Forecast'!$B32)</f>
        <v>13.39091</v>
      </c>
      <c r="X32" s="53">
        <f>SUMIFS('Combined P&amp;L'!V:V,'Combined P&amp;L'!$C:$C,'P&amp;L Forecast'!$B32)</f>
        <v>14.669309999999999</v>
      </c>
      <c r="Y32" s="53">
        <f>SUMIFS('Combined P&amp;L'!W:W,'Combined P&amp;L'!$C:$C,'P&amp;L Forecast'!$B32)</f>
        <v>15.882530000000001</v>
      </c>
      <c r="Z32" s="53">
        <f>SUMIFS('Combined P&amp;L'!X:X,'Combined P&amp;L'!$C:$C,'P&amp;L Forecast'!$B32)</f>
        <v>27.188669999999998</v>
      </c>
      <c r="AA32" s="53">
        <f>SUMIFS('Combined P&amp;L'!Y:Y,'Combined P&amp;L'!$C:$C,'P&amp;L Forecast'!$B32)</f>
        <v>21.78143</v>
      </c>
      <c r="AB32" s="53">
        <f>SUMIFS('Combined P&amp;L'!Z:Z,'Combined P&amp;L'!$C:$C,'P&amp;L Forecast'!$B32)</f>
        <v>19.402330000000003</v>
      </c>
      <c r="AC32" s="53">
        <f>SUMIFS('Combined P&amp;L'!AA:AA,'Combined P&amp;L'!$C:$C,'P&amp;L Forecast'!$B32)</f>
        <v>16.40053</v>
      </c>
      <c r="AD32" s="53">
        <f>SUMIFS('Combined P&amp;L'!AB:AB,'Combined P&amp;L'!$C:$C,'P&amp;L Forecast'!$B32)</f>
        <v>19.569830000000003</v>
      </c>
      <c r="AE32" s="53">
        <f>SUMIFS('Combined P&amp;L'!AC:AC,'Combined P&amp;L'!$C:$C,'P&amp;L Forecast'!$B32)</f>
        <v>22.154199999999999</v>
      </c>
      <c r="AF32" s="53">
        <f>SUMIFS('Combined P&amp;L'!AD:AD,'Combined P&amp;L'!$C:$C,'P&amp;L Forecast'!$B32)</f>
        <v>20.791540000000001</v>
      </c>
      <c r="AG32" s="53">
        <f>SUMIFS('Combined P&amp;L'!AE:AE,'Combined P&amp;L'!$C:$C,'P&amp;L Forecast'!$B32)</f>
        <v>21.040790000000001</v>
      </c>
      <c r="AH32" s="53">
        <f>SUMIFS('Combined P&amp;L'!AF:AF,'Combined P&amp;L'!$C:$C,'P&amp;L Forecast'!$B32)</f>
        <v>27.908909999999999</v>
      </c>
      <c r="AI32" s="53">
        <f>SUMIFS('Combined P&amp;L'!AG:AG,'Combined P&amp;L'!$C:$C,'P&amp;L Forecast'!$B32)</f>
        <v>29.547000000000001</v>
      </c>
      <c r="AJ32" s="53">
        <f>SUMIFS('Combined P&amp;L'!AH:AH,'Combined P&amp;L'!$C:$C,'P&amp;L Forecast'!$B32)</f>
        <v>33.447269999999996</v>
      </c>
      <c r="AK32" s="53">
        <f>SUMIFS('Combined P&amp;L'!AI:AI,'Combined P&amp;L'!$C:$C,'P&amp;L Forecast'!$B32)</f>
        <v>37.794319999999999</v>
      </c>
      <c r="AL32" s="53">
        <f>SUMIFS('Combined P&amp;L'!AJ:AJ,'Combined P&amp;L'!$C:$C,'P&amp;L Forecast'!$B32)</f>
        <v>34.063319999999997</v>
      </c>
      <c r="AM32" s="53">
        <f>SUMIFS('Combined P&amp;L'!AK:AK,'Combined P&amp;L'!$C:$C,'P&amp;L Forecast'!$B32)</f>
        <v>34.064579999999999</v>
      </c>
      <c r="AN32" s="53">
        <f>SUMIFS('Combined P&amp;L'!AL:AL,'Combined P&amp;L'!$C:$C,'P&amp;L Forecast'!$B32)</f>
        <v>38.378879999999995</v>
      </c>
      <c r="AO32" s="53">
        <f>SUMIFS('Combined P&amp;L'!AM:AM,'Combined P&amp;L'!$C:$C,'P&amp;L Forecast'!$B32)</f>
        <v>29.701520000000002</v>
      </c>
      <c r="AP32" s="53">
        <f>SUMIFS('Combined P&amp;L'!AN:AN,'Combined P&amp;L'!$C:$C,'P&amp;L Forecast'!$B32)</f>
        <v>37.422499999999999</v>
      </c>
      <c r="AQ32" s="53">
        <f>SUMIFS('Combined P&amp;L'!AO:AO,'Combined P&amp;L'!$C:$C,'P&amp;L Forecast'!$B32)</f>
        <v>38.772300000000001</v>
      </c>
      <c r="AR32" s="53">
        <f>SUMIFS('Combined P&amp;L'!AP:AP,'Combined P&amp;L'!$C:$C,'P&amp;L Forecast'!$B32)</f>
        <v>38.29477</v>
      </c>
      <c r="AS32" s="53">
        <f>SUMIFS('Combined P&amp;L'!AQ:AQ,'Combined P&amp;L'!$C:$C,'P&amp;L Forecast'!$B32)</f>
        <v>40.699829999999999</v>
      </c>
      <c r="AT32" s="53">
        <f>SUMIFS('Combined P&amp;L'!AR:AR,'Combined P&amp;L'!$C:$C,'P&amp;L Forecast'!$B32)</f>
        <v>44.4876</v>
      </c>
    </row>
    <row r="33" spans="2:46">
      <c r="B33" s="57" t="s">
        <v>35</v>
      </c>
      <c r="C33" s="23">
        <f t="shared" si="49"/>
        <v>286.16129000000001</v>
      </c>
      <c r="D33" s="23">
        <f t="shared" si="49"/>
        <v>352.95844</v>
      </c>
      <c r="E33" s="23"/>
      <c r="F33" s="23">
        <f t="shared" si="50"/>
        <v>201.27983</v>
      </c>
      <c r="G33" s="23">
        <f t="shared" si="50"/>
        <v>202.05309</v>
      </c>
      <c r="H33" s="23"/>
      <c r="I33" s="23">
        <f t="shared" si="51"/>
        <v>353.12842999999998</v>
      </c>
      <c r="J33" s="23">
        <f t="shared" si="51"/>
        <v>353.7317000000001</v>
      </c>
      <c r="K33" s="65">
        <f>+C132</f>
        <v>392.92452000000003</v>
      </c>
      <c r="L33" s="65"/>
      <c r="M33" s="23">
        <f t="shared" si="53"/>
        <v>39.192819999999926</v>
      </c>
      <c r="N33" s="66">
        <f>IFERROR(K33/J33-1,0)</f>
        <v>0.11079815577738694</v>
      </c>
      <c r="O33" s="52"/>
      <c r="P33" s="53">
        <f>SUMIFS('Combined P&amp;L'!N:N,'Combined P&amp;L'!$C:$C,'P&amp;L Forecast'!$B33)</f>
        <v>9.961079999999999</v>
      </c>
      <c r="Q33" s="53">
        <f>SUMIFS('Combined P&amp;L'!O:O,'Combined P&amp;L'!$C:$C,'P&amp;L Forecast'!$B33)</f>
        <v>13.85026</v>
      </c>
      <c r="R33" s="53">
        <f>SUMIFS('Combined P&amp;L'!P:P,'Combined P&amp;L'!$C:$C,'P&amp;L Forecast'!$B33)</f>
        <v>12.79054</v>
      </c>
      <c r="S33" s="53">
        <f>SUMIFS('Combined P&amp;L'!Q:Q,'Combined P&amp;L'!$C:$C,'P&amp;L Forecast'!$B33)</f>
        <v>14.57145</v>
      </c>
      <c r="T33" s="53">
        <f>SUMIFS('Combined P&amp;L'!R:R,'Combined P&amp;L'!$C:$C,'P&amp;L Forecast'!$B33)</f>
        <v>28.285630000000001</v>
      </c>
      <c r="U33" s="53">
        <f>SUMIFS('Combined P&amp;L'!S:S,'Combined P&amp;L'!$C:$C,'P&amp;L Forecast'!$B33)</f>
        <v>26.542540000000002</v>
      </c>
      <c r="V33" s="53">
        <f>SUMIFS('Combined P&amp;L'!T:T,'Combined P&amp;L'!$C:$C,'P&amp;L Forecast'!$B33)</f>
        <v>28.31119</v>
      </c>
      <c r="W33" s="53">
        <f>SUMIFS('Combined P&amp;L'!U:U,'Combined P&amp;L'!$C:$C,'P&amp;L Forecast'!$B33)</f>
        <v>28.187459999999998</v>
      </c>
      <c r="X33" s="53">
        <f>SUMIFS('Combined P&amp;L'!V:V,'Combined P&amp;L'!$C:$C,'P&amp;L Forecast'!$B33)</f>
        <v>30.868009999999998</v>
      </c>
      <c r="Y33" s="53">
        <f>SUMIFS('Combined P&amp;L'!W:W,'Combined P&amp;L'!$C:$C,'P&amp;L Forecast'!$B33)</f>
        <v>31.621279999999999</v>
      </c>
      <c r="Z33" s="53">
        <f>SUMIFS('Combined P&amp;L'!X:X,'Combined P&amp;L'!$C:$C,'P&amp;L Forecast'!$B33)</f>
        <v>28.449740000000002</v>
      </c>
      <c r="AA33" s="53">
        <f>SUMIFS('Combined P&amp;L'!Y:Y,'Combined P&amp;L'!$C:$C,'P&amp;L Forecast'!$B33)</f>
        <v>32.722110000000001</v>
      </c>
      <c r="AB33" s="53">
        <f>SUMIFS('Combined P&amp;L'!Z:Z,'Combined P&amp;L'!$C:$C,'P&amp;L Forecast'!$B33)</f>
        <v>32.780760000000001</v>
      </c>
      <c r="AC33" s="53">
        <f>SUMIFS('Combined P&amp;L'!AA:AA,'Combined P&amp;L'!$C:$C,'P&amp;L Forecast'!$B33)</f>
        <v>23.361840000000001</v>
      </c>
      <c r="AD33" s="53">
        <f>SUMIFS('Combined P&amp;L'!AB:AB,'Combined P&amp;L'!$C:$C,'P&amp;L Forecast'!$B33)</f>
        <v>26.914270000000002</v>
      </c>
      <c r="AE33" s="53">
        <f>SUMIFS('Combined P&amp;L'!AC:AC,'Combined P&amp;L'!$C:$C,'P&amp;L Forecast'!$B33)</f>
        <v>28.81298</v>
      </c>
      <c r="AF33" s="53">
        <f>SUMIFS('Combined P&amp;L'!AD:AD,'Combined P&amp;L'!$C:$C,'P&amp;L Forecast'!$B33)</f>
        <v>30.658750000000001</v>
      </c>
      <c r="AG33" s="53">
        <f>SUMIFS('Combined P&amp;L'!AE:AE,'Combined P&amp;L'!$C:$C,'P&amp;L Forecast'!$B33)</f>
        <v>29.271599999999999</v>
      </c>
      <c r="AH33" s="53">
        <f>SUMIFS('Combined P&amp;L'!AF:AF,'Combined P&amp;L'!$C:$C,'P&amp;L Forecast'!$B33)</f>
        <v>29.47963</v>
      </c>
      <c r="AI33" s="53">
        <f>SUMIFS('Combined P&amp;L'!AG:AG,'Combined P&amp;L'!$C:$C,'P&amp;L Forecast'!$B33)</f>
        <v>26.830639999999999</v>
      </c>
      <c r="AJ33" s="53">
        <f>SUMIFS('Combined P&amp;L'!AH:AH,'Combined P&amp;L'!$C:$C,'P&amp;L Forecast'!$B33)</f>
        <v>29.785550000000001</v>
      </c>
      <c r="AK33" s="53">
        <f>SUMIFS('Combined P&amp;L'!AI:AI,'Combined P&amp;L'!$C:$C,'P&amp;L Forecast'!$B33)</f>
        <v>32.899370000000005</v>
      </c>
      <c r="AL33" s="53">
        <f>SUMIFS('Combined P&amp;L'!AJ:AJ,'Combined P&amp;L'!$C:$C,'P&amp;L Forecast'!$B33)</f>
        <v>29.49334</v>
      </c>
      <c r="AM33" s="53">
        <f>SUMIFS('Combined P&amp;L'!AK:AK,'Combined P&amp;L'!$C:$C,'P&amp;L Forecast'!$B33)</f>
        <v>32.669710000000002</v>
      </c>
      <c r="AN33" s="53">
        <f>SUMIFS('Combined P&amp;L'!AL:AL,'Combined P&amp;L'!$C:$C,'P&amp;L Forecast'!$B33)</f>
        <v>26.114900000000002</v>
      </c>
      <c r="AO33" s="53">
        <f>SUMIFS('Combined P&amp;L'!AM:AM,'Combined P&amp;L'!$C:$C,'P&amp;L Forecast'!$B33)</f>
        <v>21.9055</v>
      </c>
      <c r="AP33" s="53">
        <f>SUMIFS('Combined P&amp;L'!AN:AN,'Combined P&amp;L'!$C:$C,'P&amp;L Forecast'!$B33)</f>
        <v>30.75844</v>
      </c>
      <c r="AQ33" s="53">
        <f>SUMIFS('Combined P&amp;L'!AO:AO,'Combined P&amp;L'!$C:$C,'P&amp;L Forecast'!$B33)</f>
        <v>31.59038</v>
      </c>
      <c r="AR33" s="53">
        <f>SUMIFS('Combined P&amp;L'!AP:AP,'Combined P&amp;L'!$C:$C,'P&amp;L Forecast'!$B33)</f>
        <v>27.699919999999999</v>
      </c>
      <c r="AS33" s="53">
        <f>SUMIFS('Combined P&amp;L'!AQ:AQ,'Combined P&amp;L'!$C:$C,'P&amp;L Forecast'!$B33)</f>
        <v>31.24024</v>
      </c>
      <c r="AT33" s="53">
        <f>SUMIFS('Combined P&amp;L'!AR:AR,'Combined P&amp;L'!$C:$C,'P&amp;L Forecast'!$B33)</f>
        <v>32.74371</v>
      </c>
    </row>
    <row r="34" spans="2:46">
      <c r="B34" s="57" t="s">
        <v>37</v>
      </c>
      <c r="C34" s="23">
        <f t="shared" si="49"/>
        <v>122.81254999999999</v>
      </c>
      <c r="D34" s="23">
        <f t="shared" si="49"/>
        <v>152.16972000000001</v>
      </c>
      <c r="E34" s="23"/>
      <c r="F34" s="23">
        <f t="shared" si="50"/>
        <v>73.949619999999996</v>
      </c>
      <c r="G34" s="23">
        <f t="shared" si="50"/>
        <v>111.27999</v>
      </c>
      <c r="H34" s="23"/>
      <c r="I34" s="23">
        <f t="shared" si="51"/>
        <v>121.30735</v>
      </c>
      <c r="J34" s="23">
        <f t="shared" si="51"/>
        <v>189.50009</v>
      </c>
      <c r="K34" s="65">
        <f>+C136</f>
        <v>197.14943999999997</v>
      </c>
      <c r="L34" s="65"/>
      <c r="M34" s="23">
        <f t="shared" si="53"/>
        <v>7.6493499999999699</v>
      </c>
      <c r="N34" s="66">
        <f>IFERROR(K34/J34-1,0)</f>
        <v>4.0365943889525191E-2</v>
      </c>
      <c r="O34" s="52"/>
      <c r="P34" s="53">
        <f>SUMIFS('Combined P&amp;L'!N:N,'Combined P&amp;L'!$C:$C,'P&amp;L Forecast'!$B34)</f>
        <v>9.1372800000000005</v>
      </c>
      <c r="Q34" s="53">
        <f>SUMIFS('Combined P&amp;L'!O:O,'Combined P&amp;L'!$C:$C,'P&amp;L Forecast'!$B34)</f>
        <v>8.9629599999999989</v>
      </c>
      <c r="R34" s="53">
        <f>SUMIFS('Combined P&amp;L'!P:P,'Combined P&amp;L'!$C:$C,'P&amp;L Forecast'!$B34)</f>
        <v>10.19584</v>
      </c>
      <c r="S34" s="53">
        <f>SUMIFS('Combined P&amp;L'!Q:Q,'Combined P&amp;L'!$C:$C,'P&amp;L Forecast'!$B34)</f>
        <v>15.04429</v>
      </c>
      <c r="T34" s="53">
        <f>SUMIFS('Combined P&amp;L'!R:R,'Combined P&amp;L'!$C:$C,'P&amp;L Forecast'!$B34)</f>
        <v>16.637439999999998</v>
      </c>
      <c r="U34" s="53">
        <f>SUMIFS('Combined P&amp;L'!S:S,'Combined P&amp;L'!$C:$C,'P&amp;L Forecast'!$B34)</f>
        <v>7.4949899999999996</v>
      </c>
      <c r="V34" s="53">
        <f>SUMIFS('Combined P&amp;L'!T:T,'Combined P&amp;L'!$C:$C,'P&amp;L Forecast'!$B34)</f>
        <v>7.9820200000000003</v>
      </c>
      <c r="W34" s="53">
        <f>SUMIFS('Combined P&amp;L'!U:U,'Combined P&amp;L'!$C:$C,'P&amp;L Forecast'!$B34)</f>
        <v>5.9027399999999997</v>
      </c>
      <c r="X34" s="53">
        <f>SUMIFS('Combined P&amp;L'!V:V,'Combined P&amp;L'!$C:$C,'P&amp;L Forecast'!$B34)</f>
        <v>7.7676300000000005</v>
      </c>
      <c r="Y34" s="53">
        <f>SUMIFS('Combined P&amp;L'!W:W,'Combined P&amp;L'!$C:$C,'P&amp;L Forecast'!$B34)</f>
        <v>8.2141699999999993</v>
      </c>
      <c r="Z34" s="53">
        <f>SUMIFS('Combined P&amp;L'!X:X,'Combined P&amp;L'!$C:$C,'P&amp;L Forecast'!$B34)</f>
        <v>12.622719999999999</v>
      </c>
      <c r="AA34" s="53">
        <f>SUMIFS('Combined P&amp;L'!Y:Y,'Combined P&amp;L'!$C:$C,'P&amp;L Forecast'!$B34)</f>
        <v>12.85047</v>
      </c>
      <c r="AB34" s="53">
        <f>SUMIFS('Combined P&amp;L'!Z:Z,'Combined P&amp;L'!$C:$C,'P&amp;L Forecast'!$B34)</f>
        <v>10.345559999999999</v>
      </c>
      <c r="AC34" s="53">
        <f>SUMIFS('Combined P&amp;L'!AA:AA,'Combined P&amp;L'!$C:$C,'P&amp;L Forecast'!$B34)</f>
        <v>8.0879799999999999</v>
      </c>
      <c r="AD34" s="53">
        <f>SUMIFS('Combined P&amp;L'!AB:AB,'Combined P&amp;L'!$C:$C,'P&amp;L Forecast'!$B34)</f>
        <v>9.7528700000000015</v>
      </c>
      <c r="AE34" s="53">
        <f>SUMIFS('Combined P&amp;L'!AC:AC,'Combined P&amp;L'!$C:$C,'P&amp;L Forecast'!$B34)</f>
        <v>10.28</v>
      </c>
      <c r="AF34" s="53">
        <f>SUMIFS('Combined P&amp;L'!AD:AD,'Combined P&amp;L'!$C:$C,'P&amp;L Forecast'!$B34)</f>
        <v>11.13632</v>
      </c>
      <c r="AG34" s="53">
        <f>SUMIFS('Combined P&amp;L'!AE:AE,'Combined P&amp;L'!$C:$C,'P&amp;L Forecast'!$B34)</f>
        <v>10.874319999999999</v>
      </c>
      <c r="AH34" s="53">
        <f>SUMIFS('Combined P&amp;L'!AF:AF,'Combined P&amp;L'!$C:$C,'P&amp;L Forecast'!$B34)</f>
        <v>13.472569999999999</v>
      </c>
      <c r="AI34" s="53">
        <f>SUMIFS('Combined P&amp;L'!AG:AG,'Combined P&amp;L'!$C:$C,'P&amp;L Forecast'!$B34)</f>
        <v>12.70407</v>
      </c>
      <c r="AJ34" s="53">
        <f>SUMIFS('Combined P&amp;L'!AH:AH,'Combined P&amp;L'!$C:$C,'P&amp;L Forecast'!$B34)</f>
        <v>14.698840000000001</v>
      </c>
      <c r="AK34" s="53">
        <f>SUMIFS('Combined P&amp;L'!AI:AI,'Combined P&amp;L'!$C:$C,'P&amp;L Forecast'!$B34)</f>
        <v>15.543059999999999</v>
      </c>
      <c r="AL34" s="53">
        <f>SUMIFS('Combined P&amp;L'!AJ:AJ,'Combined P&amp;L'!$C:$C,'P&amp;L Forecast'!$B34)</f>
        <v>14.34361</v>
      </c>
      <c r="AM34" s="53">
        <f>SUMIFS('Combined P&amp;L'!AK:AK,'Combined P&amp;L'!$C:$C,'P&amp;L Forecast'!$B34)</f>
        <v>20.930520000000001</v>
      </c>
      <c r="AN34" s="53">
        <f>SUMIFS('Combined P&amp;L'!AL:AL,'Combined P&amp;L'!$C:$C,'P&amp;L Forecast'!$B34)</f>
        <v>16.553939999999997</v>
      </c>
      <c r="AO34" s="53">
        <f>SUMIFS('Combined P&amp;L'!AM:AM,'Combined P&amp;L'!$C:$C,'P&amp;L Forecast'!$B34)</f>
        <v>11.52661</v>
      </c>
      <c r="AP34" s="53">
        <f>SUMIFS('Combined P&amp;L'!AN:AN,'Combined P&amp;L'!$C:$C,'P&amp;L Forecast'!$B34)</f>
        <v>14.938829999999999</v>
      </c>
      <c r="AQ34" s="53">
        <f>SUMIFS('Combined P&amp;L'!AO:AO,'Combined P&amp;L'!$C:$C,'P&amp;L Forecast'!$B34)</f>
        <v>15.58352</v>
      </c>
      <c r="AR34" s="53">
        <f>SUMIFS('Combined P&amp;L'!AP:AP,'Combined P&amp;L'!$C:$C,'P&amp;L Forecast'!$B34)</f>
        <v>19.603400000000001</v>
      </c>
      <c r="AS34" s="53">
        <f>SUMIFS('Combined P&amp;L'!AQ:AQ,'Combined P&amp;L'!$C:$C,'P&amp;L Forecast'!$B34)</f>
        <v>16.644569999999998</v>
      </c>
      <c r="AT34" s="53">
        <f>SUMIFS('Combined P&amp;L'!AR:AR,'Combined P&amp;L'!$C:$C,'P&amp;L Forecast'!$B34)</f>
        <v>16.429119999999998</v>
      </c>
    </row>
    <row r="35" spans="2:46" s="14" customFormat="1">
      <c r="B35" s="56" t="s">
        <v>277</v>
      </c>
      <c r="C35" s="23">
        <f t="shared" si="49"/>
        <v>0</v>
      </c>
      <c r="D35" s="23">
        <f t="shared" si="49"/>
        <v>90.66704</v>
      </c>
      <c r="E35" s="23"/>
      <c r="F35" s="23">
        <f t="shared" si="50"/>
        <v>45.466120000000004</v>
      </c>
      <c r="G35" s="23">
        <f t="shared" si="50"/>
        <v>63.143019999999993</v>
      </c>
      <c r="H35" s="23"/>
      <c r="I35" s="23">
        <f t="shared" si="51"/>
        <v>45.466120000000004</v>
      </c>
      <c r="J35" s="23">
        <f t="shared" si="51"/>
        <v>108.34394</v>
      </c>
      <c r="K35" s="65">
        <f>+C131</f>
        <v>108.34394</v>
      </c>
      <c r="L35" s="65"/>
      <c r="M35" s="23">
        <f t="shared" si="53"/>
        <v>0</v>
      </c>
      <c r="N35" s="66">
        <f>IFERROR(K35/J35-1,0)</f>
        <v>0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</v>
      </c>
      <c r="T35" s="53">
        <f>SUMIFS('Combined P&amp;L'!R:R,'Combined P&amp;L'!$C:$C,'P&amp;L Forecast'!$B35)</f>
        <v>0</v>
      </c>
      <c r="U35" s="53">
        <f>SUMIFS('Combined P&amp;L'!S:S,'Combined P&amp;L'!$C:$C,'P&amp;L Forecast'!$B35)</f>
        <v>0</v>
      </c>
      <c r="V35" s="53">
        <f>SUMIFS('Combined P&amp;L'!T:T,'Combined P&amp;L'!$C:$C,'P&amp;L Forecast'!$B35)</f>
        <v>0</v>
      </c>
      <c r="W35" s="53">
        <f>SUMIFS('Combined P&amp;L'!U:U,'Combined P&amp;L'!$C:$C,'P&amp;L Forecast'!$B35)</f>
        <v>0</v>
      </c>
      <c r="X35" s="53">
        <f>SUMIFS('Combined P&amp;L'!V:V,'Combined P&amp;L'!$C:$C,'P&amp;L Forecast'!$B35)</f>
        <v>0</v>
      </c>
      <c r="Y35" s="53">
        <f>SUMIFS('Combined P&amp;L'!W:W,'Combined P&amp;L'!$C:$C,'P&amp;L Forecast'!$B35)</f>
        <v>0</v>
      </c>
      <c r="Z35" s="53">
        <f>SUMIFS('Combined P&amp;L'!X:X,'Combined P&amp;L'!$C:$C,'P&amp;L Forecast'!$B35)</f>
        <v>0</v>
      </c>
      <c r="AA35" s="53">
        <f>SUMIFS('Combined P&amp;L'!Y:Y,'Combined P&amp;L'!$C:$C,'P&amp;L Forecast'!$B35)</f>
        <v>0</v>
      </c>
      <c r="AB35" s="53">
        <f>SUMIFS('Combined P&amp;L'!Z:Z,'Combined P&amp;L'!$C:$C,'P&amp;L Forecast'!$B35)</f>
        <v>0</v>
      </c>
      <c r="AC35" s="53">
        <f>SUMIFS('Combined P&amp;L'!AA:AA,'Combined P&amp;L'!$C:$C,'P&amp;L Forecast'!$B35)</f>
        <v>0</v>
      </c>
      <c r="AD35" s="53">
        <f>SUMIFS('Combined P&amp;L'!AB:AB,'Combined P&amp;L'!$C:$C,'P&amp;L Forecast'!$B35)</f>
        <v>8.90639</v>
      </c>
      <c r="AE35" s="53">
        <f>SUMIFS('Combined P&amp;L'!AC:AC,'Combined P&amp;L'!$C:$C,'P&amp;L Forecast'!$B35)</f>
        <v>9.2332299999999989</v>
      </c>
      <c r="AF35" s="53">
        <f>SUMIFS('Combined P&amp;L'!AD:AD,'Combined P&amp;L'!$C:$C,'P&amp;L Forecast'!$B35)</f>
        <v>9.1088400000000007</v>
      </c>
      <c r="AG35" s="53">
        <f>SUMIFS('Combined P&amp;L'!AE:AE,'Combined P&amp;L'!$C:$C,'P&amp;L Forecast'!$B35)</f>
        <v>8.6947900000000011</v>
      </c>
      <c r="AH35" s="53">
        <f>SUMIFS('Combined P&amp;L'!AF:AF,'Combined P&amp;L'!$C:$C,'P&amp;L Forecast'!$B35)</f>
        <v>9.5228700000000011</v>
      </c>
      <c r="AI35" s="53">
        <f>SUMIFS('Combined P&amp;L'!AG:AG,'Combined P&amp;L'!$C:$C,'P&amp;L Forecast'!$B35)</f>
        <v>8.6948100000000004</v>
      </c>
      <c r="AJ35" s="53">
        <f>SUMIFS('Combined P&amp;L'!AH:AH,'Combined P&amp;L'!$C:$C,'P&amp;L Forecast'!$B35)</f>
        <v>9.1088400000000007</v>
      </c>
      <c r="AK35" s="53">
        <f>SUMIFS('Combined P&amp;L'!AI:AI,'Combined P&amp;L'!$C:$C,'P&amp;L Forecast'!$B35)</f>
        <v>9.5228700000000011</v>
      </c>
      <c r="AL35" s="53">
        <f>SUMIFS('Combined P&amp;L'!AJ:AJ,'Combined P&amp;L'!$C:$C,'P&amp;L Forecast'!$B35)</f>
        <v>8.2807600000000008</v>
      </c>
      <c r="AM35" s="53">
        <f>SUMIFS('Combined P&amp;L'!AK:AK,'Combined P&amp;L'!$C:$C,'P&amp;L Forecast'!$B35)</f>
        <v>9.5936399999999988</v>
      </c>
      <c r="AN35" s="53">
        <f>SUMIFS('Combined P&amp;L'!AL:AL,'Combined P&amp;L'!$C:$C,'P&amp;L Forecast'!$B35)</f>
        <v>9.276209999999999</v>
      </c>
      <c r="AO35" s="53">
        <f>SUMIFS('Combined P&amp;L'!AM:AM,'Combined P&amp;L'!$C:$C,'P&amp;L Forecast'!$B35)</f>
        <v>8.3226299999999984</v>
      </c>
      <c r="AP35" s="53">
        <f>SUMIFS('Combined P&amp;L'!AN:AN,'Combined P&amp;L'!$C:$C,'P&amp;L Forecast'!$B35)</f>
        <v>9.1088299999999993</v>
      </c>
      <c r="AQ35" s="53">
        <f>SUMIFS('Combined P&amp;L'!AO:AO,'Combined P&amp;L'!$C:$C,'P&amp;L Forecast'!$B35)</f>
        <v>9.1088299999999993</v>
      </c>
      <c r="AR35" s="53">
        <f>SUMIFS('Combined P&amp;L'!AP:AP,'Combined P&amp;L'!$C:$C,'P&amp;L Forecast'!$B35)</f>
        <v>8.6948100000000004</v>
      </c>
      <c r="AS35" s="53">
        <f>SUMIFS('Combined P&amp;L'!AQ:AQ,'Combined P&amp;L'!$C:$C,'P&amp;L Forecast'!$B35)</f>
        <v>9.1088400000000007</v>
      </c>
      <c r="AT35" s="53">
        <f>SUMIFS('Combined P&amp;L'!AR:AR,'Combined P&amp;L'!$C:$C,'P&amp;L Forecast'!$B35)</f>
        <v>9.5228700000000011</v>
      </c>
    </row>
    <row r="36" spans="2:46" s="14" customFormat="1">
      <c r="B36" s="56" t="s">
        <v>278</v>
      </c>
      <c r="C36" s="23">
        <f t="shared" si="49"/>
        <v>0</v>
      </c>
      <c r="D36" s="23">
        <f t="shared" si="49"/>
        <v>19.149630000000002</v>
      </c>
      <c r="E36" s="23"/>
      <c r="F36" s="23">
        <f t="shared" si="50"/>
        <v>3.09945</v>
      </c>
      <c r="G36" s="23">
        <f t="shared" si="50"/>
        <v>51.941310000000001</v>
      </c>
      <c r="H36" s="23"/>
      <c r="I36" s="23">
        <f t="shared" si="51"/>
        <v>3.09945</v>
      </c>
      <c r="J36" s="23">
        <f t="shared" si="51"/>
        <v>67.991489999999999</v>
      </c>
      <c r="K36" s="65">
        <f>+C133</f>
        <v>98.349119999999999</v>
      </c>
      <c r="L36" s="65"/>
      <c r="M36" s="23">
        <f t="shared" si="53"/>
        <v>30.35763</v>
      </c>
      <c r="N36" s="66">
        <f t="shared" si="52"/>
        <v>0.44649161240619972</v>
      </c>
      <c r="O36" s="52"/>
      <c r="P36" s="53">
        <f>SUMIFS('Combined P&amp;L'!N:N,'Combined P&amp;L'!$C:$C,'P&amp;L Forecast'!$B36)</f>
        <v>0</v>
      </c>
      <c r="Q36" s="53">
        <f>SUMIFS('Combined P&amp;L'!O:O,'Combined P&amp;L'!$C:$C,'P&amp;L Forecast'!$B36)</f>
        <v>0</v>
      </c>
      <c r="R36" s="53">
        <f>SUMIFS('Combined P&amp;L'!P:P,'Combined P&amp;L'!$C:$C,'P&amp;L Forecast'!$B36)</f>
        <v>0</v>
      </c>
      <c r="S36" s="53">
        <f>SUMIFS('Combined P&amp;L'!Q:Q,'Combined P&amp;L'!$C:$C,'P&amp;L Forecast'!$B36)</f>
        <v>0</v>
      </c>
      <c r="T36" s="53">
        <f>SUMIFS('Combined P&amp;L'!R:R,'Combined P&amp;L'!$C:$C,'P&amp;L Forecast'!$B36)</f>
        <v>0</v>
      </c>
      <c r="U36" s="53">
        <f>SUMIFS('Combined P&amp;L'!S:S,'Combined P&amp;L'!$C:$C,'P&amp;L Forecast'!$B36)</f>
        <v>0</v>
      </c>
      <c r="V36" s="53">
        <f>SUMIFS('Combined P&amp;L'!T:T,'Combined P&amp;L'!$C:$C,'P&amp;L Forecast'!$B36)</f>
        <v>0</v>
      </c>
      <c r="W36" s="53">
        <f>SUMIFS('Combined P&amp;L'!U:U,'Combined P&amp;L'!$C:$C,'P&amp;L Forecast'!$B36)</f>
        <v>0</v>
      </c>
      <c r="X36" s="53">
        <f>SUMIFS('Combined P&amp;L'!V:V,'Combined P&amp;L'!$C:$C,'P&amp;L Forecast'!$B36)</f>
        <v>0</v>
      </c>
      <c r="Y36" s="53">
        <f>SUMIFS('Combined P&amp;L'!W:W,'Combined P&amp;L'!$C:$C,'P&amp;L Forecast'!$B36)</f>
        <v>0</v>
      </c>
      <c r="Z36" s="53">
        <f>SUMIFS('Combined P&amp;L'!X:X,'Combined P&amp;L'!$C:$C,'P&amp;L Forecast'!$B36)</f>
        <v>0</v>
      </c>
      <c r="AA36" s="53">
        <f>SUMIFS('Combined P&amp;L'!Y:Y,'Combined P&amp;L'!$C:$C,'P&amp;L Forecast'!$B36)</f>
        <v>0</v>
      </c>
      <c r="AB36" s="53">
        <f>SUMIFS('Combined P&amp;L'!Z:Z,'Combined P&amp;L'!$C:$C,'P&amp;L Forecast'!$B36)</f>
        <v>0</v>
      </c>
      <c r="AC36" s="53">
        <f>SUMIFS('Combined P&amp;L'!AA:AA,'Combined P&amp;L'!$C:$C,'P&amp;L Forecast'!$B36)</f>
        <v>0</v>
      </c>
      <c r="AD36" s="53">
        <f>SUMIFS('Combined P&amp;L'!AB:AB,'Combined P&amp;L'!$C:$C,'P&amp;L Forecast'!$B36)</f>
        <v>0</v>
      </c>
      <c r="AE36" s="53">
        <f>SUMIFS('Combined P&amp;L'!AC:AC,'Combined P&amp;L'!$C:$C,'P&amp;L Forecast'!$B36)</f>
        <v>0</v>
      </c>
      <c r="AF36" s="53">
        <f>SUMIFS('Combined P&amp;L'!AD:AD,'Combined P&amp;L'!$C:$C,'P&amp;L Forecast'!$B36)</f>
        <v>0</v>
      </c>
      <c r="AG36" s="53">
        <f>SUMIFS('Combined P&amp;L'!AE:AE,'Combined P&amp;L'!$C:$C,'P&amp;L Forecast'!$B36)</f>
        <v>1.4667999999999999</v>
      </c>
      <c r="AH36" s="53">
        <f>SUMIFS('Combined P&amp;L'!AF:AF,'Combined P&amp;L'!$C:$C,'P&amp;L Forecast'!$B36)</f>
        <v>1.6326500000000002</v>
      </c>
      <c r="AI36" s="53">
        <f>SUMIFS('Combined P&amp;L'!AG:AG,'Combined P&amp;L'!$C:$C,'P&amp;L Forecast'!$B36)</f>
        <v>1.7180499999999999</v>
      </c>
      <c r="AJ36" s="53">
        <f>SUMIFS('Combined P&amp;L'!AH:AH,'Combined P&amp;L'!$C:$C,'P&amp;L Forecast'!$B36)</f>
        <v>1.9145999999999999</v>
      </c>
      <c r="AK36" s="53">
        <f>SUMIFS('Combined P&amp;L'!AI:AI,'Combined P&amp;L'!$C:$C,'P&amp;L Forecast'!$B36)</f>
        <v>2.3529</v>
      </c>
      <c r="AL36" s="53">
        <f>SUMIFS('Combined P&amp;L'!AJ:AJ,'Combined P&amp;L'!$C:$C,'P&amp;L Forecast'!$B36)</f>
        <v>2.2452399999999999</v>
      </c>
      <c r="AM36" s="53">
        <f>SUMIFS('Combined P&amp;L'!AK:AK,'Combined P&amp;L'!$C:$C,'P&amp;L Forecast'!$B36)</f>
        <v>7.8193900000000003</v>
      </c>
      <c r="AN36" s="53">
        <f>SUMIFS('Combined P&amp;L'!AL:AL,'Combined P&amp;L'!$C:$C,'P&amp;L Forecast'!$B36)</f>
        <v>5.6533999999999995</v>
      </c>
      <c r="AO36" s="53">
        <f>SUMIFS('Combined P&amp;L'!AM:AM,'Combined P&amp;L'!$C:$C,'P&amp;L Forecast'!$B36)</f>
        <v>5.9568900000000005</v>
      </c>
      <c r="AP36" s="53">
        <f>SUMIFS('Combined P&amp;L'!AN:AN,'Combined P&amp;L'!$C:$C,'P&amp;L Forecast'!$B36)</f>
        <v>7.7827999999999999</v>
      </c>
      <c r="AQ36" s="53">
        <f>SUMIFS('Combined P&amp;L'!AO:AO,'Combined P&amp;L'!$C:$C,'P&amp;L Forecast'!$B36)</f>
        <v>8.1370100000000001</v>
      </c>
      <c r="AR36" s="53">
        <f>SUMIFS('Combined P&amp;L'!AP:AP,'Combined P&amp;L'!$C:$C,'P&amp;L Forecast'!$B36)</f>
        <v>7.8082500000000001</v>
      </c>
      <c r="AS36" s="53">
        <f>SUMIFS('Combined P&amp;L'!AQ:AQ,'Combined P&amp;L'!$C:$C,'P&amp;L Forecast'!$B36)</f>
        <v>8.4072000000000013</v>
      </c>
      <c r="AT36" s="53">
        <f>SUMIFS('Combined P&amp;L'!AR:AR,'Combined P&amp;L'!$C:$C,'P&amp;L Forecast'!$B36)</f>
        <v>8.1957599999999999</v>
      </c>
    </row>
    <row r="37" spans="2:46">
      <c r="B37" s="57" t="s">
        <v>36</v>
      </c>
      <c r="C37" s="23">
        <f t="shared" si="49"/>
        <v>1.1133499999999998</v>
      </c>
      <c r="D37" s="23">
        <f t="shared" si="49"/>
        <v>29.564150000000001</v>
      </c>
      <c r="E37" s="23"/>
      <c r="F37" s="23">
        <f t="shared" si="50"/>
        <v>14.275850000000002</v>
      </c>
      <c r="G37" s="23">
        <f t="shared" si="50"/>
        <v>42.085049999999995</v>
      </c>
      <c r="H37" s="23"/>
      <c r="I37" s="23">
        <f t="shared" si="51"/>
        <v>15.389199999999999</v>
      </c>
      <c r="J37" s="23">
        <f t="shared" si="51"/>
        <v>57.373349999999995</v>
      </c>
      <c r="K37" s="65">
        <f>+C134</f>
        <v>58.2</v>
      </c>
      <c r="L37" s="65"/>
      <c r="M37" s="23">
        <f t="shared" si="53"/>
        <v>0.82665000000000788</v>
      </c>
      <c r="N37" s="66">
        <f t="shared" si="52"/>
        <v>1.4408257492372512E-2</v>
      </c>
      <c r="O37" s="52"/>
      <c r="P37" s="53">
        <f>SUMIFS('Combined P&amp;L'!N:N,'Combined P&amp;L'!$C:$C,'P&amp;L Forecast'!$B37)</f>
        <v>0</v>
      </c>
      <c r="Q37" s="53">
        <f>SUMIFS('Combined P&amp;L'!O:O,'Combined P&amp;L'!$C:$C,'P&amp;L Forecast'!$B37)</f>
        <v>0</v>
      </c>
      <c r="R37" s="53">
        <f>SUMIFS('Combined P&amp;L'!P:P,'Combined P&amp;L'!$C:$C,'P&amp;L Forecast'!$B37)</f>
        <v>0</v>
      </c>
      <c r="S37" s="53">
        <f>SUMIFS('Combined P&amp;L'!Q:Q,'Combined P&amp;L'!$C:$C,'P&amp;L Forecast'!$B37)</f>
        <v>0</v>
      </c>
      <c r="T37" s="53">
        <f>SUMIFS('Combined P&amp;L'!R:R,'Combined P&amp;L'!$C:$C,'P&amp;L Forecast'!$B37)</f>
        <v>0</v>
      </c>
      <c r="U37" s="53">
        <f>SUMIFS('Combined P&amp;L'!S:S,'Combined P&amp;L'!$C:$C,'P&amp;L Forecast'!$B37)</f>
        <v>0</v>
      </c>
      <c r="V37" s="53">
        <f>SUMIFS('Combined P&amp;L'!T:T,'Combined P&amp;L'!$C:$C,'P&amp;L Forecast'!$B37)</f>
        <v>0</v>
      </c>
      <c r="W37" s="53">
        <f>SUMIFS('Combined P&amp;L'!U:U,'Combined P&amp;L'!$C:$C,'P&amp;L Forecast'!$B37)</f>
        <v>0</v>
      </c>
      <c r="X37" s="53">
        <f>SUMIFS('Combined P&amp;L'!V:V,'Combined P&amp;L'!$C:$C,'P&amp;L Forecast'!$B37)</f>
        <v>0</v>
      </c>
      <c r="Y37" s="53">
        <f>SUMIFS('Combined P&amp;L'!W:W,'Combined P&amp;L'!$C:$C,'P&amp;L Forecast'!$B37)</f>
        <v>0</v>
      </c>
      <c r="Z37" s="53">
        <f>SUMIFS('Combined P&amp;L'!X:X,'Combined P&amp;L'!$C:$C,'P&amp;L Forecast'!$B37)</f>
        <v>0</v>
      </c>
      <c r="AA37" s="53">
        <f>SUMIFS('Combined P&amp;L'!Y:Y,'Combined P&amp;L'!$C:$C,'P&amp;L Forecast'!$B37)</f>
        <v>1.1133499999999998</v>
      </c>
      <c r="AB37" s="53">
        <f>SUMIFS('Combined P&amp;L'!Z:Z,'Combined P&amp;L'!$C:$C,'P&amp;L Forecast'!$B37)</f>
        <v>2.1791700000000001</v>
      </c>
      <c r="AC37" s="53">
        <f>SUMIFS('Combined P&amp;L'!AA:AA,'Combined P&amp;L'!$C:$C,'P&amp;L Forecast'!$B37)</f>
        <v>1.82504</v>
      </c>
      <c r="AD37" s="53">
        <f>SUMIFS('Combined P&amp;L'!AB:AB,'Combined P&amp;L'!$C:$C,'P&amp;L Forecast'!$B37)</f>
        <v>1.9785299999999999</v>
      </c>
      <c r="AE37" s="53">
        <f>SUMIFS('Combined P&amp;L'!AC:AC,'Combined P&amp;L'!$C:$C,'P&amp;L Forecast'!$B37)</f>
        <v>2.0621300000000002</v>
      </c>
      <c r="AF37" s="53">
        <f>SUMIFS('Combined P&amp;L'!AD:AD,'Combined P&amp;L'!$C:$C,'P&amp;L Forecast'!$B37)</f>
        <v>2.0621300000000002</v>
      </c>
      <c r="AG37" s="53">
        <f>SUMIFS('Combined P&amp;L'!AE:AE,'Combined P&amp;L'!$C:$C,'P&amp;L Forecast'!$B37)</f>
        <v>1.9896800000000001</v>
      </c>
      <c r="AH37" s="53">
        <f>SUMIFS('Combined P&amp;L'!AF:AF,'Combined P&amp;L'!$C:$C,'P&amp;L Forecast'!$B37)</f>
        <v>2.1791700000000001</v>
      </c>
      <c r="AI37" s="53">
        <f>SUMIFS('Combined P&amp;L'!AG:AG,'Combined P&amp;L'!$C:$C,'P&amp;L Forecast'!$B37)</f>
        <v>2.1229299999999998</v>
      </c>
      <c r="AJ37" s="53">
        <f>SUMIFS('Combined P&amp;L'!AH:AH,'Combined P&amp;L'!$C:$C,'P&amp;L Forecast'!$B37)</f>
        <v>3.1041999999999996</v>
      </c>
      <c r="AK37" s="53">
        <f>SUMIFS('Combined P&amp;L'!AI:AI,'Combined P&amp;L'!$C:$C,'P&amp;L Forecast'!$B37)</f>
        <v>3.2713700000000001</v>
      </c>
      <c r="AL37" s="53">
        <f>SUMIFS('Combined P&amp;L'!AJ:AJ,'Combined P&amp;L'!$C:$C,'P&amp;L Forecast'!$B37)</f>
        <v>3.6394699999999998</v>
      </c>
      <c r="AM37" s="53">
        <f>SUMIFS('Combined P&amp;L'!AK:AK,'Combined P&amp;L'!$C:$C,'P&amp;L Forecast'!$B37)</f>
        <v>3.1503299999999999</v>
      </c>
      <c r="AN37" s="53">
        <f>SUMIFS('Combined P&amp;L'!AL:AL,'Combined P&amp;L'!$C:$C,'P&amp;L Forecast'!$B37)</f>
        <v>1.69116</v>
      </c>
      <c r="AO37" s="53">
        <f>SUMIFS('Combined P&amp;L'!AM:AM,'Combined P&amp;L'!$C:$C,'P&amp;L Forecast'!$B37)</f>
        <v>5.5491899999999994</v>
      </c>
      <c r="AP37" s="53">
        <f>SUMIFS('Combined P&amp;L'!AN:AN,'Combined P&amp;L'!$C:$C,'P&amp;L Forecast'!$B37)</f>
        <v>7.1998999999999995</v>
      </c>
      <c r="AQ37" s="53">
        <f>SUMIFS('Combined P&amp;L'!AO:AO,'Combined P&amp;L'!$C:$C,'P&amp;L Forecast'!$B37)</f>
        <v>8.1927000000000003</v>
      </c>
      <c r="AR37" s="53">
        <f>SUMIFS('Combined P&amp;L'!AP:AP,'Combined P&amp;L'!$C:$C,'P&amp;L Forecast'!$B37)</f>
        <v>8.2833500000000004</v>
      </c>
      <c r="AS37" s="53">
        <f>SUMIFS('Combined P&amp;L'!AQ:AQ,'Combined P&amp;L'!$C:$C,'P&amp;L Forecast'!$B37)</f>
        <v>5.4926499999999994</v>
      </c>
      <c r="AT37" s="53">
        <f>SUMIFS('Combined P&amp;L'!AR:AR,'Combined P&amp;L'!$C:$C,'P&amp;L Forecast'!$B37)</f>
        <v>5.6760999999999999</v>
      </c>
    </row>
    <row r="38" spans="2:46">
      <c r="B38" s="57" t="s">
        <v>38</v>
      </c>
      <c r="C38" s="23">
        <f t="shared" si="49"/>
        <v>0</v>
      </c>
      <c r="D38" s="23">
        <f t="shared" si="49"/>
        <v>0</v>
      </c>
      <c r="E38" s="23"/>
      <c r="F38" s="23">
        <f t="shared" si="50"/>
        <v>0</v>
      </c>
      <c r="G38" s="23">
        <f t="shared" si="50"/>
        <v>7.9949999999999992</v>
      </c>
      <c r="H38" s="23"/>
      <c r="I38" s="23">
        <f t="shared" si="51"/>
        <v>0</v>
      </c>
      <c r="J38" s="23">
        <f t="shared" si="51"/>
        <v>7.9949999999999992</v>
      </c>
      <c r="K38" s="65">
        <f>+C135</f>
        <v>33.081240000000001</v>
      </c>
      <c r="L38" s="65"/>
      <c r="M38" s="23">
        <f t="shared" si="53"/>
        <v>25.086240000000004</v>
      </c>
      <c r="N38" s="66">
        <f t="shared" si="52"/>
        <v>3.1377410881801131</v>
      </c>
      <c r="O38" s="52"/>
      <c r="P38" s="53">
        <f>SUMIFS('Combined P&amp;L'!N:N,'Combined P&amp;L'!$C:$C,'P&amp;L Forecast'!$B38)</f>
        <v>0</v>
      </c>
      <c r="Q38" s="53">
        <f>SUMIFS('Combined P&amp;L'!O:O,'Combined P&amp;L'!$C:$C,'P&amp;L Forecast'!$B38)</f>
        <v>0</v>
      </c>
      <c r="R38" s="53">
        <f>SUMIFS('Combined P&amp;L'!P:P,'Combined P&amp;L'!$C:$C,'P&amp;L Forecast'!$B38)</f>
        <v>0</v>
      </c>
      <c r="S38" s="53">
        <f>SUMIFS('Combined P&amp;L'!Q:Q,'Combined P&amp;L'!$C:$C,'P&amp;L Forecast'!$B38)</f>
        <v>0</v>
      </c>
      <c r="T38" s="53">
        <f>SUMIFS('Combined P&amp;L'!R:R,'Combined P&amp;L'!$C:$C,'P&amp;L Forecast'!$B38)</f>
        <v>0</v>
      </c>
      <c r="U38" s="53">
        <f>SUMIFS('Combined P&amp;L'!S:S,'Combined P&amp;L'!$C:$C,'P&amp;L Forecast'!$B38)</f>
        <v>0</v>
      </c>
      <c r="V38" s="53">
        <f>SUMIFS('Combined P&amp;L'!T:T,'Combined P&amp;L'!$C:$C,'P&amp;L Forecast'!$B38)</f>
        <v>0</v>
      </c>
      <c r="W38" s="53">
        <f>SUMIFS('Combined P&amp;L'!U:U,'Combined P&amp;L'!$C:$C,'P&amp;L Forecast'!$B38)</f>
        <v>0</v>
      </c>
      <c r="X38" s="53">
        <f>SUMIFS('Combined P&amp;L'!V:V,'Combined P&amp;L'!$C:$C,'P&amp;L Forecast'!$B38)</f>
        <v>0</v>
      </c>
      <c r="Y38" s="53">
        <f>SUMIFS('Combined P&amp;L'!W:W,'Combined P&amp;L'!$C:$C,'P&amp;L Forecast'!$B38)</f>
        <v>0</v>
      </c>
      <c r="Z38" s="53">
        <f>SUMIFS('Combined P&amp;L'!X:X,'Combined P&amp;L'!$C:$C,'P&amp;L Forecast'!$B38)</f>
        <v>0</v>
      </c>
      <c r="AA38" s="53">
        <f>SUMIFS('Combined P&amp;L'!Y:Y,'Combined P&amp;L'!$C:$C,'P&amp;L Forecast'!$B38)</f>
        <v>0</v>
      </c>
      <c r="AB38" s="53">
        <f>SUMIFS('Combined P&amp;L'!Z:Z,'Combined P&amp;L'!$C:$C,'P&amp;L Forecast'!$B38)</f>
        <v>0</v>
      </c>
      <c r="AC38" s="53">
        <f>SUMIFS('Combined P&amp;L'!AA:AA,'Combined P&amp;L'!$C:$C,'P&amp;L Forecast'!$B38)</f>
        <v>0</v>
      </c>
      <c r="AD38" s="53">
        <f>SUMIFS('Combined P&amp;L'!AB:AB,'Combined P&amp;L'!$C:$C,'P&amp;L Forecast'!$B38)</f>
        <v>0</v>
      </c>
      <c r="AE38" s="53">
        <f>SUMIFS('Combined P&amp;L'!AC:AC,'Combined P&amp;L'!$C:$C,'P&amp;L Forecast'!$B38)</f>
        <v>0</v>
      </c>
      <c r="AF38" s="53">
        <f>SUMIFS('Combined P&amp;L'!AD:AD,'Combined P&amp;L'!$C:$C,'P&amp;L Forecast'!$B38)</f>
        <v>0</v>
      </c>
      <c r="AG38" s="53">
        <f>SUMIFS('Combined P&amp;L'!AE:AE,'Combined P&amp;L'!$C:$C,'P&amp;L Forecast'!$B38)</f>
        <v>0</v>
      </c>
      <c r="AH38" s="53">
        <f>SUMIFS('Combined P&amp;L'!AF:AF,'Combined P&amp;L'!$C:$C,'P&amp;L Forecast'!$B38)</f>
        <v>0</v>
      </c>
      <c r="AI38" s="53">
        <f>SUMIFS('Combined P&amp;L'!AG:AG,'Combined P&amp;L'!$C:$C,'P&amp;L Forecast'!$B38)</f>
        <v>0</v>
      </c>
      <c r="AJ38" s="53">
        <f>SUMIFS('Combined P&amp;L'!AH:AH,'Combined P&amp;L'!$C:$C,'P&amp;L Forecast'!$B38)</f>
        <v>0</v>
      </c>
      <c r="AK38" s="53">
        <f>SUMIFS('Combined P&amp;L'!AI:AI,'Combined P&amp;L'!$C:$C,'P&amp;L Forecast'!$B38)</f>
        <v>0</v>
      </c>
      <c r="AL38" s="53">
        <f>SUMIFS('Combined P&amp;L'!AJ:AJ,'Combined P&amp;L'!$C:$C,'P&amp;L Forecast'!$B38)</f>
        <v>0</v>
      </c>
      <c r="AM38" s="53">
        <f>SUMIFS('Combined P&amp;L'!AK:AK,'Combined P&amp;L'!$C:$C,'P&amp;L Forecast'!$B38)</f>
        <v>0</v>
      </c>
      <c r="AN38" s="53">
        <f>SUMIFS('Combined P&amp;L'!AL:AL,'Combined P&amp;L'!$C:$C,'P&amp;L Forecast'!$B38)</f>
        <v>0</v>
      </c>
      <c r="AO38" s="53">
        <f>SUMIFS('Combined P&amp;L'!AM:AM,'Combined P&amp;L'!$C:$C,'P&amp;L Forecast'!$B38)</f>
        <v>0</v>
      </c>
      <c r="AP38" s="53">
        <f>SUMIFS('Combined P&amp;L'!AN:AN,'Combined P&amp;L'!$C:$C,'P&amp;L Forecast'!$B38)</f>
        <v>0</v>
      </c>
      <c r="AQ38" s="53">
        <f>SUMIFS('Combined P&amp;L'!AO:AO,'Combined P&amp;L'!$C:$C,'P&amp;L Forecast'!$B38)</f>
        <v>0</v>
      </c>
      <c r="AR38" s="53">
        <f>SUMIFS('Combined P&amp;L'!AP:AP,'Combined P&amp;L'!$C:$C,'P&amp;L Forecast'!$B38)</f>
        <v>2.5170599999999999</v>
      </c>
      <c r="AS38" s="53">
        <f>SUMIFS('Combined P&amp;L'!AQ:AQ,'Combined P&amp;L'!$C:$C,'P&amp;L Forecast'!$B38)</f>
        <v>2.7211699999999999</v>
      </c>
      <c r="AT38" s="53">
        <f>SUMIFS('Combined P&amp;L'!AR:AR,'Combined P&amp;L'!$C:$C,'P&amp;L Forecast'!$B38)</f>
        <v>2.7567699999999999</v>
      </c>
    </row>
    <row r="39" spans="2:46">
      <c r="B39" s="57" t="s">
        <v>54</v>
      </c>
      <c r="C39" s="23">
        <f t="shared" si="49"/>
        <v>5.3740499999999995</v>
      </c>
      <c r="D39" s="23">
        <f t="shared" si="49"/>
        <v>19.23245</v>
      </c>
      <c r="E39" s="23"/>
      <c r="F39" s="23">
        <f t="shared" si="50"/>
        <v>9.0216600000000007</v>
      </c>
      <c r="G39" s="23">
        <f t="shared" si="50"/>
        <v>17.36251</v>
      </c>
      <c r="H39" s="23"/>
      <c r="I39" s="23">
        <f t="shared" si="51"/>
        <v>12.16686</v>
      </c>
      <c r="J39" s="23">
        <f t="shared" si="51"/>
        <v>27.573299999999996</v>
      </c>
      <c r="K39" s="65">
        <f>+C137</f>
        <v>32.178359999999998</v>
      </c>
      <c r="L39" s="65"/>
      <c r="M39" s="23">
        <f t="shared" si="53"/>
        <v>4.6050600000000017</v>
      </c>
      <c r="N39" s="66">
        <f t="shared" ref="N39" si="54">IFERROR(K39/J39-1,0)</f>
        <v>0.16701156553622543</v>
      </c>
      <c r="O39" s="52"/>
      <c r="P39" s="53">
        <f>SUMIFS('Combined P&amp;L'!N:N,'Combined P&amp;L'!$C:$C,'P&amp;L Forecast'!$B39)</f>
        <v>0</v>
      </c>
      <c r="Q39" s="53">
        <f>SUMIFS('Combined P&amp;L'!O:O,'Combined P&amp;L'!$C:$C,'P&amp;L Forecast'!$B39)</f>
        <v>0.62770000000000004</v>
      </c>
      <c r="R39" s="53">
        <f>SUMIFS('Combined P&amp;L'!P:P,'Combined P&amp;L'!$C:$C,'P&amp;L Forecast'!$B39)</f>
        <v>0</v>
      </c>
      <c r="S39" s="53">
        <f>SUMIFS('Combined P&amp;L'!Q:Q,'Combined P&amp;L'!$C:$C,'P&amp;L Forecast'!$B39)</f>
        <v>0.33889999999999998</v>
      </c>
      <c r="T39" s="53">
        <f>SUMIFS('Combined P&amp;L'!R:R,'Combined P&amp;L'!$C:$C,'P&amp;L Forecast'!$B39)</f>
        <v>0.33889999999999998</v>
      </c>
      <c r="U39" s="53">
        <f>SUMIFS('Combined P&amp;L'!S:S,'Combined P&amp;L'!$C:$C,'P&amp;L Forecast'!$B39)</f>
        <v>6.1450000000000005E-2</v>
      </c>
      <c r="V39" s="53">
        <f>SUMIFS('Combined P&amp;L'!T:T,'Combined P&amp;L'!$C:$C,'P&amp;L Forecast'!$B39)</f>
        <v>0.8619</v>
      </c>
      <c r="W39" s="53">
        <f>SUMIFS('Combined P&amp;L'!U:U,'Combined P&amp;L'!$C:$C,'P&amp;L Forecast'!$B39)</f>
        <v>0.35955999999999999</v>
      </c>
      <c r="X39" s="53">
        <f>SUMIFS('Combined P&amp;L'!V:V,'Combined P&amp;L'!$C:$C,'P&amp;L Forecast'!$B39)</f>
        <v>0.38744999999999996</v>
      </c>
      <c r="Y39" s="53">
        <f>SUMIFS('Combined P&amp;L'!W:W,'Combined P&amp;L'!$C:$C,'P&amp;L Forecast'!$B39)</f>
        <v>0.69889999999999997</v>
      </c>
      <c r="Z39" s="53">
        <f>SUMIFS('Combined P&amp;L'!X:X,'Combined P&amp;L'!$C:$C,'P&amp;L Forecast'!$B39)</f>
        <v>0.91699999999999993</v>
      </c>
      <c r="AA39" s="53">
        <f>SUMIFS('Combined P&amp;L'!Y:Y,'Combined P&amp;L'!$C:$C,'P&amp;L Forecast'!$B39)</f>
        <v>0.78229000000000004</v>
      </c>
      <c r="AB39" s="53">
        <f>SUMIFS('Combined P&amp;L'!Z:Z,'Combined P&amp;L'!$C:$C,'P&amp;L Forecast'!$B39)</f>
        <v>0.93724000000000007</v>
      </c>
      <c r="AC39" s="53">
        <f>SUMIFS('Combined P&amp;L'!AA:AA,'Combined P&amp;L'!$C:$C,'P&amp;L Forecast'!$B39)</f>
        <v>1.0310700000000002</v>
      </c>
      <c r="AD39" s="53">
        <f>SUMIFS('Combined P&amp;L'!AB:AB,'Combined P&amp;L'!$C:$C,'P&amp;L Forecast'!$B39)</f>
        <v>0.66153000000000006</v>
      </c>
      <c r="AE39" s="53">
        <f>SUMIFS('Combined P&amp;L'!AC:AC,'Combined P&amp;L'!$C:$C,'P&amp;L Forecast'!$B39)</f>
        <v>0.71452999999999989</v>
      </c>
      <c r="AF39" s="53">
        <f>SUMIFS('Combined P&amp;L'!AD:AD,'Combined P&amp;L'!$C:$C,'P&amp;L Forecast'!$B39)</f>
        <v>2.2549300000000003</v>
      </c>
      <c r="AG39" s="53">
        <f>SUMIFS('Combined P&amp;L'!AE:AE,'Combined P&amp;L'!$C:$C,'P&amp;L Forecast'!$B39)</f>
        <v>1.8615300000000001</v>
      </c>
      <c r="AH39" s="53">
        <f>SUMIFS('Combined P&amp;L'!AF:AF,'Combined P&amp;L'!$C:$C,'P&amp;L Forecast'!$B39)</f>
        <v>1.5608300000000002</v>
      </c>
      <c r="AI39" s="53">
        <f>SUMIFS('Combined P&amp;L'!AG:AG,'Combined P&amp;L'!$C:$C,'P&amp;L Forecast'!$B39)</f>
        <v>1.7476700000000003</v>
      </c>
      <c r="AJ39" s="53">
        <f>SUMIFS('Combined P&amp;L'!AH:AH,'Combined P&amp;L'!$C:$C,'P&amp;L Forecast'!$B39)</f>
        <v>0.90752999999999995</v>
      </c>
      <c r="AK39" s="53">
        <f>SUMIFS('Combined P&amp;L'!AI:AI,'Combined P&amp;L'!$C:$C,'P&amp;L Forecast'!$B39)</f>
        <v>2.5135300000000003</v>
      </c>
      <c r="AL39" s="53">
        <f>SUMIFS('Combined P&amp;L'!AJ:AJ,'Combined P&amp;L'!$C:$C,'P&amp;L Forecast'!$B39)</f>
        <v>1.0375300000000001</v>
      </c>
      <c r="AM39" s="53">
        <f>SUMIFS('Combined P&amp;L'!AK:AK,'Combined P&amp;L'!$C:$C,'P&amp;L Forecast'!$B39)</f>
        <v>4.0045299999999999</v>
      </c>
      <c r="AN39" s="53">
        <f>SUMIFS('Combined P&amp;L'!AL:AL,'Combined P&amp;L'!$C:$C,'P&amp;L Forecast'!$B39)</f>
        <v>1.5787300000000002</v>
      </c>
      <c r="AO39" s="53">
        <f>SUMIFS('Combined P&amp;L'!AM:AM,'Combined P&amp;L'!$C:$C,'P&amp;L Forecast'!$B39)</f>
        <v>1.1455300000000002</v>
      </c>
      <c r="AP39" s="53">
        <f>SUMIFS('Combined P&amp;L'!AN:AN,'Combined P&amp;L'!$C:$C,'P&amp;L Forecast'!$B39)</f>
        <v>5.1385300000000003</v>
      </c>
      <c r="AQ39" s="53">
        <f>SUMIFS('Combined P&amp;L'!AO:AO,'Combined P&amp;L'!$C:$C,'P&amp;L Forecast'!$B39)</f>
        <v>1.92353</v>
      </c>
      <c r="AR39" s="53">
        <f>SUMIFS('Combined P&amp;L'!AP:AP,'Combined P&amp;L'!$C:$C,'P&amp;L Forecast'!$B39)</f>
        <v>1.46353</v>
      </c>
      <c r="AS39" s="53">
        <f>SUMIFS('Combined P&amp;L'!AQ:AQ,'Combined P&amp;L'!$C:$C,'P&amp;L Forecast'!$B39)</f>
        <v>3.4311299999999996</v>
      </c>
      <c r="AT39" s="53">
        <f>SUMIFS('Combined P&amp;L'!AR:AR,'Combined P&amp;L'!$C:$C,'P&amp;L Forecast'!$B39)</f>
        <v>2.68153</v>
      </c>
    </row>
    <row r="40" spans="2:46" ht="12" customHeight="1">
      <c r="B40" s="58" t="s">
        <v>282</v>
      </c>
      <c r="C40" s="59">
        <f>SUM(C31:C39)</f>
        <v>700.20546999999999</v>
      </c>
      <c r="D40" s="59">
        <f>SUM(D31:D39)</f>
        <v>1261.16659</v>
      </c>
      <c r="F40" s="59">
        <f>SUM(F31:F39)</f>
        <v>630.65714000000014</v>
      </c>
      <c r="G40" s="59">
        <f>SUM(G31:G39)</f>
        <v>1120.8920899999996</v>
      </c>
      <c r="I40" s="59">
        <f>SUM(I31:I39)</f>
        <v>993.15437000000009</v>
      </c>
      <c r="J40" s="59">
        <f>SUM(J31:J39)</f>
        <v>1751.4015400000001</v>
      </c>
      <c r="K40" s="59">
        <f>SUM(K31:K39)</f>
        <v>2094.12662</v>
      </c>
      <c r="L40" s="71"/>
      <c r="M40" s="59">
        <f>SUM(M31:M39)</f>
        <v>342.72507999999993</v>
      </c>
      <c r="N40" s="89">
        <f t="shared" si="52"/>
        <v>0.1956861817079365</v>
      </c>
      <c r="P40" s="59">
        <f t="shared" ref="P40:AT40" si="55">SUM(P31:P39)</f>
        <v>31.74682</v>
      </c>
      <c r="Q40" s="59">
        <f t="shared" si="55"/>
        <v>37.626089999999998</v>
      </c>
      <c r="R40" s="59">
        <f t="shared" si="55"/>
        <v>37.778649999999999</v>
      </c>
      <c r="S40" s="59">
        <f t="shared" si="55"/>
        <v>50.818180000000005</v>
      </c>
      <c r="T40" s="59">
        <f t="shared" si="55"/>
        <v>70.644099999999995</v>
      </c>
      <c r="U40" s="59">
        <f t="shared" si="55"/>
        <v>52.940650000000005</v>
      </c>
      <c r="V40" s="59">
        <f t="shared" si="55"/>
        <v>56.153749999999995</v>
      </c>
      <c r="W40" s="59">
        <f t="shared" si="55"/>
        <v>52.541019999999996</v>
      </c>
      <c r="X40" s="59">
        <f t="shared" si="55"/>
        <v>58.642799999999994</v>
      </c>
      <c r="Y40" s="59">
        <f t="shared" si="55"/>
        <v>62.41675</v>
      </c>
      <c r="Z40" s="59">
        <f t="shared" si="55"/>
        <v>95.206890000000001</v>
      </c>
      <c r="AA40" s="59">
        <f t="shared" si="55"/>
        <v>93.689769999999996</v>
      </c>
      <c r="AB40" s="59">
        <f t="shared" si="55"/>
        <v>86.697400000000016</v>
      </c>
      <c r="AC40" s="59">
        <f t="shared" si="55"/>
        <v>70.622489999999999</v>
      </c>
      <c r="AD40" s="59">
        <f t="shared" si="55"/>
        <v>79.527290000000008</v>
      </c>
      <c r="AE40" s="59">
        <f t="shared" si="55"/>
        <v>92.874989999999997</v>
      </c>
      <c r="AF40" s="59">
        <f t="shared" si="55"/>
        <v>96.682289999999995</v>
      </c>
      <c r="AG40" s="59">
        <f t="shared" si="55"/>
        <v>95.893410000000017</v>
      </c>
      <c r="AH40" s="59">
        <f t="shared" si="55"/>
        <v>108.35927</v>
      </c>
      <c r="AI40" s="59">
        <f t="shared" si="55"/>
        <v>103.32645000000001</v>
      </c>
      <c r="AJ40" s="59">
        <f t="shared" si="55"/>
        <v>120.57245999999999</v>
      </c>
      <c r="AK40" s="59">
        <f t="shared" si="55"/>
        <v>138.08331000000001</v>
      </c>
      <c r="AL40" s="59">
        <f t="shared" si="55"/>
        <v>122.83484</v>
      </c>
      <c r="AM40" s="59">
        <f t="shared" si="55"/>
        <v>145.69238999999999</v>
      </c>
      <c r="AN40" s="59">
        <f t="shared" si="55"/>
        <v>135.50082</v>
      </c>
      <c r="AO40" s="59">
        <f t="shared" si="55"/>
        <v>117.71538000000001</v>
      </c>
      <c r="AP40" s="59">
        <f t="shared" si="55"/>
        <v>169.54907000000003</v>
      </c>
      <c r="AQ40" s="59">
        <f t="shared" si="55"/>
        <v>171.55422000000002</v>
      </c>
      <c r="AR40" s="59">
        <f t="shared" si="55"/>
        <v>168.43431999999996</v>
      </c>
      <c r="AS40" s="59">
        <f t="shared" si="55"/>
        <v>177.74943999999994</v>
      </c>
      <c r="AT40" s="59">
        <f t="shared" si="55"/>
        <v>180.38884000000002</v>
      </c>
    </row>
    <row r="41" spans="2:46" ht="3.95" customHeight="1">
      <c r="K41" s="45"/>
      <c r="L41" s="45"/>
      <c r="N41" s="91"/>
    </row>
    <row r="42" spans="2:46">
      <c r="B42" s="57" t="s">
        <v>44</v>
      </c>
      <c r="C42" s="23">
        <f t="shared" ref="C42:D45" si="56">SUMIFS($P42:$AT42,$P$5:$AT$5,"&gt;"&amp;C$199,$P$5:$AT$5,"&lt;"&amp;C$200)</f>
        <v>114.42268999999999</v>
      </c>
      <c r="D42" s="23">
        <f t="shared" si="56"/>
        <v>157.49471000000003</v>
      </c>
      <c r="E42" s="23"/>
      <c r="F42" s="23">
        <f t="shared" ref="F42:G45" si="57">SUMIFS($P42:$AT42,$P$5:$AT$5,"&gt;"&amp;F$199,$P$5:$AT$5,"&lt;"&amp;F$200)</f>
        <v>84.968590000000006</v>
      </c>
      <c r="G42" s="23">
        <f t="shared" si="57"/>
        <v>152.28157000000002</v>
      </c>
      <c r="H42" s="23"/>
      <c r="I42" s="23">
        <f t="shared" ref="I42:J45" si="58">SUMIFS($P42:$AT42,$P$5:$AT$5,"&gt;"&amp;I$199,$P$5:$AT$5,"&lt;"&amp;I$200)</f>
        <v>142.28344999999999</v>
      </c>
      <c r="J42" s="23">
        <f t="shared" si="58"/>
        <v>224.80769000000001</v>
      </c>
      <c r="K42" s="65">
        <f>+C141</f>
        <v>335.70816000000002</v>
      </c>
      <c r="L42" s="65"/>
      <c r="M42" s="23">
        <f t="shared" ref="M42:M45" si="59">K42-J42</f>
        <v>110.90047000000001</v>
      </c>
      <c r="N42" s="66">
        <f t="shared" ref="N42:N48" si="60">IFERROR(K42/J42-1,0)</f>
        <v>0.49331261755325184</v>
      </c>
      <c r="O42" s="52"/>
      <c r="P42" s="53">
        <f>SUMIFS('Combined P&amp;L'!N:N,'Combined P&amp;L'!$C:$C,'P&amp;L Forecast'!$B42)</f>
        <v>7.0730000000000004</v>
      </c>
      <c r="Q42" s="53">
        <f>SUMIFS('Combined P&amp;L'!O:O,'Combined P&amp;L'!$C:$C,'P&amp;L Forecast'!$B42)</f>
        <v>7.0181800000000001</v>
      </c>
      <c r="R42" s="53">
        <f>SUMIFS('Combined P&amp;L'!P:P,'Combined P&amp;L'!$C:$C,'P&amp;L Forecast'!$B42)</f>
        <v>7.7778799999999997</v>
      </c>
      <c r="S42" s="53">
        <f>SUMIFS('Combined P&amp;L'!Q:Q,'Combined P&amp;L'!$C:$C,'P&amp;L Forecast'!$B42)</f>
        <v>7.7612399999999999</v>
      </c>
      <c r="T42" s="53">
        <f>SUMIFS('Combined P&amp;L'!R:R,'Combined P&amp;L'!$C:$C,'P&amp;L Forecast'!$B42)</f>
        <v>7.71821</v>
      </c>
      <c r="U42" s="53">
        <f>SUMIFS('Combined P&amp;L'!S:S,'Combined P&amp;L'!$C:$C,'P&amp;L Forecast'!$B42)</f>
        <v>8.9126399999999997</v>
      </c>
      <c r="V42" s="53">
        <f>SUMIFS('Combined P&amp;L'!T:T,'Combined P&amp;L'!$C:$C,'P&amp;L Forecast'!$B42)</f>
        <v>10.846680000000001</v>
      </c>
      <c r="W42" s="53">
        <f>SUMIFS('Combined P&amp;L'!U:U,'Combined P&amp;L'!$C:$C,'P&amp;L Forecast'!$B42)</f>
        <v>11.13514</v>
      </c>
      <c r="X42" s="53">
        <f>SUMIFS('Combined P&amp;L'!V:V,'Combined P&amp;L'!$C:$C,'P&amp;L Forecast'!$B42)</f>
        <v>11.0345</v>
      </c>
      <c r="Y42" s="53">
        <f>SUMIFS('Combined P&amp;L'!W:W,'Combined P&amp;L'!$C:$C,'P&amp;L Forecast'!$B42)</f>
        <v>11.728729999999999</v>
      </c>
      <c r="Z42" s="53">
        <f>SUMIFS('Combined P&amp;L'!X:X,'Combined P&amp;L'!$C:$C,'P&amp;L Forecast'!$B42)</f>
        <v>11.446909999999999</v>
      </c>
      <c r="AA42" s="53">
        <f>SUMIFS('Combined P&amp;L'!Y:Y,'Combined P&amp;L'!$C:$C,'P&amp;L Forecast'!$B42)</f>
        <v>11.969580000000001</v>
      </c>
      <c r="AB42" s="53">
        <f>SUMIFS('Combined P&amp;L'!Z:Z,'Combined P&amp;L'!$C:$C,'P&amp;L Forecast'!$B42)</f>
        <v>10.84853</v>
      </c>
      <c r="AC42" s="53">
        <f>SUMIFS('Combined P&amp;L'!AA:AA,'Combined P&amp;L'!$C:$C,'P&amp;L Forecast'!$B42)</f>
        <v>12.21311</v>
      </c>
      <c r="AD42" s="53">
        <f>SUMIFS('Combined P&amp;L'!AB:AB,'Combined P&amp;L'!$C:$C,'P&amp;L Forecast'!$B42)</f>
        <v>11.571669999999999</v>
      </c>
      <c r="AE42" s="53">
        <f>SUMIFS('Combined P&amp;L'!AC:AC,'Combined P&amp;L'!$C:$C,'P&amp;L Forecast'!$B42)</f>
        <v>11.810870000000001</v>
      </c>
      <c r="AF42" s="53">
        <f>SUMIFS('Combined P&amp;L'!AD:AD,'Combined P&amp;L'!$C:$C,'P&amp;L Forecast'!$B42)</f>
        <v>12.52563</v>
      </c>
      <c r="AG42" s="53">
        <f>SUMIFS('Combined P&amp;L'!AE:AE,'Combined P&amp;L'!$C:$C,'P&amp;L Forecast'!$B42)</f>
        <v>12.863329999999999</v>
      </c>
      <c r="AH42" s="53">
        <f>SUMIFS('Combined P&amp;L'!AF:AF,'Combined P&amp;L'!$C:$C,'P&amp;L Forecast'!$B42)</f>
        <v>13.135450000000001</v>
      </c>
      <c r="AI42" s="53">
        <f>SUMIFS('Combined P&amp;L'!AG:AG,'Combined P&amp;L'!$C:$C,'P&amp;L Forecast'!$B42)</f>
        <v>14.257149999999999</v>
      </c>
      <c r="AJ42" s="53">
        <f>SUMIFS('Combined P&amp;L'!AH:AH,'Combined P&amp;L'!$C:$C,'P&amp;L Forecast'!$B42)</f>
        <v>13.595120000000001</v>
      </c>
      <c r="AK42" s="53">
        <f>SUMIFS('Combined P&amp;L'!AI:AI,'Combined P&amp;L'!$C:$C,'P&amp;L Forecast'!$B42)</f>
        <v>12.347620000000001</v>
      </c>
      <c r="AL42" s="53">
        <f>SUMIFS('Combined P&amp;L'!AJ:AJ,'Combined P&amp;L'!$C:$C,'P&amp;L Forecast'!$B42)</f>
        <v>15.21781</v>
      </c>
      <c r="AM42" s="53">
        <f>SUMIFS('Combined P&amp;L'!AK:AK,'Combined P&amp;L'!$C:$C,'P&amp;L Forecast'!$B42)</f>
        <v>17.108419999999999</v>
      </c>
      <c r="AN42" s="53">
        <f>SUMIFS('Combined P&amp;L'!AL:AL,'Combined P&amp;L'!$C:$C,'P&amp;L Forecast'!$B42)</f>
        <v>18.468299999999999</v>
      </c>
      <c r="AO42" s="53">
        <f>SUMIFS('Combined P&amp;L'!AM:AM,'Combined P&amp;L'!$C:$C,'P&amp;L Forecast'!$B42)</f>
        <v>17.920270000000002</v>
      </c>
      <c r="AP42" s="53">
        <f>SUMIFS('Combined P&amp;L'!AN:AN,'Combined P&amp;L'!$C:$C,'P&amp;L Forecast'!$B42)</f>
        <v>18.40906</v>
      </c>
      <c r="AQ42" s="53">
        <f>SUMIFS('Combined P&amp;L'!AO:AO,'Combined P&amp;L'!$C:$C,'P&amp;L Forecast'!$B42)</f>
        <v>21.38775</v>
      </c>
      <c r="AR42" s="53">
        <f>SUMIFS('Combined P&amp;L'!AP:AP,'Combined P&amp;L'!$C:$C,'P&amp;L Forecast'!$B42)</f>
        <v>23.44584</v>
      </c>
      <c r="AS42" s="53">
        <f>SUMIFS('Combined P&amp;L'!AQ:AQ,'Combined P&amp;L'!$C:$C,'P&amp;L Forecast'!$B42)</f>
        <v>24.674669999999999</v>
      </c>
      <c r="AT42" s="53">
        <f>SUMIFS('Combined P&amp;L'!AR:AR,'Combined P&amp;L'!$C:$C,'P&amp;L Forecast'!$B42)</f>
        <v>27.975680000000001</v>
      </c>
    </row>
    <row r="43" spans="2:46">
      <c r="B43" s="57" t="s">
        <v>76</v>
      </c>
      <c r="C43" s="23">
        <f t="shared" si="56"/>
        <v>60.915939999999999</v>
      </c>
      <c r="D43" s="23">
        <f t="shared" si="56"/>
        <v>117.05866</v>
      </c>
      <c r="E43" s="23"/>
      <c r="F43" s="23">
        <f t="shared" si="57"/>
        <v>56.811500000000009</v>
      </c>
      <c r="G43" s="23">
        <f t="shared" si="57"/>
        <v>97.04798000000001</v>
      </c>
      <c r="H43" s="23"/>
      <c r="I43" s="23">
        <f t="shared" si="58"/>
        <v>86.514889999999994</v>
      </c>
      <c r="J43" s="23">
        <f t="shared" si="58"/>
        <v>157.29514</v>
      </c>
      <c r="K43" s="65">
        <f>+C142</f>
        <v>155.82264000000001</v>
      </c>
      <c r="L43" s="65"/>
      <c r="M43" s="23">
        <f t="shared" si="59"/>
        <v>-1.4724999999999966</v>
      </c>
      <c r="N43" s="66">
        <f>IFERROR(K43/J43-1,0)</f>
        <v>-9.3613826848051307E-3</v>
      </c>
      <c r="O43" s="52"/>
      <c r="P43" s="53">
        <f>SUMIFS('Combined P&amp;L'!N:N,'Combined P&amp;L'!$C:$C,'P&amp;L Forecast'!$B43)</f>
        <v>3.4528499999999998</v>
      </c>
      <c r="Q43" s="53">
        <f>SUMIFS('Combined P&amp;L'!O:O,'Combined P&amp;L'!$C:$C,'P&amp;L Forecast'!$B43)</f>
        <v>3.6175300000000004</v>
      </c>
      <c r="R43" s="53">
        <f>SUMIFS('Combined P&amp;L'!P:P,'Combined P&amp;L'!$C:$C,'P&amp;L Forecast'!$B43)</f>
        <v>3.9740700000000002</v>
      </c>
      <c r="S43" s="53">
        <f>SUMIFS('Combined P&amp;L'!Q:Q,'Combined P&amp;L'!$C:$C,'P&amp;L Forecast'!$B43)</f>
        <v>4.2236499999999992</v>
      </c>
      <c r="T43" s="53">
        <f>SUMIFS('Combined P&amp;L'!R:R,'Combined P&amp;L'!$C:$C,'P&amp;L Forecast'!$B43)</f>
        <v>5.0972499999999998</v>
      </c>
      <c r="U43" s="53">
        <f>SUMIFS('Combined P&amp;L'!S:S,'Combined P&amp;L'!$C:$C,'P&amp;L Forecast'!$B43)</f>
        <v>5.3335100000000004</v>
      </c>
      <c r="V43" s="53">
        <f>SUMIFS('Combined P&amp;L'!T:T,'Combined P&amp;L'!$C:$C,'P&amp;L Forecast'!$B43)</f>
        <v>5.5136899999999995</v>
      </c>
      <c r="W43" s="53">
        <f>SUMIFS('Combined P&amp;L'!U:U,'Combined P&amp;L'!$C:$C,'P&amp;L Forecast'!$B43)</f>
        <v>5.2316899999999995</v>
      </c>
      <c r="X43" s="53">
        <f>SUMIFS('Combined P&amp;L'!V:V,'Combined P&amp;L'!$C:$C,'P&amp;L Forecast'!$B43)</f>
        <v>5.5162200000000006</v>
      </c>
      <c r="Y43" s="53">
        <f>SUMIFS('Combined P&amp;L'!W:W,'Combined P&amp;L'!$C:$C,'P&amp;L Forecast'!$B43)</f>
        <v>6.1279700000000004</v>
      </c>
      <c r="Z43" s="53">
        <f>SUMIFS('Combined P&amp;L'!X:X,'Combined P&amp;L'!$C:$C,'P&amp;L Forecast'!$B43)</f>
        <v>6.15097</v>
      </c>
      <c r="AA43" s="53">
        <f>SUMIFS('Combined P&amp;L'!Y:Y,'Combined P&amp;L'!$C:$C,'P&amp;L Forecast'!$B43)</f>
        <v>6.6765400000000001</v>
      </c>
      <c r="AB43" s="53">
        <f>SUMIFS('Combined P&amp;L'!Z:Z,'Combined P&amp;L'!$C:$C,'P&amp;L Forecast'!$B43)</f>
        <v>7.7464599999999999</v>
      </c>
      <c r="AC43" s="53">
        <f>SUMIFS('Combined P&amp;L'!AA:AA,'Combined P&amp;L'!$C:$C,'P&amp;L Forecast'!$B43)</f>
        <v>7.8918100000000004</v>
      </c>
      <c r="AD43" s="53">
        <f>SUMIFS('Combined P&amp;L'!AB:AB,'Combined P&amp;L'!$C:$C,'P&amp;L Forecast'!$B43)</f>
        <v>7.8908500000000004</v>
      </c>
      <c r="AE43" s="53">
        <f>SUMIFS('Combined P&amp;L'!AC:AC,'Combined P&amp;L'!$C:$C,'P&amp;L Forecast'!$B43)</f>
        <v>7.8346299999999998</v>
      </c>
      <c r="AF43" s="53">
        <f>SUMIFS('Combined P&amp;L'!AD:AD,'Combined P&amp;L'!$C:$C,'P&amp;L Forecast'!$B43)</f>
        <v>8.1172299999999993</v>
      </c>
      <c r="AG43" s="53">
        <f>SUMIFS('Combined P&amp;L'!AE:AE,'Combined P&amp;L'!$C:$C,'P&amp;L Forecast'!$B43)</f>
        <v>8.3458400000000008</v>
      </c>
      <c r="AH43" s="53">
        <f>SUMIFS('Combined P&amp;L'!AF:AF,'Combined P&amp;L'!$C:$C,'P&amp;L Forecast'!$B43)</f>
        <v>8.9846800000000009</v>
      </c>
      <c r="AI43" s="53">
        <f>SUMIFS('Combined P&amp;L'!AG:AG,'Combined P&amp;L'!$C:$C,'P&amp;L Forecast'!$B43)</f>
        <v>9.8566000000000003</v>
      </c>
      <c r="AJ43" s="53">
        <f>SUMIFS('Combined P&amp;L'!AH:AH,'Combined P&amp;L'!$C:$C,'P&amp;L Forecast'!$B43)</f>
        <v>10.73391</v>
      </c>
      <c r="AK43" s="53">
        <f>SUMIFS('Combined P&amp;L'!AI:AI,'Combined P&amp;L'!$C:$C,'P&amp;L Forecast'!$B43)</f>
        <v>12.08939</v>
      </c>
      <c r="AL43" s="53">
        <f>SUMIFS('Combined P&amp;L'!AJ:AJ,'Combined P&amp;L'!$C:$C,'P&amp;L Forecast'!$B43)</f>
        <v>13.14583</v>
      </c>
      <c r="AM43" s="53">
        <f>SUMIFS('Combined P&amp;L'!AK:AK,'Combined P&amp;L'!$C:$C,'P&amp;L Forecast'!$B43)</f>
        <v>14.421430000000001</v>
      </c>
      <c r="AN43" s="53">
        <f>SUMIFS('Combined P&amp;L'!AL:AL,'Combined P&amp;L'!$C:$C,'P&amp;L Forecast'!$B43)</f>
        <v>13.263159999999999</v>
      </c>
      <c r="AO43" s="53">
        <f>SUMIFS('Combined P&amp;L'!AM:AM,'Combined P&amp;L'!$C:$C,'P&amp;L Forecast'!$B43)</f>
        <v>14.7201</v>
      </c>
      <c r="AP43" s="53">
        <f>SUMIFS('Combined P&amp;L'!AN:AN,'Combined P&amp;L'!$C:$C,'P&amp;L Forecast'!$B43)</f>
        <v>14.99072</v>
      </c>
      <c r="AQ43" s="53">
        <f>SUMIFS('Combined P&amp;L'!AO:AO,'Combined P&amp;L'!$C:$C,'P&amp;L Forecast'!$B43)</f>
        <v>14.744590000000001</v>
      </c>
      <c r="AR43" s="53">
        <f>SUMIFS('Combined P&amp;L'!AP:AP,'Combined P&amp;L'!$C:$C,'P&amp;L Forecast'!$B43)</f>
        <v>13.229200000000001</v>
      </c>
      <c r="AS43" s="53">
        <f>SUMIFS('Combined P&amp;L'!AQ:AQ,'Combined P&amp;L'!$C:$C,'P&amp;L Forecast'!$B43)</f>
        <v>13.114990000000001</v>
      </c>
      <c r="AT43" s="53">
        <f>SUMIFS('Combined P&amp;L'!AR:AR,'Combined P&amp;L'!$C:$C,'P&amp;L Forecast'!$B43)</f>
        <v>12.98522</v>
      </c>
    </row>
    <row r="44" spans="2:46">
      <c r="B44" s="57" t="s">
        <v>46</v>
      </c>
      <c r="C44" s="23">
        <f t="shared" si="56"/>
        <v>0</v>
      </c>
      <c r="D44" s="23">
        <f t="shared" si="56"/>
        <v>7.1412499999999994</v>
      </c>
      <c r="E44" s="23"/>
      <c r="F44" s="23">
        <f t="shared" si="57"/>
        <v>0</v>
      </c>
      <c r="G44" s="23">
        <f t="shared" si="57"/>
        <v>28.827750000000002</v>
      </c>
      <c r="H44" s="23"/>
      <c r="I44" s="23">
        <f t="shared" si="58"/>
        <v>0</v>
      </c>
      <c r="J44" s="23">
        <f t="shared" si="58"/>
        <v>35.969000000000001</v>
      </c>
      <c r="K44" s="65">
        <f>+C143</f>
        <v>60.84</v>
      </c>
      <c r="L44" s="65"/>
      <c r="M44" s="23">
        <f t="shared" si="59"/>
        <v>24.871000000000002</v>
      </c>
      <c r="N44" s="66">
        <f t="shared" ref="N44" si="61">IFERROR(K44/J44-1,0)</f>
        <v>0.69145653201367852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0</v>
      </c>
      <c r="R44" s="53">
        <f>SUMIFS('Combined P&amp;L'!P:P,'Combined P&amp;L'!$C:$C,'P&amp;L Forecast'!$B44)</f>
        <v>0</v>
      </c>
      <c r="S44" s="53">
        <f>SUMIFS('Combined P&amp;L'!Q:Q,'Combined P&amp;L'!$C:$C,'P&amp;L Forecast'!$B44)</f>
        <v>0</v>
      </c>
      <c r="T44" s="53">
        <f>SUMIFS('Combined P&amp;L'!R:R,'Combined P&amp;L'!$C:$C,'P&amp;L Forecast'!$B44)</f>
        <v>0</v>
      </c>
      <c r="U44" s="53">
        <f>SUMIFS('Combined P&amp;L'!S:S,'Combined P&amp;L'!$C:$C,'P&amp;L Forecast'!$B44)</f>
        <v>0</v>
      </c>
      <c r="V44" s="53">
        <f>SUMIFS('Combined P&amp;L'!T:T,'Combined P&amp;L'!$C:$C,'P&amp;L Forecast'!$B44)</f>
        <v>0</v>
      </c>
      <c r="W44" s="53">
        <f>SUMIFS('Combined P&amp;L'!U:U,'Combined P&amp;L'!$C:$C,'P&amp;L Forecast'!$B44)</f>
        <v>0</v>
      </c>
      <c r="X44" s="53">
        <f>SUMIFS('Combined P&amp;L'!V:V,'Combined P&amp;L'!$C:$C,'P&amp;L Forecast'!$B44)</f>
        <v>0</v>
      </c>
      <c r="Y44" s="53">
        <f>SUMIFS('Combined P&amp;L'!W:W,'Combined P&amp;L'!$C:$C,'P&amp;L Forecast'!$B44)</f>
        <v>0</v>
      </c>
      <c r="Z44" s="53">
        <f>SUMIFS('Combined P&amp;L'!X:X,'Combined P&amp;L'!$C:$C,'P&amp;L Forecast'!$B44)</f>
        <v>0</v>
      </c>
      <c r="AA44" s="53">
        <f>SUMIFS('Combined P&amp;L'!Y:Y,'Combined P&amp;L'!$C:$C,'P&amp;L Forecast'!$B44)</f>
        <v>0</v>
      </c>
      <c r="AB44" s="53">
        <f>SUMIFS('Combined P&amp;L'!Z:Z,'Combined P&amp;L'!$C:$C,'P&amp;L Forecast'!$B44)</f>
        <v>0</v>
      </c>
      <c r="AC44" s="53">
        <f>SUMIFS('Combined P&amp;L'!AA:AA,'Combined P&amp;L'!$C:$C,'P&amp;L Forecast'!$B44)</f>
        <v>0</v>
      </c>
      <c r="AD44" s="53">
        <f>SUMIFS('Combined P&amp;L'!AB:AB,'Combined P&amp;L'!$C:$C,'P&amp;L Forecast'!$B44)</f>
        <v>0</v>
      </c>
      <c r="AE44" s="53">
        <f>SUMIFS('Combined P&amp;L'!AC:AC,'Combined P&amp;L'!$C:$C,'P&amp;L Forecast'!$B44)</f>
        <v>0</v>
      </c>
      <c r="AF44" s="53">
        <f>SUMIFS('Combined P&amp;L'!AD:AD,'Combined P&amp;L'!$C:$C,'P&amp;L Forecast'!$B44)</f>
        <v>0</v>
      </c>
      <c r="AG44" s="53">
        <f>SUMIFS('Combined P&amp;L'!AE:AE,'Combined P&amp;L'!$C:$C,'P&amp;L Forecast'!$B44)</f>
        <v>0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</v>
      </c>
      <c r="AJ44" s="53">
        <f>SUMIFS('Combined P&amp;L'!AH:AH,'Combined P&amp;L'!$C:$C,'P&amp;L Forecast'!$B44)</f>
        <v>0.93725000000000003</v>
      </c>
      <c r="AK44" s="53">
        <f>SUMIFS('Combined P&amp;L'!AI:AI,'Combined P&amp;L'!$C:$C,'P&amp;L Forecast'!$B44)</f>
        <v>1.39225</v>
      </c>
      <c r="AL44" s="53">
        <f>SUMIFS('Combined P&amp;L'!AJ:AJ,'Combined P&amp;L'!$C:$C,'P&amp;L Forecast'!$B44)</f>
        <v>2.3612500000000001</v>
      </c>
      <c r="AM44" s="53">
        <f>SUMIFS('Combined P&amp;L'!AK:AK,'Combined P&amp;L'!$C:$C,'P&amp;L Forecast'!$B44)</f>
        <v>2.4504999999999999</v>
      </c>
      <c r="AN44" s="53">
        <f>SUMIFS('Combined P&amp;L'!AL:AL,'Combined P&amp;L'!$C:$C,'P&amp;L Forecast'!$B44)</f>
        <v>2.9497499999999999</v>
      </c>
      <c r="AO44" s="53">
        <f>SUMIFS('Combined P&amp;L'!AM:AM,'Combined P&amp;L'!$C:$C,'P&amp;L Forecast'!$B44)</f>
        <v>3.42</v>
      </c>
      <c r="AP44" s="53">
        <f>SUMIFS('Combined P&amp;L'!AN:AN,'Combined P&amp;L'!$C:$C,'P&amp;L Forecast'!$B44)</f>
        <v>3.6779999999999999</v>
      </c>
      <c r="AQ44" s="53">
        <f>SUMIFS('Combined P&amp;L'!AO:AO,'Combined P&amp;L'!$C:$C,'P&amp;L Forecast'!$B44)</f>
        <v>4.218</v>
      </c>
      <c r="AR44" s="53">
        <f>SUMIFS('Combined P&amp;L'!AP:AP,'Combined P&amp;L'!$C:$C,'P&amp;L Forecast'!$B44)</f>
        <v>4.2839999999999998</v>
      </c>
      <c r="AS44" s="53">
        <f>SUMIFS('Combined P&amp;L'!AQ:AQ,'Combined P&amp;L'!$C:$C,'P&amp;L Forecast'!$B44)</f>
        <v>5.2080000000000002</v>
      </c>
      <c r="AT44" s="53">
        <f>SUMIFS('Combined P&amp;L'!AR:AR,'Combined P&amp;L'!$C:$C,'P&amp;L Forecast'!$B44)</f>
        <v>5.07</v>
      </c>
    </row>
    <row r="45" spans="2:46">
      <c r="B45" s="57" t="s">
        <v>75</v>
      </c>
      <c r="C45" s="23">
        <f t="shared" si="56"/>
        <v>0</v>
      </c>
      <c r="D45" s="23">
        <f t="shared" si="56"/>
        <v>0</v>
      </c>
      <c r="E45" s="23"/>
      <c r="F45" s="23">
        <f t="shared" si="57"/>
        <v>0</v>
      </c>
      <c r="G45" s="23">
        <f t="shared" si="57"/>
        <v>6.52752</v>
      </c>
      <c r="H45" s="23"/>
      <c r="I45" s="23">
        <f t="shared" si="58"/>
        <v>0</v>
      </c>
      <c r="J45" s="23">
        <f t="shared" si="58"/>
        <v>6.52752</v>
      </c>
      <c r="K45" s="65">
        <f>+C144</f>
        <v>15.743759999999998</v>
      </c>
      <c r="L45" s="65"/>
      <c r="M45" s="23">
        <f t="shared" si="59"/>
        <v>9.2162399999999991</v>
      </c>
      <c r="N45" s="66">
        <f t="shared" ref="N45" si="62">IFERROR(K45/J45-1,0)</f>
        <v>1.4119052871534667</v>
      </c>
      <c r="O45" s="52"/>
      <c r="P45" s="53">
        <f>SUMIFS('Combined P&amp;L'!N:N,'Combined P&amp;L'!$C:$C,'P&amp;L Forecast'!$B45)</f>
        <v>0</v>
      </c>
      <c r="Q45" s="53">
        <f>SUMIFS('Combined P&amp;L'!O:O,'Combined P&amp;L'!$C:$C,'P&amp;L Forecast'!$B45)</f>
        <v>0</v>
      </c>
      <c r="R45" s="53">
        <f>SUMIFS('Combined P&amp;L'!P:P,'Combined P&amp;L'!$C:$C,'P&amp;L Forecast'!$B45)</f>
        <v>0</v>
      </c>
      <c r="S45" s="53">
        <f>SUMIFS('Combined P&amp;L'!Q:Q,'Combined P&amp;L'!$C:$C,'P&amp;L Forecast'!$B45)</f>
        <v>0</v>
      </c>
      <c r="T45" s="53">
        <f>SUMIFS('Combined P&amp;L'!R:R,'Combined P&amp;L'!$C:$C,'P&amp;L Forecast'!$B45)</f>
        <v>0</v>
      </c>
      <c r="U45" s="53">
        <f>SUMIFS('Combined P&amp;L'!S:S,'Combined P&amp;L'!$C:$C,'P&amp;L Forecast'!$B45)</f>
        <v>0</v>
      </c>
      <c r="V45" s="53">
        <f>SUMIFS('Combined P&amp;L'!T:T,'Combined P&amp;L'!$C:$C,'P&amp;L Forecast'!$B45)</f>
        <v>0</v>
      </c>
      <c r="W45" s="53">
        <f>SUMIFS('Combined P&amp;L'!U:U,'Combined P&amp;L'!$C:$C,'P&amp;L Forecast'!$B45)</f>
        <v>0</v>
      </c>
      <c r="X45" s="53">
        <f>SUMIFS('Combined P&amp;L'!V:V,'Combined P&amp;L'!$C:$C,'P&amp;L Forecast'!$B45)</f>
        <v>0</v>
      </c>
      <c r="Y45" s="53">
        <f>SUMIFS('Combined P&amp;L'!W:W,'Combined P&amp;L'!$C:$C,'P&amp;L Forecast'!$B45)</f>
        <v>0</v>
      </c>
      <c r="Z45" s="53">
        <f>SUMIFS('Combined P&amp;L'!X:X,'Combined P&amp;L'!$C:$C,'P&amp;L Forecast'!$B45)</f>
        <v>0</v>
      </c>
      <c r="AA45" s="53">
        <f>SUMIFS('Combined P&amp;L'!Y:Y,'Combined P&amp;L'!$C:$C,'P&amp;L Forecast'!$B45)</f>
        <v>0</v>
      </c>
      <c r="AB45" s="53">
        <f>SUMIFS('Combined P&amp;L'!Z:Z,'Combined P&amp;L'!$C:$C,'P&amp;L Forecast'!$B45)</f>
        <v>0</v>
      </c>
      <c r="AC45" s="53">
        <f>SUMIFS('Combined P&amp;L'!AA:AA,'Combined P&amp;L'!$C:$C,'P&amp;L Forecast'!$B45)</f>
        <v>0</v>
      </c>
      <c r="AD45" s="53">
        <f>SUMIFS('Combined P&amp;L'!AB:AB,'Combined P&amp;L'!$C:$C,'P&amp;L Forecast'!$B45)</f>
        <v>0</v>
      </c>
      <c r="AE45" s="53">
        <f>SUMIFS('Combined P&amp;L'!AC:AC,'Combined P&amp;L'!$C:$C,'P&amp;L Forecast'!$B45)</f>
        <v>0</v>
      </c>
      <c r="AF45" s="53">
        <f>SUMIFS('Combined P&amp;L'!AD:AD,'Combined P&amp;L'!$C:$C,'P&amp;L Forecast'!$B45)</f>
        <v>0</v>
      </c>
      <c r="AG45" s="53">
        <f>SUMIFS('Combined P&amp;L'!AE:AE,'Combined P&amp;L'!$C:$C,'P&amp;L Forecast'!$B45)</f>
        <v>0</v>
      </c>
      <c r="AH45" s="53">
        <f>SUMIFS('Combined P&amp;L'!AF:AF,'Combined P&amp;L'!$C:$C,'P&amp;L Forecast'!$B45)</f>
        <v>0</v>
      </c>
      <c r="AI45" s="53">
        <f>SUMIFS('Combined P&amp;L'!AG:AG,'Combined P&amp;L'!$C:$C,'P&amp;L Forecast'!$B45)</f>
        <v>0</v>
      </c>
      <c r="AJ45" s="53">
        <f>SUMIFS('Combined P&amp;L'!AH:AH,'Combined P&amp;L'!$C:$C,'P&amp;L Forecast'!$B45)</f>
        <v>0</v>
      </c>
      <c r="AK45" s="53">
        <f>SUMIFS('Combined P&amp;L'!AI:AI,'Combined P&amp;L'!$C:$C,'P&amp;L Forecast'!$B45)</f>
        <v>0</v>
      </c>
      <c r="AL45" s="53">
        <f>SUMIFS('Combined P&amp;L'!AJ:AJ,'Combined P&amp;L'!$C:$C,'P&amp;L Forecast'!$B45)</f>
        <v>0</v>
      </c>
      <c r="AM45" s="53">
        <f>SUMIFS('Combined P&amp;L'!AK:AK,'Combined P&amp;L'!$C:$C,'P&amp;L Forecast'!$B45)</f>
        <v>0</v>
      </c>
      <c r="AN45" s="53">
        <f>SUMIFS('Combined P&amp;L'!AL:AL,'Combined P&amp;L'!$C:$C,'P&amp;L Forecast'!$B45)</f>
        <v>0.12</v>
      </c>
      <c r="AO45" s="53">
        <f>SUMIFS('Combined P&amp;L'!AM:AM,'Combined P&amp;L'!$C:$C,'P&amp;L Forecast'!$B45)</f>
        <v>0.12</v>
      </c>
      <c r="AP45" s="53">
        <f>SUMIFS('Combined P&amp;L'!AN:AN,'Combined P&amp;L'!$C:$C,'P&amp;L Forecast'!$B45)</f>
        <v>0.70165999999999995</v>
      </c>
      <c r="AQ45" s="53">
        <f>SUMIFS('Combined P&amp;L'!AO:AO,'Combined P&amp;L'!$C:$C,'P&amp;L Forecast'!$B45)</f>
        <v>2.20736</v>
      </c>
      <c r="AR45" s="53">
        <f>SUMIFS('Combined P&amp;L'!AP:AP,'Combined P&amp;L'!$C:$C,'P&amp;L Forecast'!$B45)</f>
        <v>0.91486999999999996</v>
      </c>
      <c r="AS45" s="53">
        <f>SUMIFS('Combined P&amp;L'!AQ:AQ,'Combined P&amp;L'!$C:$C,'P&amp;L Forecast'!$B45)</f>
        <v>1.1516500000000001</v>
      </c>
      <c r="AT45" s="53">
        <f>SUMIFS('Combined P&amp;L'!AR:AR,'Combined P&amp;L'!$C:$C,'P&amp;L Forecast'!$B45)</f>
        <v>1.3119799999999999</v>
      </c>
    </row>
    <row r="46" spans="2:46" ht="12" customHeight="1">
      <c r="B46" s="58" t="s">
        <v>298</v>
      </c>
      <c r="C46" s="59">
        <f>SUM(C42:C45)</f>
        <v>175.33862999999999</v>
      </c>
      <c r="D46" s="59">
        <f>SUM(D42:D45)</f>
        <v>281.69462000000004</v>
      </c>
      <c r="F46" s="59">
        <f t="shared" ref="F46:G46" si="63">SUM(F42:F45)</f>
        <v>141.78009000000003</v>
      </c>
      <c r="G46" s="59">
        <f t="shared" si="63"/>
        <v>284.68482</v>
      </c>
      <c r="I46" s="59">
        <f t="shared" ref="I46:K46" si="64">SUM(I42:I45)</f>
        <v>228.79834</v>
      </c>
      <c r="J46" s="59">
        <f t="shared" si="64"/>
        <v>424.59935000000002</v>
      </c>
      <c r="K46" s="59">
        <f t="shared" si="64"/>
        <v>568.11455999999998</v>
      </c>
      <c r="L46" s="71"/>
      <c r="M46" s="59">
        <f>SUM(M42:M45)</f>
        <v>143.51521000000002</v>
      </c>
      <c r="N46" s="89">
        <f t="shared" si="60"/>
        <v>0.33800148304513411</v>
      </c>
      <c r="P46" s="59">
        <f t="shared" ref="P46:AT46" si="65">SUM(P42:P45)</f>
        <v>10.52585</v>
      </c>
      <c r="Q46" s="59">
        <f t="shared" si="65"/>
        <v>10.63571</v>
      </c>
      <c r="R46" s="59">
        <f t="shared" si="65"/>
        <v>11.751950000000001</v>
      </c>
      <c r="S46" s="59">
        <f t="shared" si="65"/>
        <v>11.98489</v>
      </c>
      <c r="T46" s="59">
        <f t="shared" si="65"/>
        <v>12.81546</v>
      </c>
      <c r="U46" s="59">
        <f t="shared" si="65"/>
        <v>14.24615</v>
      </c>
      <c r="V46" s="59">
        <f t="shared" si="65"/>
        <v>16.36037</v>
      </c>
      <c r="W46" s="59">
        <f t="shared" si="65"/>
        <v>16.36683</v>
      </c>
      <c r="X46" s="59">
        <f t="shared" si="65"/>
        <v>16.550719999999998</v>
      </c>
      <c r="Y46" s="59">
        <f t="shared" si="65"/>
        <v>17.8567</v>
      </c>
      <c r="Z46" s="59">
        <f t="shared" si="65"/>
        <v>17.59788</v>
      </c>
      <c r="AA46" s="59">
        <f t="shared" si="65"/>
        <v>18.64612</v>
      </c>
      <c r="AB46" s="59">
        <f t="shared" si="65"/>
        <v>18.594989999999999</v>
      </c>
      <c r="AC46" s="59">
        <f t="shared" si="65"/>
        <v>20.10492</v>
      </c>
      <c r="AD46" s="59">
        <f t="shared" si="65"/>
        <v>19.462519999999998</v>
      </c>
      <c r="AE46" s="59">
        <f t="shared" si="65"/>
        <v>19.645500000000002</v>
      </c>
      <c r="AF46" s="59">
        <f t="shared" si="65"/>
        <v>20.642859999999999</v>
      </c>
      <c r="AG46" s="59">
        <f t="shared" si="65"/>
        <v>21.20917</v>
      </c>
      <c r="AH46" s="59">
        <f t="shared" si="65"/>
        <v>22.120130000000003</v>
      </c>
      <c r="AI46" s="59">
        <f t="shared" si="65"/>
        <v>24.11375</v>
      </c>
      <c r="AJ46" s="59">
        <f t="shared" si="65"/>
        <v>25.266280000000002</v>
      </c>
      <c r="AK46" s="59">
        <f t="shared" si="65"/>
        <v>25.829260000000001</v>
      </c>
      <c r="AL46" s="59">
        <f t="shared" si="65"/>
        <v>30.724890000000002</v>
      </c>
      <c r="AM46" s="59">
        <f t="shared" si="65"/>
        <v>33.980350000000001</v>
      </c>
      <c r="AN46" s="59">
        <f t="shared" si="65"/>
        <v>34.801209999999998</v>
      </c>
      <c r="AO46" s="59">
        <f t="shared" si="65"/>
        <v>36.180370000000003</v>
      </c>
      <c r="AP46" s="59">
        <f t="shared" si="65"/>
        <v>37.779439999999994</v>
      </c>
      <c r="AQ46" s="59">
        <f t="shared" si="65"/>
        <v>42.557700000000004</v>
      </c>
      <c r="AR46" s="59">
        <f t="shared" si="65"/>
        <v>41.873910000000002</v>
      </c>
      <c r="AS46" s="59">
        <f t="shared" si="65"/>
        <v>44.14931</v>
      </c>
      <c r="AT46" s="59">
        <f t="shared" si="65"/>
        <v>47.342880000000001</v>
      </c>
    </row>
    <row r="47" spans="2:46" ht="3.95" customHeight="1">
      <c r="B47" s="57"/>
      <c r="C47" s="23"/>
      <c r="D47" s="23"/>
      <c r="E47" s="23"/>
      <c r="F47" s="23"/>
      <c r="G47" s="23"/>
      <c r="H47" s="23"/>
      <c r="I47" s="23"/>
      <c r="J47" s="23"/>
      <c r="K47" s="65"/>
      <c r="L47" s="65"/>
      <c r="M47" s="23"/>
      <c r="N47" s="66"/>
      <c r="O47" s="52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2:46">
      <c r="B48" s="57" t="s">
        <v>67</v>
      </c>
      <c r="C48" s="23">
        <f t="shared" ref="C48:D65" si="66">SUMIFS($P48:$AT48,$P$5:$AT$5,"&gt;"&amp;C$199,$P$5:$AT$5,"&lt;"&amp;C$200)</f>
        <v>18.234249999999999</v>
      </c>
      <c r="D48" s="23">
        <f t="shared" si="66"/>
        <v>27.040950000000002</v>
      </c>
      <c r="E48" s="23"/>
      <c r="F48" s="23">
        <f t="shared" ref="F48:G65" si="67">SUMIFS($P48:$AT48,$P$5:$AT$5,"&gt;"&amp;F$199,$P$5:$AT$5,"&lt;"&amp;F$200)</f>
        <v>12.014000000000001</v>
      </c>
      <c r="G48" s="23">
        <f t="shared" si="67"/>
        <v>57.55</v>
      </c>
      <c r="H48" s="23"/>
      <c r="I48" s="23">
        <f t="shared" ref="I48:J65" si="68">SUMIFS($P48:$AT48,$P$5:$AT$5,"&gt;"&amp;I$199,$P$5:$AT$5,"&lt;"&amp;I$200)</f>
        <v>21.74858</v>
      </c>
      <c r="J48" s="23">
        <f t="shared" si="68"/>
        <v>72.576949999999997</v>
      </c>
      <c r="K48" s="65">
        <f t="shared" ref="K48:K53" si="69">+C148</f>
        <v>72.576949999999997</v>
      </c>
      <c r="L48" s="65"/>
      <c r="M48" s="23">
        <f t="shared" ref="M48:M65" si="70">K48-J48</f>
        <v>0</v>
      </c>
      <c r="N48" s="66">
        <f t="shared" si="60"/>
        <v>0</v>
      </c>
      <c r="O48" s="52"/>
      <c r="P48" s="53">
        <f>SUMIFS('Combined P&amp;L'!N:N,'Combined P&amp;L'!$C:$C,'P&amp;L Forecast'!$B48)</f>
        <v>0</v>
      </c>
      <c r="Q48" s="53">
        <f>SUMIFS('Combined P&amp;L'!O:O,'Combined P&amp;L'!$C:$C,'P&amp;L Forecast'!$B48)</f>
        <v>1.1665000000000001</v>
      </c>
      <c r="R48" s="53">
        <f>SUMIFS('Combined P&amp;L'!P:P,'Combined P&amp;L'!$C:$C,'P&amp;L Forecast'!$B48)</f>
        <v>1.1665000000000001</v>
      </c>
      <c r="S48" s="53">
        <f>SUMIFS('Combined P&amp;L'!Q:Q,'Combined P&amp;L'!$C:$C,'P&amp;L Forecast'!$B48)</f>
        <v>1.1666700000000001</v>
      </c>
      <c r="T48" s="53">
        <f>SUMIFS('Combined P&amp;L'!R:R,'Combined P&amp;L'!$C:$C,'P&amp;L Forecast'!$B48)</f>
        <v>1.1666700000000001</v>
      </c>
      <c r="U48" s="53">
        <f>SUMIFS('Combined P&amp;L'!S:S,'Combined P&amp;L'!$C:$C,'P&amp;L Forecast'!$B48)</f>
        <v>2.6666599999999998</v>
      </c>
      <c r="V48" s="53">
        <f>SUMIFS('Combined P&amp;L'!T:T,'Combined P&amp;L'!$C:$C,'P&amp;L Forecast'!$B48)</f>
        <v>1.1666700000000001</v>
      </c>
      <c r="W48" s="53">
        <f>SUMIFS('Combined P&amp;L'!U:U,'Combined P&amp;L'!$C:$C,'P&amp;L Forecast'!$B48)</f>
        <v>1.1666700000000001</v>
      </c>
      <c r="X48" s="53">
        <f>SUMIFS('Combined P&amp;L'!V:V,'Combined P&amp;L'!$C:$C,'P&amp;L Forecast'!$B48)</f>
        <v>3.0679099999999999</v>
      </c>
      <c r="Y48" s="53">
        <f>SUMIFS('Combined P&amp;L'!W:W,'Combined P&amp;L'!$C:$C,'P&amp;L Forecast'!$B48)</f>
        <v>1.1666700000000001</v>
      </c>
      <c r="Z48" s="53">
        <f>SUMIFS('Combined P&amp;L'!X:X,'Combined P&amp;L'!$C:$C,'P&amp;L Forecast'!$B48)</f>
        <v>2.1666699999999999</v>
      </c>
      <c r="AA48" s="53">
        <f>SUMIFS('Combined P&amp;L'!Y:Y,'Combined P&amp;L'!$C:$C,'P&amp;L Forecast'!$B48)</f>
        <v>2.1666599999999998</v>
      </c>
      <c r="AB48" s="53">
        <f>SUMIFS('Combined P&amp;L'!Z:Z,'Combined P&amp;L'!$C:$C,'P&amp;L Forecast'!$B48)</f>
        <v>2.1666699999999999</v>
      </c>
      <c r="AC48" s="53">
        <f>SUMIFS('Combined P&amp;L'!AA:AA,'Combined P&amp;L'!$C:$C,'P&amp;L Forecast'!$B48)</f>
        <v>2.1666699999999999</v>
      </c>
      <c r="AD48" s="53">
        <f>SUMIFS('Combined P&amp;L'!AB:AB,'Combined P&amp;L'!$C:$C,'P&amp;L Forecast'!$B48)</f>
        <v>2.1666599999999998</v>
      </c>
      <c r="AE48" s="53">
        <f>SUMIFS('Combined P&amp;L'!AC:AC,'Combined P&amp;L'!$C:$C,'P&amp;L Forecast'!$B48)</f>
        <v>2.7606700000000002</v>
      </c>
      <c r="AF48" s="53">
        <f>SUMIFS('Combined P&amp;L'!AD:AD,'Combined P&amp;L'!$C:$C,'P&amp;L Forecast'!$B48)</f>
        <v>1.58667</v>
      </c>
      <c r="AG48" s="53">
        <f>SUMIFS('Combined P&amp;L'!AE:AE,'Combined P&amp;L'!$C:$C,'P&amp;L Forecast'!$B48)</f>
        <v>1.16666</v>
      </c>
      <c r="AH48" s="53">
        <f>SUMIFS('Combined P&amp;L'!AF:AF,'Combined P&amp;L'!$C:$C,'P&amp;L Forecast'!$B48)</f>
        <v>0</v>
      </c>
      <c r="AI48" s="53">
        <f>SUMIFS('Combined P&amp;L'!AG:AG,'Combined P&amp;L'!$C:$C,'P&amp;L Forecast'!$B48)</f>
        <v>0.2</v>
      </c>
      <c r="AJ48" s="53">
        <f>SUMIFS('Combined P&amp;L'!AH:AH,'Combined P&amp;L'!$C:$C,'P&amp;L Forecast'!$B48)</f>
        <v>1.3269500000000001</v>
      </c>
      <c r="AK48" s="53">
        <f>SUMIFS('Combined P&amp;L'!AI:AI,'Combined P&amp;L'!$C:$C,'P&amp;L Forecast'!$B48)</f>
        <v>0</v>
      </c>
      <c r="AL48" s="53">
        <f>SUMIFS('Combined P&amp;L'!AJ:AJ,'Combined P&amp;L'!$C:$C,'P&amp;L Forecast'!$B48)</f>
        <v>6</v>
      </c>
      <c r="AM48" s="53">
        <f>SUMIFS('Combined P&amp;L'!AK:AK,'Combined P&amp;L'!$C:$C,'P&amp;L Forecast'!$B48)</f>
        <v>7.5</v>
      </c>
      <c r="AN48" s="53">
        <f>SUMIFS('Combined P&amp;L'!AL:AL,'Combined P&amp;L'!$C:$C,'P&amp;L Forecast'!$B48)</f>
        <v>0</v>
      </c>
      <c r="AO48" s="53">
        <f>SUMIFS('Combined P&amp;L'!AM:AM,'Combined P&amp;L'!$C:$C,'P&amp;L Forecast'!$B48)</f>
        <v>0</v>
      </c>
      <c r="AP48" s="53">
        <f>SUMIFS('Combined P&amp;L'!AN:AN,'Combined P&amp;L'!$C:$C,'P&amp;L Forecast'!$B48)</f>
        <v>6.6</v>
      </c>
      <c r="AQ48" s="53">
        <f>SUMIFS('Combined P&amp;L'!AO:AO,'Combined P&amp;L'!$C:$C,'P&amp;L Forecast'!$B48)</f>
        <v>14</v>
      </c>
      <c r="AR48" s="53">
        <f>SUMIFS('Combined P&amp;L'!AP:AP,'Combined P&amp;L'!$C:$C,'P&amp;L Forecast'!$B48)</f>
        <v>18</v>
      </c>
      <c r="AS48" s="53">
        <f>SUMIFS('Combined P&amp;L'!AQ:AQ,'Combined P&amp;L'!$C:$C,'P&amp;L Forecast'!$B48)</f>
        <v>0</v>
      </c>
      <c r="AT48" s="53">
        <f>SUMIFS('Combined P&amp;L'!AR:AR,'Combined P&amp;L'!$C:$C,'P&amp;L Forecast'!$B48)</f>
        <v>18.95</v>
      </c>
    </row>
    <row r="49" spans="2:46" s="14" customFormat="1">
      <c r="B49" s="57" t="s">
        <v>42</v>
      </c>
      <c r="C49" s="23">
        <f t="shared" si="66"/>
        <v>24.819999999999997</v>
      </c>
      <c r="D49" s="23">
        <f t="shared" si="66"/>
        <v>27.153739999999999</v>
      </c>
      <c r="E49" s="23"/>
      <c r="F49" s="23">
        <f t="shared" si="67"/>
        <v>17.089500000000001</v>
      </c>
      <c r="G49" s="23">
        <f t="shared" si="67"/>
        <v>20.62969</v>
      </c>
      <c r="H49" s="23"/>
      <c r="I49" s="23">
        <f t="shared" si="68"/>
        <v>26.209499999999998</v>
      </c>
      <c r="J49" s="23">
        <f t="shared" si="68"/>
        <v>30.693929999999998</v>
      </c>
      <c r="K49" s="65">
        <f t="shared" si="69"/>
        <v>30.693929999999998</v>
      </c>
      <c r="L49" s="65"/>
      <c r="M49" s="23">
        <f t="shared" si="70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2.21</v>
      </c>
      <c r="Q49" s="53">
        <f>SUMIFS('Combined P&amp;L'!O:O,'Combined P&amp;L'!$C:$C,'P&amp;L Forecast'!$B49)</f>
        <v>2.7349999999999999</v>
      </c>
      <c r="R49" s="53">
        <f>SUMIFS('Combined P&amp;L'!P:P,'Combined P&amp;L'!$C:$C,'P&amp;L Forecast'!$B49)</f>
        <v>2.7149999999999999</v>
      </c>
      <c r="S49" s="53">
        <f>SUMIFS('Combined P&amp;L'!Q:Q,'Combined P&amp;L'!$C:$C,'P&amp;L Forecast'!$B49)</f>
        <v>2.7349999999999999</v>
      </c>
      <c r="T49" s="53">
        <f>SUMIFS('Combined P&amp;L'!R:R,'Combined P&amp;L'!$C:$C,'P&amp;L Forecast'!$B49)</f>
        <v>0.78</v>
      </c>
      <c r="U49" s="53">
        <f>SUMIFS('Combined P&amp;L'!S:S,'Combined P&amp;L'!$C:$C,'P&amp;L Forecast'!$B49)</f>
        <v>3.2450000000000001</v>
      </c>
      <c r="V49" s="53">
        <f>SUMIFS('Combined P&amp;L'!T:T,'Combined P&amp;L'!$C:$C,'P&amp;L Forecast'!$B49)</f>
        <v>1.28</v>
      </c>
      <c r="W49" s="53">
        <f>SUMIFS('Combined P&amp;L'!U:U,'Combined P&amp;L'!$C:$C,'P&amp;L Forecast'!$B49)</f>
        <v>1.3</v>
      </c>
      <c r="X49" s="53">
        <f>SUMIFS('Combined P&amp;L'!V:V,'Combined P&amp;L'!$C:$C,'P&amp;L Forecast'!$B49)</f>
        <v>1.81</v>
      </c>
      <c r="Y49" s="53">
        <f>SUMIFS('Combined P&amp;L'!W:W,'Combined P&amp;L'!$C:$C,'P&amp;L Forecast'!$B49)</f>
        <v>1.82</v>
      </c>
      <c r="Z49" s="53">
        <f>SUMIFS('Combined P&amp;L'!X:X,'Combined P&amp;L'!$C:$C,'P&amp;L Forecast'!$B49)</f>
        <v>1.835</v>
      </c>
      <c r="AA49" s="53">
        <f>SUMIFS('Combined P&amp;L'!Y:Y,'Combined P&amp;L'!$C:$C,'P&amp;L Forecast'!$B49)</f>
        <v>2.355</v>
      </c>
      <c r="AB49" s="53">
        <f>SUMIFS('Combined P&amp;L'!Z:Z,'Combined P&amp;L'!$C:$C,'P&amp;L Forecast'!$B49)</f>
        <v>1.4702500000000001</v>
      </c>
      <c r="AC49" s="53">
        <f>SUMIFS('Combined P&amp;L'!AA:AA,'Combined P&amp;L'!$C:$C,'P&amp;L Forecast'!$B49)</f>
        <v>1.665</v>
      </c>
      <c r="AD49" s="53">
        <f>SUMIFS('Combined P&amp;L'!AB:AB,'Combined P&amp;L'!$C:$C,'P&amp;L Forecast'!$B49)</f>
        <v>2.6277499999999998</v>
      </c>
      <c r="AE49" s="53">
        <f>SUMIFS('Combined P&amp;L'!AC:AC,'Combined P&amp;L'!$C:$C,'P&amp;L Forecast'!$B49)</f>
        <v>1.24875</v>
      </c>
      <c r="AF49" s="53">
        <f>SUMIFS('Combined P&amp;L'!AD:AD,'Combined P&amp;L'!$C:$C,'P&amp;L Forecast'!$B49)</f>
        <v>2.1539999999999999</v>
      </c>
      <c r="AG49" s="53">
        <f>SUMIFS('Combined P&amp;L'!AE:AE,'Combined P&amp;L'!$C:$C,'P&amp;L Forecast'!$B49)</f>
        <v>4.1539999999999999</v>
      </c>
      <c r="AH49" s="53">
        <f>SUMIFS('Combined P&amp;L'!AF:AF,'Combined P&amp;L'!$C:$C,'P&amp;L Forecast'!$B49)</f>
        <v>3.7697500000000002</v>
      </c>
      <c r="AI49" s="53">
        <f>SUMIFS('Combined P&amp;L'!AG:AG,'Combined P&amp;L'!$C:$C,'P&amp;L Forecast'!$B49)</f>
        <v>1.696</v>
      </c>
      <c r="AJ49" s="53">
        <f>SUMIFS('Combined P&amp;L'!AH:AH,'Combined P&amp;L'!$C:$C,'P&amp;L Forecast'!$B49)</f>
        <v>2.2275</v>
      </c>
      <c r="AK49" s="53">
        <f>SUMIFS('Combined P&amp;L'!AI:AI,'Combined P&amp;L'!$C:$C,'P&amp;L Forecast'!$B49)</f>
        <v>1.6645000000000001</v>
      </c>
      <c r="AL49" s="53">
        <f>SUMIFS('Combined P&amp;L'!AJ:AJ,'Combined P&amp;L'!$C:$C,'P&amp;L Forecast'!$B49)</f>
        <v>1.71879</v>
      </c>
      <c r="AM49" s="53">
        <f>SUMIFS('Combined P&amp;L'!AK:AK,'Combined P&amp;L'!$C:$C,'P&amp;L Forecast'!$B49)</f>
        <v>2.75745</v>
      </c>
      <c r="AN49" s="53">
        <f>SUMIFS('Combined P&amp;L'!AL:AL,'Combined P&amp;L'!$C:$C,'P&amp;L Forecast'!$B49)</f>
        <v>1.8688</v>
      </c>
      <c r="AO49" s="53">
        <f>SUMIFS('Combined P&amp;L'!AM:AM,'Combined P&amp;L'!$C:$C,'P&amp;L Forecast'!$B49)</f>
        <v>4.4399100000000002</v>
      </c>
      <c r="AP49" s="53">
        <f>SUMIFS('Combined P&amp;L'!AN:AN,'Combined P&amp;L'!$C:$C,'P&amp;L Forecast'!$B49)</f>
        <v>2.3936100000000002</v>
      </c>
      <c r="AQ49" s="53">
        <f>SUMIFS('Combined P&amp;L'!AO:AO,'Combined P&amp;L'!$C:$C,'P&amp;L Forecast'!$B49)</f>
        <v>3.6578600000000003</v>
      </c>
      <c r="AR49" s="53">
        <f>SUMIFS('Combined P&amp;L'!AP:AP,'Combined P&amp;L'!$C:$C,'P&amp;L Forecast'!$B49)</f>
        <v>2.9337900000000001</v>
      </c>
      <c r="AS49" s="53">
        <f>SUMIFS('Combined P&amp;L'!AQ:AQ,'Combined P&amp;L'!$C:$C,'P&amp;L Forecast'!$B49)</f>
        <v>1.5662</v>
      </c>
      <c r="AT49" s="53">
        <f>SUMIFS('Combined P&amp;L'!AR:AR,'Combined P&amp;L'!$C:$C,'P&amp;L Forecast'!$B49)</f>
        <v>3.76952</v>
      </c>
    </row>
    <row r="50" spans="2:46">
      <c r="B50" s="57" t="s">
        <v>90</v>
      </c>
      <c r="C50" s="23">
        <f t="shared" si="66"/>
        <v>0</v>
      </c>
      <c r="D50" s="23">
        <f t="shared" si="66"/>
        <v>29.761219999999998</v>
      </c>
      <c r="E50" s="23"/>
      <c r="F50" s="23">
        <f t="shared" si="67"/>
        <v>22.295579999999998</v>
      </c>
      <c r="G50" s="23">
        <f t="shared" si="67"/>
        <v>20.685420000000001</v>
      </c>
      <c r="H50" s="23"/>
      <c r="I50" s="23">
        <f t="shared" si="68"/>
        <v>22.295579999999998</v>
      </c>
      <c r="J50" s="23">
        <f t="shared" si="68"/>
        <v>28.151060000000001</v>
      </c>
      <c r="K50" s="65">
        <f t="shared" si="69"/>
        <v>28.151060000000001</v>
      </c>
      <c r="L50" s="65"/>
      <c r="M50" s="23">
        <f t="shared" si="70"/>
        <v>0</v>
      </c>
      <c r="N50" s="66">
        <f t="shared" ref="N50" si="72">IFERROR(K50/J50-1,0)</f>
        <v>0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6.9100000000000003E-3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11.40629</v>
      </c>
      <c r="AF50" s="53">
        <f>SUMIFS('Combined P&amp;L'!AD:AD,'Combined P&amp;L'!$C:$C,'P&amp;L Forecast'!$B50)</f>
        <v>10.784719999999997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9.7659999999999997E-2</v>
      </c>
      <c r="AI50" s="53">
        <f>SUMIFS('Combined P&amp;L'!AG:AG,'Combined P&amp;L'!$C:$C,'P&amp;L Forecast'!$B50)</f>
        <v>0.92152000000000001</v>
      </c>
      <c r="AJ50" s="53">
        <f>SUMIFS('Combined P&amp;L'!AH:AH,'Combined P&amp;L'!$C:$C,'P&amp;L Forecast'!$B50)</f>
        <v>2.9642300000000006</v>
      </c>
      <c r="AK50" s="53">
        <f>SUMIFS('Combined P&amp;L'!AI:AI,'Combined P&amp;L'!$C:$C,'P&amp;L Forecast'!$B50)</f>
        <v>1.0367900000000001</v>
      </c>
      <c r="AL50" s="53">
        <f>SUMIFS('Combined P&amp;L'!AJ:AJ,'Combined P&amp;L'!$C:$C,'P&amp;L Forecast'!$B50)</f>
        <v>2.11036</v>
      </c>
      <c r="AM50" s="53">
        <f>SUMIFS('Combined P&amp;L'!AK:AK,'Combined P&amp;L'!$C:$C,'P&amp;L Forecast'!$B50)</f>
        <v>0.43274000000000001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0</v>
      </c>
      <c r="AP50" s="53">
        <f>SUMIFS('Combined P&amp;L'!AN:AN,'Combined P&amp;L'!$C:$C,'P&amp;L Forecast'!$B50)</f>
        <v>0</v>
      </c>
      <c r="AQ50" s="53">
        <f>SUMIFS('Combined P&amp;L'!AO:AO,'Combined P&amp;L'!$C:$C,'P&amp;L Forecast'!$B50)</f>
        <v>9.7651000000000003</v>
      </c>
      <c r="AR50" s="53">
        <f>SUMIFS('Combined P&amp;L'!AP:AP,'Combined P&amp;L'!$C:$C,'P&amp;L Forecast'!$B50)</f>
        <v>10.254430000000001</v>
      </c>
      <c r="AS50" s="53">
        <f>SUMIFS('Combined P&amp;L'!AQ:AQ,'Combined P&amp;L'!$C:$C,'P&amp;L Forecast'!$B50)</f>
        <v>0.65590000000000004</v>
      </c>
      <c r="AT50" s="53">
        <f>SUMIFS('Combined P&amp;L'!AR:AR,'Combined P&amp;L'!$C:$C,'P&amp;L Forecast'!$B50)</f>
        <v>9.9900000000000006E-3</v>
      </c>
    </row>
    <row r="51" spans="2:46">
      <c r="B51" s="57" t="s">
        <v>41</v>
      </c>
      <c r="C51" s="23">
        <f t="shared" si="66"/>
        <v>8.670989999999998</v>
      </c>
      <c r="D51" s="23">
        <f t="shared" si="66"/>
        <v>13.35153</v>
      </c>
      <c r="E51" s="23"/>
      <c r="F51" s="23">
        <f t="shared" si="67"/>
        <v>6.8044500000000001</v>
      </c>
      <c r="G51" s="23">
        <f t="shared" si="67"/>
        <v>9.02684</v>
      </c>
      <c r="H51" s="23"/>
      <c r="I51" s="23">
        <f t="shared" si="68"/>
        <v>10.54373</v>
      </c>
      <c r="J51" s="23">
        <f t="shared" si="68"/>
        <v>15.573919999999999</v>
      </c>
      <c r="K51" s="65">
        <f t="shared" si="69"/>
        <v>15.573919999999999</v>
      </c>
      <c r="L51" s="65"/>
      <c r="M51" s="23">
        <f t="shared" si="70"/>
        <v>0</v>
      </c>
      <c r="N51" s="66">
        <f t="shared" ref="N51" si="73">IFERROR(K51/J51-1,0)</f>
        <v>0</v>
      </c>
      <c r="O51" s="52"/>
      <c r="P51" s="53">
        <f>SUMIFS('Combined P&amp;L'!N:N,'Combined P&amp;L'!$C:$C,'P&amp;L Forecast'!$B51)</f>
        <v>0.6179</v>
      </c>
      <c r="Q51" s="53">
        <f>SUMIFS('Combined P&amp;L'!O:O,'Combined P&amp;L'!$C:$C,'P&amp;L Forecast'!$B51)</f>
        <v>0.83739999999999992</v>
      </c>
      <c r="R51" s="53">
        <f>SUMIFS('Combined P&amp;L'!P:P,'Combined P&amp;L'!$C:$C,'P&amp;L Forecast'!$B51)</f>
        <v>0.62936000000000003</v>
      </c>
      <c r="S51" s="53">
        <f>SUMIFS('Combined P&amp;L'!Q:Q,'Combined P&amp;L'!$C:$C,'P&amp;L Forecast'!$B51)</f>
        <v>0.68245</v>
      </c>
      <c r="T51" s="53">
        <f>SUMIFS('Combined P&amp;L'!R:R,'Combined P&amp;L'!$C:$C,'P&amp;L Forecast'!$B51)</f>
        <v>0.72150999999999998</v>
      </c>
      <c r="U51" s="53">
        <f>SUMIFS('Combined P&amp;L'!S:S,'Combined P&amp;L'!$C:$C,'P&amp;L Forecast'!$B51)</f>
        <v>0.78747</v>
      </c>
      <c r="V51" s="53">
        <f>SUMIFS('Combined P&amp;L'!T:T,'Combined P&amp;L'!$C:$C,'P&amp;L Forecast'!$B51)</f>
        <v>0.65561999999999998</v>
      </c>
      <c r="W51" s="53">
        <f>SUMIFS('Combined P&amp;L'!U:U,'Combined P&amp;L'!$C:$C,'P&amp;L Forecast'!$B51)</f>
        <v>0.79491000000000001</v>
      </c>
      <c r="X51" s="53">
        <f>SUMIFS('Combined P&amp;L'!V:V,'Combined P&amp;L'!$C:$C,'P&amp;L Forecast'!$B51)</f>
        <v>0.69062999999999997</v>
      </c>
      <c r="Y51" s="53">
        <f>SUMIFS('Combined P&amp;L'!W:W,'Combined P&amp;L'!$C:$C,'P&amp;L Forecast'!$B51)</f>
        <v>0.71760999999999997</v>
      </c>
      <c r="Z51" s="53">
        <f>SUMIFS('Combined P&amp;L'!X:X,'Combined P&amp;L'!$C:$C,'P&amp;L Forecast'!$B51)</f>
        <v>0.73794999999999999</v>
      </c>
      <c r="AA51" s="53">
        <f>SUMIFS('Combined P&amp;L'!Y:Y,'Combined P&amp;L'!$C:$C,'P&amp;L Forecast'!$B51)</f>
        <v>0.79818</v>
      </c>
      <c r="AB51" s="53">
        <f>SUMIFS('Combined P&amp;L'!Z:Z,'Combined P&amp;L'!$C:$C,'P&amp;L Forecast'!$B51)</f>
        <v>0.83546000000000009</v>
      </c>
      <c r="AC51" s="53">
        <f>SUMIFS('Combined P&amp;L'!AA:AA,'Combined P&amp;L'!$C:$C,'P&amp;L Forecast'!$B51)</f>
        <v>1.0539400000000001</v>
      </c>
      <c r="AD51" s="53">
        <f>SUMIFS('Combined P&amp;L'!AB:AB,'Combined P&amp;L'!$C:$C,'P&amp;L Forecast'!$B51)</f>
        <v>0.87069000000000007</v>
      </c>
      <c r="AE51" s="53">
        <f>SUMIFS('Combined P&amp;L'!AC:AC,'Combined P&amp;L'!$C:$C,'P&amp;L Forecast'!$B51)</f>
        <v>0.90554999999999997</v>
      </c>
      <c r="AF51" s="53">
        <f>SUMIFS('Combined P&amp;L'!AD:AD,'Combined P&amp;L'!$C:$C,'P&amp;L Forecast'!$B51)</f>
        <v>0.9115700000000001</v>
      </c>
      <c r="AG51" s="53">
        <f>SUMIFS('Combined P&amp;L'!AE:AE,'Combined P&amp;L'!$C:$C,'P&amp;L Forecast'!$B51)</f>
        <v>1.0024900000000001</v>
      </c>
      <c r="AH51" s="53">
        <f>SUMIFS('Combined P&amp;L'!AF:AF,'Combined P&amp;L'!$C:$C,'P&amp;L Forecast'!$B51)</f>
        <v>1.22475</v>
      </c>
      <c r="AI51" s="53">
        <f>SUMIFS('Combined P&amp;L'!AG:AG,'Combined P&amp;L'!$C:$C,'P&amp;L Forecast'!$B51)</f>
        <v>1.1043800000000001</v>
      </c>
      <c r="AJ51" s="53">
        <f>SUMIFS('Combined P&amp;L'!AH:AH,'Combined P&amp;L'!$C:$C,'P&amp;L Forecast'!$B51)</f>
        <v>1.2972300000000001</v>
      </c>
      <c r="AK51" s="53">
        <f>SUMIFS('Combined P&amp;L'!AI:AI,'Combined P&amp;L'!$C:$C,'P&amp;L Forecast'!$B51)</f>
        <v>1.2173900000000002</v>
      </c>
      <c r="AL51" s="53">
        <f>SUMIFS('Combined P&amp;L'!AJ:AJ,'Combined P&amp;L'!$C:$C,'P&amp;L Forecast'!$B51)</f>
        <v>1.62294</v>
      </c>
      <c r="AM51" s="53">
        <f>SUMIFS('Combined P&amp;L'!AK:AK,'Combined P&amp;L'!$C:$C,'P&amp;L Forecast'!$B51)</f>
        <v>1.3051400000000002</v>
      </c>
      <c r="AN51" s="53">
        <f>SUMIFS('Combined P&amp;L'!AL:AL,'Combined P&amp;L'!$C:$C,'P&amp;L Forecast'!$B51)</f>
        <v>1.2297400000000001</v>
      </c>
      <c r="AO51" s="53">
        <f>SUMIFS('Combined P&amp;L'!AM:AM,'Combined P&amp;L'!$C:$C,'P&amp;L Forecast'!$B51)</f>
        <v>1.73847</v>
      </c>
      <c r="AP51" s="53">
        <f>SUMIFS('Combined P&amp;L'!AN:AN,'Combined P&amp;L'!$C:$C,'P&amp;L Forecast'!$B51)</f>
        <v>1.35348</v>
      </c>
      <c r="AQ51" s="53">
        <f>SUMIFS('Combined P&amp;L'!AO:AO,'Combined P&amp;L'!$C:$C,'P&amp;L Forecast'!$B51)</f>
        <v>1.2339899999999999</v>
      </c>
      <c r="AR51" s="53">
        <f>SUMIFS('Combined P&amp;L'!AP:AP,'Combined P&amp;L'!$C:$C,'P&amp;L Forecast'!$B51)</f>
        <v>1.1713699999999998</v>
      </c>
      <c r="AS51" s="53">
        <f>SUMIFS('Combined P&amp;L'!AQ:AQ,'Combined P&amp;L'!$C:$C,'P&amp;L Forecast'!$B51)</f>
        <v>1.1539200000000001</v>
      </c>
      <c r="AT51" s="53">
        <f>SUMIFS('Combined P&amp;L'!AR:AR,'Combined P&amp;L'!$C:$C,'P&amp;L Forecast'!$B51)</f>
        <v>1.1458699999999999</v>
      </c>
    </row>
    <row r="52" spans="2:46">
      <c r="B52" s="57" t="s">
        <v>74</v>
      </c>
      <c r="C52" s="23">
        <f t="shared" si="66"/>
        <v>5.4433199999999999</v>
      </c>
      <c r="D52" s="23">
        <f t="shared" si="66"/>
        <v>11.22296</v>
      </c>
      <c r="E52" s="23"/>
      <c r="F52" s="23">
        <f t="shared" si="67"/>
        <v>6.1909999999999989</v>
      </c>
      <c r="G52" s="23">
        <f t="shared" si="67"/>
        <v>6.5788099999999998</v>
      </c>
      <c r="H52" s="23"/>
      <c r="I52" s="23">
        <f t="shared" si="68"/>
        <v>9.5326799999999974</v>
      </c>
      <c r="J52" s="23">
        <f t="shared" si="68"/>
        <v>11.61077</v>
      </c>
      <c r="K52" s="65">
        <f t="shared" si="69"/>
        <v>11.61077</v>
      </c>
      <c r="L52" s="65"/>
      <c r="M52" s="23">
        <f t="shared" si="70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0.33417000000000002</v>
      </c>
      <c r="Q52" s="53">
        <f>SUMIFS('Combined P&amp;L'!O:O,'Combined P&amp;L'!$C:$C,'P&amp;L Forecast'!$B52)</f>
        <v>0.33417000000000002</v>
      </c>
      <c r="R52" s="53">
        <f>SUMIFS('Combined P&amp;L'!P:P,'Combined P&amp;L'!$C:$C,'P&amp;L Forecast'!$B52)</f>
        <v>0.33417000000000002</v>
      </c>
      <c r="S52" s="53">
        <f>SUMIFS('Combined P&amp;L'!Q:Q,'Combined P&amp;L'!$C:$C,'P&amp;L Forecast'!$B52)</f>
        <v>0.33417000000000002</v>
      </c>
      <c r="T52" s="53">
        <f>SUMIFS('Combined P&amp;L'!R:R,'Combined P&amp;L'!$C:$C,'P&amp;L Forecast'!$B52)</f>
        <v>0.255</v>
      </c>
      <c r="U52" s="53">
        <f>SUMIFS('Combined P&amp;L'!S:S,'Combined P&amp;L'!$C:$C,'P&amp;L Forecast'!$B52)</f>
        <v>0.255</v>
      </c>
      <c r="V52" s="53">
        <f>SUMIFS('Combined P&amp;L'!T:T,'Combined P&amp;L'!$C:$C,'P&amp;L Forecast'!$B52)</f>
        <v>0.25496000000000002</v>
      </c>
      <c r="W52" s="53">
        <f>SUMIFS('Combined P&amp;L'!U:U,'Combined P&amp;L'!$C:$C,'P&amp;L Forecast'!$B52)</f>
        <v>0.20499999999999999</v>
      </c>
      <c r="X52" s="53">
        <f>SUMIFS('Combined P&amp;L'!V:V,'Combined P&amp;L'!$C:$C,'P&amp;L Forecast'!$B52)</f>
        <v>0.78416999999999992</v>
      </c>
      <c r="Y52" s="53">
        <f>SUMIFS('Combined P&amp;L'!W:W,'Combined P&amp;L'!$C:$C,'P&amp;L Forecast'!$B52)</f>
        <v>0.78416999999999992</v>
      </c>
      <c r="Z52" s="53">
        <f>SUMIFS('Combined P&amp;L'!X:X,'Combined P&amp;L'!$C:$C,'P&amp;L Forecast'!$B52)</f>
        <v>0.78416999999999992</v>
      </c>
      <c r="AA52" s="53">
        <f>SUMIFS('Combined P&amp;L'!Y:Y,'Combined P&amp;L'!$C:$C,'P&amp;L Forecast'!$B52)</f>
        <v>0.78416999999999992</v>
      </c>
      <c r="AB52" s="53">
        <f>SUMIFS('Combined P&amp;L'!Z:Z,'Combined P&amp;L'!$C:$C,'P&amp;L Forecast'!$B52)</f>
        <v>0.78416999999999992</v>
      </c>
      <c r="AC52" s="53">
        <f>SUMIFS('Combined P&amp;L'!AA:AA,'Combined P&amp;L'!$C:$C,'P&amp;L Forecast'!$B52)</f>
        <v>0.78416999999999992</v>
      </c>
      <c r="AD52" s="53">
        <f>SUMIFS('Combined P&amp;L'!AB:AB,'Combined P&amp;L'!$C:$C,'P&amp;L Forecast'!$B52)</f>
        <v>0.78416999999999992</v>
      </c>
      <c r="AE52" s="53">
        <f>SUMIFS('Combined P&amp;L'!AC:AC,'Combined P&amp;L'!$C:$C,'P&amp;L Forecast'!$B52)</f>
        <v>0.78416999999999992</v>
      </c>
      <c r="AF52" s="53">
        <f>SUMIFS('Combined P&amp;L'!AD:AD,'Combined P&amp;L'!$C:$C,'P&amp;L Forecast'!$B52)</f>
        <v>0.78416999999999992</v>
      </c>
      <c r="AG52" s="53">
        <f>SUMIFS('Combined P&amp;L'!AE:AE,'Combined P&amp;L'!$C:$C,'P&amp;L Forecast'!$B52)</f>
        <v>0.78416999999999992</v>
      </c>
      <c r="AH52" s="53">
        <f>SUMIFS('Combined P&amp;L'!AF:AF,'Combined P&amp;L'!$C:$C,'P&amp;L Forecast'!$B52)</f>
        <v>1.4859800000000001</v>
      </c>
      <c r="AI52" s="53">
        <f>SUMIFS('Combined P&amp;L'!AG:AG,'Combined P&amp;L'!$C:$C,'P&amp;L Forecast'!$B52)</f>
        <v>0.96329999999999993</v>
      </c>
      <c r="AJ52" s="53">
        <f>SUMIFS('Combined P&amp;L'!AH:AH,'Combined P&amp;L'!$C:$C,'P&amp;L Forecast'!$B52)</f>
        <v>0.98041999999999996</v>
      </c>
      <c r="AK52" s="53">
        <f>SUMIFS('Combined P&amp;L'!AI:AI,'Combined P&amp;L'!$C:$C,'P&amp;L Forecast'!$B52)</f>
        <v>1.02942</v>
      </c>
      <c r="AL52" s="53">
        <f>SUMIFS('Combined P&amp;L'!AJ:AJ,'Combined P&amp;L'!$C:$C,'P&amp;L Forecast'!$B52)</f>
        <v>1.02942</v>
      </c>
      <c r="AM52" s="53">
        <f>SUMIFS('Combined P&amp;L'!AK:AK,'Combined P&amp;L'!$C:$C,'P&amp;L Forecast'!$B52)</f>
        <v>1.0294000000000001</v>
      </c>
      <c r="AN52" s="53">
        <f>SUMIFS('Combined P&amp;L'!AL:AL,'Combined P&amp;L'!$C:$C,'P&amp;L Forecast'!$B52)</f>
        <v>0.93983000000000005</v>
      </c>
      <c r="AO52" s="53">
        <f>SUMIFS('Combined P&amp;L'!AM:AM,'Combined P&amp;L'!$C:$C,'P&amp;L Forecast'!$B52)</f>
        <v>0.93983000000000005</v>
      </c>
      <c r="AP52" s="53">
        <f>SUMIFS('Combined P&amp;L'!AN:AN,'Combined P&amp;L'!$C:$C,'P&amp;L Forecast'!$B52)</f>
        <v>0.93983000000000005</v>
      </c>
      <c r="AQ52" s="53">
        <f>SUMIFS('Combined P&amp;L'!AO:AO,'Combined P&amp;L'!$C:$C,'P&amp;L Forecast'!$B52)</f>
        <v>0.93983000000000005</v>
      </c>
      <c r="AR52" s="53">
        <f>SUMIFS('Combined P&amp;L'!AP:AP,'Combined P&amp;L'!$C:$C,'P&amp;L Forecast'!$B52)</f>
        <v>0.93983000000000005</v>
      </c>
      <c r="AS52" s="53">
        <f>SUMIFS('Combined P&amp;L'!AQ:AQ,'Combined P&amp;L'!$C:$C,'P&amp;L Forecast'!$B52)</f>
        <v>0.93983000000000005</v>
      </c>
      <c r="AT52" s="53">
        <f>SUMIFS('Combined P&amp;L'!AR:AR,'Combined P&amp;L'!$C:$C,'P&amp;L Forecast'!$B52)</f>
        <v>0.93983000000000005</v>
      </c>
    </row>
    <row r="53" spans="2:46">
      <c r="B53" s="57" t="s">
        <v>308</v>
      </c>
      <c r="C53" s="23">
        <f t="shared" si="66"/>
        <v>0</v>
      </c>
      <c r="D53" s="23">
        <f t="shared" si="66"/>
        <v>11.4983</v>
      </c>
      <c r="E53" s="23"/>
      <c r="F53" s="23">
        <f t="shared" si="67"/>
        <v>0</v>
      </c>
      <c r="G53" s="23">
        <f t="shared" si="67"/>
        <v>11.84548</v>
      </c>
      <c r="H53" s="23"/>
      <c r="I53" s="23">
        <f t="shared" si="68"/>
        <v>0</v>
      </c>
      <c r="J53" s="23">
        <f t="shared" si="68"/>
        <v>23.343780000000002</v>
      </c>
      <c r="K53" s="65">
        <f t="shared" si="69"/>
        <v>23.343780000000002</v>
      </c>
      <c r="L53" s="65"/>
      <c r="M53" s="23">
        <f t="shared" si="70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</v>
      </c>
      <c r="Q53" s="53">
        <f>SUMIFS('Combined P&amp;L'!O:O,'Combined P&amp;L'!$C:$C,'P&amp;L Forecast'!$B53)</f>
        <v>0</v>
      </c>
      <c r="R53" s="53">
        <f>SUMIFS('Combined P&amp;L'!P:P,'Combined P&amp;L'!$C:$C,'P&amp;L Forecast'!$B53)</f>
        <v>0</v>
      </c>
      <c r="S53" s="53">
        <f>SUMIFS('Combined P&amp;L'!Q:Q,'Combined P&amp;L'!$C:$C,'P&amp;L Forecast'!$B53)</f>
        <v>0</v>
      </c>
      <c r="T53" s="53">
        <f>SUMIFS('Combined P&amp;L'!R:R,'Combined P&amp;L'!$C:$C,'P&amp;L Forecast'!$B53)</f>
        <v>0</v>
      </c>
      <c r="U53" s="53">
        <f>SUMIFS('Combined P&amp;L'!S:S,'Combined P&amp;L'!$C:$C,'P&amp;L Forecast'!$B53)</f>
        <v>0</v>
      </c>
      <c r="V53" s="53">
        <f>SUMIFS('Combined P&amp;L'!T:T,'Combined P&amp;L'!$C:$C,'P&amp;L Forecast'!$B53)</f>
        <v>0</v>
      </c>
      <c r="W53" s="53">
        <f>SUMIFS('Combined P&amp;L'!U:U,'Combined P&amp;L'!$C:$C,'P&amp;L Forecast'!$B53)</f>
        <v>0</v>
      </c>
      <c r="X53" s="53">
        <f>SUMIFS('Combined P&amp;L'!V:V,'Combined P&amp;L'!$C:$C,'P&amp;L Forecast'!$B53)</f>
        <v>0</v>
      </c>
      <c r="Y53" s="53">
        <f>SUMIFS('Combined P&amp;L'!W:W,'Combined P&amp;L'!$C:$C,'P&amp;L Forecast'!$B53)</f>
        <v>0</v>
      </c>
      <c r="Z53" s="53">
        <f>SUMIFS('Combined P&amp;L'!X:X,'Combined P&amp;L'!$C:$C,'P&amp;L Forecast'!$B53)</f>
        <v>0</v>
      </c>
      <c r="AA53" s="53">
        <f>SUMIFS('Combined P&amp;L'!Y:Y,'Combined P&amp;L'!$C:$C,'P&amp;L Forecast'!$B53)</f>
        <v>0</v>
      </c>
      <c r="AB53" s="53">
        <f>SUMIFS('Combined P&amp;L'!Z:Z,'Combined P&amp;L'!$C:$C,'P&amp;L Forecast'!$B53)</f>
        <v>0</v>
      </c>
      <c r="AC53" s="53">
        <f>SUMIFS('Combined P&amp;L'!AA:AA,'Combined P&amp;L'!$C:$C,'P&amp;L Forecast'!$B53)</f>
        <v>0</v>
      </c>
      <c r="AD53" s="53">
        <f>SUMIFS('Combined P&amp;L'!AB:AB,'Combined P&amp;L'!$C:$C,'P&amp;L Forecast'!$B53)</f>
        <v>0</v>
      </c>
      <c r="AE53" s="53">
        <f>SUMIFS('Combined P&amp;L'!AC:AC,'Combined P&amp;L'!$C:$C,'P&amp;L Forecast'!$B53)</f>
        <v>0</v>
      </c>
      <c r="AF53" s="53">
        <f>SUMIFS('Combined P&amp;L'!AD:AD,'Combined P&amp;L'!$C:$C,'P&amp;L Forecast'!$B53)</f>
        <v>0</v>
      </c>
      <c r="AG53" s="53">
        <f>SUMIFS('Combined P&amp;L'!AE:AE,'Combined P&amp;L'!$C:$C,'P&amp;L Forecast'!$B53)</f>
        <v>0</v>
      </c>
      <c r="AH53" s="53">
        <f>SUMIFS('Combined P&amp;L'!AF:AF,'Combined P&amp;L'!$C:$C,'P&amp;L Forecast'!$B53)</f>
        <v>0</v>
      </c>
      <c r="AI53" s="53">
        <f>SUMIFS('Combined P&amp;L'!AG:AG,'Combined P&amp;L'!$C:$C,'P&amp;L Forecast'!$B53)</f>
        <v>7.17</v>
      </c>
      <c r="AJ53" s="53">
        <f>SUMIFS('Combined P&amp;L'!AH:AH,'Combined P&amp;L'!$C:$C,'P&amp;L Forecast'!$B53)</f>
        <v>1.6495</v>
      </c>
      <c r="AK53" s="53">
        <f>SUMIFS('Combined P&amp;L'!AI:AI,'Combined P&amp;L'!$C:$C,'P&amp;L Forecast'!$B53)</f>
        <v>2.6788000000000003</v>
      </c>
      <c r="AL53" s="53">
        <f>SUMIFS('Combined P&amp;L'!AJ:AJ,'Combined P&amp;L'!$C:$C,'P&amp;L Forecast'!$B53)</f>
        <v>0</v>
      </c>
      <c r="AM53" s="53">
        <f>SUMIFS('Combined P&amp;L'!AK:AK,'Combined P&amp;L'!$C:$C,'P&amp;L Forecast'!$B53)</f>
        <v>0</v>
      </c>
      <c r="AN53" s="53">
        <f>SUMIFS('Combined P&amp;L'!AL:AL,'Combined P&amp;L'!$C:$C,'P&amp;L Forecast'!$B53)</f>
        <v>0.05</v>
      </c>
      <c r="AO53" s="53">
        <f>SUMIFS('Combined P&amp;L'!AM:AM,'Combined P&amp;L'!$C:$C,'P&amp;L Forecast'!$B53)</f>
        <v>0</v>
      </c>
      <c r="AP53" s="53">
        <f>SUMIFS('Combined P&amp;L'!AN:AN,'Combined P&amp;L'!$C:$C,'P&amp;L Forecast'!$B53)</f>
        <v>0</v>
      </c>
      <c r="AQ53" s="53">
        <f>SUMIFS('Combined P&amp;L'!AO:AO,'Combined P&amp;L'!$C:$C,'P&amp;L Forecast'!$B53)</f>
        <v>0</v>
      </c>
      <c r="AR53" s="53">
        <f>SUMIFS('Combined P&amp;L'!AP:AP,'Combined P&amp;L'!$C:$C,'P&amp;L Forecast'!$B53)</f>
        <v>9.8049999999999998E-2</v>
      </c>
      <c r="AS53" s="53">
        <f>SUMIFS('Combined P&amp;L'!AQ:AQ,'Combined P&amp;L'!$C:$C,'P&amp;L Forecast'!$B53)</f>
        <v>2.4300000000000003E-3</v>
      </c>
      <c r="AT53" s="53">
        <f>SUMIFS('Combined P&amp;L'!AR:AR,'Combined P&amp;L'!$C:$C,'P&amp;L Forecast'!$B53)</f>
        <v>11.695</v>
      </c>
    </row>
    <row r="54" spans="2:46">
      <c r="B54" s="57" t="s">
        <v>32</v>
      </c>
      <c r="C54" s="23">
        <f t="shared" si="66"/>
        <v>0</v>
      </c>
      <c r="D54" s="23">
        <f t="shared" si="66"/>
        <v>1.5874999999999999</v>
      </c>
      <c r="E54" s="23"/>
      <c r="F54" s="23">
        <f t="shared" si="67"/>
        <v>0</v>
      </c>
      <c r="G54" s="23">
        <f t="shared" si="67"/>
        <v>30.515499999999999</v>
      </c>
      <c r="H54" s="23"/>
      <c r="I54" s="23">
        <f t="shared" si="68"/>
        <v>0</v>
      </c>
      <c r="J54" s="23">
        <f t="shared" si="68"/>
        <v>32.103000000000002</v>
      </c>
      <c r="K54" s="65">
        <f>+C154</f>
        <v>38.761499999999998</v>
      </c>
      <c r="L54" s="65"/>
      <c r="M54" s="23">
        <f>K54-J54</f>
        <v>6.6584999999999965</v>
      </c>
      <c r="N54" s="66">
        <f>IFERROR(K54/J54-1,0)</f>
        <v>0.20741052238108582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0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0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0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0</v>
      </c>
      <c r="AB54" s="53">
        <f>SUMIFS('Combined P&amp;L'!Z:Z,'Combined P&amp;L'!$C:$C,'P&amp;L Forecast'!$B54)</f>
        <v>0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0</v>
      </c>
      <c r="AF54" s="53">
        <f>SUMIFS('Combined P&amp;L'!AD:AD,'Combined P&amp;L'!$C:$C,'P&amp;L Forecast'!$B54)</f>
        <v>0</v>
      </c>
      <c r="AG54" s="53">
        <f>SUMIFS('Combined P&amp;L'!AE:AE,'Combined P&amp;L'!$C:$C,'P&amp;L Forecast'!$B54)</f>
        <v>0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0</v>
      </c>
      <c r="AK54" s="53">
        <f>SUMIFS('Combined P&amp;L'!AI:AI,'Combined P&amp;L'!$C:$C,'P&amp;L Forecast'!$B54)</f>
        <v>1.1499999999999999</v>
      </c>
      <c r="AL54" s="53">
        <f>SUMIFS('Combined P&amp;L'!AJ:AJ,'Combined P&amp;L'!$C:$C,'P&amp;L Forecast'!$B54)</f>
        <v>0.4375</v>
      </c>
      <c r="AM54" s="53">
        <f>SUMIFS('Combined P&amp;L'!AK:AK,'Combined P&amp;L'!$C:$C,'P&amp;L Forecast'!$B54)</f>
        <v>0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3</v>
      </c>
      <c r="AP54" s="53">
        <f>SUMIFS('Combined P&amp;L'!AN:AN,'Combined P&amp;L'!$C:$C,'P&amp;L Forecast'!$B54)</f>
        <v>16.265499999999999</v>
      </c>
      <c r="AQ54" s="53">
        <f>SUMIFS('Combined P&amp;L'!AO:AO,'Combined P&amp;L'!$C:$C,'P&amp;L Forecast'!$B54)</f>
        <v>2.8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8.4499999999999993</v>
      </c>
      <c r="AT54" s="53">
        <f>SUMIFS('Combined P&amp;L'!AR:AR,'Combined P&amp;L'!$C:$C,'P&amp;L Forecast'!$B54)</f>
        <v>0</v>
      </c>
    </row>
    <row r="55" spans="2:46">
      <c r="B55" s="57" t="s">
        <v>68</v>
      </c>
      <c r="C55" s="23">
        <f t="shared" si="66"/>
        <v>14.902050000000003</v>
      </c>
      <c r="D55" s="23">
        <f t="shared" si="66"/>
        <v>31.604100000000003</v>
      </c>
      <c r="E55" s="23"/>
      <c r="F55" s="23">
        <f t="shared" si="67"/>
        <v>28.299939999999999</v>
      </c>
      <c r="G55" s="23">
        <f t="shared" si="67"/>
        <v>5.5646000000000004</v>
      </c>
      <c r="H55" s="23"/>
      <c r="I55" s="23">
        <f t="shared" si="68"/>
        <v>35.346060000000008</v>
      </c>
      <c r="J55" s="23">
        <f t="shared" si="68"/>
        <v>8.86876</v>
      </c>
      <c r="K55" s="65">
        <f>+C155</f>
        <v>8.86876</v>
      </c>
      <c r="L55" s="65"/>
      <c r="M55" s="23">
        <f t="shared" si="70"/>
        <v>0</v>
      </c>
      <c r="N55" s="66">
        <f t="shared" ref="N55" si="76">IFERROR(K55/J55-1,0)</f>
        <v>0</v>
      </c>
      <c r="O55" s="52"/>
      <c r="P55" s="53">
        <f>SUMIFS('Combined P&amp;L'!N:N,'Combined P&amp;L'!$C:$C,'P&amp;L Forecast'!$B55)</f>
        <v>2.4920000000000001E-2</v>
      </c>
      <c r="Q55" s="53">
        <f>SUMIFS('Combined P&amp;L'!O:O,'Combined P&amp;L'!$C:$C,'P&amp;L Forecast'!$B55)</f>
        <v>1.0249200000000001</v>
      </c>
      <c r="R55" s="53">
        <f>SUMIFS('Combined P&amp;L'!P:P,'Combined P&amp;L'!$C:$C,'P&amp;L Forecast'!$B55)</f>
        <v>1.0249200000000001</v>
      </c>
      <c r="S55" s="53">
        <f>SUMIFS('Combined P&amp;L'!Q:Q,'Combined P&amp;L'!$C:$C,'P&amp;L Forecast'!$B55)</f>
        <v>1.22492</v>
      </c>
      <c r="T55" s="53">
        <f>SUMIFS('Combined P&amp;L'!R:R,'Combined P&amp;L'!$C:$C,'P&amp;L Forecast'!$B55)</f>
        <v>1.0249200000000001</v>
      </c>
      <c r="U55" s="53">
        <f>SUMIFS('Combined P&amp;L'!S:S,'Combined P&amp;L'!$C:$C,'P&amp;L Forecast'!$B55)</f>
        <v>1.5180199999999999</v>
      </c>
      <c r="V55" s="53">
        <f>SUMIFS('Combined P&amp;L'!T:T,'Combined P&amp;L'!$C:$C,'P&amp;L Forecast'!$B55)</f>
        <v>2.0133100000000002</v>
      </c>
      <c r="W55" s="53">
        <f>SUMIFS('Combined P&amp;L'!U:U,'Combined P&amp;L'!$C:$C,'P&amp;L Forecast'!$B55)</f>
        <v>1.6009</v>
      </c>
      <c r="X55" s="53">
        <f>SUMIFS('Combined P&amp;L'!V:V,'Combined P&amp;L'!$C:$C,'P&amp;L Forecast'!$B55)</f>
        <v>1.58969</v>
      </c>
      <c r="Y55" s="53">
        <f>SUMIFS('Combined P&amp;L'!W:W,'Combined P&amp;L'!$C:$C,'P&amp;L Forecast'!$B55)</f>
        <v>1.12582</v>
      </c>
      <c r="Z55" s="53">
        <f>SUMIFS('Combined P&amp;L'!X:X,'Combined P&amp;L'!$C:$C,'P&amp;L Forecast'!$B55)</f>
        <v>1.4419900000000001</v>
      </c>
      <c r="AA55" s="53">
        <f>SUMIFS('Combined P&amp;L'!Y:Y,'Combined P&amp;L'!$C:$C,'P&amp;L Forecast'!$B55)</f>
        <v>1.28772</v>
      </c>
      <c r="AB55" s="53">
        <f>SUMIFS('Combined P&amp;L'!Z:Z,'Combined P&amp;L'!$C:$C,'P&amp;L Forecast'!$B55)</f>
        <v>2.4129499999999999</v>
      </c>
      <c r="AC55" s="53">
        <f>SUMIFS('Combined P&amp;L'!AA:AA,'Combined P&amp;L'!$C:$C,'P&amp;L Forecast'!$B55)</f>
        <v>22.379300000000001</v>
      </c>
      <c r="AD55" s="53">
        <f>SUMIFS('Combined P&amp;L'!AB:AB,'Combined P&amp;L'!$C:$C,'P&amp;L Forecast'!$B55)</f>
        <v>0.72983000000000009</v>
      </c>
      <c r="AE55" s="53">
        <f>SUMIFS('Combined P&amp;L'!AC:AC,'Combined P&amp;L'!$C:$C,'P&amp;L Forecast'!$B55)</f>
        <v>0.59597</v>
      </c>
      <c r="AF55" s="53">
        <f>SUMIFS('Combined P&amp;L'!AD:AD,'Combined P&amp;L'!$C:$C,'P&amp;L Forecast'!$B55)</f>
        <v>0.87534000000000001</v>
      </c>
      <c r="AG55" s="53">
        <f>SUMIFS('Combined P&amp;L'!AE:AE,'Combined P&amp;L'!$C:$C,'P&amp;L Forecast'!$B55)</f>
        <v>0.52966999999999997</v>
      </c>
      <c r="AH55" s="53">
        <f>SUMIFS('Combined P&amp;L'!AF:AF,'Combined P&amp;L'!$C:$C,'P&amp;L Forecast'!$B55)</f>
        <v>0.77688000000000001</v>
      </c>
      <c r="AI55" s="53">
        <f>SUMIFS('Combined P&amp;L'!AG:AG,'Combined P&amp;L'!$C:$C,'P&amp;L Forecast'!$B55)</f>
        <v>0.21671000000000001</v>
      </c>
      <c r="AJ55" s="53">
        <f>SUMIFS('Combined P&amp;L'!AH:AH,'Combined P&amp;L'!$C:$C,'P&amp;L Forecast'!$B55)</f>
        <v>0.74951999999999996</v>
      </c>
      <c r="AK55" s="53">
        <f>SUMIFS('Combined P&amp;L'!AI:AI,'Combined P&amp;L'!$C:$C,'P&amp;L Forecast'!$B55)</f>
        <v>0.92573000000000005</v>
      </c>
      <c r="AL55" s="53">
        <f>SUMIFS('Combined P&amp;L'!AJ:AJ,'Combined P&amp;L'!$C:$C,'P&amp;L Forecast'!$B55)</f>
        <v>0.66044000000000003</v>
      </c>
      <c r="AM55" s="53">
        <f>SUMIFS('Combined P&amp;L'!AK:AK,'Combined P&amp;L'!$C:$C,'P&amp;L Forecast'!$B55)</f>
        <v>0.75175999999999998</v>
      </c>
      <c r="AN55" s="53">
        <f>SUMIFS('Combined P&amp;L'!AL:AL,'Combined P&amp;L'!$C:$C,'P&amp;L Forecast'!$B55)</f>
        <v>0.82029999999999992</v>
      </c>
      <c r="AO55" s="53">
        <f>SUMIFS('Combined P&amp;L'!AM:AM,'Combined P&amp;L'!$C:$C,'P&amp;L Forecast'!$B55)</f>
        <v>0.68046000000000006</v>
      </c>
      <c r="AP55" s="53">
        <f>SUMIFS('Combined P&amp;L'!AN:AN,'Combined P&amp;L'!$C:$C,'P&amp;L Forecast'!$B55)</f>
        <v>0.77239000000000002</v>
      </c>
      <c r="AQ55" s="53">
        <f>SUMIFS('Combined P&amp;L'!AO:AO,'Combined P&amp;L'!$C:$C,'P&amp;L Forecast'!$B55)</f>
        <v>0.71608000000000005</v>
      </c>
      <c r="AR55" s="53">
        <f>SUMIFS('Combined P&amp;L'!AP:AP,'Combined P&amp;L'!$C:$C,'P&amp;L Forecast'!$B55)</f>
        <v>0.64019999999999999</v>
      </c>
      <c r="AS55" s="53">
        <f>SUMIFS('Combined P&amp;L'!AQ:AQ,'Combined P&amp;L'!$C:$C,'P&amp;L Forecast'!$B55)</f>
        <v>1.1353800000000001</v>
      </c>
      <c r="AT55" s="53">
        <f>SUMIFS('Combined P&amp;L'!AR:AR,'Combined P&amp;L'!$C:$C,'P&amp;L Forecast'!$B55)</f>
        <v>0.79979</v>
      </c>
    </row>
    <row r="56" spans="2:46">
      <c r="B56" s="93" t="s">
        <v>295</v>
      </c>
      <c r="C56" s="23">
        <f t="shared" si="66"/>
        <v>6.673</v>
      </c>
      <c r="D56" s="23">
        <f t="shared" si="66"/>
        <v>6.673</v>
      </c>
      <c r="E56" s="23"/>
      <c r="F56" s="23">
        <f t="shared" si="67"/>
        <v>0</v>
      </c>
      <c r="G56" s="23">
        <f t="shared" si="67"/>
        <v>0</v>
      </c>
      <c r="H56" s="23"/>
      <c r="I56" s="23">
        <f t="shared" si="68"/>
        <v>6.673</v>
      </c>
      <c r="J56" s="23">
        <f t="shared" si="68"/>
        <v>6.673</v>
      </c>
      <c r="K56" s="65">
        <f t="shared" ref="K56:K61" si="77">+C156</f>
        <v>6.673</v>
      </c>
      <c r="L56" s="65"/>
      <c r="M56" s="23">
        <f t="shared" si="70"/>
        <v>0</v>
      </c>
      <c r="N56" s="66">
        <f t="shared" ref="N56" si="78">IFERROR(K56/J56-1,0)</f>
        <v>0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6.673</v>
      </c>
      <c r="AB56" s="53">
        <f>SUMIFS('Combined P&amp;L'!Z:Z,'Combined P&amp;L'!$C:$C,'P&amp;L Forecast'!$B56)</f>
        <v>0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</v>
      </c>
      <c r="AF56" s="53">
        <f>SUMIFS('Combined P&amp;L'!AD:AD,'Combined P&amp;L'!$C:$C,'P&amp;L Forecast'!$B56)</f>
        <v>0</v>
      </c>
      <c r="AG56" s="53">
        <f>SUMIFS('Combined P&amp;L'!AE:AE,'Combined P&amp;L'!$C:$C,'P&amp;L Forecast'!$B56)</f>
        <v>0</v>
      </c>
      <c r="AH56" s="53">
        <f>SUMIFS('Combined P&amp;L'!AF:AF,'Combined P&amp;L'!$C:$C,'P&amp;L Forecast'!$B56)</f>
        <v>0</v>
      </c>
      <c r="AI56" s="53">
        <f>SUMIFS('Combined P&amp;L'!AG:AG,'Combined P&amp;L'!$C:$C,'P&amp;L Forecast'!$B56)</f>
        <v>0</v>
      </c>
      <c r="AJ56" s="53">
        <f>SUMIFS('Combined P&amp;L'!AH:AH,'Combined P&amp;L'!$C:$C,'P&amp;L Forecast'!$B56)</f>
        <v>0</v>
      </c>
      <c r="AK56" s="53">
        <f>SUMIFS('Combined P&amp;L'!AI:AI,'Combined P&amp;L'!$C:$C,'P&amp;L Forecast'!$B56)</f>
        <v>0</v>
      </c>
      <c r="AL56" s="53">
        <f>SUMIFS('Combined P&amp;L'!AJ:AJ,'Combined P&amp;L'!$C:$C,'P&amp;L Forecast'!$B56)</f>
        <v>0</v>
      </c>
      <c r="AM56" s="53">
        <f>SUMIFS('Combined P&amp;L'!AK:AK,'Combined P&amp;L'!$C:$C,'P&amp;L Forecast'!$B56)</f>
        <v>6.673</v>
      </c>
      <c r="AN56" s="53">
        <f>SUMIFS('Combined P&amp;L'!AL:AL,'Combined P&amp;L'!$C:$C,'P&amp;L Forecast'!$B56)</f>
        <v>0</v>
      </c>
      <c r="AO56" s="53">
        <f>SUMIFS('Combined P&amp;L'!AM:AM,'Combined P&amp;L'!$C:$C,'P&amp;L Forecast'!$B56)</f>
        <v>0</v>
      </c>
      <c r="AP56" s="53">
        <f>SUMIFS('Combined P&amp;L'!AN:AN,'Combined P&amp;L'!$C:$C,'P&amp;L Forecast'!$B56)</f>
        <v>0</v>
      </c>
      <c r="AQ56" s="53">
        <f>SUMIFS('Combined P&amp;L'!AO:AO,'Combined P&amp;L'!$C:$C,'P&amp;L Forecast'!$B56)</f>
        <v>0</v>
      </c>
      <c r="AR56" s="53">
        <f>SUMIFS('Combined P&amp;L'!AP:AP,'Combined P&amp;L'!$C:$C,'P&amp;L Forecast'!$B56)</f>
        <v>0</v>
      </c>
      <c r="AS56" s="53">
        <f>SUMIFS('Combined P&amp;L'!AQ:AQ,'Combined P&amp;L'!$C:$C,'P&amp;L Forecast'!$B56)</f>
        <v>0</v>
      </c>
      <c r="AT56" s="53">
        <f>SUMIFS('Combined P&amp;L'!AR:AR,'Combined P&amp;L'!$C:$C,'P&amp;L Forecast'!$B56)</f>
        <v>0</v>
      </c>
    </row>
    <row r="57" spans="2:46">
      <c r="B57" s="57" t="s">
        <v>99</v>
      </c>
      <c r="C57" s="23">
        <f t="shared" si="66"/>
        <v>7.2617299999999982</v>
      </c>
      <c r="D57" s="23">
        <f t="shared" si="66"/>
        <v>4.91967</v>
      </c>
      <c r="E57" s="23"/>
      <c r="F57" s="23">
        <f t="shared" si="67"/>
        <v>2.9246699999999999</v>
      </c>
      <c r="G57" s="23">
        <f t="shared" si="67"/>
        <v>2.9085700000000001</v>
      </c>
      <c r="H57" s="23"/>
      <c r="I57" s="23">
        <f t="shared" si="68"/>
        <v>5.7418700000000005</v>
      </c>
      <c r="J57" s="23">
        <f t="shared" si="68"/>
        <v>4.9035700000000002</v>
      </c>
      <c r="K57" s="65">
        <f t="shared" si="77"/>
        <v>4.9035700000000002</v>
      </c>
      <c r="L57" s="65"/>
      <c r="M57" s="23">
        <f t="shared" si="70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0.43325999999999998</v>
      </c>
      <c r="Q57" s="53">
        <f>SUMIFS('Combined P&amp;L'!O:O,'Combined P&amp;L'!$C:$C,'P&amp;L Forecast'!$B57)</f>
        <v>1.6317600000000001</v>
      </c>
      <c r="R57" s="53">
        <f>SUMIFS('Combined P&amp;L'!P:P,'Combined P&amp;L'!$C:$C,'P&amp;L Forecast'!$B57)</f>
        <v>0.43368000000000001</v>
      </c>
      <c r="S57" s="53">
        <f>SUMIFS('Combined P&amp;L'!Q:Q,'Combined P&amp;L'!$C:$C,'P&amp;L Forecast'!$B57)</f>
        <v>0.48413</v>
      </c>
      <c r="T57" s="53">
        <f>SUMIFS('Combined P&amp;L'!R:R,'Combined P&amp;L'!$C:$C,'P&amp;L Forecast'!$B57)</f>
        <v>0.48413</v>
      </c>
      <c r="U57" s="53">
        <f>SUMIFS('Combined P&amp;L'!S:S,'Combined P&amp;L'!$C:$C,'P&amp;L Forecast'!$B57)</f>
        <v>0.48413</v>
      </c>
      <c r="V57" s="53">
        <f>SUMIFS('Combined P&amp;L'!T:T,'Combined P&amp;L'!$C:$C,'P&amp;L Forecast'!$B57)</f>
        <v>0.49343999999999999</v>
      </c>
      <c r="W57" s="53">
        <f>SUMIFS('Combined P&amp;L'!U:U,'Combined P&amp;L'!$C:$C,'P&amp;L Forecast'!$B57)</f>
        <v>0.84344000000000008</v>
      </c>
      <c r="X57" s="53">
        <f>SUMIFS('Combined P&amp;L'!V:V,'Combined P&amp;L'!$C:$C,'P&amp;L Forecast'!$B57)</f>
        <v>0.49343999999999999</v>
      </c>
      <c r="Y57" s="53">
        <f>SUMIFS('Combined P&amp;L'!W:W,'Combined P&amp;L'!$C:$C,'P&amp;L Forecast'!$B57)</f>
        <v>0.49343999999999999</v>
      </c>
      <c r="Z57" s="53">
        <f>SUMIFS('Combined P&amp;L'!X:X,'Combined P&amp;L'!$C:$C,'P&amp;L Forecast'!$B57)</f>
        <v>0.49343999999999999</v>
      </c>
      <c r="AA57" s="53">
        <f>SUMIFS('Combined P&amp;L'!Y:Y,'Combined P&amp;L'!$C:$C,'P&amp;L Forecast'!$B57)</f>
        <v>0.49343999999999999</v>
      </c>
      <c r="AB57" s="53">
        <f>SUMIFS('Combined P&amp;L'!Z:Z,'Combined P&amp;L'!$C:$C,'P&amp;L Forecast'!$B57)</f>
        <v>0.53066999999999998</v>
      </c>
      <c r="AC57" s="53">
        <f>SUMIFS('Combined P&amp;L'!AA:AA,'Combined P&amp;L'!$C:$C,'P&amp;L Forecast'!$B57)</f>
        <v>0.39900000000000002</v>
      </c>
      <c r="AD57" s="53">
        <f>SUMIFS('Combined P&amp;L'!AB:AB,'Combined P&amp;L'!$C:$C,'P&amp;L Forecast'!$B57)</f>
        <v>0.39900000000000002</v>
      </c>
      <c r="AE57" s="53">
        <f>SUMIFS('Combined P&amp;L'!AC:AC,'Combined P&amp;L'!$C:$C,'P&amp;L Forecast'!$B57)</f>
        <v>0.39900000000000002</v>
      </c>
      <c r="AF57" s="53">
        <f>SUMIFS('Combined P&amp;L'!AD:AD,'Combined P&amp;L'!$C:$C,'P&amp;L Forecast'!$B57)</f>
        <v>0.39900000000000002</v>
      </c>
      <c r="AG57" s="53">
        <f>SUMIFS('Combined P&amp;L'!AE:AE,'Combined P&amp;L'!$C:$C,'P&amp;L Forecast'!$B57)</f>
        <v>0.39900000000000002</v>
      </c>
      <c r="AH57" s="53">
        <f>SUMIFS('Combined P&amp;L'!AF:AF,'Combined P&amp;L'!$C:$C,'P&amp;L Forecast'!$B57)</f>
        <v>0.39900000000000002</v>
      </c>
      <c r="AI57" s="53">
        <f>SUMIFS('Combined P&amp;L'!AG:AG,'Combined P&amp;L'!$C:$C,'P&amp;L Forecast'!$B57)</f>
        <v>0.39900000000000002</v>
      </c>
      <c r="AJ57" s="53">
        <f>SUMIFS('Combined P&amp;L'!AH:AH,'Combined P&amp;L'!$C:$C,'P&amp;L Forecast'!$B57)</f>
        <v>0.39900000000000002</v>
      </c>
      <c r="AK57" s="53">
        <f>SUMIFS('Combined P&amp;L'!AI:AI,'Combined P&amp;L'!$C:$C,'P&amp;L Forecast'!$B57)</f>
        <v>0.39900000000000002</v>
      </c>
      <c r="AL57" s="53">
        <f>SUMIFS('Combined P&amp;L'!AJ:AJ,'Combined P&amp;L'!$C:$C,'P&amp;L Forecast'!$B57)</f>
        <v>0.39900000000000002</v>
      </c>
      <c r="AM57" s="53">
        <f>SUMIFS('Combined P&amp;L'!AK:AK,'Combined P&amp;L'!$C:$C,'P&amp;L Forecast'!$B57)</f>
        <v>0.39900000000000002</v>
      </c>
      <c r="AN57" s="53">
        <f>SUMIFS('Combined P&amp;L'!AL:AL,'Combined P&amp;L'!$C:$C,'P&amp;L Forecast'!$B57)</f>
        <v>0.43619000000000002</v>
      </c>
      <c r="AO57" s="53">
        <f>SUMIFS('Combined P&amp;L'!AM:AM,'Combined P&amp;L'!$C:$C,'P&amp;L Forecast'!$B57)</f>
        <v>0.39900000000000002</v>
      </c>
      <c r="AP57" s="53">
        <f>SUMIFS('Combined P&amp;L'!AN:AN,'Combined P&amp;L'!$C:$C,'P&amp;L Forecast'!$B57)</f>
        <v>0.47737999999999997</v>
      </c>
      <c r="AQ57" s="53">
        <f>SUMIFS('Combined P&amp;L'!AO:AO,'Combined P&amp;L'!$C:$C,'P&amp;L Forecast'!$B57)</f>
        <v>0.39900000000000002</v>
      </c>
      <c r="AR57" s="53">
        <f>SUMIFS('Combined P&amp;L'!AP:AP,'Combined P&amp;L'!$C:$C,'P&amp;L Forecast'!$B57)</f>
        <v>0.39900000000000002</v>
      </c>
      <c r="AS57" s="53">
        <f>SUMIFS('Combined P&amp;L'!AQ:AQ,'Combined P&amp;L'!$C:$C,'P&amp;L Forecast'!$B57)</f>
        <v>0.39900000000000002</v>
      </c>
      <c r="AT57" s="53">
        <f>SUMIFS('Combined P&amp;L'!AR:AR,'Combined P&amp;L'!$C:$C,'P&amp;L Forecast'!$B57)</f>
        <v>0.39900000000000002</v>
      </c>
    </row>
    <row r="58" spans="2:46">
      <c r="B58" s="57" t="s">
        <v>111</v>
      </c>
      <c r="C58" s="23">
        <f t="shared" si="66"/>
        <v>7.4969999999999999</v>
      </c>
      <c r="D58" s="23">
        <f t="shared" si="66"/>
        <v>9.984</v>
      </c>
      <c r="E58" s="23"/>
      <c r="F58" s="23">
        <f t="shared" si="67"/>
        <v>5.8940000000000001</v>
      </c>
      <c r="G58" s="23">
        <f t="shared" si="67"/>
        <v>1.1719999999999997</v>
      </c>
      <c r="H58" s="23"/>
      <c r="I58" s="23">
        <f t="shared" si="68"/>
        <v>4.673</v>
      </c>
      <c r="J58" s="23">
        <f t="shared" si="68"/>
        <v>5.2619999999999996</v>
      </c>
      <c r="K58" s="65">
        <f t="shared" si="77"/>
        <v>5.2619999999999996</v>
      </c>
      <c r="L58" s="65"/>
      <c r="M58" s="23">
        <f t="shared" si="70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6.2460000000000004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2.472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2.472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0</v>
      </c>
      <c r="AA58" s="53">
        <f>SUMIFS('Combined P&amp;L'!Y:Y,'Combined P&amp;L'!$C:$C,'P&amp;L Forecast'!$B58)</f>
        <v>-3.6930000000000001</v>
      </c>
      <c r="AB58" s="53">
        <f>SUMIFS('Combined P&amp;L'!Z:Z,'Combined P&amp;L'!$C:$C,'P&amp;L Forecast'!$B58)</f>
        <v>2.472</v>
      </c>
      <c r="AC58" s="53">
        <f>SUMIFS('Combined P&amp;L'!AA:AA,'Combined P&amp;L'!$C:$C,'P&amp;L Forecast'!$B58)</f>
        <v>0</v>
      </c>
      <c r="AD58" s="53">
        <f>SUMIFS('Combined P&amp;L'!AB:AB,'Combined P&amp;L'!$C:$C,'P&amp;L Forecast'!$B58)</f>
        <v>0</v>
      </c>
      <c r="AE58" s="53">
        <f>SUMIFS('Combined P&amp;L'!AC:AC,'Combined P&amp;L'!$C:$C,'P&amp;L Forecast'!$B58)</f>
        <v>3.649</v>
      </c>
      <c r="AF58" s="53">
        <f>SUMIFS('Combined P&amp;L'!AD:AD,'Combined P&amp;L'!$C:$C,'P&amp;L Forecast'!$B58)</f>
        <v>-2.2719999999999998</v>
      </c>
      <c r="AG58" s="53">
        <f>SUMIFS('Combined P&amp;L'!AE:AE,'Combined P&amp;L'!$C:$C,'P&amp;L Forecast'!$B58)</f>
        <v>2.0449999999999999</v>
      </c>
      <c r="AH58" s="53">
        <f>SUMIFS('Combined P&amp;L'!AF:AF,'Combined P&amp;L'!$C:$C,'P&amp;L Forecast'!$B58)</f>
        <v>0</v>
      </c>
      <c r="AI58" s="53">
        <f>SUMIFS('Combined P&amp;L'!AG:AG,'Combined P&amp;L'!$C:$C,'P&amp;L Forecast'!$B58)</f>
        <v>0</v>
      </c>
      <c r="AJ58" s="53">
        <f>SUMIFS('Combined P&amp;L'!AH:AH,'Combined P&amp;L'!$C:$C,'P&amp;L Forecast'!$B58)</f>
        <v>2.0449999999999999</v>
      </c>
      <c r="AK58" s="53">
        <f>SUMIFS('Combined P&amp;L'!AI:AI,'Combined P&amp;L'!$C:$C,'P&amp;L Forecast'!$B58)</f>
        <v>0</v>
      </c>
      <c r="AL58" s="53">
        <f>SUMIFS('Combined P&amp;L'!AJ:AJ,'Combined P&amp;L'!$C:$C,'P&amp;L Forecast'!$B58)</f>
        <v>0</v>
      </c>
      <c r="AM58" s="53">
        <f>SUMIFS('Combined P&amp;L'!AK:AK,'Combined P&amp;L'!$C:$C,'P&amp;L Forecast'!$B58)</f>
        <v>2.0449999999999999</v>
      </c>
      <c r="AN58" s="53">
        <f>SUMIFS('Combined P&amp;L'!AL:AL,'Combined P&amp;L'!$C:$C,'P&amp;L Forecast'!$B58)</f>
        <v>0</v>
      </c>
      <c r="AO58" s="53">
        <f>SUMIFS('Combined P&amp;L'!AM:AM,'Combined P&amp;L'!$C:$C,'P&amp;L Forecast'!$B58)</f>
        <v>0</v>
      </c>
      <c r="AP58" s="53">
        <f>SUMIFS('Combined P&amp;L'!AN:AN,'Combined P&amp;L'!$C:$C,'P&amp;L Forecast'!$B58)</f>
        <v>5.0359999999999996</v>
      </c>
      <c r="AQ58" s="53">
        <f>SUMIFS('Combined P&amp;L'!AO:AO,'Combined P&amp;L'!$C:$C,'P&amp;L Forecast'!$B58)</f>
        <v>-4.8639999999999999</v>
      </c>
      <c r="AR58" s="53">
        <f>SUMIFS('Combined P&amp;L'!AP:AP,'Combined P&amp;L'!$C:$C,'P&amp;L Forecast'!$B58)</f>
        <v>0</v>
      </c>
      <c r="AS58" s="53">
        <f>SUMIFS('Combined P&amp;L'!AQ:AQ,'Combined P&amp;L'!$C:$C,'P&amp;L Forecast'!$B58)</f>
        <v>1</v>
      </c>
      <c r="AT58" s="53">
        <f>SUMIFS('Combined P&amp;L'!AR:AR,'Combined P&amp;L'!$C:$C,'P&amp;L Forecast'!$B58)</f>
        <v>0</v>
      </c>
    </row>
    <row r="59" spans="2:46">
      <c r="B59" s="57" t="s">
        <v>64</v>
      </c>
      <c r="C59" s="23">
        <f t="shared" si="66"/>
        <v>2.0899399999999999</v>
      </c>
      <c r="D59" s="23">
        <f t="shared" si="66"/>
        <v>2.6198199999999998</v>
      </c>
      <c r="E59" s="23"/>
      <c r="F59" s="23">
        <f t="shared" si="67"/>
        <v>1.44049</v>
      </c>
      <c r="G59" s="23">
        <f t="shared" si="67"/>
        <v>3.7097100000000003</v>
      </c>
      <c r="H59" s="23"/>
      <c r="I59" s="23">
        <f t="shared" si="68"/>
        <v>2.33371</v>
      </c>
      <c r="J59" s="23">
        <f t="shared" si="68"/>
        <v>4.8890399999999996</v>
      </c>
      <c r="K59" s="65">
        <f t="shared" si="77"/>
        <v>4.8890399999999996</v>
      </c>
      <c r="L59" s="65"/>
      <c r="M59" s="23">
        <f t="shared" si="70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0.14746999999999999</v>
      </c>
      <c r="Q59" s="53">
        <f>SUMIFS('Combined P&amp;L'!O:O,'Combined P&amp;L'!$C:$C,'P&amp;L Forecast'!$B59)</f>
        <v>0.14746999999999999</v>
      </c>
      <c r="R59" s="53">
        <f>SUMIFS('Combined P&amp;L'!P:P,'Combined P&amp;L'!$C:$C,'P&amp;L Forecast'!$B59)</f>
        <v>0.17755000000000001</v>
      </c>
      <c r="S59" s="53">
        <f>SUMIFS('Combined P&amp;L'!Q:Q,'Combined P&amp;L'!$C:$C,'P&amp;L Forecast'!$B59)</f>
        <v>0.19166999999999998</v>
      </c>
      <c r="T59" s="53">
        <f>SUMIFS('Combined P&amp;L'!R:R,'Combined P&amp;L'!$C:$C,'P&amp;L Forecast'!$B59)</f>
        <v>0.18013999999999999</v>
      </c>
      <c r="U59" s="53">
        <f>SUMIFS('Combined P&amp;L'!S:S,'Combined P&amp;L'!$C:$C,'P&amp;L Forecast'!$B59)</f>
        <v>0.17621999999999999</v>
      </c>
      <c r="V59" s="53">
        <f>SUMIFS('Combined P&amp;L'!T:T,'Combined P&amp;L'!$C:$C,'P&amp;L Forecast'!$B59)</f>
        <v>0.1762</v>
      </c>
      <c r="W59" s="53">
        <f>SUMIFS('Combined P&amp;L'!U:U,'Combined P&amp;L'!$C:$C,'P&amp;L Forecast'!$B59)</f>
        <v>0.17621999999999999</v>
      </c>
      <c r="X59" s="53">
        <f>SUMIFS('Combined P&amp;L'!V:V,'Combined P&amp;L'!$C:$C,'P&amp;L Forecast'!$B59)</f>
        <v>0.18712000000000001</v>
      </c>
      <c r="Y59" s="53">
        <f>SUMIFS('Combined P&amp;L'!W:W,'Combined P&amp;L'!$C:$C,'P&amp;L Forecast'!$B59)</f>
        <v>0.17743999999999999</v>
      </c>
      <c r="Z59" s="53">
        <f>SUMIFS('Combined P&amp;L'!X:X,'Combined P&amp;L'!$C:$C,'P&amp;L Forecast'!$B59)</f>
        <v>0.17621999999999999</v>
      </c>
      <c r="AA59" s="53">
        <f>SUMIFS('Combined P&amp;L'!Y:Y,'Combined P&amp;L'!$C:$C,'P&amp;L Forecast'!$B59)</f>
        <v>0.17621999999999999</v>
      </c>
      <c r="AB59" s="53">
        <f>SUMIFS('Combined P&amp;L'!Z:Z,'Combined P&amp;L'!$C:$C,'P&amp;L Forecast'!$B59)</f>
        <v>0.17677999999999999</v>
      </c>
      <c r="AC59" s="53">
        <f>SUMIFS('Combined P&amp;L'!AA:AA,'Combined P&amp;L'!$C:$C,'P&amp;L Forecast'!$B59)</f>
        <v>0.20899000000000001</v>
      </c>
      <c r="AD59" s="53">
        <f>SUMIFS('Combined P&amp;L'!AB:AB,'Combined P&amp;L'!$C:$C,'P&amp;L Forecast'!$B59)</f>
        <v>0.18959999999999999</v>
      </c>
      <c r="AE59" s="53">
        <f>SUMIFS('Combined P&amp;L'!AC:AC,'Combined P&amp;L'!$C:$C,'P&amp;L Forecast'!$B59)</f>
        <v>0.1759</v>
      </c>
      <c r="AF59" s="53">
        <f>SUMIFS('Combined P&amp;L'!AD:AD,'Combined P&amp;L'!$C:$C,'P&amp;L Forecast'!$B59)</f>
        <v>0.23569999999999999</v>
      </c>
      <c r="AG59" s="53">
        <f>SUMIFS('Combined P&amp;L'!AE:AE,'Combined P&amp;L'!$C:$C,'P&amp;L Forecast'!$B59)</f>
        <v>0.22675999999999999</v>
      </c>
      <c r="AH59" s="53">
        <f>SUMIFS('Combined P&amp;L'!AF:AF,'Combined P&amp;L'!$C:$C,'P&amp;L Forecast'!$B59)</f>
        <v>0.22675999999999999</v>
      </c>
      <c r="AI59" s="53">
        <f>SUMIFS('Combined P&amp;L'!AG:AG,'Combined P&amp;L'!$C:$C,'P&amp;L Forecast'!$B59)</f>
        <v>0.22675999999999999</v>
      </c>
      <c r="AJ59" s="53">
        <f>SUMIFS('Combined P&amp;L'!AH:AH,'Combined P&amp;L'!$C:$C,'P&amp;L Forecast'!$B59)</f>
        <v>0.24324999999999999</v>
      </c>
      <c r="AK59" s="53">
        <f>SUMIFS('Combined P&amp;L'!AI:AI,'Combined P&amp;L'!$C:$C,'P&amp;L Forecast'!$B59)</f>
        <v>0.24228</v>
      </c>
      <c r="AL59" s="53">
        <f>SUMIFS('Combined P&amp;L'!AJ:AJ,'Combined P&amp;L'!$C:$C,'P&amp;L Forecast'!$B59)</f>
        <v>0.23352000000000001</v>
      </c>
      <c r="AM59" s="53">
        <f>SUMIFS('Combined P&amp;L'!AK:AK,'Combined P&amp;L'!$C:$C,'P&amp;L Forecast'!$B59)</f>
        <v>0.23352000000000001</v>
      </c>
      <c r="AN59" s="53">
        <f>SUMIFS('Combined P&amp;L'!AL:AL,'Combined P&amp;L'!$C:$C,'P&amp;L Forecast'!$B59)</f>
        <v>0.22943</v>
      </c>
      <c r="AO59" s="53">
        <f>SUMIFS('Combined P&amp;L'!AM:AM,'Combined P&amp;L'!$C:$C,'P&amp;L Forecast'!$B59)</f>
        <v>2.22858</v>
      </c>
      <c r="AP59" s="53">
        <f>SUMIFS('Combined P&amp;L'!AN:AN,'Combined P&amp;L'!$C:$C,'P&amp;L Forecast'!$B59)</f>
        <v>0.25447999999999998</v>
      </c>
      <c r="AQ59" s="53">
        <f>SUMIFS('Combined P&amp;L'!AO:AO,'Combined P&amp;L'!$C:$C,'P&amp;L Forecast'!$B59)</f>
        <v>0.25563999999999998</v>
      </c>
      <c r="AR59" s="53">
        <f>SUMIFS('Combined P&amp;L'!AP:AP,'Combined P&amp;L'!$C:$C,'P&amp;L Forecast'!$B59)</f>
        <v>0.26163999999999998</v>
      </c>
      <c r="AS59" s="53">
        <f>SUMIFS('Combined P&amp;L'!AQ:AQ,'Combined P&amp;L'!$C:$C,'P&amp;L Forecast'!$B59)</f>
        <v>0.26183000000000001</v>
      </c>
      <c r="AT59" s="53">
        <f>SUMIFS('Combined P&amp;L'!AR:AR,'Combined P&amp;L'!$C:$C,'P&amp;L Forecast'!$B59)</f>
        <v>0.21811000000000003</v>
      </c>
    </row>
    <row r="60" spans="2:46">
      <c r="B60" s="57" t="s">
        <v>40</v>
      </c>
      <c r="C60" s="23">
        <f t="shared" si="66"/>
        <v>0</v>
      </c>
      <c r="D60" s="23">
        <f t="shared" si="66"/>
        <v>1.7559100000000001</v>
      </c>
      <c r="E60" s="23"/>
      <c r="F60" s="23">
        <f t="shared" si="67"/>
        <v>0.53894999999999993</v>
      </c>
      <c r="G60" s="23">
        <f t="shared" si="67"/>
        <v>1.5394899999999998</v>
      </c>
      <c r="H60" s="23"/>
      <c r="I60" s="23">
        <f t="shared" si="68"/>
        <v>0.53894999999999993</v>
      </c>
      <c r="J60" s="23">
        <f t="shared" si="68"/>
        <v>2.7564499999999996</v>
      </c>
      <c r="K60" s="65">
        <f t="shared" si="77"/>
        <v>8.4907199999999996</v>
      </c>
      <c r="L60" s="65"/>
      <c r="M60" s="23">
        <f t="shared" si="70"/>
        <v>5.7342700000000004</v>
      </c>
      <c r="N60" s="66">
        <f t="shared" ref="N60" si="82">IFERROR(K60/J60-1,0)</f>
        <v>2.0803098187886597</v>
      </c>
      <c r="O60" s="52"/>
      <c r="P60" s="53">
        <f>SUMIFS('Combined P&amp;L'!N:N,'Combined P&amp;L'!$C:$C,'P&amp;L Forecast'!$B60)</f>
        <v>0</v>
      </c>
      <c r="Q60" s="53">
        <f>SUMIFS('Combined P&amp;L'!O:O,'Combined P&amp;L'!$C:$C,'P&amp;L Forecast'!$B60)</f>
        <v>0</v>
      </c>
      <c r="R60" s="53">
        <f>SUMIFS('Combined P&amp;L'!P:P,'Combined P&amp;L'!$C:$C,'P&amp;L Forecast'!$B60)</f>
        <v>0</v>
      </c>
      <c r="S60" s="53">
        <f>SUMIFS('Combined P&amp;L'!Q:Q,'Combined P&amp;L'!$C:$C,'P&amp;L Forecast'!$B60)</f>
        <v>0</v>
      </c>
      <c r="T60" s="53">
        <f>SUMIFS('Combined P&amp;L'!R:R,'Combined P&amp;L'!$C:$C,'P&amp;L Forecast'!$B60)</f>
        <v>0</v>
      </c>
      <c r="U60" s="53">
        <f>SUMIFS('Combined P&amp;L'!S:S,'Combined P&amp;L'!$C:$C,'P&amp;L Forecast'!$B60)</f>
        <v>0</v>
      </c>
      <c r="V60" s="53">
        <f>SUMIFS('Combined P&amp;L'!T:T,'Combined P&amp;L'!$C:$C,'P&amp;L Forecast'!$B60)</f>
        <v>0</v>
      </c>
      <c r="W60" s="53">
        <f>SUMIFS('Combined P&amp;L'!U:U,'Combined P&amp;L'!$C:$C,'P&amp;L Forecast'!$B60)</f>
        <v>0</v>
      </c>
      <c r="X60" s="53">
        <f>SUMIFS('Combined P&amp;L'!V:V,'Combined P&amp;L'!$C:$C,'P&amp;L Forecast'!$B60)</f>
        <v>0</v>
      </c>
      <c r="Y60" s="53">
        <f>SUMIFS('Combined P&amp;L'!W:W,'Combined P&amp;L'!$C:$C,'P&amp;L Forecast'!$B60)</f>
        <v>0</v>
      </c>
      <c r="Z60" s="53">
        <f>SUMIFS('Combined P&amp;L'!X:X,'Combined P&amp;L'!$C:$C,'P&amp;L Forecast'!$B60)</f>
        <v>0</v>
      </c>
      <c r="AA60" s="53">
        <f>SUMIFS('Combined P&amp;L'!Y:Y,'Combined P&amp;L'!$C:$C,'P&amp;L Forecast'!$B60)</f>
        <v>0</v>
      </c>
      <c r="AB60" s="53">
        <f>SUMIFS('Combined P&amp;L'!Z:Z,'Combined P&amp;L'!$C:$C,'P&amp;L Forecast'!$B60)</f>
        <v>0.1</v>
      </c>
      <c r="AC60" s="53">
        <f>SUMIFS('Combined P&amp;L'!AA:AA,'Combined P&amp;L'!$C:$C,'P&amp;L Forecast'!$B60)</f>
        <v>0</v>
      </c>
      <c r="AD60" s="53">
        <f>SUMIFS('Combined P&amp;L'!AB:AB,'Combined P&amp;L'!$C:$C,'P&amp;L Forecast'!$B60)</f>
        <v>0</v>
      </c>
      <c r="AE60" s="53">
        <f>SUMIFS('Combined P&amp;L'!AC:AC,'Combined P&amp;L'!$C:$C,'P&amp;L Forecast'!$B60)</f>
        <v>0.14980000000000002</v>
      </c>
      <c r="AF60" s="53">
        <f>SUMIFS('Combined P&amp;L'!AD:AD,'Combined P&amp;L'!$C:$C,'P&amp;L Forecast'!$B60)</f>
        <v>5.9749999999999998E-2</v>
      </c>
      <c r="AG60" s="53">
        <f>SUMIFS('Combined P&amp;L'!AE:AE,'Combined P&amp;L'!$C:$C,'P&amp;L Forecast'!$B60)</f>
        <v>6.9699999999999998E-2</v>
      </c>
      <c r="AH60" s="53">
        <f>SUMIFS('Combined P&amp;L'!AF:AF,'Combined P&amp;L'!$C:$C,'P&amp;L Forecast'!$B60)</f>
        <v>0.15969999999999998</v>
      </c>
      <c r="AI60" s="53">
        <f>SUMIFS('Combined P&amp;L'!AG:AG,'Combined P&amp;L'!$C:$C,'P&amp;L Forecast'!$B60)</f>
        <v>0.31085000000000002</v>
      </c>
      <c r="AJ60" s="53">
        <f>SUMIFS('Combined P&amp;L'!AH:AH,'Combined P&amp;L'!$C:$C,'P&amp;L Forecast'!$B60)</f>
        <v>0.46750999999999998</v>
      </c>
      <c r="AK60" s="53">
        <f>SUMIFS('Combined P&amp;L'!AI:AI,'Combined P&amp;L'!$C:$C,'P&amp;L Forecast'!$B60)</f>
        <v>0.51751000000000003</v>
      </c>
      <c r="AL60" s="53">
        <f>SUMIFS('Combined P&amp;L'!AJ:AJ,'Combined P&amp;L'!$C:$C,'P&amp;L Forecast'!$B60)</f>
        <v>-0.18840999999999999</v>
      </c>
      <c r="AM60" s="53">
        <f>SUMIFS('Combined P&amp;L'!AK:AK,'Combined P&amp;L'!$C:$C,'P&amp;L Forecast'!$B60)</f>
        <v>0.1095</v>
      </c>
      <c r="AN60" s="53">
        <f>SUMIFS('Combined P&amp;L'!AL:AL,'Combined P&amp;L'!$C:$C,'P&amp;L Forecast'!$B60)</f>
        <v>0.22939999999999999</v>
      </c>
      <c r="AO60" s="53">
        <f>SUMIFS('Combined P&amp;L'!AM:AM,'Combined P&amp;L'!$C:$C,'P&amp;L Forecast'!$B60)</f>
        <v>0.11940000000000001</v>
      </c>
      <c r="AP60" s="53">
        <f>SUMIFS('Combined P&amp;L'!AN:AN,'Combined P&amp;L'!$C:$C,'P&amp;L Forecast'!$B60)</f>
        <v>0.17934999999999998</v>
      </c>
      <c r="AQ60" s="53">
        <f>SUMIFS('Combined P&amp;L'!AO:AO,'Combined P&amp;L'!$C:$C,'P&amp;L Forecast'!$B60)</f>
        <v>6.9900000000000004E-2</v>
      </c>
      <c r="AR60" s="53">
        <f>SUMIFS('Combined P&amp;L'!AP:AP,'Combined P&amp;L'!$C:$C,'P&amp;L Forecast'!$B60)</f>
        <v>6.9900000000000004E-2</v>
      </c>
      <c r="AS60" s="53">
        <f>SUMIFS('Combined P&amp;L'!AQ:AQ,'Combined P&amp;L'!$C:$C,'P&amp;L Forecast'!$B60)</f>
        <v>0.16397999999999999</v>
      </c>
      <c r="AT60" s="53">
        <f>SUMIFS('Combined P&amp;L'!AR:AR,'Combined P&amp;L'!$C:$C,'P&amp;L Forecast'!$B60)</f>
        <v>0.70755999999999997</v>
      </c>
    </row>
    <row r="61" spans="2:46">
      <c r="B61" s="93" t="s">
        <v>78</v>
      </c>
      <c r="C61" s="23">
        <f t="shared" si="66"/>
        <v>1.0598299999999998</v>
      </c>
      <c r="D61" s="23">
        <f t="shared" si="66"/>
        <v>3.2913300000000008</v>
      </c>
      <c r="E61" s="23"/>
      <c r="F61" s="23">
        <f t="shared" si="67"/>
        <v>2.0263300000000002</v>
      </c>
      <c r="G61" s="23">
        <f t="shared" si="67"/>
        <v>1.9429999999999996</v>
      </c>
      <c r="H61" s="23"/>
      <c r="I61" s="23">
        <f t="shared" si="68"/>
        <v>2.4513300000000005</v>
      </c>
      <c r="J61" s="23">
        <f t="shared" si="68"/>
        <v>3.2080000000000002</v>
      </c>
      <c r="K61" s="65">
        <f t="shared" si="77"/>
        <v>3.2080000000000002</v>
      </c>
      <c r="L61" s="65"/>
      <c r="M61" s="23">
        <f t="shared" si="70"/>
        <v>0</v>
      </c>
      <c r="N61" s="66">
        <f t="shared" ref="N61" si="83">IFERROR(K61/J61-1,0)</f>
        <v>0</v>
      </c>
      <c r="O61" s="52"/>
      <c r="P61" s="53">
        <f>SUMIFS('Combined P&amp;L'!N:N,'Combined P&amp;L'!$C:$C,'P&amp;L Forecast'!$B61)</f>
        <v>8.5000000000000006E-2</v>
      </c>
      <c r="Q61" s="53">
        <f>SUMIFS('Combined P&amp;L'!O:O,'Combined P&amp;L'!$C:$C,'P&amp;L Forecast'!$B61)</f>
        <v>8.5000000000000006E-2</v>
      </c>
      <c r="R61" s="53">
        <f>SUMIFS('Combined P&amp;L'!P:P,'Combined P&amp;L'!$C:$C,'P&amp;L Forecast'!$B61)</f>
        <v>9.7000000000000003E-2</v>
      </c>
      <c r="S61" s="53">
        <f>SUMIFS('Combined P&amp;L'!Q:Q,'Combined P&amp;L'!$C:$C,'P&amp;L Forecast'!$B61)</f>
        <v>0.11283</v>
      </c>
      <c r="T61" s="53">
        <f>SUMIFS('Combined P&amp;L'!R:R,'Combined P&amp;L'!$C:$C,'P&amp;L Forecast'!$B61)</f>
        <v>8.5000000000000006E-2</v>
      </c>
      <c r="U61" s="53">
        <f>SUMIFS('Combined P&amp;L'!S:S,'Combined P&amp;L'!$C:$C,'P&amp;L Forecast'!$B61)</f>
        <v>8.5000000000000006E-2</v>
      </c>
      <c r="V61" s="53">
        <f>SUMIFS('Combined P&amp;L'!T:T,'Combined P&amp;L'!$C:$C,'P&amp;L Forecast'!$B61)</f>
        <v>8.5000000000000006E-2</v>
      </c>
      <c r="W61" s="53">
        <f>SUMIFS('Combined P&amp;L'!U:U,'Combined P&amp;L'!$C:$C,'P&amp;L Forecast'!$B61)</f>
        <v>8.5000000000000006E-2</v>
      </c>
      <c r="X61" s="53">
        <f>SUMIFS('Combined P&amp;L'!V:V,'Combined P&amp;L'!$C:$C,'P&amp;L Forecast'!$B61)</f>
        <v>8.5000000000000006E-2</v>
      </c>
      <c r="Y61" s="53">
        <f>SUMIFS('Combined P&amp;L'!W:W,'Combined P&amp;L'!$C:$C,'P&amp;L Forecast'!$B61)</f>
        <v>8.5000000000000006E-2</v>
      </c>
      <c r="Z61" s="53">
        <f>SUMIFS('Combined P&amp;L'!X:X,'Combined P&amp;L'!$C:$C,'P&amp;L Forecast'!$B61)</f>
        <v>8.5000000000000006E-2</v>
      </c>
      <c r="AA61" s="53">
        <f>SUMIFS('Combined P&amp;L'!Y:Y,'Combined P&amp;L'!$C:$C,'P&amp;L Forecast'!$B61)</f>
        <v>8.5000000000000006E-2</v>
      </c>
      <c r="AB61" s="53">
        <f>SUMIFS('Combined P&amp;L'!Z:Z,'Combined P&amp;L'!$C:$C,'P&amp;L Forecast'!$B61)</f>
        <v>8.5000000000000006E-2</v>
      </c>
      <c r="AC61" s="53">
        <f>SUMIFS('Combined P&amp;L'!AA:AA,'Combined P&amp;L'!$C:$C,'P&amp;L Forecast'!$B61)</f>
        <v>9.4489999999999991E-2</v>
      </c>
      <c r="AD61" s="53">
        <f>SUMIFS('Combined P&amp;L'!AB:AB,'Combined P&amp;L'!$C:$C,'P&amp;L Forecast'!$B61)</f>
        <v>0.82489000000000001</v>
      </c>
      <c r="AE61" s="53">
        <f>SUMIFS('Combined P&amp;L'!AC:AC,'Combined P&amp;L'!$C:$C,'P&amp;L Forecast'!$B61)</f>
        <v>0.253</v>
      </c>
      <c r="AF61" s="53">
        <f>SUMIFS('Combined P&amp;L'!AD:AD,'Combined P&amp;L'!$C:$C,'P&amp;L Forecast'!$B61)</f>
        <v>0.26294999999999996</v>
      </c>
      <c r="AG61" s="53">
        <f>SUMIFS('Combined P&amp;L'!AE:AE,'Combined P&amp;L'!$C:$C,'P&amp;L Forecast'!$B61)</f>
        <v>0.253</v>
      </c>
      <c r="AH61" s="53">
        <f>SUMIFS('Combined P&amp;L'!AF:AF,'Combined P&amp;L'!$C:$C,'P&amp;L Forecast'!$B61)</f>
        <v>0.253</v>
      </c>
      <c r="AI61" s="53">
        <f>SUMIFS('Combined P&amp;L'!AG:AG,'Combined P&amp;L'!$C:$C,'P&amp;L Forecast'!$B61)</f>
        <v>0.253</v>
      </c>
      <c r="AJ61" s="53">
        <f>SUMIFS('Combined P&amp;L'!AH:AH,'Combined P&amp;L'!$C:$C,'P&amp;L Forecast'!$B61)</f>
        <v>0.253</v>
      </c>
      <c r="AK61" s="53">
        <f>SUMIFS('Combined P&amp;L'!AI:AI,'Combined P&amp;L'!$C:$C,'P&amp;L Forecast'!$B61)</f>
        <v>0.253</v>
      </c>
      <c r="AL61" s="53">
        <f>SUMIFS('Combined P&amp;L'!AJ:AJ,'Combined P&amp;L'!$C:$C,'P&amp;L Forecast'!$B61)</f>
        <v>0.253</v>
      </c>
      <c r="AM61" s="53">
        <f>SUMIFS('Combined P&amp;L'!AK:AK,'Combined P&amp;L'!$C:$C,'P&amp;L Forecast'!$B61)</f>
        <v>0.253</v>
      </c>
      <c r="AN61" s="53">
        <f>SUMIFS('Combined P&amp;L'!AL:AL,'Combined P&amp;L'!$C:$C,'P&amp;L Forecast'!$B61)</f>
        <v>0.253</v>
      </c>
      <c r="AO61" s="53">
        <f>SUMIFS('Combined P&amp;L'!AM:AM,'Combined P&amp;L'!$C:$C,'P&amp;L Forecast'!$B61)</f>
        <v>0.255</v>
      </c>
      <c r="AP61" s="53">
        <f>SUMIFS('Combined P&amp;L'!AN:AN,'Combined P&amp;L'!$C:$C,'P&amp;L Forecast'!$B61)</f>
        <v>0.28299999999999997</v>
      </c>
      <c r="AQ61" s="53">
        <f>SUMIFS('Combined P&amp;L'!AO:AO,'Combined P&amp;L'!$C:$C,'P&amp;L Forecast'!$B61)</f>
        <v>0.28299999999999997</v>
      </c>
      <c r="AR61" s="53">
        <f>SUMIFS('Combined P&amp;L'!AP:AP,'Combined P&amp;L'!$C:$C,'P&amp;L Forecast'!$B61)</f>
        <v>0.28299999999999997</v>
      </c>
      <c r="AS61" s="53">
        <f>SUMIFS('Combined P&amp;L'!AQ:AQ,'Combined P&amp;L'!$C:$C,'P&amp;L Forecast'!$B61)</f>
        <v>0.29299999999999998</v>
      </c>
      <c r="AT61" s="53">
        <f>SUMIFS('Combined P&amp;L'!AR:AR,'Combined P&amp;L'!$C:$C,'P&amp;L Forecast'!$B61)</f>
        <v>0.29299999999999998</v>
      </c>
    </row>
    <row r="62" spans="2:46">
      <c r="B62" s="57" t="s">
        <v>296</v>
      </c>
      <c r="C62" s="23">
        <f t="shared" si="66"/>
        <v>7.9639999999999989E-2</v>
      </c>
      <c r="D62" s="23">
        <f t="shared" si="66"/>
        <v>1.4224800000000002</v>
      </c>
      <c r="E62" s="23"/>
      <c r="F62" s="23">
        <f t="shared" si="67"/>
        <v>1.07704</v>
      </c>
      <c r="G62" s="23">
        <f t="shared" si="67"/>
        <v>0.81103000000000003</v>
      </c>
      <c r="H62" s="23"/>
      <c r="I62" s="23">
        <f t="shared" si="68"/>
        <v>1.1566799999999999</v>
      </c>
      <c r="J62" s="23">
        <f t="shared" si="68"/>
        <v>1.1564699999999999</v>
      </c>
      <c r="K62" s="65">
        <f>+C163</f>
        <v>1.1564699999999999</v>
      </c>
      <c r="L62" s="65"/>
      <c r="M62" s="23">
        <f t="shared" si="70"/>
        <v>0</v>
      </c>
      <c r="N62" s="66">
        <f t="shared" ref="N62" si="84">IFERROR(K62/J62-1,0)</f>
        <v>0</v>
      </c>
      <c r="O62" s="52"/>
      <c r="P62" s="53">
        <f>SUMIFS('Combined P&amp;L'!N:N,'Combined P&amp;L'!$C:$C,'P&amp;L Forecast'!$B62)</f>
        <v>0</v>
      </c>
      <c r="Q62" s="53">
        <f>SUMIFS('Combined P&amp;L'!O:O,'Combined P&amp;L'!$C:$C,'P&amp;L Forecast'!$B62)</f>
        <v>0</v>
      </c>
      <c r="R62" s="53">
        <f>SUMIFS('Combined P&amp;L'!P:P,'Combined P&amp;L'!$C:$C,'P&amp;L Forecast'!$B62)</f>
        <v>0</v>
      </c>
      <c r="S62" s="53">
        <f>SUMIFS('Combined P&amp;L'!Q:Q,'Combined P&amp;L'!$C:$C,'P&amp;L Forecast'!$B62)</f>
        <v>0</v>
      </c>
      <c r="T62" s="53">
        <f>SUMIFS('Combined P&amp;L'!R:R,'Combined P&amp;L'!$C:$C,'P&amp;L Forecast'!$B62)</f>
        <v>0</v>
      </c>
      <c r="U62" s="53">
        <f>SUMIFS('Combined P&amp;L'!S:S,'Combined P&amp;L'!$C:$C,'P&amp;L Forecast'!$B62)</f>
        <v>0</v>
      </c>
      <c r="V62" s="53">
        <f>SUMIFS('Combined P&amp;L'!T:T,'Combined P&amp;L'!$C:$C,'P&amp;L Forecast'!$B62)</f>
        <v>0</v>
      </c>
      <c r="W62" s="53">
        <f>SUMIFS('Combined P&amp;L'!U:U,'Combined P&amp;L'!$C:$C,'P&amp;L Forecast'!$B62)</f>
        <v>0</v>
      </c>
      <c r="X62" s="53">
        <f>SUMIFS('Combined P&amp;L'!V:V,'Combined P&amp;L'!$C:$C,'P&amp;L Forecast'!$B62)</f>
        <v>0</v>
      </c>
      <c r="Y62" s="53">
        <f>SUMIFS('Combined P&amp;L'!W:W,'Combined P&amp;L'!$C:$C,'P&amp;L Forecast'!$B62)</f>
        <v>0</v>
      </c>
      <c r="Z62" s="53">
        <f>SUMIFS('Combined P&amp;L'!X:X,'Combined P&amp;L'!$C:$C,'P&amp;L Forecast'!$B62)</f>
        <v>7.1499999999999994E-2</v>
      </c>
      <c r="AA62" s="53">
        <f>SUMIFS('Combined P&amp;L'!Y:Y,'Combined P&amp;L'!$C:$C,'P&amp;L Forecast'!$B62)</f>
        <v>8.1400000000000014E-3</v>
      </c>
      <c r="AB62" s="53">
        <f>SUMIFS('Combined P&amp;L'!Z:Z,'Combined P&amp;L'!$C:$C,'P&amp;L Forecast'!$B62)</f>
        <v>0.11752</v>
      </c>
      <c r="AC62" s="53">
        <f>SUMIFS('Combined P&amp;L'!AA:AA,'Combined P&amp;L'!$C:$C,'P&amp;L Forecast'!$B62)</f>
        <v>0.20646</v>
      </c>
      <c r="AD62" s="53">
        <f>SUMIFS('Combined P&amp;L'!AB:AB,'Combined P&amp;L'!$C:$C,'P&amp;L Forecast'!$B62)</f>
        <v>1.174E-2</v>
      </c>
      <c r="AE62" s="53">
        <f>SUMIFS('Combined P&amp;L'!AC:AC,'Combined P&amp;L'!$C:$C,'P&amp;L Forecast'!$B62)</f>
        <v>3.6600000000000001E-2</v>
      </c>
      <c r="AF62" s="53">
        <f>SUMIFS('Combined P&amp;L'!AD:AD,'Combined P&amp;L'!$C:$C,'P&amp;L Forecast'!$B62)</f>
        <v>0.11484</v>
      </c>
      <c r="AG62" s="53">
        <f>SUMIFS('Combined P&amp;L'!AE:AE,'Combined P&amp;L'!$C:$C,'P&amp;L Forecast'!$B62)</f>
        <v>0.24787999999999999</v>
      </c>
      <c r="AH62" s="53">
        <f>SUMIFS('Combined P&amp;L'!AF:AF,'Combined P&amp;L'!$C:$C,'P&amp;L Forecast'!$B62)</f>
        <v>0.34200000000000003</v>
      </c>
      <c r="AI62" s="53">
        <f>SUMIFS('Combined P&amp;L'!AG:AG,'Combined P&amp;L'!$C:$C,'P&amp;L Forecast'!$B62)</f>
        <v>0.25108999999999998</v>
      </c>
      <c r="AJ62" s="53">
        <f>SUMIFS('Combined P&amp;L'!AH:AH,'Combined P&amp;L'!$C:$C,'P&amp;L Forecast'!$B62)</f>
        <v>6.5290000000000001E-2</v>
      </c>
      <c r="AK62" s="53">
        <f>SUMIFS('Combined P&amp;L'!AI:AI,'Combined P&amp;L'!$C:$C,'P&amp;L Forecast'!$B62)</f>
        <v>1.916E-2</v>
      </c>
      <c r="AL62" s="53">
        <f>SUMIFS('Combined P&amp;L'!AJ:AJ,'Combined P&amp;L'!$C:$C,'P&amp;L Forecast'!$B62)</f>
        <v>9.9000000000000008E-3</v>
      </c>
      <c r="AM62" s="53">
        <f>SUMIFS('Combined P&amp;L'!AK:AK,'Combined P&amp;L'!$C:$C,'P&amp;L Forecast'!$B62)</f>
        <v>0</v>
      </c>
      <c r="AN62" s="53">
        <f>SUMIFS('Combined P&amp;L'!AL:AL,'Combined P&amp;L'!$C:$C,'P&amp;L Forecast'!$B62)</f>
        <v>0.28870000000000001</v>
      </c>
      <c r="AO62" s="53">
        <f>SUMIFS('Combined P&amp;L'!AM:AM,'Combined P&amp;L'!$C:$C,'P&amp;L Forecast'!$B62)</f>
        <v>0.14452999999999999</v>
      </c>
      <c r="AP62" s="53">
        <f>SUMIFS('Combined P&amp;L'!AN:AN,'Combined P&amp;L'!$C:$C,'P&amp;L Forecast'!$B62)</f>
        <v>0</v>
      </c>
      <c r="AQ62" s="53">
        <f>SUMIFS('Combined P&amp;L'!AO:AO,'Combined P&amp;L'!$C:$C,'P&amp;L Forecast'!$B62)</f>
        <v>0.15</v>
      </c>
      <c r="AR62" s="53">
        <f>SUMIFS('Combined P&amp;L'!AP:AP,'Combined P&amp;L'!$C:$C,'P&amp;L Forecast'!$B62)</f>
        <v>0.11769</v>
      </c>
      <c r="AS62" s="53">
        <f>SUMIFS('Combined P&amp;L'!AQ:AQ,'Combined P&amp;L'!$C:$C,'P&amp;L Forecast'!$B62)</f>
        <v>0.11011</v>
      </c>
      <c r="AT62" s="53">
        <f>SUMIFS('Combined P&amp;L'!AR:AR,'Combined P&amp;L'!$C:$C,'P&amp;L Forecast'!$B62)</f>
        <v>0</v>
      </c>
    </row>
    <row r="63" spans="2:46">
      <c r="B63" s="93" t="s">
        <v>31</v>
      </c>
      <c r="C63" s="23">
        <f t="shared" si="66"/>
        <v>1.3459299999999998</v>
      </c>
      <c r="D63" s="23">
        <f t="shared" si="66"/>
        <v>2.4943299999999997</v>
      </c>
      <c r="E63" s="23"/>
      <c r="F63" s="23">
        <f t="shared" si="67"/>
        <v>2.3808799999999999</v>
      </c>
      <c r="G63" s="23">
        <f t="shared" si="67"/>
        <v>3.2046100000000002</v>
      </c>
      <c r="H63" s="23"/>
      <c r="I63" s="23">
        <f t="shared" si="68"/>
        <v>2.3828199999999997</v>
      </c>
      <c r="J63" s="23">
        <f t="shared" si="68"/>
        <v>3.31806</v>
      </c>
      <c r="K63" s="65">
        <f>+C162</f>
        <v>3.31806</v>
      </c>
      <c r="L63" s="65"/>
      <c r="M63" s="23">
        <f t="shared" si="70"/>
        <v>0</v>
      </c>
      <c r="N63" s="66">
        <f t="shared" ref="N63" si="85">IFERROR(K63/J63-1,0)</f>
        <v>0</v>
      </c>
      <c r="O63" s="52"/>
      <c r="P63" s="53">
        <f>SUMIFS('Combined P&amp;L'!N:N,'Combined P&amp;L'!$C:$C,'P&amp;L Forecast'!$B63)</f>
        <v>1.2993399999999999</v>
      </c>
      <c r="Q63" s="53">
        <f>SUMIFS('Combined P&amp;L'!O:O,'Combined P&amp;L'!$C:$C,'P&amp;L Forecast'!$B63)</f>
        <v>3.0120000000000001E-2</v>
      </c>
      <c r="R63" s="53">
        <f>SUMIFS('Combined P&amp;L'!P:P,'Combined P&amp;L'!$C:$C,'P&amp;L Forecast'!$B63)</f>
        <v>1.0630000000000001E-2</v>
      </c>
      <c r="S63" s="53">
        <f>SUMIFS('Combined P&amp;L'!Q:Q,'Combined P&amp;L'!$C:$C,'P&amp;L Forecast'!$B63)</f>
        <v>3.2499999999999999E-3</v>
      </c>
      <c r="T63" s="53">
        <f>SUMIFS('Combined P&amp;L'!R:R,'Combined P&amp;L'!$C:$C,'P&amp;L Forecast'!$B63)</f>
        <v>6.4999999999999997E-4</v>
      </c>
      <c r="U63" s="53">
        <f>SUMIFS('Combined P&amp;L'!S:S,'Combined P&amp;L'!$C:$C,'P&amp;L Forecast'!$B63)</f>
        <v>0</v>
      </c>
      <c r="V63" s="53">
        <f>SUMIFS('Combined P&amp;L'!T:T,'Combined P&amp;L'!$C:$C,'P&amp;L Forecast'!$B63)</f>
        <v>0</v>
      </c>
      <c r="W63" s="53">
        <f>SUMIFS('Combined P&amp;L'!U:U,'Combined P&amp;L'!$C:$C,'P&amp;L Forecast'!$B63)</f>
        <v>1.9399999999999999E-3</v>
      </c>
      <c r="X63" s="53">
        <f>SUMIFS('Combined P&amp;L'!V:V,'Combined P&amp;L'!$C:$C,'P&amp;L Forecast'!$B63)</f>
        <v>0</v>
      </c>
      <c r="Y63" s="53">
        <f>SUMIFS('Combined P&amp;L'!W:W,'Combined P&amp;L'!$C:$C,'P&amp;L Forecast'!$B63)</f>
        <v>0</v>
      </c>
      <c r="Z63" s="53">
        <f>SUMIFS('Combined P&amp;L'!X:X,'Combined P&amp;L'!$C:$C,'P&amp;L Forecast'!$B63)</f>
        <v>0</v>
      </c>
      <c r="AA63" s="53">
        <f>SUMIFS('Combined P&amp;L'!Y:Y,'Combined P&amp;L'!$C:$C,'P&amp;L Forecast'!$B63)</f>
        <v>0</v>
      </c>
      <c r="AB63" s="53">
        <f>SUMIFS('Combined P&amp;L'!Z:Z,'Combined P&amp;L'!$C:$C,'P&amp;L Forecast'!$B63)</f>
        <v>1.22655</v>
      </c>
      <c r="AC63" s="53">
        <f>SUMIFS('Combined P&amp;L'!AA:AA,'Combined P&amp;L'!$C:$C,'P&amp;L Forecast'!$B63)</f>
        <v>0</v>
      </c>
      <c r="AD63" s="53">
        <f>SUMIFS('Combined P&amp;L'!AB:AB,'Combined P&amp;L'!$C:$C,'P&amp;L Forecast'!$B63)</f>
        <v>1.1543299999999999</v>
      </c>
      <c r="AE63" s="53">
        <f>SUMIFS('Combined P&amp;L'!AC:AC,'Combined P&amp;L'!$C:$C,'P&amp;L Forecast'!$B63)</f>
        <v>0</v>
      </c>
      <c r="AF63" s="53">
        <f>SUMIFS('Combined P&amp;L'!AD:AD,'Combined P&amp;L'!$C:$C,'P&amp;L Forecast'!$B63)</f>
        <v>0</v>
      </c>
      <c r="AG63" s="53">
        <f>SUMIFS('Combined P&amp;L'!AE:AE,'Combined P&amp;L'!$C:$C,'P&amp;L Forecast'!$B63)</f>
        <v>0</v>
      </c>
      <c r="AH63" s="53">
        <f>SUMIFS('Combined P&amp;L'!AF:AF,'Combined P&amp;L'!$C:$C,'P&amp;L Forecast'!$B63)</f>
        <v>0</v>
      </c>
      <c r="AI63" s="53">
        <f>SUMIFS('Combined P&amp;L'!AG:AG,'Combined P&amp;L'!$C:$C,'P&amp;L Forecast'!$B63)</f>
        <v>0</v>
      </c>
      <c r="AJ63" s="53">
        <f>SUMIFS('Combined P&amp;L'!AH:AH,'Combined P&amp;L'!$C:$C,'P&amp;L Forecast'!$B63)</f>
        <v>0</v>
      </c>
      <c r="AK63" s="53">
        <f>SUMIFS('Combined P&amp;L'!AI:AI,'Combined P&amp;L'!$C:$C,'P&amp;L Forecast'!$B63)</f>
        <v>0.11345000000000001</v>
      </c>
      <c r="AL63" s="53">
        <f>SUMIFS('Combined P&amp;L'!AJ:AJ,'Combined P&amp;L'!$C:$C,'P&amp;L Forecast'!$B63)</f>
        <v>0</v>
      </c>
      <c r="AM63" s="53">
        <f>SUMIFS('Combined P&amp;L'!AK:AK,'Combined P&amp;L'!$C:$C,'P&amp;L Forecast'!$B63)</f>
        <v>0</v>
      </c>
      <c r="AN63" s="53">
        <f>SUMIFS('Combined P&amp;L'!AL:AL,'Combined P&amp;L'!$C:$C,'P&amp;L Forecast'!$B63)</f>
        <v>2.4948000000000001</v>
      </c>
      <c r="AO63" s="53">
        <f>SUMIFS('Combined P&amp;L'!AM:AM,'Combined P&amp;L'!$C:$C,'P&amp;L Forecast'!$B63)</f>
        <v>0</v>
      </c>
      <c r="AP63" s="53">
        <f>SUMIFS('Combined P&amp;L'!AN:AN,'Combined P&amp;L'!$C:$C,'P&amp;L Forecast'!$B63)</f>
        <v>0</v>
      </c>
      <c r="AQ63" s="53">
        <f>SUMIFS('Combined P&amp;L'!AO:AO,'Combined P&amp;L'!$C:$C,'P&amp;L Forecast'!$B63)</f>
        <v>0.70980999999999994</v>
      </c>
      <c r="AR63" s="53">
        <f>SUMIFS('Combined P&amp;L'!AP:AP,'Combined P&amp;L'!$C:$C,'P&amp;L Forecast'!$B63)</f>
        <v>0</v>
      </c>
      <c r="AS63" s="53">
        <f>SUMIFS('Combined P&amp;L'!AQ:AQ,'Combined P&amp;L'!$C:$C,'P&amp;L Forecast'!$B63)</f>
        <v>0</v>
      </c>
      <c r="AT63" s="53">
        <f>SUMIFS('Combined P&amp;L'!AR:AR,'Combined P&amp;L'!$C:$C,'P&amp;L Forecast'!$B63)</f>
        <v>0</v>
      </c>
    </row>
    <row r="64" spans="2:46">
      <c r="B64" s="93" t="s">
        <v>103</v>
      </c>
      <c r="C64" s="23">
        <f t="shared" si="66"/>
        <v>-2.7359999999999999E-2</v>
      </c>
      <c r="D64" s="23">
        <f t="shared" si="66"/>
        <v>-0.21722</v>
      </c>
      <c r="E64" s="23"/>
      <c r="F64" s="23">
        <f t="shared" si="67"/>
        <v>-0.11732999999999999</v>
      </c>
      <c r="G64" s="23">
        <f t="shared" si="67"/>
        <v>-0.15586999999999998</v>
      </c>
      <c r="H64" s="23"/>
      <c r="I64" s="23">
        <f t="shared" si="68"/>
        <v>-0.14468999999999999</v>
      </c>
      <c r="J64" s="23">
        <f t="shared" si="68"/>
        <v>-0.25575999999999999</v>
      </c>
      <c r="K64" s="65">
        <f>+C164</f>
        <v>-0.25575999999999999</v>
      </c>
      <c r="L64" s="65"/>
      <c r="M64" s="23">
        <f>K64-J64</f>
        <v>0</v>
      </c>
      <c r="N64" s="66">
        <f>IFERROR(K64/J64-1,0)</f>
        <v>0</v>
      </c>
      <c r="O64" s="52"/>
      <c r="P64" s="53">
        <f>-SUMIFS('Combined P&amp;L'!N:N,'Combined P&amp;L'!$C:$C,'P&amp;L Forecast'!$B64)</f>
        <v>0</v>
      </c>
      <c r="Q64" s="53">
        <f>-SUMIFS('Combined P&amp;L'!O:O,'Combined P&amp;L'!$C:$C,'P&amp;L Forecast'!$B64)</f>
        <v>0</v>
      </c>
      <c r="R64" s="53">
        <f>-SUMIFS('Combined P&amp;L'!P:P,'Combined P&amp;L'!$C:$C,'P&amp;L Forecast'!$B64)</f>
        <v>0</v>
      </c>
      <c r="S64" s="53">
        <f>-SUMIFS('Combined P&amp;L'!Q:Q,'Combined P&amp;L'!$C:$C,'P&amp;L Forecast'!$B64)</f>
        <v>0</v>
      </c>
      <c r="T64" s="53">
        <f>-SUMIFS('Combined P&amp;L'!R:R,'Combined P&amp;L'!$C:$C,'P&amp;L Forecast'!$B64)</f>
        <v>0</v>
      </c>
      <c r="U64" s="53">
        <f>-SUMIFS('Combined P&amp;L'!S:S,'Combined P&amp;L'!$C:$C,'P&amp;L Forecast'!$B64)</f>
        <v>0</v>
      </c>
      <c r="V64" s="53">
        <f>-SUMIFS('Combined P&amp;L'!T:T,'Combined P&amp;L'!$C:$C,'P&amp;L Forecast'!$B64)</f>
        <v>0</v>
      </c>
      <c r="W64" s="53">
        <f>-SUMIFS('Combined P&amp;L'!U:U,'Combined P&amp;L'!$C:$C,'P&amp;L Forecast'!$B64)</f>
        <v>0</v>
      </c>
      <c r="X64" s="53">
        <f>-SUMIFS('Combined P&amp;L'!V:V,'Combined P&amp;L'!$C:$C,'P&amp;L Forecast'!$B64)</f>
        <v>0</v>
      </c>
      <c r="Y64" s="53">
        <f>-SUMIFS('Combined P&amp;L'!W:W,'Combined P&amp;L'!$C:$C,'P&amp;L Forecast'!$B64)</f>
        <v>0</v>
      </c>
      <c r="Z64" s="53">
        <f>-SUMIFS('Combined P&amp;L'!X:X,'Combined P&amp;L'!$C:$C,'P&amp;L Forecast'!$B64)</f>
        <v>0</v>
      </c>
      <c r="AA64" s="53">
        <f>-SUMIFS('Combined P&amp;L'!Y:Y,'Combined P&amp;L'!$C:$C,'P&amp;L Forecast'!$B64)</f>
        <v>-2.7359999999999999E-2</v>
      </c>
      <c r="AB64" s="53">
        <f>-SUMIFS('Combined P&amp;L'!Z:Z,'Combined P&amp;L'!$C:$C,'P&amp;L Forecast'!$B64)</f>
        <v>0</v>
      </c>
      <c r="AC64" s="53">
        <f>-SUMIFS('Combined P&amp;L'!AA:AA,'Combined P&amp;L'!$C:$C,'P&amp;L Forecast'!$B64)</f>
        <v>-1.993E-2</v>
      </c>
      <c r="AD64" s="53">
        <f>-SUMIFS('Combined P&amp;L'!AB:AB,'Combined P&amp;L'!$C:$C,'P&amp;L Forecast'!$B64)</f>
        <v>-1.2930000000000001E-2</v>
      </c>
      <c r="AE64" s="53">
        <f>-SUMIFS('Combined P&amp;L'!AC:AC,'Combined P&amp;L'!$C:$C,'P&amp;L Forecast'!$B64)</f>
        <v>-1.9629999999999998E-2</v>
      </c>
      <c r="AF64" s="53">
        <f>-SUMIFS('Combined P&amp;L'!AD:AD,'Combined P&amp;L'!$C:$C,'P&amp;L Forecast'!$B64)</f>
        <v>-2.3149999999999997E-2</v>
      </c>
      <c r="AG64" s="53">
        <f>-SUMIFS('Combined P&amp;L'!AE:AE,'Combined P&amp;L'!$C:$C,'P&amp;L Forecast'!$B64)</f>
        <v>-9.6200000000000001E-3</v>
      </c>
      <c r="AH64" s="53">
        <f>-SUMIFS('Combined P&amp;L'!AF:AF,'Combined P&amp;L'!$C:$C,'P&amp;L Forecast'!$B64)</f>
        <v>-3.2070000000000001E-2</v>
      </c>
      <c r="AI64" s="53">
        <f>-SUMIFS('Combined P&amp;L'!AG:AG,'Combined P&amp;L'!$C:$C,'P&amp;L Forecast'!$B64)</f>
        <v>-1.634E-2</v>
      </c>
      <c r="AJ64" s="53">
        <f>-SUMIFS('Combined P&amp;L'!AH:AH,'Combined P&amp;L'!$C:$C,'P&amp;L Forecast'!$B64)</f>
        <v>-1.584E-2</v>
      </c>
      <c r="AK64" s="53">
        <f>-SUMIFS('Combined P&amp;L'!AI:AI,'Combined P&amp;L'!$C:$C,'P&amp;L Forecast'!$B64)</f>
        <v>-2.3960000000000002E-2</v>
      </c>
      <c r="AL64" s="53">
        <f>-SUMIFS('Combined P&amp;L'!AJ:AJ,'Combined P&amp;L'!$C:$C,'P&amp;L Forecast'!$B64)</f>
        <v>-2.513E-2</v>
      </c>
      <c r="AM64" s="53">
        <f>-SUMIFS('Combined P&amp;L'!AK:AK,'Combined P&amp;L'!$C:$C,'P&amp;L Forecast'!$B64)</f>
        <v>-1.8620000000000001E-2</v>
      </c>
      <c r="AN64" s="53">
        <f>-SUMIFS('Combined P&amp;L'!AL:AL,'Combined P&amp;L'!$C:$C,'P&amp;L Forecast'!$B64)</f>
        <v>-1.03E-2</v>
      </c>
      <c r="AO64" s="53">
        <f>-SUMIFS('Combined P&amp;L'!AM:AM,'Combined P&amp;L'!$C:$C,'P&amp;L Forecast'!$B64)</f>
        <v>-1.3800000000000002E-2</v>
      </c>
      <c r="AP64" s="53">
        <f>-SUMIFS('Combined P&amp;L'!AN:AN,'Combined P&amp;L'!$C:$C,'P&amp;L Forecast'!$B64)</f>
        <v>-9.2499999999999995E-3</v>
      </c>
      <c r="AQ64" s="53">
        <f>-SUMIFS('Combined P&amp;L'!AO:AO,'Combined P&amp;L'!$C:$C,'P&amp;L Forecast'!$B64)</f>
        <v>-6.1810000000000004E-2</v>
      </c>
      <c r="AR64" s="53">
        <f>-SUMIFS('Combined P&amp;L'!AP:AP,'Combined P&amp;L'!$C:$C,'P&amp;L Forecast'!$B64)</f>
        <v>-3.3159999999999995E-2</v>
      </c>
      <c r="AS64" s="53">
        <f>-SUMIFS('Combined P&amp;L'!AQ:AQ,'Combined P&amp;L'!$C:$C,'P&amp;L Forecast'!$B64)</f>
        <v>-1.6140000000000002E-2</v>
      </c>
      <c r="AT64" s="53">
        <f>-SUMIFS('Combined P&amp;L'!AR:AR,'Combined P&amp;L'!$C:$C,'P&amp;L Forecast'!$B64)</f>
        <v>-1.141E-2</v>
      </c>
    </row>
    <row r="65" spans="1:46">
      <c r="B65" s="57" t="s">
        <v>107</v>
      </c>
      <c r="C65" s="23">
        <f t="shared" si="66"/>
        <v>15.899579999999998</v>
      </c>
      <c r="D65" s="23">
        <f t="shared" si="66"/>
        <v>19.378</v>
      </c>
      <c r="E65" s="23"/>
      <c r="F65" s="23">
        <f t="shared" si="67"/>
        <v>12.74039</v>
      </c>
      <c r="G65" s="23">
        <f t="shared" si="67"/>
        <v>11.77191</v>
      </c>
      <c r="H65" s="23"/>
      <c r="I65" s="23">
        <f t="shared" si="68"/>
        <v>15.96214</v>
      </c>
      <c r="J65" s="23">
        <f t="shared" si="68"/>
        <v>18.409520000000001</v>
      </c>
      <c r="K65" s="65">
        <f>+C165</f>
        <v>18.409520000000001</v>
      </c>
      <c r="L65" s="65"/>
      <c r="M65" s="23">
        <f t="shared" si="70"/>
        <v>0</v>
      </c>
      <c r="N65" s="66">
        <f t="shared" ref="N65" si="86">IFERROR(K65/J65-1,0)</f>
        <v>0</v>
      </c>
      <c r="O65" s="52"/>
      <c r="P65" s="53">
        <f>SUMIFS('Combined P&amp;L'!N:N,'Combined P&amp;L'!$C:$C,'P&amp;L Forecast'!$B65)</f>
        <v>1.19783</v>
      </c>
      <c r="Q65" s="53">
        <f>SUMIFS('Combined P&amp;L'!O:O,'Combined P&amp;L'!$C:$C,'P&amp;L Forecast'!$B65)</f>
        <v>1.34599</v>
      </c>
      <c r="R65" s="53">
        <f>SUMIFS('Combined P&amp;L'!P:P,'Combined P&amp;L'!$C:$C,'P&amp;L Forecast'!$B65)</f>
        <v>3.9837499999999997</v>
      </c>
      <c r="S65" s="53">
        <f>SUMIFS('Combined P&amp;L'!Q:Q,'Combined P&amp;L'!$C:$C,'P&amp;L Forecast'!$B65)</f>
        <v>4.0654399999999997</v>
      </c>
      <c r="T65" s="53">
        <f>SUMIFS('Combined P&amp;L'!R:R,'Combined P&amp;L'!$C:$C,'P&amp;L Forecast'!$B65)</f>
        <v>1.0669900000000001</v>
      </c>
      <c r="U65" s="53">
        <f>SUMIFS('Combined P&amp;L'!S:S,'Combined P&amp;L'!$C:$C,'P&amp;L Forecast'!$B65)</f>
        <v>1.0122</v>
      </c>
      <c r="V65" s="53">
        <f>SUMIFS('Combined P&amp;L'!T:T,'Combined P&amp;L'!$C:$C,'P&amp;L Forecast'!$B65)</f>
        <v>5.6299999999999996E-3</v>
      </c>
      <c r="W65" s="53">
        <f>SUMIFS('Combined P&amp;L'!U:U,'Combined P&amp;L'!$C:$C,'P&amp;L Forecast'!$B65)</f>
        <v>0.17100000000000001</v>
      </c>
      <c r="X65" s="53">
        <f>SUMIFS('Combined P&amp;L'!V:V,'Combined P&amp;L'!$C:$C,'P&amp;L Forecast'!$B65)</f>
        <v>1.1635</v>
      </c>
      <c r="Y65" s="53">
        <f>SUMIFS('Combined P&amp;L'!W:W,'Combined P&amp;L'!$C:$C,'P&amp;L Forecast'!$B65)</f>
        <v>0.52825</v>
      </c>
      <c r="Z65" s="53">
        <f>SUMIFS('Combined P&amp;L'!X:X,'Combined P&amp;L'!$C:$C,'P&amp;L Forecast'!$B65)</f>
        <v>0.20442000000000002</v>
      </c>
      <c r="AA65" s="53">
        <f>SUMIFS('Combined P&amp;L'!Y:Y,'Combined P&amp;L'!$C:$C,'P&amp;L Forecast'!$B65)</f>
        <v>1.1545799999999999</v>
      </c>
      <c r="AB65" s="53">
        <f>SUMIFS('Combined P&amp;L'!Z:Z,'Combined P&amp;L'!$C:$C,'P&amp;L Forecast'!$B65)</f>
        <v>0.61331000000000002</v>
      </c>
      <c r="AC65" s="53">
        <f>SUMIFS('Combined P&amp;L'!AA:AA,'Combined P&amp;L'!$C:$C,'P&amp;L Forecast'!$B65)</f>
        <v>0.63213000000000008</v>
      </c>
      <c r="AD65" s="53">
        <f>SUMIFS('Combined P&amp;L'!AB:AB,'Combined P&amp;L'!$C:$C,'P&amp;L Forecast'!$B65)</f>
        <v>5.3820199999999989</v>
      </c>
      <c r="AE65" s="53">
        <f>SUMIFS('Combined P&amp;L'!AC:AC,'Combined P&amp;L'!$C:$C,'P&amp;L Forecast'!$B65)</f>
        <v>4.3278199999999991</v>
      </c>
      <c r="AF65" s="53">
        <f>SUMIFS('Combined P&amp;L'!AD:AD,'Combined P&amp;L'!$C:$C,'P&amp;L Forecast'!$B65)</f>
        <v>0.93786000000000003</v>
      </c>
      <c r="AG65" s="53">
        <f>SUMIFS('Combined P&amp;L'!AE:AE,'Combined P&amp;L'!$C:$C,'P&amp;L Forecast'!$B65)</f>
        <v>0.33005000000000001</v>
      </c>
      <c r="AH65" s="53">
        <f>SUMIFS('Combined P&amp;L'!AF:AF,'Combined P&amp;L'!$C:$C,'P&amp;L Forecast'!$B65)</f>
        <v>0.51719999999999999</v>
      </c>
      <c r="AI65" s="53">
        <f>SUMIFS('Combined P&amp;L'!AG:AG,'Combined P&amp;L'!$C:$C,'P&amp;L Forecast'!$B65)</f>
        <v>0.67979000000000001</v>
      </c>
      <c r="AJ65" s="53">
        <f>SUMIFS('Combined P&amp;L'!AH:AH,'Combined P&amp;L'!$C:$C,'P&amp;L Forecast'!$B65)</f>
        <v>0.73354999999999992</v>
      </c>
      <c r="AK65" s="53">
        <f>SUMIFS('Combined P&amp;L'!AI:AI,'Combined P&amp;L'!$C:$C,'P&amp;L Forecast'!$B65)</f>
        <v>1.5191300000000001</v>
      </c>
      <c r="AL65" s="53">
        <f>SUMIFS('Combined P&amp;L'!AJ:AJ,'Combined P&amp;L'!$C:$C,'P&amp;L Forecast'!$B65)</f>
        <v>0.34955000000000003</v>
      </c>
      <c r="AM65" s="53">
        <f>SUMIFS('Combined P&amp;L'!AK:AK,'Combined P&amp;L'!$C:$C,'P&amp;L Forecast'!$B65)</f>
        <v>3.3555900000000003</v>
      </c>
      <c r="AN65" s="53">
        <f>SUMIFS('Combined P&amp;L'!AL:AL,'Combined P&amp;L'!$C:$C,'P&amp;L Forecast'!$B65)</f>
        <v>1.40831</v>
      </c>
      <c r="AO65" s="53">
        <f>SUMIFS('Combined P&amp;L'!AM:AM,'Combined P&amp;L'!$C:$C,'P&amp;L Forecast'!$B65)</f>
        <v>3.7292999999999998</v>
      </c>
      <c r="AP65" s="53">
        <f>SUMIFS('Combined P&amp;L'!AN:AN,'Combined P&amp;L'!$C:$C,'P&amp;L Forecast'!$B65)</f>
        <v>3.4081999999999995</v>
      </c>
      <c r="AQ65" s="53">
        <f>SUMIFS('Combined P&amp;L'!AO:AO,'Combined P&amp;L'!$C:$C,'P&amp;L Forecast'!$B65)</f>
        <v>0.67764000000000002</v>
      </c>
      <c r="AR65" s="53">
        <f>SUMIFS('Combined P&amp;L'!AP:AP,'Combined P&amp;L'!$C:$C,'P&amp;L Forecast'!$B65)</f>
        <v>0.92959999999999998</v>
      </c>
      <c r="AS65" s="53">
        <f>SUMIFS('Combined P&amp;L'!AQ:AQ,'Combined P&amp;L'!$C:$C,'P&amp;L Forecast'!$B65)</f>
        <v>0.64815</v>
      </c>
      <c r="AT65" s="53">
        <f>SUMIFS('Combined P&amp;L'!AR:AR,'Combined P&amp;L'!$C:$C,'P&amp;L Forecast'!$B65)</f>
        <v>0.97070999999999996</v>
      </c>
    </row>
    <row r="66" spans="1:46">
      <c r="B66" s="92" t="s">
        <v>299</v>
      </c>
      <c r="C66" s="59">
        <f>SUM(C48:C65)</f>
        <v>113.94989999999999</v>
      </c>
      <c r="D66" s="59">
        <f>SUM(D48:D65)</f>
        <v>205.54162000000002</v>
      </c>
      <c r="F66" s="59">
        <f>SUM(F48:F65)</f>
        <v>121.59989000000002</v>
      </c>
      <c r="G66" s="59">
        <f>SUM(G48:G65)</f>
        <v>189.30078999999998</v>
      </c>
      <c r="I66" s="59">
        <f>SUM(I48:I65)</f>
        <v>167.44494000000003</v>
      </c>
      <c r="J66" s="59">
        <f>SUM(J48:J65)</f>
        <v>273.24252000000001</v>
      </c>
      <c r="K66" s="59">
        <f>SUM(K48:K65)</f>
        <v>285.63529</v>
      </c>
      <c r="L66" s="71"/>
      <c r="M66" s="59">
        <f>SUM(M48:M65)</f>
        <v>12.392769999999997</v>
      </c>
      <c r="N66" s="90">
        <f t="shared" ref="N66:N68" si="87">IFERROR(K66/J66-1,0)</f>
        <v>4.5354471185524048E-2</v>
      </c>
      <c r="P66" s="59">
        <f t="shared" ref="P66:AT66" si="88">SUM(P48:P65)</f>
        <v>6.3498899999999994</v>
      </c>
      <c r="Q66" s="59">
        <f t="shared" si="88"/>
        <v>9.3383300000000009</v>
      </c>
      <c r="R66" s="59">
        <f t="shared" si="88"/>
        <v>10.572559999999999</v>
      </c>
      <c r="S66" s="59">
        <f t="shared" si="88"/>
        <v>17.246530000000003</v>
      </c>
      <c r="T66" s="59">
        <f t="shared" si="88"/>
        <v>5.7650100000000002</v>
      </c>
      <c r="U66" s="59">
        <f t="shared" si="88"/>
        <v>12.701700000000001</v>
      </c>
      <c r="V66" s="59">
        <f t="shared" si="88"/>
        <v>6.1308299999999996</v>
      </c>
      <c r="W66" s="59">
        <f t="shared" si="88"/>
        <v>6.3450800000000012</v>
      </c>
      <c r="X66" s="59">
        <f t="shared" si="88"/>
        <v>12.34346</v>
      </c>
      <c r="Y66" s="59">
        <f t="shared" si="88"/>
        <v>6.8983999999999996</v>
      </c>
      <c r="Z66" s="59">
        <f t="shared" si="88"/>
        <v>7.9963599999999984</v>
      </c>
      <c r="AA66" s="59">
        <f t="shared" si="88"/>
        <v>12.261750000000001</v>
      </c>
      <c r="AB66" s="59">
        <f t="shared" si="88"/>
        <v>12.998240000000001</v>
      </c>
      <c r="AC66" s="59">
        <f t="shared" si="88"/>
        <v>29.570220000000003</v>
      </c>
      <c r="AD66" s="59">
        <f t="shared" si="88"/>
        <v>15.127749999999995</v>
      </c>
      <c r="AE66" s="59">
        <f t="shared" si="88"/>
        <v>26.672890000000002</v>
      </c>
      <c r="AF66" s="59">
        <f t="shared" si="88"/>
        <v>16.811419999999995</v>
      </c>
      <c r="AG66" s="59">
        <f t="shared" si="88"/>
        <v>11.19876</v>
      </c>
      <c r="AH66" s="59">
        <f t="shared" si="88"/>
        <v>9.2206100000000024</v>
      </c>
      <c r="AI66" s="59">
        <f t="shared" si="88"/>
        <v>14.376060000000001</v>
      </c>
      <c r="AJ66" s="59">
        <f t="shared" si="88"/>
        <v>15.38611</v>
      </c>
      <c r="AK66" s="59">
        <f t="shared" si="88"/>
        <v>12.742199999999999</v>
      </c>
      <c r="AL66" s="59">
        <f t="shared" si="88"/>
        <v>14.61088</v>
      </c>
      <c r="AM66" s="59">
        <f t="shared" si="88"/>
        <v>26.826480000000007</v>
      </c>
      <c r="AN66" s="59">
        <f t="shared" si="88"/>
        <v>10.238199999999999</v>
      </c>
      <c r="AO66" s="59">
        <f t="shared" si="88"/>
        <v>17.660680000000003</v>
      </c>
      <c r="AP66" s="59">
        <f t="shared" si="88"/>
        <v>37.953969999999998</v>
      </c>
      <c r="AQ66" s="59">
        <f t="shared" si="88"/>
        <v>30.732039999999998</v>
      </c>
      <c r="AR66" s="59">
        <f t="shared" si="88"/>
        <v>36.065340000000006</v>
      </c>
      <c r="AS66" s="59">
        <f t="shared" si="88"/>
        <v>16.763590000000001</v>
      </c>
      <c r="AT66" s="59">
        <f t="shared" si="88"/>
        <v>39.886970000000005</v>
      </c>
    </row>
    <row r="67" spans="1:46" ht="3.95" customHeight="1"/>
    <row r="68" spans="1:46">
      <c r="B68" s="104" t="s">
        <v>114</v>
      </c>
      <c r="C68" s="105">
        <f>+C24-C40-C46-C66</f>
        <v>145.4718500000001</v>
      </c>
      <c r="D68" s="106">
        <f>+D24-D40-D46-D66</f>
        <v>130.98029999999983</v>
      </c>
      <c r="F68" s="110">
        <f>+F24-F40-F46-F66</f>
        <v>103.83597999999972</v>
      </c>
      <c r="G68" s="106">
        <f>+G24-G40-G46-G66</f>
        <v>76.14350000000033</v>
      </c>
      <c r="I68" s="110">
        <f>+I24-I40-I46-I66</f>
        <v>135.01299999999992</v>
      </c>
      <c r="J68" s="105">
        <f>+J24-J40-J46-J66</f>
        <v>103.28781999999995</v>
      </c>
      <c r="K68" s="106">
        <f>+K24-K40-K46-K66</f>
        <v>50.664550000000133</v>
      </c>
      <c r="L68" s="71"/>
      <c r="M68" s="110">
        <f>M24-M40-M46-M66</f>
        <v>-52.623269999999891</v>
      </c>
      <c r="N68" s="112">
        <f t="shared" si="87"/>
        <v>-0.50948185371711641</v>
      </c>
      <c r="P68" s="110">
        <f t="shared" ref="P68:AT68" si="89">+P24-P40-P46-P66</f>
        <v>32.29054</v>
      </c>
      <c r="Q68" s="105">
        <f t="shared" si="89"/>
        <v>23.655570000000012</v>
      </c>
      <c r="R68" s="105">
        <f t="shared" si="89"/>
        <v>18.009040000000002</v>
      </c>
      <c r="S68" s="105">
        <f t="shared" si="89"/>
        <v>3.3036999999999814</v>
      </c>
      <c r="T68" s="105">
        <f t="shared" si="89"/>
        <v>0.97158000000002254</v>
      </c>
      <c r="U68" s="105">
        <f t="shared" si="89"/>
        <v>10.027299999999999</v>
      </c>
      <c r="V68" s="105">
        <f t="shared" si="89"/>
        <v>26.037100000000013</v>
      </c>
      <c r="W68" s="105">
        <f t="shared" si="89"/>
        <v>28.863819999999997</v>
      </c>
      <c r="X68" s="105">
        <f t="shared" si="89"/>
        <v>10.835770000000004</v>
      </c>
      <c r="Y68" s="105">
        <f t="shared" si="89"/>
        <v>11.887049999999981</v>
      </c>
      <c r="Z68" s="105">
        <f t="shared" si="89"/>
        <v>-11.563829999999996</v>
      </c>
      <c r="AA68" s="105">
        <f t="shared" si="89"/>
        <v>-8.8457899999999778</v>
      </c>
      <c r="AB68" s="105">
        <f t="shared" si="89"/>
        <v>20.371919999999967</v>
      </c>
      <c r="AC68" s="105">
        <f t="shared" si="89"/>
        <v>7.5049699999999966</v>
      </c>
      <c r="AD68" s="105">
        <f t="shared" si="89"/>
        <v>20.557870000000005</v>
      </c>
      <c r="AE68" s="105">
        <f t="shared" si="89"/>
        <v>-3.217779999999987</v>
      </c>
      <c r="AF68" s="105">
        <f t="shared" si="89"/>
        <v>17.914550000000009</v>
      </c>
      <c r="AG68" s="105">
        <f t="shared" si="89"/>
        <v>25.023679999999977</v>
      </c>
      <c r="AH68" s="105">
        <f t="shared" si="89"/>
        <v>15.680769999999987</v>
      </c>
      <c r="AI68" s="105">
        <f t="shared" si="89"/>
        <v>18.057059999999971</v>
      </c>
      <c r="AJ68" s="105">
        <f t="shared" si="89"/>
        <v>2.7743600000000104</v>
      </c>
      <c r="AK68" s="105">
        <f t="shared" si="89"/>
        <v>2.5894700000000075</v>
      </c>
      <c r="AL68" s="105">
        <f t="shared" si="89"/>
        <v>13.519970000000038</v>
      </c>
      <c r="AM68" s="105">
        <f t="shared" si="89"/>
        <v>-9.7965400000000109</v>
      </c>
      <c r="AN68" s="105">
        <f t="shared" si="89"/>
        <v>31.645769999999949</v>
      </c>
      <c r="AO68" s="105">
        <f t="shared" si="89"/>
        <v>70.339949999999973</v>
      </c>
      <c r="AP68" s="105">
        <f t="shared" si="89"/>
        <v>-13.787130000000019</v>
      </c>
      <c r="AQ68" s="105">
        <f t="shared" si="89"/>
        <v>-4.5244900000000214</v>
      </c>
      <c r="AR68" s="105">
        <f t="shared" si="89"/>
        <v>-0.17472000000000065</v>
      </c>
      <c r="AS68" s="105">
        <f t="shared" si="89"/>
        <v>8.8369600000000688</v>
      </c>
      <c r="AT68" s="106">
        <f t="shared" si="89"/>
        <v>-16.192839999999997</v>
      </c>
    </row>
    <row r="69" spans="1:46" s="97" customFormat="1">
      <c r="B69" s="107" t="s">
        <v>305</v>
      </c>
      <c r="C69" s="108">
        <f>C68/C$24</f>
        <v>0.12817288731638937</v>
      </c>
      <c r="D69" s="109">
        <f>D68/D$24</f>
        <v>6.9693240249527957E-2</v>
      </c>
      <c r="F69" s="111">
        <f>F68/F$24</f>
        <v>0.10405729947024299</v>
      </c>
      <c r="G69" s="109">
        <f>G68/G$24</f>
        <v>4.5567046067398989E-2</v>
      </c>
      <c r="I69" s="111">
        <f>I68/I$24</f>
        <v>8.8567342402127616E-2</v>
      </c>
      <c r="J69" s="108">
        <f>J68/J$24</f>
        <v>4.0464860443646736E-2</v>
      </c>
      <c r="K69" s="109">
        <f>K68/K$24</f>
        <v>1.6896400503468894E-2</v>
      </c>
      <c r="L69" s="103"/>
      <c r="M69" s="111">
        <v>0</v>
      </c>
      <c r="N69" s="113">
        <v>0</v>
      </c>
      <c r="P69" s="111">
        <f t="shared" ref="P69:AT69" si="90">P68/P$24</f>
        <v>0.39907678731874074</v>
      </c>
      <c r="Q69" s="108">
        <f t="shared" si="90"/>
        <v>0.29112505338087064</v>
      </c>
      <c r="R69" s="108">
        <f t="shared" si="90"/>
        <v>0.23055348588312713</v>
      </c>
      <c r="S69" s="108">
        <f t="shared" si="90"/>
        <v>3.9634903477126664E-2</v>
      </c>
      <c r="T69" s="108">
        <f t="shared" si="90"/>
        <v>1.0771856670157455E-2</v>
      </c>
      <c r="U69" s="108">
        <f t="shared" si="90"/>
        <v>0.11151877645530595</v>
      </c>
      <c r="V69" s="108">
        <f t="shared" si="90"/>
        <v>0.24872554559258261</v>
      </c>
      <c r="W69" s="108">
        <f t="shared" si="90"/>
        <v>0.27722551846845006</v>
      </c>
      <c r="X69" s="108">
        <f t="shared" si="90"/>
        <v>0.11015011779176656</v>
      </c>
      <c r="Y69" s="108">
        <f t="shared" si="90"/>
        <v>0.11999981828992633</v>
      </c>
      <c r="Z69" s="108">
        <f t="shared" si="90"/>
        <v>-0.10585972007729956</v>
      </c>
      <c r="AA69" s="108">
        <f t="shared" si="90"/>
        <v>-7.6420290474838865E-2</v>
      </c>
      <c r="AB69" s="108">
        <f t="shared" si="90"/>
        <v>0.14691724622113159</v>
      </c>
      <c r="AC69" s="108">
        <f t="shared" si="90"/>
        <v>5.8723140217804622E-2</v>
      </c>
      <c r="AD69" s="108">
        <f t="shared" si="90"/>
        <v>0.15264751707122823</v>
      </c>
      <c r="AE69" s="108">
        <f t="shared" si="90"/>
        <v>-2.3664392729283685E-2</v>
      </c>
      <c r="AF69" s="108">
        <f t="shared" si="90"/>
        <v>0.11781925710247981</v>
      </c>
      <c r="AG69" s="108">
        <f t="shared" si="90"/>
        <v>0.16320676168834009</v>
      </c>
      <c r="AH69" s="108">
        <f t="shared" si="90"/>
        <v>0.10091833751896462</v>
      </c>
      <c r="AI69" s="108">
        <f t="shared" si="90"/>
        <v>0.11294605003511514</v>
      </c>
      <c r="AJ69" s="108">
        <f t="shared" si="90"/>
        <v>1.6916910758289692E-2</v>
      </c>
      <c r="AK69" s="108">
        <f t="shared" si="90"/>
        <v>1.4446600906115629E-2</v>
      </c>
      <c r="AL69" s="108">
        <f t="shared" si="90"/>
        <v>7.4412058126513955E-2</v>
      </c>
      <c r="AM69" s="108">
        <f t="shared" si="90"/>
        <v>-4.9803795250781595E-2</v>
      </c>
      <c r="AN69" s="108">
        <f t="shared" si="90"/>
        <v>0.14914164930768267</v>
      </c>
      <c r="AO69" s="108">
        <f t="shared" si="90"/>
        <v>0.29078545945995543</v>
      </c>
      <c r="AP69" s="108">
        <f t="shared" si="90"/>
        <v>-5.9556833430995562E-2</v>
      </c>
      <c r="AQ69" s="108">
        <f t="shared" si="90"/>
        <v>-1.8826980602112769E-2</v>
      </c>
      <c r="AR69" s="108">
        <f t="shared" si="90"/>
        <v>-7.0967025231840307E-4</v>
      </c>
      <c r="AS69" s="108">
        <f t="shared" si="90"/>
        <v>3.5704989872698906E-2</v>
      </c>
      <c r="AT69" s="109">
        <f t="shared" si="90"/>
        <v>-6.4404038009615944E-2</v>
      </c>
    </row>
    <row r="70" spans="1:46" ht="3.95" customHeight="1"/>
    <row r="71" spans="1:46" s="97" customFormat="1" ht="12" customHeight="1">
      <c r="A71" s="97" t="s">
        <v>294</v>
      </c>
      <c r="B71" s="97" t="s">
        <v>304</v>
      </c>
      <c r="C71" s="101">
        <f>C68-'Combined P&amp;L'!E114</f>
        <v>0</v>
      </c>
      <c r="D71" s="101">
        <f>D68-'Combined P&amp;L'!F114</f>
        <v>0</v>
      </c>
      <c r="E71" s="101"/>
      <c r="F71" s="101">
        <f>F68-'Combined P&amp;L'!H114</f>
        <v>-2.2737367544323206E-13</v>
      </c>
      <c r="G71" s="101">
        <f>G68-'Combined P&amp;L'!I114</f>
        <v>3.2684965844964609E-13</v>
      </c>
      <c r="H71" s="101"/>
      <c r="I71" s="101">
        <f>I68-'Combined P&amp;L'!K114</f>
        <v>0</v>
      </c>
      <c r="J71" s="101">
        <f>J68-'Combined P&amp;L'!L114</f>
        <v>0</v>
      </c>
      <c r="K71" s="101"/>
      <c r="L71" s="102"/>
      <c r="M71" s="102"/>
      <c r="N71" s="102"/>
      <c r="O71" s="102"/>
      <c r="P71" s="101">
        <f>P68-'Combined P&amp;L'!N114</f>
        <v>0</v>
      </c>
      <c r="Q71" s="101">
        <f>Q68-'Combined P&amp;L'!O114</f>
        <v>0</v>
      </c>
      <c r="R71" s="101">
        <f>R68-'Combined P&amp;L'!P114</f>
        <v>0</v>
      </c>
      <c r="S71" s="101">
        <f>S68-'Combined P&amp;L'!Q114</f>
        <v>-8.8817841970012523E-15</v>
      </c>
      <c r="T71" s="101">
        <f>T68-'Combined P&amp;L'!R114</f>
        <v>1.5987211554602254E-14</v>
      </c>
      <c r="U71" s="101">
        <f>U68-'Combined P&amp;L'!S114</f>
        <v>0</v>
      </c>
      <c r="V71" s="101">
        <f>V68-'Combined P&amp;L'!T114</f>
        <v>0</v>
      </c>
      <c r="W71" s="101">
        <f>W68-'Combined P&amp;L'!U114</f>
        <v>0</v>
      </c>
      <c r="X71" s="101">
        <f>X68-'Combined P&amp;L'!V114</f>
        <v>0</v>
      </c>
      <c r="Y71" s="101">
        <f>Y68-'Combined P&amp;L'!W114</f>
        <v>-1.4210854715202004E-14</v>
      </c>
      <c r="Z71" s="101">
        <f>Z68-'Combined P&amp;L'!X114</f>
        <v>-1.4210854715202004E-14</v>
      </c>
      <c r="AA71" s="101">
        <f>AA68-'Combined P&amp;L'!Y114</f>
        <v>2.3092638912203256E-14</v>
      </c>
      <c r="AB71" s="101">
        <f>AB68-'Combined P&amp;L'!Z114</f>
        <v>0</v>
      </c>
      <c r="AC71" s="101">
        <f>AC68-'Combined P&amp;L'!AA114</f>
        <v>0</v>
      </c>
      <c r="AD71" s="101">
        <f>AD68-'Combined P&amp;L'!AB114</f>
        <v>0</v>
      </c>
      <c r="AE71" s="101">
        <f>AE68-'Combined P&amp;L'!AC114</f>
        <v>3.0642155479654321E-14</v>
      </c>
      <c r="AF71" s="101">
        <f>AF68-'Combined P&amp;L'!AD114</f>
        <v>0</v>
      </c>
      <c r="AG71" s="101">
        <f>AG68-'Combined P&amp;L'!AE114</f>
        <v>0</v>
      </c>
      <c r="AH71" s="101">
        <f>AH68-'Combined P&amp;L'!AF114</f>
        <v>0</v>
      </c>
      <c r="AI71" s="101">
        <f>AI68-'Combined P&amp;L'!AG114</f>
        <v>-3.5527136788005009E-14</v>
      </c>
      <c r="AJ71" s="101">
        <f>AJ68-'Combined P&amp;L'!AH114</f>
        <v>2.1316282072803006E-14</v>
      </c>
      <c r="AK71" s="101">
        <f>AK68-'Combined P&amp;L'!AI114</f>
        <v>4.75175454539567E-14</v>
      </c>
      <c r="AL71" s="101">
        <f>AL68-'Combined P&amp;L'!AJ114</f>
        <v>-1.7763568394002505E-14</v>
      </c>
      <c r="AM71" s="101">
        <f>AM68-'Combined P&amp;L'!AK114</f>
        <v>-3.0198066269804258E-14</v>
      </c>
      <c r="AN71" s="101">
        <f>AN68-'Combined P&amp;L'!AL114</f>
        <v>-3.907985046680551E-14</v>
      </c>
      <c r="AO71" s="101">
        <f>AO68-'Combined P&amp;L'!AM114</f>
        <v>0</v>
      </c>
      <c r="AP71" s="101">
        <f>AP68-'Combined P&amp;L'!AN114</f>
        <v>-3.5527136788005009E-14</v>
      </c>
      <c r="AQ71" s="101">
        <f>AQ68-'Combined P&amp;L'!AO114</f>
        <v>0</v>
      </c>
      <c r="AR71" s="101">
        <f>AR68-'Combined P&amp;L'!AP114</f>
        <v>-7.9936057773011271E-15</v>
      </c>
      <c r="AS71" s="101">
        <f>AS68-'Combined P&amp;L'!AQ114</f>
        <v>5.1514348342607263E-14</v>
      </c>
      <c r="AT71" s="101">
        <f>AT68-'Combined P&amp;L'!AR114</f>
        <v>0</v>
      </c>
    </row>
    <row r="72" spans="1:46" ht="3.95" customHeight="1"/>
    <row r="73" spans="1:46">
      <c r="B73" s="42" t="s">
        <v>297</v>
      </c>
      <c r="C73" s="43"/>
      <c r="D73" s="43"/>
      <c r="E73" s="6"/>
      <c r="F73" s="43"/>
      <c r="G73" s="43"/>
      <c r="H73" s="6"/>
      <c r="I73" s="43"/>
      <c r="J73" s="43"/>
      <c r="K73" s="43"/>
      <c r="L73" s="6"/>
      <c r="M73" s="43"/>
      <c r="N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</row>
    <row r="74" spans="1:46">
      <c r="B74" s="14" t="str">
        <f>+B68</f>
        <v>Net Income</v>
      </c>
      <c r="C74" s="65">
        <f>+C68</f>
        <v>145.4718500000001</v>
      </c>
      <c r="D74" s="65">
        <f>+D68</f>
        <v>130.98029999999983</v>
      </c>
      <c r="E74" s="6"/>
      <c r="F74" s="65">
        <f>+F68</f>
        <v>103.83597999999972</v>
      </c>
      <c r="G74" s="65">
        <f>+G68</f>
        <v>76.14350000000033</v>
      </c>
      <c r="H74" s="6"/>
      <c r="I74" s="65">
        <f>+I68</f>
        <v>135.01299999999992</v>
      </c>
      <c r="J74" s="65">
        <f>+J68</f>
        <v>103.28781999999995</v>
      </c>
      <c r="K74" s="65">
        <f>+K68</f>
        <v>50.664550000000133</v>
      </c>
      <c r="L74" s="6"/>
      <c r="M74" s="65">
        <f>+M68</f>
        <v>-52.623269999999891</v>
      </c>
      <c r="N74" s="66">
        <f t="shared" ref="N74:N78" si="91">IFERROR(K74/J74-1,0)</f>
        <v>-0.50948185371711641</v>
      </c>
      <c r="P74" s="65">
        <f t="shared" ref="P74:AT74" si="92">+P68</f>
        <v>32.29054</v>
      </c>
      <c r="Q74" s="65">
        <f t="shared" si="92"/>
        <v>23.655570000000012</v>
      </c>
      <c r="R74" s="65">
        <f t="shared" si="92"/>
        <v>18.009040000000002</v>
      </c>
      <c r="S74" s="65">
        <f t="shared" si="92"/>
        <v>3.3036999999999814</v>
      </c>
      <c r="T74" s="65">
        <f t="shared" si="92"/>
        <v>0.97158000000002254</v>
      </c>
      <c r="U74" s="65">
        <f t="shared" si="92"/>
        <v>10.027299999999999</v>
      </c>
      <c r="V74" s="65">
        <f t="shared" si="92"/>
        <v>26.037100000000013</v>
      </c>
      <c r="W74" s="65">
        <f t="shared" si="92"/>
        <v>28.863819999999997</v>
      </c>
      <c r="X74" s="65">
        <f t="shared" si="92"/>
        <v>10.835770000000004</v>
      </c>
      <c r="Y74" s="65">
        <f t="shared" si="92"/>
        <v>11.887049999999981</v>
      </c>
      <c r="Z74" s="65">
        <f t="shared" si="92"/>
        <v>-11.563829999999996</v>
      </c>
      <c r="AA74" s="65">
        <f t="shared" si="92"/>
        <v>-8.8457899999999778</v>
      </c>
      <c r="AB74" s="65">
        <f t="shared" si="92"/>
        <v>20.371919999999967</v>
      </c>
      <c r="AC74" s="65">
        <f t="shared" si="92"/>
        <v>7.5049699999999966</v>
      </c>
      <c r="AD74" s="65">
        <f t="shared" si="92"/>
        <v>20.557870000000005</v>
      </c>
      <c r="AE74" s="65">
        <f t="shared" si="92"/>
        <v>-3.217779999999987</v>
      </c>
      <c r="AF74" s="65">
        <f t="shared" si="92"/>
        <v>17.914550000000009</v>
      </c>
      <c r="AG74" s="65">
        <f t="shared" si="92"/>
        <v>25.023679999999977</v>
      </c>
      <c r="AH74" s="65">
        <f t="shared" si="92"/>
        <v>15.680769999999987</v>
      </c>
      <c r="AI74" s="65">
        <f t="shared" si="92"/>
        <v>18.057059999999971</v>
      </c>
      <c r="AJ74" s="65">
        <f t="shared" si="92"/>
        <v>2.7743600000000104</v>
      </c>
      <c r="AK74" s="65">
        <f t="shared" si="92"/>
        <v>2.5894700000000075</v>
      </c>
      <c r="AL74" s="65">
        <f t="shared" si="92"/>
        <v>13.519970000000038</v>
      </c>
      <c r="AM74" s="65">
        <f t="shared" si="92"/>
        <v>-9.7965400000000109</v>
      </c>
      <c r="AN74" s="65">
        <f t="shared" si="92"/>
        <v>31.645769999999949</v>
      </c>
      <c r="AO74" s="65">
        <f t="shared" si="92"/>
        <v>70.339949999999973</v>
      </c>
      <c r="AP74" s="65">
        <f t="shared" si="92"/>
        <v>-13.787130000000019</v>
      </c>
      <c r="AQ74" s="65">
        <f t="shared" si="92"/>
        <v>-4.5244900000000214</v>
      </c>
      <c r="AR74" s="65">
        <f t="shared" si="92"/>
        <v>-0.17472000000000065</v>
      </c>
      <c r="AS74" s="65">
        <f t="shared" si="92"/>
        <v>8.8369600000000688</v>
      </c>
      <c r="AT74" s="65">
        <f t="shared" si="92"/>
        <v>-16.192839999999997</v>
      </c>
    </row>
    <row r="75" spans="1:46">
      <c r="B75" s="93" t="s">
        <v>300</v>
      </c>
      <c r="C75" s="65">
        <f>+C56</f>
        <v>6.673</v>
      </c>
      <c r="D75" s="65">
        <f>+D56</f>
        <v>6.673</v>
      </c>
      <c r="E75" s="23"/>
      <c r="F75" s="65">
        <f>+F56</f>
        <v>0</v>
      </c>
      <c r="G75" s="65">
        <f>+G56</f>
        <v>0</v>
      </c>
      <c r="H75" s="23"/>
      <c r="I75" s="65">
        <f>+I56</f>
        <v>6.673</v>
      </c>
      <c r="J75" s="65">
        <f>+J56</f>
        <v>6.673</v>
      </c>
      <c r="K75" s="65">
        <f>+K56</f>
        <v>6.673</v>
      </c>
      <c r="L75" s="65"/>
      <c r="M75" s="23">
        <f t="shared" ref="M75:M77" si="93">K75-J75</f>
        <v>0</v>
      </c>
      <c r="N75" s="66">
        <f t="shared" si="91"/>
        <v>0</v>
      </c>
      <c r="O75" s="52"/>
      <c r="P75" s="65">
        <f t="shared" ref="P75:AT75" si="94">+P56</f>
        <v>0</v>
      </c>
      <c r="Q75" s="65">
        <f t="shared" si="94"/>
        <v>0</v>
      </c>
      <c r="R75" s="65">
        <f t="shared" si="94"/>
        <v>0</v>
      </c>
      <c r="S75" s="65">
        <f t="shared" si="94"/>
        <v>0</v>
      </c>
      <c r="T75" s="65">
        <f t="shared" si="94"/>
        <v>0</v>
      </c>
      <c r="U75" s="65">
        <f t="shared" si="94"/>
        <v>0</v>
      </c>
      <c r="V75" s="65">
        <f t="shared" si="94"/>
        <v>0</v>
      </c>
      <c r="W75" s="65">
        <f t="shared" si="94"/>
        <v>0</v>
      </c>
      <c r="X75" s="65">
        <f t="shared" si="94"/>
        <v>0</v>
      </c>
      <c r="Y75" s="65">
        <f t="shared" si="94"/>
        <v>0</v>
      </c>
      <c r="Z75" s="65">
        <f t="shared" si="94"/>
        <v>0</v>
      </c>
      <c r="AA75" s="65">
        <f t="shared" si="94"/>
        <v>6.673</v>
      </c>
      <c r="AB75" s="65">
        <f t="shared" si="94"/>
        <v>0</v>
      </c>
      <c r="AC75" s="65">
        <f t="shared" si="94"/>
        <v>0</v>
      </c>
      <c r="AD75" s="65">
        <f t="shared" si="94"/>
        <v>0</v>
      </c>
      <c r="AE75" s="65">
        <f t="shared" si="94"/>
        <v>0</v>
      </c>
      <c r="AF75" s="65">
        <f t="shared" si="94"/>
        <v>0</v>
      </c>
      <c r="AG75" s="65">
        <f t="shared" si="94"/>
        <v>0</v>
      </c>
      <c r="AH75" s="65">
        <f t="shared" si="94"/>
        <v>0</v>
      </c>
      <c r="AI75" s="65">
        <f t="shared" si="94"/>
        <v>0</v>
      </c>
      <c r="AJ75" s="65">
        <f t="shared" si="94"/>
        <v>0</v>
      </c>
      <c r="AK75" s="65">
        <f t="shared" si="94"/>
        <v>0</v>
      </c>
      <c r="AL75" s="65">
        <f t="shared" si="94"/>
        <v>0</v>
      </c>
      <c r="AM75" s="65">
        <f t="shared" si="94"/>
        <v>6.673</v>
      </c>
      <c r="AN75" s="65">
        <f t="shared" si="94"/>
        <v>0</v>
      </c>
      <c r="AO75" s="65">
        <f t="shared" si="94"/>
        <v>0</v>
      </c>
      <c r="AP75" s="65">
        <f t="shared" si="94"/>
        <v>0</v>
      </c>
      <c r="AQ75" s="65">
        <f t="shared" si="94"/>
        <v>0</v>
      </c>
      <c r="AR75" s="65">
        <f t="shared" si="94"/>
        <v>0</v>
      </c>
      <c r="AS75" s="65">
        <f t="shared" si="94"/>
        <v>0</v>
      </c>
      <c r="AT75" s="65">
        <f t="shared" si="94"/>
        <v>0</v>
      </c>
    </row>
    <row r="76" spans="1:46">
      <c r="B76" s="93" t="s">
        <v>302</v>
      </c>
      <c r="C76" s="65">
        <f>+C58</f>
        <v>7.4969999999999999</v>
      </c>
      <c r="D76" s="65">
        <f>+D58</f>
        <v>9.984</v>
      </c>
      <c r="E76" s="23"/>
      <c r="F76" s="65">
        <f>+F58</f>
        <v>5.8940000000000001</v>
      </c>
      <c r="G76" s="65">
        <f>+G58</f>
        <v>1.1719999999999997</v>
      </c>
      <c r="H76" s="23"/>
      <c r="I76" s="65">
        <f>+I58</f>
        <v>4.673</v>
      </c>
      <c r="J76" s="65">
        <f>+J58</f>
        <v>5.2619999999999996</v>
      </c>
      <c r="K76" s="65">
        <f>+K58</f>
        <v>5.2619999999999996</v>
      </c>
      <c r="L76" s="65"/>
      <c r="M76" s="23">
        <f t="shared" si="93"/>
        <v>0</v>
      </c>
      <c r="N76" s="66">
        <f t="shared" si="91"/>
        <v>0</v>
      </c>
      <c r="O76" s="52"/>
      <c r="P76" s="65">
        <f t="shared" ref="P76:AT76" si="95">+P58</f>
        <v>0</v>
      </c>
      <c r="Q76" s="65">
        <f t="shared" si="95"/>
        <v>0</v>
      </c>
      <c r="R76" s="65">
        <f t="shared" si="95"/>
        <v>0</v>
      </c>
      <c r="S76" s="65">
        <f t="shared" si="95"/>
        <v>6.2460000000000004</v>
      </c>
      <c r="T76" s="65">
        <f t="shared" si="95"/>
        <v>0</v>
      </c>
      <c r="U76" s="65">
        <f t="shared" si="95"/>
        <v>2.472</v>
      </c>
      <c r="V76" s="65">
        <f t="shared" si="95"/>
        <v>0</v>
      </c>
      <c r="W76" s="65">
        <f t="shared" si="95"/>
        <v>0</v>
      </c>
      <c r="X76" s="65">
        <f t="shared" si="95"/>
        <v>2.472</v>
      </c>
      <c r="Y76" s="65">
        <f t="shared" si="95"/>
        <v>0</v>
      </c>
      <c r="Z76" s="65">
        <f t="shared" si="95"/>
        <v>0</v>
      </c>
      <c r="AA76" s="65">
        <f t="shared" si="95"/>
        <v>-3.6930000000000001</v>
      </c>
      <c r="AB76" s="65">
        <f t="shared" si="95"/>
        <v>2.472</v>
      </c>
      <c r="AC76" s="65">
        <f t="shared" si="95"/>
        <v>0</v>
      </c>
      <c r="AD76" s="65">
        <f t="shared" si="95"/>
        <v>0</v>
      </c>
      <c r="AE76" s="65">
        <f t="shared" si="95"/>
        <v>3.649</v>
      </c>
      <c r="AF76" s="65">
        <f t="shared" si="95"/>
        <v>-2.2719999999999998</v>
      </c>
      <c r="AG76" s="65">
        <f t="shared" si="95"/>
        <v>2.0449999999999999</v>
      </c>
      <c r="AH76" s="65">
        <f t="shared" si="95"/>
        <v>0</v>
      </c>
      <c r="AI76" s="65">
        <f t="shared" si="95"/>
        <v>0</v>
      </c>
      <c r="AJ76" s="65">
        <f t="shared" si="95"/>
        <v>2.0449999999999999</v>
      </c>
      <c r="AK76" s="65">
        <f t="shared" si="95"/>
        <v>0</v>
      </c>
      <c r="AL76" s="65">
        <f t="shared" si="95"/>
        <v>0</v>
      </c>
      <c r="AM76" s="65">
        <f t="shared" si="95"/>
        <v>2.0449999999999999</v>
      </c>
      <c r="AN76" s="65">
        <f t="shared" si="95"/>
        <v>0</v>
      </c>
      <c r="AO76" s="65">
        <f t="shared" si="95"/>
        <v>0</v>
      </c>
      <c r="AP76" s="65">
        <f t="shared" si="95"/>
        <v>5.0359999999999996</v>
      </c>
      <c r="AQ76" s="65">
        <f t="shared" si="95"/>
        <v>-4.8639999999999999</v>
      </c>
      <c r="AR76" s="65">
        <f t="shared" si="95"/>
        <v>0</v>
      </c>
      <c r="AS76" s="65">
        <f t="shared" si="95"/>
        <v>1</v>
      </c>
      <c r="AT76" s="65">
        <f t="shared" si="95"/>
        <v>0</v>
      </c>
    </row>
    <row r="77" spans="1:46">
      <c r="B77" s="93" t="s">
        <v>301</v>
      </c>
      <c r="C77" s="65">
        <f>+C62</f>
        <v>7.9639999999999989E-2</v>
      </c>
      <c r="D77" s="65">
        <f>+D62</f>
        <v>1.4224800000000002</v>
      </c>
      <c r="E77" s="23"/>
      <c r="F77" s="65">
        <f>+F62</f>
        <v>1.07704</v>
      </c>
      <c r="G77" s="65">
        <f>+G62</f>
        <v>0.81103000000000003</v>
      </c>
      <c r="H77" s="23"/>
      <c r="I77" s="65">
        <f>+I62</f>
        <v>1.1566799999999999</v>
      </c>
      <c r="J77" s="65">
        <f>+J62</f>
        <v>1.1564699999999999</v>
      </c>
      <c r="K77" s="65">
        <f>+K62</f>
        <v>1.1564699999999999</v>
      </c>
      <c r="L77" s="65"/>
      <c r="M77" s="23">
        <f t="shared" si="93"/>
        <v>0</v>
      </c>
      <c r="N77" s="66">
        <f t="shared" si="91"/>
        <v>0</v>
      </c>
      <c r="O77" s="52"/>
      <c r="P77" s="65">
        <f t="shared" ref="P77:AT77" si="96">+P62</f>
        <v>0</v>
      </c>
      <c r="Q77" s="65">
        <f t="shared" si="96"/>
        <v>0</v>
      </c>
      <c r="R77" s="65">
        <f t="shared" si="96"/>
        <v>0</v>
      </c>
      <c r="S77" s="65">
        <f t="shared" si="96"/>
        <v>0</v>
      </c>
      <c r="T77" s="65">
        <f t="shared" si="96"/>
        <v>0</v>
      </c>
      <c r="U77" s="65">
        <f t="shared" si="96"/>
        <v>0</v>
      </c>
      <c r="V77" s="65">
        <f t="shared" si="96"/>
        <v>0</v>
      </c>
      <c r="W77" s="65">
        <f t="shared" si="96"/>
        <v>0</v>
      </c>
      <c r="X77" s="65">
        <f t="shared" si="96"/>
        <v>0</v>
      </c>
      <c r="Y77" s="65">
        <f t="shared" si="96"/>
        <v>0</v>
      </c>
      <c r="Z77" s="65">
        <f t="shared" si="96"/>
        <v>7.1499999999999994E-2</v>
      </c>
      <c r="AA77" s="65">
        <f t="shared" si="96"/>
        <v>8.1400000000000014E-3</v>
      </c>
      <c r="AB77" s="65">
        <f t="shared" si="96"/>
        <v>0.11752</v>
      </c>
      <c r="AC77" s="65">
        <f t="shared" si="96"/>
        <v>0.20646</v>
      </c>
      <c r="AD77" s="65">
        <f t="shared" si="96"/>
        <v>1.174E-2</v>
      </c>
      <c r="AE77" s="65">
        <f t="shared" si="96"/>
        <v>3.6600000000000001E-2</v>
      </c>
      <c r="AF77" s="65">
        <f t="shared" si="96"/>
        <v>0.11484</v>
      </c>
      <c r="AG77" s="65">
        <f t="shared" si="96"/>
        <v>0.24787999999999999</v>
      </c>
      <c r="AH77" s="65">
        <f t="shared" si="96"/>
        <v>0.34200000000000003</v>
      </c>
      <c r="AI77" s="65">
        <f t="shared" si="96"/>
        <v>0.25108999999999998</v>
      </c>
      <c r="AJ77" s="65">
        <f t="shared" si="96"/>
        <v>6.5290000000000001E-2</v>
      </c>
      <c r="AK77" s="65">
        <f t="shared" si="96"/>
        <v>1.916E-2</v>
      </c>
      <c r="AL77" s="65">
        <f t="shared" si="96"/>
        <v>9.9000000000000008E-3</v>
      </c>
      <c r="AM77" s="65">
        <f t="shared" si="96"/>
        <v>0</v>
      </c>
      <c r="AN77" s="65">
        <f t="shared" si="96"/>
        <v>0.28870000000000001</v>
      </c>
      <c r="AO77" s="65">
        <f t="shared" si="96"/>
        <v>0.14452999999999999</v>
      </c>
      <c r="AP77" s="65">
        <f t="shared" si="96"/>
        <v>0</v>
      </c>
      <c r="AQ77" s="65">
        <f t="shared" si="96"/>
        <v>0.15</v>
      </c>
      <c r="AR77" s="65">
        <f t="shared" si="96"/>
        <v>0.11769</v>
      </c>
      <c r="AS77" s="65">
        <f t="shared" si="96"/>
        <v>0.11011</v>
      </c>
      <c r="AT77" s="65">
        <f t="shared" si="96"/>
        <v>0</v>
      </c>
    </row>
    <row r="78" spans="1:46">
      <c r="B78" s="92" t="s">
        <v>322</v>
      </c>
      <c r="C78" s="59">
        <f>SUM(C74:C77)</f>
        <v>159.7214900000001</v>
      </c>
      <c r="D78" s="59">
        <f>SUM(D74:D77)</f>
        <v>149.05977999999985</v>
      </c>
      <c r="F78" s="59">
        <f>SUM(F74:F77)</f>
        <v>110.80701999999972</v>
      </c>
      <c r="G78" s="59">
        <f>SUM(G74:G77)</f>
        <v>78.126530000000329</v>
      </c>
      <c r="I78" s="59">
        <f>SUM(I74:I77)</f>
        <v>147.51567999999992</v>
      </c>
      <c r="J78" s="59">
        <f>SUM(J74:J77)</f>
        <v>116.37928999999995</v>
      </c>
      <c r="K78" s="59">
        <f>SUM(K74:K77)</f>
        <v>63.756020000000134</v>
      </c>
      <c r="L78" s="71"/>
      <c r="M78" s="59">
        <f>SUM(M74:M77)</f>
        <v>-52.623269999999891</v>
      </c>
      <c r="N78" s="90">
        <f t="shared" si="91"/>
        <v>-0.45217039904608325</v>
      </c>
      <c r="P78" s="59">
        <f t="shared" ref="P78:AT78" si="97">SUM(P74:P77)</f>
        <v>32.29054</v>
      </c>
      <c r="Q78" s="59">
        <f t="shared" si="97"/>
        <v>23.655570000000012</v>
      </c>
      <c r="R78" s="59">
        <f t="shared" si="97"/>
        <v>18.009040000000002</v>
      </c>
      <c r="S78" s="59">
        <f t="shared" si="97"/>
        <v>9.5496999999999819</v>
      </c>
      <c r="T78" s="59">
        <f t="shared" si="97"/>
        <v>0.97158000000002254</v>
      </c>
      <c r="U78" s="59">
        <f t="shared" si="97"/>
        <v>12.499299999999998</v>
      </c>
      <c r="V78" s="59">
        <f t="shared" si="97"/>
        <v>26.037100000000013</v>
      </c>
      <c r="W78" s="59">
        <f t="shared" si="97"/>
        <v>28.863819999999997</v>
      </c>
      <c r="X78" s="59">
        <f t="shared" si="97"/>
        <v>13.307770000000003</v>
      </c>
      <c r="Y78" s="59">
        <f t="shared" si="97"/>
        <v>11.887049999999981</v>
      </c>
      <c r="Z78" s="59">
        <f t="shared" si="97"/>
        <v>-11.492329999999995</v>
      </c>
      <c r="AA78" s="59">
        <f t="shared" si="97"/>
        <v>-5.8576499999999774</v>
      </c>
      <c r="AB78" s="59">
        <f t="shared" si="97"/>
        <v>22.961439999999968</v>
      </c>
      <c r="AC78" s="59">
        <f t="shared" si="97"/>
        <v>7.7114299999999965</v>
      </c>
      <c r="AD78" s="59">
        <f t="shared" si="97"/>
        <v>20.569610000000004</v>
      </c>
      <c r="AE78" s="59">
        <f t="shared" si="97"/>
        <v>0.46782000000001306</v>
      </c>
      <c r="AF78" s="59">
        <f t="shared" si="97"/>
        <v>15.757390000000008</v>
      </c>
      <c r="AG78" s="59">
        <f t="shared" si="97"/>
        <v>27.316559999999978</v>
      </c>
      <c r="AH78" s="59">
        <f t="shared" si="97"/>
        <v>16.022769999999987</v>
      </c>
      <c r="AI78" s="59">
        <f t="shared" si="97"/>
        <v>18.308149999999973</v>
      </c>
      <c r="AJ78" s="59">
        <f t="shared" si="97"/>
        <v>4.8846500000000104</v>
      </c>
      <c r="AK78" s="59">
        <f t="shared" si="97"/>
        <v>2.6086300000000073</v>
      </c>
      <c r="AL78" s="59">
        <f t="shared" si="97"/>
        <v>13.529870000000038</v>
      </c>
      <c r="AM78" s="59">
        <f t="shared" si="97"/>
        <v>-1.0785400000000109</v>
      </c>
      <c r="AN78" s="59">
        <f t="shared" si="97"/>
        <v>31.934469999999948</v>
      </c>
      <c r="AO78" s="59">
        <f t="shared" si="97"/>
        <v>70.484479999999976</v>
      </c>
      <c r="AP78" s="59">
        <f t="shared" si="97"/>
        <v>-8.7511300000000194</v>
      </c>
      <c r="AQ78" s="59">
        <f t="shared" si="97"/>
        <v>-9.2384900000000219</v>
      </c>
      <c r="AR78" s="59">
        <f t="shared" si="97"/>
        <v>-5.703000000000065E-2</v>
      </c>
      <c r="AS78" s="59">
        <f t="shared" si="97"/>
        <v>9.9470700000000694</v>
      </c>
      <c r="AT78" s="59">
        <f t="shared" si="97"/>
        <v>-16.192839999999997</v>
      </c>
    </row>
    <row r="79" spans="1:46" s="97" customFormat="1">
      <c r="B79" s="126" t="s">
        <v>305</v>
      </c>
      <c r="C79" s="127">
        <f>C78/C$24</f>
        <v>0.14072801397504611</v>
      </c>
      <c r="D79" s="127">
        <f>D78/D$24</f>
        <v>7.9313141434870629E-2</v>
      </c>
      <c r="F79" s="127">
        <f>F78/F$24</f>
        <v>0.11104319777735239</v>
      </c>
      <c r="G79" s="127">
        <f>G78/G$24</f>
        <v>4.6753763507010167E-2</v>
      </c>
      <c r="I79" s="127">
        <f>I78/I$24</f>
        <v>9.6768990691582957E-2</v>
      </c>
      <c r="J79" s="127">
        <f>J78/J$24</f>
        <v>4.5593679180959502E-2</v>
      </c>
      <c r="K79" s="127">
        <f>K78/K$24</f>
        <v>2.1262347113063716E-2</v>
      </c>
      <c r="L79" s="103"/>
      <c r="M79" s="127">
        <v>0</v>
      </c>
      <c r="N79" s="128">
        <v>0</v>
      </c>
      <c r="P79" s="127">
        <f t="shared" ref="P79:AT79" si="98">P78/P$24</f>
        <v>0.39907678731874074</v>
      </c>
      <c r="Q79" s="127">
        <f t="shared" si="98"/>
        <v>0.29112505338087064</v>
      </c>
      <c r="R79" s="127">
        <f t="shared" si="98"/>
        <v>0.23055348588312713</v>
      </c>
      <c r="S79" s="127">
        <f t="shared" si="98"/>
        <v>0.11456894927975236</v>
      </c>
      <c r="T79" s="127">
        <f t="shared" si="98"/>
        <v>1.0771856670157455E-2</v>
      </c>
      <c r="U79" s="127">
        <f t="shared" si="98"/>
        <v>0.13901116377766753</v>
      </c>
      <c r="V79" s="127">
        <f t="shared" si="98"/>
        <v>0.24872554559258261</v>
      </c>
      <c r="W79" s="127">
        <f t="shared" si="98"/>
        <v>0.27722551846845006</v>
      </c>
      <c r="X79" s="127">
        <f t="shared" si="98"/>
        <v>0.13527902798285099</v>
      </c>
      <c r="Y79" s="127">
        <f t="shared" si="98"/>
        <v>0.11999981828992633</v>
      </c>
      <c r="Z79" s="127">
        <f t="shared" si="98"/>
        <v>-0.10520518174652793</v>
      </c>
      <c r="AA79" s="127">
        <f t="shared" si="98"/>
        <v>-5.0605238706767766E-2</v>
      </c>
      <c r="AB79" s="127">
        <f t="shared" si="98"/>
        <v>0.16559222371144891</v>
      </c>
      <c r="AC79" s="127">
        <f t="shared" si="98"/>
        <v>6.0338600310165809E-2</v>
      </c>
      <c r="AD79" s="127">
        <f t="shared" si="98"/>
        <v>0.15273468961636139</v>
      </c>
      <c r="AE79" s="127">
        <f t="shared" si="98"/>
        <v>3.4404702020069261E-3</v>
      </c>
      <c r="AF79" s="127">
        <f t="shared" si="98"/>
        <v>0.10363218633312275</v>
      </c>
      <c r="AG79" s="127">
        <f t="shared" si="98"/>
        <v>0.17816113769298694</v>
      </c>
      <c r="AH79" s="127">
        <f t="shared" si="98"/>
        <v>0.10311938194672461</v>
      </c>
      <c r="AI79" s="127">
        <f t="shared" si="98"/>
        <v>0.11451660602281841</v>
      </c>
      <c r="AJ79" s="127">
        <f t="shared" si="98"/>
        <v>2.978459469408426E-2</v>
      </c>
      <c r="AK79" s="127">
        <f t="shared" si="98"/>
        <v>1.4553494159700791E-2</v>
      </c>
      <c r="AL79" s="127">
        <f t="shared" si="98"/>
        <v>7.4466546366905945E-2</v>
      </c>
      <c r="AM79" s="127">
        <f t="shared" si="98"/>
        <v>-5.4830976375106382E-3</v>
      </c>
      <c r="AN79" s="127">
        <f t="shared" si="98"/>
        <v>0.15050224802767362</v>
      </c>
      <c r="AO79" s="127">
        <f t="shared" si="98"/>
        <v>0.29138294669808606</v>
      </c>
      <c r="AP79" s="127">
        <f t="shared" si="98"/>
        <v>-3.7802616769624181E-2</v>
      </c>
      <c r="AQ79" s="127">
        <f t="shared" si="98"/>
        <v>-3.8442536511919E-2</v>
      </c>
      <c r="AR79" s="127">
        <f t="shared" si="98"/>
        <v>-2.316420243230245E-4</v>
      </c>
      <c r="AS79" s="127">
        <f t="shared" si="98"/>
        <v>4.019029548770469E-2</v>
      </c>
      <c r="AT79" s="127">
        <f t="shared" si="98"/>
        <v>-6.4404038009615944E-2</v>
      </c>
    </row>
    <row r="80" spans="1:46" ht="3.95" customHeight="1"/>
    <row r="81" spans="2:46">
      <c r="B81" s="42" t="s">
        <v>306</v>
      </c>
      <c r="C81" s="43"/>
      <c r="D81" s="43"/>
      <c r="E81" s="6"/>
      <c r="F81" s="43"/>
      <c r="G81" s="43"/>
      <c r="H81" s="6"/>
      <c r="I81" s="43"/>
      <c r="J81" s="43"/>
      <c r="K81" s="43"/>
      <c r="L81" s="6"/>
      <c r="M81" s="43"/>
      <c r="N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</row>
    <row r="82" spans="2:46">
      <c r="B82" s="122" t="s">
        <v>315</v>
      </c>
      <c r="C82" s="23">
        <f>SUMIFS($P82:$AT82,$P$5:$AT$5,"&gt;"&amp;C$199,$P$5:$AT$5,"&lt;"&amp;C$200)</f>
        <v>0</v>
      </c>
      <c r="D82" s="23">
        <f>SUMIFS($P82:$AT82,$P$5:$AT$5,"&gt;"&amp;D$199,$P$5:$AT$5,"&lt;"&amp;D$200)</f>
        <v>2.7040000000000002</v>
      </c>
      <c r="E82" s="23"/>
      <c r="F82" s="23">
        <f>SUMIFS($P82:$AT82,$P$5:$AT$5,"&gt;"&amp;F$199,$P$5:$AT$5,"&lt;"&amp;F$200)</f>
        <v>0</v>
      </c>
      <c r="G82" s="23">
        <f>SUMIFS($P82:$AT82,$P$5:$AT$5,"&gt;"&amp;G$199,$P$5:$AT$5,"&lt;"&amp;G$200)</f>
        <v>0</v>
      </c>
      <c r="H82" s="23"/>
      <c r="I82" s="23">
        <f>SUMIFS($P82:$AT82,$P$5:$AT$5,"&gt;"&amp;I$199,$P$5:$AT$5,"&lt;"&amp;I$200)</f>
        <v>0</v>
      </c>
      <c r="J82" s="23">
        <f>SUMIFS($P82:$AT82,$P$5:$AT$5,"&gt;"&amp;J$199,$P$5:$AT$5,"&lt;"&amp;J$200)</f>
        <v>2.7040000000000002</v>
      </c>
      <c r="K82" s="65">
        <f>J82</f>
        <v>2.7040000000000002</v>
      </c>
      <c r="L82" s="65"/>
      <c r="M82" s="23">
        <f t="shared" ref="M82" si="99">K82-J82</f>
        <v>0</v>
      </c>
      <c r="N82" s="66">
        <f t="shared" ref="N82:N84" si="100">IFERROR(K82/J82-1,0)</f>
        <v>0</v>
      </c>
      <c r="O82" s="52"/>
      <c r="P82" s="53">
        <f>SUMIFS('Combined P&amp;L'!N:N,'Combined P&amp;L'!$D:$D,'P&amp;L Forecast'!$B82)</f>
        <v>0</v>
      </c>
      <c r="Q82" s="53">
        <f>SUMIFS('Combined P&amp;L'!O:O,'Combined P&amp;L'!$D:$D,'P&amp;L Forecast'!$B82)</f>
        <v>0</v>
      </c>
      <c r="R82" s="53">
        <f>SUMIFS('Combined P&amp;L'!P:P,'Combined P&amp;L'!$D:$D,'P&amp;L Forecast'!$B82)</f>
        <v>0</v>
      </c>
      <c r="S82" s="53">
        <f>SUMIFS('Combined P&amp;L'!Q:Q,'Combined P&amp;L'!$D:$D,'P&amp;L Forecast'!$B82)</f>
        <v>0</v>
      </c>
      <c r="T82" s="53">
        <f>SUMIFS('Combined P&amp;L'!R:R,'Combined P&amp;L'!$D:$D,'P&amp;L Forecast'!$B82)</f>
        <v>0</v>
      </c>
      <c r="U82" s="53">
        <f>SUMIFS('Combined P&amp;L'!S:S,'Combined P&amp;L'!$D:$D,'P&amp;L Forecast'!$B82)</f>
        <v>0</v>
      </c>
      <c r="V82" s="53">
        <f>SUMIFS('Combined P&amp;L'!T:T,'Combined P&amp;L'!$D:$D,'P&amp;L Forecast'!$B82)</f>
        <v>0</v>
      </c>
      <c r="W82" s="53">
        <f>SUMIFS('Combined P&amp;L'!U:U,'Combined P&amp;L'!$D:$D,'P&amp;L Forecast'!$B82)</f>
        <v>0</v>
      </c>
      <c r="X82" s="53">
        <f>SUMIFS('Combined P&amp;L'!V:V,'Combined P&amp;L'!$D:$D,'P&amp;L Forecast'!$B82)</f>
        <v>0</v>
      </c>
      <c r="Y82" s="53">
        <f>SUMIFS('Combined P&amp;L'!W:W,'Combined P&amp;L'!$D:$D,'P&amp;L Forecast'!$B82)</f>
        <v>0</v>
      </c>
      <c r="Z82" s="53">
        <f>SUMIFS('Combined P&amp;L'!X:X,'Combined P&amp;L'!$D:$D,'P&amp;L Forecast'!$B82)</f>
        <v>0</v>
      </c>
      <c r="AA82" s="53">
        <f>SUMIFS('Combined P&amp;L'!Y:Y,'Combined P&amp;L'!$D:$D,'P&amp;L Forecast'!$B82)</f>
        <v>0</v>
      </c>
      <c r="AB82" s="53">
        <f>SUMIFS('Combined P&amp;L'!Z:Z,'Combined P&amp;L'!$D:$D,'P&amp;L Forecast'!$B82)</f>
        <v>0</v>
      </c>
      <c r="AC82" s="53">
        <f>SUMIFS('Combined P&amp;L'!AA:AA,'Combined P&amp;L'!$D:$D,'P&amp;L Forecast'!$B82)</f>
        <v>0</v>
      </c>
      <c r="AD82" s="53">
        <f>SUMIFS('Combined P&amp;L'!AB:AB,'Combined P&amp;L'!$D:$D,'P&amp;L Forecast'!$B82)</f>
        <v>0</v>
      </c>
      <c r="AE82" s="53">
        <f>SUMIFS('Combined P&amp;L'!AC:AC,'Combined P&amp;L'!$D:$D,'P&amp;L Forecast'!$B82)</f>
        <v>0</v>
      </c>
      <c r="AF82" s="53">
        <f>SUMIFS('Combined P&amp;L'!AD:AD,'Combined P&amp;L'!$D:$D,'P&amp;L Forecast'!$B82)</f>
        <v>0</v>
      </c>
      <c r="AG82" s="53">
        <f>SUMIFS('Combined P&amp;L'!AE:AE,'Combined P&amp;L'!$D:$D,'P&amp;L Forecast'!$B82)</f>
        <v>0</v>
      </c>
      <c r="AH82" s="53">
        <f>SUMIFS('Combined P&amp;L'!AF:AF,'Combined P&amp;L'!$D:$D,'P&amp;L Forecast'!$B82)</f>
        <v>0</v>
      </c>
      <c r="AI82" s="53">
        <f>SUMIFS('Combined P&amp;L'!AG:AG,'Combined P&amp;L'!$D:$D,'P&amp;L Forecast'!$B82)</f>
        <v>0</v>
      </c>
      <c r="AJ82" s="53">
        <f>SUMIFS('Combined P&amp;L'!AH:AH,'Combined P&amp;L'!$D:$D,'P&amp;L Forecast'!$B82)</f>
        <v>0</v>
      </c>
      <c r="AK82" s="53">
        <f>SUMIFS('Combined P&amp;L'!AI:AI,'Combined P&amp;L'!$D:$D,'P&amp;L Forecast'!$B82)</f>
        <v>0</v>
      </c>
      <c r="AL82" s="53">
        <f>SUMIFS('Combined P&amp;L'!AJ:AJ,'Combined P&amp;L'!$D:$D,'P&amp;L Forecast'!$B82)</f>
        <v>0</v>
      </c>
      <c r="AM82" s="53">
        <f>SUMIFS('Combined P&amp;L'!AK:AK,'Combined P&amp;L'!$D:$D,'P&amp;L Forecast'!$B82)</f>
        <v>2.7040000000000002</v>
      </c>
      <c r="AN82" s="53">
        <f>SUMIFS('Combined P&amp;L'!AL:AL,'Combined P&amp;L'!$D:$D,'P&amp;L Forecast'!$B82)</f>
        <v>0</v>
      </c>
      <c r="AO82" s="53">
        <f>SUMIFS('Combined P&amp;L'!AM:AM,'Combined P&amp;L'!$D:$D,'P&amp;L Forecast'!$B82)</f>
        <v>0</v>
      </c>
      <c r="AP82" s="53">
        <f>SUMIFS('Combined P&amp;L'!AN:AN,'Combined P&amp;L'!$D:$D,'P&amp;L Forecast'!$B82)</f>
        <v>0</v>
      </c>
      <c r="AQ82" s="53">
        <f>SUMIFS('Combined P&amp;L'!AO:AO,'Combined P&amp;L'!$D:$D,'P&amp;L Forecast'!$B82)</f>
        <v>0</v>
      </c>
      <c r="AR82" s="53">
        <f>SUMIFS('Combined P&amp;L'!AP:AP,'Combined P&amp;L'!$D:$D,'P&amp;L Forecast'!$B82)</f>
        <v>0</v>
      </c>
      <c r="AS82" s="53">
        <f>SUMIFS('Combined P&amp;L'!AQ:AQ,'Combined P&amp;L'!$D:$D,'P&amp;L Forecast'!$B82)</f>
        <v>0</v>
      </c>
      <c r="AT82" s="53">
        <f>SUMIFS('Combined P&amp;L'!AR:AR,'Combined P&amp;L'!$D:$D,'P&amp;L Forecast'!$B82)</f>
        <v>0</v>
      </c>
    </row>
    <row r="83" spans="2:46">
      <c r="B83" s="210" t="s">
        <v>1325</v>
      </c>
      <c r="C83" s="23">
        <f>+C61</f>
        <v>1.0598299999999998</v>
      </c>
      <c r="D83" s="23">
        <f>+D61</f>
        <v>3.2913300000000008</v>
      </c>
      <c r="E83" s="23"/>
      <c r="F83" s="23">
        <f>+F61</f>
        <v>2.0263300000000002</v>
      </c>
      <c r="G83" s="23">
        <f>+G61</f>
        <v>1.9429999999999996</v>
      </c>
      <c r="H83" s="23"/>
      <c r="I83" s="23">
        <f>+I61</f>
        <v>2.4513300000000005</v>
      </c>
      <c r="J83" s="23">
        <f>+J61</f>
        <v>3.2080000000000002</v>
      </c>
      <c r="K83" s="65">
        <f>J83</f>
        <v>3.2080000000000002</v>
      </c>
      <c r="L83" s="65"/>
      <c r="M83" s="23">
        <f t="shared" ref="M83" si="101">K83-J83</f>
        <v>0</v>
      </c>
      <c r="N83" s="66">
        <f t="shared" ref="N83" si="102">IFERROR(K83/J83-1,0)</f>
        <v>0</v>
      </c>
      <c r="O83" s="52"/>
      <c r="P83" s="23">
        <f t="shared" ref="P83:AT83" si="103">+P61</f>
        <v>8.5000000000000006E-2</v>
      </c>
      <c r="Q83" s="23">
        <f t="shared" si="103"/>
        <v>8.5000000000000006E-2</v>
      </c>
      <c r="R83" s="23">
        <f t="shared" si="103"/>
        <v>9.7000000000000003E-2</v>
      </c>
      <c r="S83" s="23">
        <f t="shared" si="103"/>
        <v>0.11283</v>
      </c>
      <c r="T83" s="23">
        <f t="shared" si="103"/>
        <v>8.5000000000000006E-2</v>
      </c>
      <c r="U83" s="23">
        <f t="shared" si="103"/>
        <v>8.5000000000000006E-2</v>
      </c>
      <c r="V83" s="23">
        <f t="shared" si="103"/>
        <v>8.5000000000000006E-2</v>
      </c>
      <c r="W83" s="23">
        <f t="shared" si="103"/>
        <v>8.5000000000000006E-2</v>
      </c>
      <c r="X83" s="23">
        <f t="shared" si="103"/>
        <v>8.5000000000000006E-2</v>
      </c>
      <c r="Y83" s="23">
        <f t="shared" si="103"/>
        <v>8.5000000000000006E-2</v>
      </c>
      <c r="Z83" s="23">
        <f t="shared" si="103"/>
        <v>8.5000000000000006E-2</v>
      </c>
      <c r="AA83" s="23">
        <f t="shared" si="103"/>
        <v>8.5000000000000006E-2</v>
      </c>
      <c r="AB83" s="23">
        <f t="shared" si="103"/>
        <v>8.5000000000000006E-2</v>
      </c>
      <c r="AC83" s="23">
        <f t="shared" si="103"/>
        <v>9.4489999999999991E-2</v>
      </c>
      <c r="AD83" s="23">
        <f t="shared" si="103"/>
        <v>0.82489000000000001</v>
      </c>
      <c r="AE83" s="23">
        <f t="shared" si="103"/>
        <v>0.253</v>
      </c>
      <c r="AF83" s="23">
        <f t="shared" si="103"/>
        <v>0.26294999999999996</v>
      </c>
      <c r="AG83" s="23">
        <f t="shared" si="103"/>
        <v>0.253</v>
      </c>
      <c r="AH83" s="23">
        <f t="shared" si="103"/>
        <v>0.253</v>
      </c>
      <c r="AI83" s="23">
        <f t="shared" si="103"/>
        <v>0.253</v>
      </c>
      <c r="AJ83" s="23">
        <f t="shared" si="103"/>
        <v>0.253</v>
      </c>
      <c r="AK83" s="23">
        <f t="shared" si="103"/>
        <v>0.253</v>
      </c>
      <c r="AL83" s="23">
        <f t="shared" si="103"/>
        <v>0.253</v>
      </c>
      <c r="AM83" s="23">
        <f t="shared" si="103"/>
        <v>0.253</v>
      </c>
      <c r="AN83" s="23">
        <f t="shared" si="103"/>
        <v>0.253</v>
      </c>
      <c r="AO83" s="23">
        <f t="shared" si="103"/>
        <v>0.255</v>
      </c>
      <c r="AP83" s="23">
        <f t="shared" si="103"/>
        <v>0.28299999999999997</v>
      </c>
      <c r="AQ83" s="23">
        <f t="shared" si="103"/>
        <v>0.28299999999999997</v>
      </c>
      <c r="AR83" s="23">
        <f t="shared" si="103"/>
        <v>0.28299999999999997</v>
      </c>
      <c r="AS83" s="23">
        <f t="shared" si="103"/>
        <v>0.29299999999999998</v>
      </c>
      <c r="AT83" s="23">
        <f t="shared" si="103"/>
        <v>0.29299999999999998</v>
      </c>
    </row>
    <row r="84" spans="2:46">
      <c r="B84" s="104" t="s">
        <v>310</v>
      </c>
      <c r="C84" s="105">
        <f>+C78+C82+C83</f>
        <v>160.78132000000011</v>
      </c>
      <c r="D84" s="106">
        <f>+D78+D82+D83</f>
        <v>155.05510999999984</v>
      </c>
      <c r="F84" s="110">
        <f t="shared" ref="F84:G84" si="104">+F78+F82+F83</f>
        <v>112.83334999999973</v>
      </c>
      <c r="G84" s="106">
        <f t="shared" si="104"/>
        <v>80.069530000000327</v>
      </c>
      <c r="I84" s="110">
        <f t="shared" ref="I84:K84" si="105">+I78+I82+I83</f>
        <v>149.96700999999993</v>
      </c>
      <c r="J84" s="105">
        <f t="shared" si="105"/>
        <v>122.29128999999995</v>
      </c>
      <c r="K84" s="106">
        <f t="shared" si="105"/>
        <v>69.668020000000126</v>
      </c>
      <c r="L84" s="71"/>
      <c r="M84" s="110">
        <f>+M78+M82+M83</f>
        <v>-52.623269999999891</v>
      </c>
      <c r="N84" s="112">
        <f t="shared" si="100"/>
        <v>-0.4303108586065274</v>
      </c>
      <c r="P84" s="110">
        <f t="shared" ref="P84:AT84" si="106">+P78+P82+P83</f>
        <v>32.375540000000001</v>
      </c>
      <c r="Q84" s="105">
        <f t="shared" si="106"/>
        <v>23.740570000000012</v>
      </c>
      <c r="R84" s="105">
        <f t="shared" si="106"/>
        <v>18.106040000000004</v>
      </c>
      <c r="S84" s="105">
        <f t="shared" si="106"/>
        <v>9.6625299999999825</v>
      </c>
      <c r="T84" s="105">
        <f t="shared" si="106"/>
        <v>1.0565800000000225</v>
      </c>
      <c r="U84" s="105">
        <f t="shared" si="106"/>
        <v>12.584299999999999</v>
      </c>
      <c r="V84" s="105">
        <f t="shared" si="106"/>
        <v>26.122100000000014</v>
      </c>
      <c r="W84" s="105">
        <f t="shared" si="106"/>
        <v>28.948819999999998</v>
      </c>
      <c r="X84" s="105">
        <f t="shared" si="106"/>
        <v>13.392770000000004</v>
      </c>
      <c r="Y84" s="105">
        <f t="shared" si="106"/>
        <v>11.972049999999982</v>
      </c>
      <c r="Z84" s="105">
        <f t="shared" si="106"/>
        <v>-11.407329999999995</v>
      </c>
      <c r="AA84" s="105">
        <f t="shared" si="106"/>
        <v>-5.7726499999999774</v>
      </c>
      <c r="AB84" s="105">
        <f t="shared" si="106"/>
        <v>23.046439999999969</v>
      </c>
      <c r="AC84" s="105">
        <f t="shared" si="106"/>
        <v>7.8059199999999969</v>
      </c>
      <c r="AD84" s="105">
        <f t="shared" si="106"/>
        <v>21.394500000000004</v>
      </c>
      <c r="AE84" s="105">
        <f t="shared" si="106"/>
        <v>0.72082000000001312</v>
      </c>
      <c r="AF84" s="105">
        <f t="shared" si="106"/>
        <v>16.020340000000008</v>
      </c>
      <c r="AG84" s="105">
        <f t="shared" si="106"/>
        <v>27.569559999999978</v>
      </c>
      <c r="AH84" s="105">
        <f t="shared" si="106"/>
        <v>16.275769999999987</v>
      </c>
      <c r="AI84" s="105">
        <f t="shared" si="106"/>
        <v>18.561149999999973</v>
      </c>
      <c r="AJ84" s="105">
        <f t="shared" si="106"/>
        <v>5.1376500000000105</v>
      </c>
      <c r="AK84" s="105">
        <f t="shared" si="106"/>
        <v>2.8616300000000074</v>
      </c>
      <c r="AL84" s="105">
        <f t="shared" si="106"/>
        <v>13.782870000000038</v>
      </c>
      <c r="AM84" s="105">
        <f t="shared" si="106"/>
        <v>1.8784599999999894</v>
      </c>
      <c r="AN84" s="105">
        <f t="shared" si="106"/>
        <v>32.187469999999948</v>
      </c>
      <c r="AO84" s="105">
        <f t="shared" si="106"/>
        <v>70.739479999999972</v>
      </c>
      <c r="AP84" s="105">
        <f t="shared" si="106"/>
        <v>-8.4681300000000199</v>
      </c>
      <c r="AQ84" s="105">
        <f t="shared" si="106"/>
        <v>-8.9554900000000224</v>
      </c>
      <c r="AR84" s="105">
        <f t="shared" si="106"/>
        <v>0.22596999999999934</v>
      </c>
      <c r="AS84" s="105">
        <f t="shared" si="106"/>
        <v>10.240070000000069</v>
      </c>
      <c r="AT84" s="106">
        <f t="shared" si="106"/>
        <v>-15.899839999999998</v>
      </c>
    </row>
    <row r="85" spans="2:46" s="97" customFormat="1">
      <c r="B85" s="107" t="s">
        <v>305</v>
      </c>
      <c r="C85" s="108">
        <f>C84/C$24</f>
        <v>0.14166181299639993</v>
      </c>
      <c r="D85" s="109">
        <f>D84/D$24</f>
        <v>8.2503193481363132E-2</v>
      </c>
      <c r="F85" s="111">
        <f>F84/F$24</f>
        <v>0.11307384676468354</v>
      </c>
      <c r="G85" s="109">
        <f>G84/G$24</f>
        <v>4.7916525535403341E-2</v>
      </c>
      <c r="I85" s="111">
        <f>I84/I$24</f>
        <v>9.8377041645569666E-2</v>
      </c>
      <c r="J85" s="108">
        <f>J84/J$24</f>
        <v>4.7909811469769928E-2</v>
      </c>
      <c r="K85" s="109">
        <f>K84/K$24</f>
        <v>2.3233972633797794E-2</v>
      </c>
      <c r="L85" s="103"/>
      <c r="M85" s="111">
        <v>0</v>
      </c>
      <c r="N85" s="113">
        <v>0</v>
      </c>
      <c r="P85" s="111">
        <f t="shared" ref="P85" si="107">P84/P$24</f>
        <v>0.40012729706314554</v>
      </c>
      <c r="Q85" s="108">
        <f t="shared" ref="Q85" si="108">Q84/Q$24</f>
        <v>0.29217113384045684</v>
      </c>
      <c r="R85" s="108">
        <f t="shared" ref="R85" si="109">R84/R$24</f>
        <v>0.23179528934020555</v>
      </c>
      <c r="S85" s="108">
        <f t="shared" ref="S85" si="110">S84/S$24</f>
        <v>0.11592258494864612</v>
      </c>
      <c r="T85" s="108">
        <f t="shared" ref="T85" si="111">T84/T$24</f>
        <v>1.1714247226738861E-2</v>
      </c>
      <c r="U85" s="108">
        <f t="shared" ref="U85" si="112">U84/U$24</f>
        <v>0.13995649262977139</v>
      </c>
      <c r="V85" s="108">
        <f t="shared" ref="V85" si="113">V84/V$24</f>
        <v>0.24953752816266028</v>
      </c>
      <c r="W85" s="108">
        <f t="shared" ref="W85" si="114">W84/W$24</f>
        <v>0.27804190968312015</v>
      </c>
      <c r="X85" s="108">
        <f t="shared" ref="X85" si="115">X84/X$24</f>
        <v>0.1361430884060881</v>
      </c>
      <c r="Y85" s="108">
        <f t="shared" ref="Y85" si="116">Y84/Y$24</f>
        <v>0.12085789363701782</v>
      </c>
      <c r="Z85" s="108">
        <f t="shared" ref="Z85" si="117">Z84/Z$24</f>
        <v>-0.1044270592554008</v>
      </c>
      <c r="AA85" s="108">
        <f t="shared" ref="AA85" si="118">AA84/AA$24</f>
        <v>-4.9870909190652041E-2</v>
      </c>
      <c r="AB85" s="108">
        <f t="shared" ref="AB85" si="119">AB84/AB$24</f>
        <v>0.16620522267908655</v>
      </c>
      <c r="AC85" s="108">
        <f t="shared" ref="AC85" si="120">AC84/AC$24</f>
        <v>6.1077943641209151E-2</v>
      </c>
      <c r="AD85" s="108">
        <f t="shared" ref="AD85" si="121">AD84/AD$24</f>
        <v>0.15885971182716849</v>
      </c>
      <c r="AE85" s="108">
        <f t="shared" ref="AE85" si="122">AE84/AE$24</f>
        <v>5.3010981381954782E-3</v>
      </c>
      <c r="AF85" s="108">
        <f t="shared" ref="AF85" si="123">AF84/AF$24</f>
        <v>0.10536153893506348</v>
      </c>
      <c r="AG85" s="108">
        <f t="shared" ref="AG85" si="124">AG84/AG$24</f>
        <v>0.17981122715653308</v>
      </c>
      <c r="AH85" s="108">
        <f t="shared" ref="AH85" si="125">AH84/AH$24</f>
        <v>0.10474763995907337</v>
      </c>
      <c r="AI85" s="108">
        <f t="shared" ref="AI85" si="126">AI84/AI$24</f>
        <v>0.11609910896952647</v>
      </c>
      <c r="AJ85" s="108">
        <f t="shared" ref="AJ85" si="127">AJ84/AJ$24</f>
        <v>3.1327285052165865E-2</v>
      </c>
      <c r="AK85" s="108">
        <f t="shared" ref="AK85" si="128">AK84/AK$24</f>
        <v>1.5964976057250193E-2</v>
      </c>
      <c r="AL85" s="108">
        <f t="shared" ref="AL85" si="129">AL84/AL$24</f>
        <v>7.5859023621367899E-2</v>
      </c>
      <c r="AM85" s="108">
        <f t="shared" ref="AM85" si="130">AM84/AM$24</f>
        <v>9.5497427894728707E-3</v>
      </c>
      <c r="AN85" s="108">
        <f t="shared" ref="AN85" si="131">AN84/AN$24</f>
        <v>0.1516945981355978</v>
      </c>
      <c r="AO85" s="108">
        <f t="shared" ref="AO85" si="132">AO84/AO$24</f>
        <v>0.29243711708294262</v>
      </c>
      <c r="AP85" s="108">
        <f t="shared" ref="AP85" si="133">AP84/AP$24</f>
        <v>-3.658013001125085E-2</v>
      </c>
      <c r="AQ85" s="108">
        <f t="shared" ref="AQ85" si="134">AQ84/AQ$24</f>
        <v>-3.7264937376900932E-2</v>
      </c>
      <c r="AR85" s="108">
        <f t="shared" ref="AR85" si="135">AR84/AR$24</f>
        <v>9.1783531888958605E-4</v>
      </c>
      <c r="AS85" s="108">
        <f t="shared" ref="AS85" si="136">AS84/AS$24</f>
        <v>4.1374137219782309E-2</v>
      </c>
      <c r="AT85" s="109">
        <f t="shared" ref="AT85" si="137">AT84/AT$24</f>
        <v>-6.3238684486897415E-2</v>
      </c>
    </row>
    <row r="86" spans="2:46" ht="3.95" customHeight="1"/>
    <row r="87" spans="2:46">
      <c r="B87" s="42" t="s">
        <v>323</v>
      </c>
      <c r="C87" s="43"/>
      <c r="D87" s="43"/>
      <c r="E87" s="6"/>
      <c r="F87" s="43"/>
      <c r="G87" s="43"/>
      <c r="H87" s="6"/>
      <c r="I87" s="43"/>
      <c r="J87" s="43"/>
      <c r="K87" s="43"/>
      <c r="L87" s="6"/>
      <c r="M87" s="43"/>
      <c r="N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</row>
    <row r="88" spans="2:46">
      <c r="B88" s="122" t="s">
        <v>316</v>
      </c>
      <c r="C88" s="65">
        <f>+$C$168+C$35</f>
        <v>-228.245</v>
      </c>
      <c r="D88" s="65">
        <f>+$C$168+D$35</f>
        <v>-137.57796000000002</v>
      </c>
      <c r="E88" s="23"/>
      <c r="F88" s="65">
        <f>+$C$168+F$35</f>
        <v>-182.77888000000002</v>
      </c>
      <c r="G88" s="65">
        <f>+$C$168+G$35</f>
        <v>-165.10198000000003</v>
      </c>
      <c r="H88" s="23"/>
      <c r="I88" s="65">
        <f>+$C$168+I$35</f>
        <v>-182.77888000000002</v>
      </c>
      <c r="J88" s="65">
        <f>+$C$168+J$35</f>
        <v>-119.90106</v>
      </c>
      <c r="K88" s="65">
        <f>+$C$168+K$35</f>
        <v>-119.90106</v>
      </c>
      <c r="L88" s="65"/>
      <c r="M88" s="23">
        <f t="shared" ref="M88:M91" si="138">K88-J88</f>
        <v>0</v>
      </c>
      <c r="N88" s="66">
        <f t="shared" ref="N88:N89" si="139">IFERROR(K88/J88-1,0)</f>
        <v>0</v>
      </c>
      <c r="P88" s="65">
        <f t="shared" ref="P88:AT88" si="140">$C$168/12+P$35</f>
        <v>-19.020416666666666</v>
      </c>
      <c r="Q88" s="65">
        <f t="shared" si="140"/>
        <v>-19.020416666666666</v>
      </c>
      <c r="R88" s="65">
        <f t="shared" si="140"/>
        <v>-19.020416666666666</v>
      </c>
      <c r="S88" s="65">
        <f t="shared" si="140"/>
        <v>-19.020416666666666</v>
      </c>
      <c r="T88" s="65">
        <f t="shared" si="140"/>
        <v>-19.020416666666666</v>
      </c>
      <c r="U88" s="65">
        <f t="shared" si="140"/>
        <v>-19.020416666666666</v>
      </c>
      <c r="V88" s="65">
        <f t="shared" si="140"/>
        <v>-19.020416666666666</v>
      </c>
      <c r="W88" s="65">
        <f t="shared" si="140"/>
        <v>-19.020416666666666</v>
      </c>
      <c r="X88" s="65">
        <f t="shared" si="140"/>
        <v>-19.020416666666666</v>
      </c>
      <c r="Y88" s="65">
        <f t="shared" si="140"/>
        <v>-19.020416666666666</v>
      </c>
      <c r="Z88" s="65">
        <f t="shared" si="140"/>
        <v>-19.020416666666666</v>
      </c>
      <c r="AA88" s="65">
        <f t="shared" si="140"/>
        <v>-19.020416666666666</v>
      </c>
      <c r="AB88" s="65">
        <f t="shared" si="140"/>
        <v>-19.020416666666666</v>
      </c>
      <c r="AC88" s="65">
        <f t="shared" si="140"/>
        <v>-19.020416666666666</v>
      </c>
      <c r="AD88" s="65">
        <f t="shared" si="140"/>
        <v>-10.114026666666666</v>
      </c>
      <c r="AE88" s="65">
        <f t="shared" si="140"/>
        <v>-9.7871866666666669</v>
      </c>
      <c r="AF88" s="65">
        <f t="shared" si="140"/>
        <v>-9.9115766666666651</v>
      </c>
      <c r="AG88" s="65">
        <f t="shared" si="140"/>
        <v>-10.325626666666665</v>
      </c>
      <c r="AH88" s="65">
        <f t="shared" si="140"/>
        <v>-9.4975466666666648</v>
      </c>
      <c r="AI88" s="65">
        <f t="shared" si="140"/>
        <v>-10.325606666666665</v>
      </c>
      <c r="AJ88" s="65">
        <f t="shared" si="140"/>
        <v>-9.9115766666666651</v>
      </c>
      <c r="AK88" s="65">
        <f t="shared" si="140"/>
        <v>-9.4975466666666648</v>
      </c>
      <c r="AL88" s="65">
        <f t="shared" si="140"/>
        <v>-10.739656666666665</v>
      </c>
      <c r="AM88" s="65">
        <f t="shared" si="140"/>
        <v>-9.426776666666667</v>
      </c>
      <c r="AN88" s="65">
        <f t="shared" si="140"/>
        <v>-9.7442066666666669</v>
      </c>
      <c r="AO88" s="65">
        <f t="shared" si="140"/>
        <v>-10.697786666666667</v>
      </c>
      <c r="AP88" s="65">
        <f t="shared" si="140"/>
        <v>-9.9115866666666665</v>
      </c>
      <c r="AQ88" s="65">
        <f t="shared" si="140"/>
        <v>-9.9115866666666665</v>
      </c>
      <c r="AR88" s="65">
        <f t="shared" si="140"/>
        <v>-10.325606666666665</v>
      </c>
      <c r="AS88" s="65">
        <f t="shared" si="140"/>
        <v>-9.9115766666666651</v>
      </c>
      <c r="AT88" s="65">
        <f t="shared" si="140"/>
        <v>-9.4975466666666648</v>
      </c>
    </row>
    <row r="89" spans="2:46" ht="12" customHeight="1">
      <c r="B89" s="211" t="s">
        <v>1544</v>
      </c>
      <c r="C89" s="115">
        <v>0</v>
      </c>
      <c r="D89" s="115">
        <v>0</v>
      </c>
      <c r="F89" s="115">
        <v>0</v>
      </c>
      <c r="G89" s="115">
        <v>0</v>
      </c>
      <c r="I89" s="115">
        <v>0</v>
      </c>
      <c r="J89" s="83">
        <f>+J23*$C$176</f>
        <v>0</v>
      </c>
      <c r="K89" s="83">
        <f>+$C$170</f>
        <v>-116.25</v>
      </c>
      <c r="M89" s="23">
        <f t="shared" ref="M89" si="141">K89-J89</f>
        <v>-116.25</v>
      </c>
      <c r="N89" s="66">
        <f t="shared" si="139"/>
        <v>0</v>
      </c>
      <c r="P89" s="115">
        <v>0</v>
      </c>
      <c r="Q89" s="115">
        <v>0</v>
      </c>
      <c r="R89" s="115">
        <v>0</v>
      </c>
      <c r="S89" s="115">
        <v>0</v>
      </c>
      <c r="T89" s="115">
        <v>0</v>
      </c>
      <c r="U89" s="115">
        <v>0</v>
      </c>
      <c r="V89" s="115">
        <v>0</v>
      </c>
      <c r="W89" s="115">
        <v>0</v>
      </c>
      <c r="X89" s="115">
        <v>0</v>
      </c>
      <c r="Y89" s="115">
        <v>0</v>
      </c>
      <c r="Z89" s="115">
        <v>0</v>
      </c>
      <c r="AA89" s="115">
        <v>0</v>
      </c>
      <c r="AB89" s="115">
        <v>0</v>
      </c>
      <c r="AC89" s="115">
        <v>0</v>
      </c>
      <c r="AD89" s="115">
        <v>0</v>
      </c>
      <c r="AE89" s="115">
        <v>0</v>
      </c>
      <c r="AF89" s="115">
        <v>0</v>
      </c>
      <c r="AG89" s="115">
        <v>0</v>
      </c>
      <c r="AH89" s="115">
        <v>0</v>
      </c>
      <c r="AI89" s="115">
        <v>0</v>
      </c>
      <c r="AJ89" s="115">
        <v>0</v>
      </c>
      <c r="AK89" s="115">
        <v>0</v>
      </c>
      <c r="AL89" s="115">
        <v>0</v>
      </c>
      <c r="AM89" s="115">
        <v>0</v>
      </c>
      <c r="AN89" s="115">
        <v>0</v>
      </c>
      <c r="AO89" s="115">
        <v>0</v>
      </c>
      <c r="AP89" s="115">
        <v>0</v>
      </c>
      <c r="AQ89" s="115">
        <v>0</v>
      </c>
      <c r="AR89" s="115">
        <v>0</v>
      </c>
      <c r="AS89" s="115">
        <v>0</v>
      </c>
      <c r="AT89" s="115">
        <v>0</v>
      </c>
    </row>
    <row r="90" spans="2:46" ht="12" customHeight="1">
      <c r="B90" s="211" t="s">
        <v>321</v>
      </c>
      <c r="C90" s="65">
        <f>+C48</f>
        <v>18.234249999999999</v>
      </c>
      <c r="D90" s="65">
        <f>+D48</f>
        <v>27.040950000000002</v>
      </c>
      <c r="F90" s="65">
        <f>+F48</f>
        <v>12.014000000000001</v>
      </c>
      <c r="G90" s="65">
        <f>+G48</f>
        <v>57.55</v>
      </c>
      <c r="I90" s="65">
        <f>+I48</f>
        <v>21.74858</v>
      </c>
      <c r="J90" s="65">
        <f>+J48</f>
        <v>72.576949999999997</v>
      </c>
      <c r="K90" s="65">
        <f>+C169</f>
        <v>72.576949999999997</v>
      </c>
      <c r="M90" s="23">
        <f t="shared" si="138"/>
        <v>0</v>
      </c>
      <c r="N90" s="66"/>
      <c r="P90" s="65">
        <f t="shared" ref="P90:AT90" si="142">+P48-$C$169/12</f>
        <v>-6.0480791666666667</v>
      </c>
      <c r="Q90" s="65">
        <f t="shared" si="142"/>
        <v>-4.8815791666666666</v>
      </c>
      <c r="R90" s="65">
        <f t="shared" si="142"/>
        <v>-4.8815791666666666</v>
      </c>
      <c r="S90" s="65">
        <f t="shared" si="142"/>
        <v>-4.8814091666666668</v>
      </c>
      <c r="T90" s="65">
        <f t="shared" si="142"/>
        <v>-4.8814091666666668</v>
      </c>
      <c r="U90" s="65">
        <f t="shared" si="142"/>
        <v>-3.3814191666666669</v>
      </c>
      <c r="V90" s="65">
        <f t="shared" si="142"/>
        <v>-4.8814091666666668</v>
      </c>
      <c r="W90" s="65">
        <f t="shared" si="142"/>
        <v>-4.8814091666666668</v>
      </c>
      <c r="X90" s="65">
        <f t="shared" si="142"/>
        <v>-2.9801691666666668</v>
      </c>
      <c r="Y90" s="65">
        <f t="shared" si="142"/>
        <v>-4.8814091666666668</v>
      </c>
      <c r="Z90" s="65">
        <f t="shared" si="142"/>
        <v>-3.8814091666666668</v>
      </c>
      <c r="AA90" s="65">
        <f t="shared" si="142"/>
        <v>-3.8814191666666669</v>
      </c>
      <c r="AB90" s="65">
        <f t="shared" si="142"/>
        <v>-3.8814091666666668</v>
      </c>
      <c r="AC90" s="65">
        <f t="shared" si="142"/>
        <v>-3.8814091666666668</v>
      </c>
      <c r="AD90" s="65">
        <f t="shared" si="142"/>
        <v>-3.8814191666666669</v>
      </c>
      <c r="AE90" s="65">
        <f t="shared" si="142"/>
        <v>-3.2874091666666665</v>
      </c>
      <c r="AF90" s="65">
        <f t="shared" si="142"/>
        <v>-4.4614091666666669</v>
      </c>
      <c r="AG90" s="65">
        <f t="shared" si="142"/>
        <v>-4.8814191666666664</v>
      </c>
      <c r="AH90" s="65">
        <f t="shared" si="142"/>
        <v>-6.0480791666666667</v>
      </c>
      <c r="AI90" s="65">
        <f t="shared" si="142"/>
        <v>-5.8480791666666665</v>
      </c>
      <c r="AJ90" s="65">
        <f t="shared" si="142"/>
        <v>-4.7211291666666666</v>
      </c>
      <c r="AK90" s="65">
        <f t="shared" si="142"/>
        <v>-6.0480791666666667</v>
      </c>
      <c r="AL90" s="65">
        <f t="shared" si="142"/>
        <v>-4.8079166666666673E-2</v>
      </c>
      <c r="AM90" s="65">
        <f t="shared" si="142"/>
        <v>1.4519208333333333</v>
      </c>
      <c r="AN90" s="65">
        <f t="shared" si="142"/>
        <v>-6.0480791666666667</v>
      </c>
      <c r="AO90" s="65">
        <f t="shared" si="142"/>
        <v>-6.0480791666666667</v>
      </c>
      <c r="AP90" s="65">
        <f t="shared" si="142"/>
        <v>0.55192083333333297</v>
      </c>
      <c r="AQ90" s="65">
        <f t="shared" si="142"/>
        <v>7.9519208333333333</v>
      </c>
      <c r="AR90" s="65">
        <f t="shared" si="142"/>
        <v>11.951920833333332</v>
      </c>
      <c r="AS90" s="65">
        <f t="shared" si="142"/>
        <v>-6.0480791666666667</v>
      </c>
      <c r="AT90" s="65">
        <f t="shared" si="142"/>
        <v>12.901920833333332</v>
      </c>
    </row>
    <row r="91" spans="2:46">
      <c r="B91" s="211" t="s">
        <v>1573</v>
      </c>
      <c r="C91" s="115">
        <v>0</v>
      </c>
      <c r="D91" s="115">
        <v>0</v>
      </c>
      <c r="F91" s="115">
        <v>0</v>
      </c>
      <c r="G91" s="115">
        <v>0</v>
      </c>
      <c r="I91" s="115">
        <v>0</v>
      </c>
      <c r="J91" s="83">
        <f>+J25*$C$176</f>
        <v>0</v>
      </c>
      <c r="K91" s="83">
        <f>+$C$174</f>
        <v>96.800000000000011</v>
      </c>
      <c r="M91" s="23">
        <f t="shared" si="138"/>
        <v>96.800000000000011</v>
      </c>
      <c r="N91" s="66">
        <f t="shared" ref="N91" si="143">IFERROR(K91/J91-1,0)</f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  <c r="AK91" s="115">
        <v>0</v>
      </c>
      <c r="AL91" s="115">
        <v>0</v>
      </c>
      <c r="AM91" s="115">
        <v>0</v>
      </c>
      <c r="AN91" s="115">
        <v>0</v>
      </c>
      <c r="AO91" s="115">
        <v>0</v>
      </c>
      <c r="AP91" s="115">
        <v>0</v>
      </c>
      <c r="AQ91" s="115">
        <v>0</v>
      </c>
      <c r="AR91" s="115">
        <v>0</v>
      </c>
      <c r="AS91" s="115">
        <v>0</v>
      </c>
      <c r="AT91" s="115">
        <v>0</v>
      </c>
    </row>
    <row r="92" spans="2:46">
      <c r="B92" s="211" t="s">
        <v>1896</v>
      </c>
      <c r="C92" s="115">
        <f>+C26*$C$176</f>
        <v>0</v>
      </c>
      <c r="D92" s="115">
        <f>+D26*$C$176</f>
        <v>0</v>
      </c>
      <c r="F92" s="115">
        <f>+F26*$C$176</f>
        <v>0</v>
      </c>
      <c r="G92" s="115">
        <f>+G26*$C$176</f>
        <v>0</v>
      </c>
      <c r="I92" s="115">
        <f>+I26*$C$176</f>
        <v>0</v>
      </c>
      <c r="J92" s="83">
        <f>+J26*$C$176</f>
        <v>0</v>
      </c>
      <c r="K92" s="83">
        <f>+K26*$C$176</f>
        <v>50.703312800560958</v>
      </c>
      <c r="M92" s="23"/>
      <c r="N92" s="66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</row>
    <row r="93" spans="2:46">
      <c r="B93" s="92" t="s">
        <v>324</v>
      </c>
      <c r="C93" s="59">
        <f>SUM(C88:C92)</f>
        <v>-210.01075</v>
      </c>
      <c r="D93" s="59">
        <f>SUM(D88:D92)</f>
        <v>-110.53701000000001</v>
      </c>
      <c r="F93" s="59">
        <f>SUM(F88:F92)</f>
        <v>-170.76488000000001</v>
      </c>
      <c r="G93" s="59">
        <f>SUM(G88:G92)</f>
        <v>-107.55198000000003</v>
      </c>
      <c r="I93" s="59">
        <f>SUM(I88:I92)</f>
        <v>-161.03030000000001</v>
      </c>
      <c r="J93" s="59">
        <f>SUM(J88:J92)</f>
        <v>-47.324110000000005</v>
      </c>
      <c r="K93" s="59">
        <f>SUM(K88:K92)</f>
        <v>-16.070797199439049</v>
      </c>
      <c r="L93" s="71"/>
      <c r="M93" s="59">
        <f>SUM(M88:M91)</f>
        <v>-19.449999999999989</v>
      </c>
      <c r="N93" s="90">
        <f t="shared" ref="N93:N95" si="144">IFERROR(K93/J93-1,0)</f>
        <v>-0.66040994327333258</v>
      </c>
      <c r="P93" s="59">
        <f t="shared" ref="P93:AT93" si="145">SUM(P88:P91)</f>
        <v>-25.068495833333333</v>
      </c>
      <c r="Q93" s="59">
        <f t="shared" si="145"/>
        <v>-23.901995833333331</v>
      </c>
      <c r="R93" s="59">
        <f t="shared" si="145"/>
        <v>-23.901995833333331</v>
      </c>
      <c r="S93" s="59">
        <f t="shared" si="145"/>
        <v>-23.901825833333334</v>
      </c>
      <c r="T93" s="59">
        <f t="shared" si="145"/>
        <v>-23.901825833333334</v>
      </c>
      <c r="U93" s="59">
        <f t="shared" si="145"/>
        <v>-22.401835833333333</v>
      </c>
      <c r="V93" s="59">
        <f t="shared" si="145"/>
        <v>-23.901825833333334</v>
      </c>
      <c r="W93" s="59">
        <f t="shared" si="145"/>
        <v>-23.901825833333334</v>
      </c>
      <c r="X93" s="59">
        <f t="shared" si="145"/>
        <v>-22.000585833333332</v>
      </c>
      <c r="Y93" s="59">
        <f t="shared" si="145"/>
        <v>-23.901825833333334</v>
      </c>
      <c r="Z93" s="59">
        <f t="shared" si="145"/>
        <v>-22.901825833333334</v>
      </c>
      <c r="AA93" s="59">
        <f t="shared" si="145"/>
        <v>-22.901835833333333</v>
      </c>
      <c r="AB93" s="59">
        <f t="shared" si="145"/>
        <v>-22.901825833333334</v>
      </c>
      <c r="AC93" s="59">
        <f t="shared" si="145"/>
        <v>-22.901825833333334</v>
      </c>
      <c r="AD93" s="59">
        <f t="shared" si="145"/>
        <v>-13.995445833333333</v>
      </c>
      <c r="AE93" s="59">
        <f t="shared" si="145"/>
        <v>-13.074595833333333</v>
      </c>
      <c r="AF93" s="59">
        <f t="shared" si="145"/>
        <v>-14.372985833333331</v>
      </c>
      <c r="AG93" s="59">
        <f t="shared" si="145"/>
        <v>-15.207045833333332</v>
      </c>
      <c r="AH93" s="59">
        <f t="shared" si="145"/>
        <v>-15.545625833333332</v>
      </c>
      <c r="AI93" s="59">
        <f t="shared" si="145"/>
        <v>-16.17368583333333</v>
      </c>
      <c r="AJ93" s="59">
        <f t="shared" si="145"/>
        <v>-14.632705833333333</v>
      </c>
      <c r="AK93" s="59">
        <f t="shared" si="145"/>
        <v>-15.545625833333332</v>
      </c>
      <c r="AL93" s="59">
        <f t="shared" si="145"/>
        <v>-10.787735833333333</v>
      </c>
      <c r="AM93" s="59">
        <f t="shared" si="145"/>
        <v>-7.9748558333333337</v>
      </c>
      <c r="AN93" s="59">
        <f t="shared" si="145"/>
        <v>-15.792285833333334</v>
      </c>
      <c r="AO93" s="59">
        <f t="shared" si="145"/>
        <v>-16.745865833333333</v>
      </c>
      <c r="AP93" s="59">
        <f t="shared" si="145"/>
        <v>-9.3596658333333345</v>
      </c>
      <c r="AQ93" s="59">
        <f t="shared" si="145"/>
        <v>-1.9596658333333332</v>
      </c>
      <c r="AR93" s="59">
        <f t="shared" si="145"/>
        <v>1.6263141666666669</v>
      </c>
      <c r="AS93" s="59">
        <f t="shared" si="145"/>
        <v>-15.959655833333333</v>
      </c>
      <c r="AT93" s="59">
        <f t="shared" si="145"/>
        <v>3.4043741666666669</v>
      </c>
    </row>
    <row r="94" spans="2:46" ht="3.95" customHeight="1">
      <c r="B94" s="122"/>
      <c r="C94" s="115"/>
      <c r="D94" s="115"/>
      <c r="F94" s="115"/>
      <c r="G94" s="115"/>
      <c r="I94" s="115"/>
      <c r="J94" s="115"/>
      <c r="K94" s="115"/>
      <c r="M94" s="23"/>
      <c r="N94" s="66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</row>
    <row r="95" spans="2:46">
      <c r="B95" s="104" t="s">
        <v>464</v>
      </c>
      <c r="C95" s="105">
        <f>+C93+C84</f>
        <v>-49.229429999999894</v>
      </c>
      <c r="D95" s="106">
        <f>+D93+D84</f>
        <v>44.518099999999833</v>
      </c>
      <c r="F95" s="110">
        <f>+F93+F84</f>
        <v>-57.931530000000279</v>
      </c>
      <c r="G95" s="106">
        <f>+G93+G84</f>
        <v>-27.482449999999702</v>
      </c>
      <c r="I95" s="110">
        <f>+I93+I84</f>
        <v>-11.06329000000008</v>
      </c>
      <c r="J95" s="105">
        <f>+J93+J84</f>
        <v>74.967179999999942</v>
      </c>
      <c r="K95" s="106">
        <f>+K93+K84</f>
        <v>53.597222800561077</v>
      </c>
      <c r="L95" s="71"/>
      <c r="M95" s="110">
        <f>+M93+M84</f>
        <v>-72.07326999999988</v>
      </c>
      <c r="N95" s="112">
        <f t="shared" si="144"/>
        <v>-0.28505750382285799</v>
      </c>
      <c r="P95" s="110">
        <f t="shared" ref="P95:AT95" si="146">+P93+P84</f>
        <v>7.3070441666666675</v>
      </c>
      <c r="Q95" s="105">
        <f t="shared" si="146"/>
        <v>-0.16142583333331828</v>
      </c>
      <c r="R95" s="105">
        <f t="shared" si="146"/>
        <v>-5.795955833333327</v>
      </c>
      <c r="S95" s="105">
        <f t="shared" si="146"/>
        <v>-14.239295833333351</v>
      </c>
      <c r="T95" s="105">
        <f t="shared" si="146"/>
        <v>-22.845245833333312</v>
      </c>
      <c r="U95" s="105">
        <f t="shared" si="146"/>
        <v>-9.8175358333333342</v>
      </c>
      <c r="V95" s="105">
        <f t="shared" si="146"/>
        <v>2.2202741666666803</v>
      </c>
      <c r="W95" s="105">
        <f t="shared" si="146"/>
        <v>5.0469941666666642</v>
      </c>
      <c r="X95" s="105">
        <f t="shared" si="146"/>
        <v>-8.6078158333333281</v>
      </c>
      <c r="Y95" s="105">
        <f t="shared" si="146"/>
        <v>-11.929775833333352</v>
      </c>
      <c r="Z95" s="105">
        <f t="shared" si="146"/>
        <v>-34.309155833333328</v>
      </c>
      <c r="AA95" s="105">
        <f t="shared" si="146"/>
        <v>-28.674485833333311</v>
      </c>
      <c r="AB95" s="105">
        <f t="shared" si="146"/>
        <v>0.14461416666663496</v>
      </c>
      <c r="AC95" s="105">
        <f t="shared" si="146"/>
        <v>-15.095905833333337</v>
      </c>
      <c r="AD95" s="105">
        <f t="shared" si="146"/>
        <v>7.3990541666666712</v>
      </c>
      <c r="AE95" s="105">
        <f t="shared" si="146"/>
        <v>-12.353775833333319</v>
      </c>
      <c r="AF95" s="105">
        <f t="shared" si="146"/>
        <v>1.6473541666666769</v>
      </c>
      <c r="AG95" s="105">
        <f t="shared" si="146"/>
        <v>12.362514166666646</v>
      </c>
      <c r="AH95" s="105">
        <f t="shared" si="146"/>
        <v>0.73014416666665483</v>
      </c>
      <c r="AI95" s="105">
        <f t="shared" si="146"/>
        <v>2.3874641666666427</v>
      </c>
      <c r="AJ95" s="105">
        <f t="shared" si="146"/>
        <v>-9.4950558333333213</v>
      </c>
      <c r="AK95" s="105">
        <f t="shared" si="146"/>
        <v>-12.683995833333325</v>
      </c>
      <c r="AL95" s="105">
        <f t="shared" si="146"/>
        <v>2.9951341666667055</v>
      </c>
      <c r="AM95" s="105">
        <f t="shared" si="146"/>
        <v>-6.0963958333333448</v>
      </c>
      <c r="AN95" s="105">
        <f t="shared" si="146"/>
        <v>16.395184166666613</v>
      </c>
      <c r="AO95" s="105">
        <f t="shared" si="146"/>
        <v>53.993614166666639</v>
      </c>
      <c r="AP95" s="105">
        <f t="shared" si="146"/>
        <v>-17.827795833333354</v>
      </c>
      <c r="AQ95" s="105">
        <f t="shared" si="146"/>
        <v>-10.915155833333355</v>
      </c>
      <c r="AR95" s="105">
        <f t="shared" si="146"/>
        <v>1.8522841666666663</v>
      </c>
      <c r="AS95" s="105">
        <f t="shared" si="146"/>
        <v>-5.7195858333332641</v>
      </c>
      <c r="AT95" s="106">
        <f t="shared" si="146"/>
        <v>-12.495465833333331</v>
      </c>
    </row>
    <row r="96" spans="2:46" s="97" customFormat="1">
      <c r="B96" s="107" t="s">
        <v>305</v>
      </c>
      <c r="C96" s="108">
        <f>C95/C$28</f>
        <v>-4.3375252215738382E-2</v>
      </c>
      <c r="D96" s="109">
        <f>D95/D$28</f>
        <v>2.3687612860502708E-2</v>
      </c>
      <c r="F96" s="111">
        <f>F95/F$28</f>
        <v>-5.8055007194802909E-2</v>
      </c>
      <c r="G96" s="109">
        <f>G95/G$28</f>
        <v>-1.6446499900779059E-2</v>
      </c>
      <c r="I96" s="111">
        <f>I95/I$28</f>
        <v>-7.2574210892583828E-3</v>
      </c>
      <c r="J96" s="108">
        <f>J95/J$28</f>
        <v>2.9369740561411246E-2</v>
      </c>
      <c r="K96" s="109">
        <f>K95/K$28</f>
        <v>1.7331224479843629E-2</v>
      </c>
      <c r="L96" s="103"/>
      <c r="M96" s="111">
        <v>0</v>
      </c>
      <c r="N96" s="113">
        <v>0</v>
      </c>
      <c r="P96" s="111">
        <f t="shared" ref="P96:AT96" si="147">P95/P$24</f>
        <v>9.030730705740686E-2</v>
      </c>
      <c r="Q96" s="108">
        <f t="shared" si="147"/>
        <v>-1.9866401167341892E-3</v>
      </c>
      <c r="R96" s="108">
        <f t="shared" si="147"/>
        <v>-7.4200391658835962E-2</v>
      </c>
      <c r="S96" s="108">
        <f t="shared" si="147"/>
        <v>-0.17083061898369173</v>
      </c>
      <c r="T96" s="108">
        <f t="shared" si="147"/>
        <v>-0.25328404630722384</v>
      </c>
      <c r="U96" s="108">
        <f t="shared" si="147"/>
        <v>-0.10918588093898218</v>
      </c>
      <c r="V96" s="108">
        <f t="shared" si="147"/>
        <v>2.1209693225024542E-2</v>
      </c>
      <c r="W96" s="108">
        <f t="shared" si="147"/>
        <v>4.8474372919503003E-2</v>
      </c>
      <c r="X96" s="108">
        <f t="shared" si="147"/>
        <v>-8.7502035201143899E-2</v>
      </c>
      <c r="Y96" s="108">
        <f t="shared" si="147"/>
        <v>-0.12043113575189462</v>
      </c>
      <c r="Z96" s="108">
        <f t="shared" si="147"/>
        <v>-0.31407912712354963</v>
      </c>
      <c r="AA96" s="108">
        <f t="shared" si="147"/>
        <v>-0.24772378008069249</v>
      </c>
      <c r="AB96" s="108">
        <f t="shared" si="147"/>
        <v>1.0429215867343777E-3</v>
      </c>
      <c r="AC96" s="108">
        <f t="shared" si="147"/>
        <v>-0.11811892585388198</v>
      </c>
      <c r="AD96" s="108">
        <f t="shared" si="147"/>
        <v>5.4939896361694711E-2</v>
      </c>
      <c r="AE96" s="108">
        <f t="shared" si="147"/>
        <v>-9.0852887086604647E-2</v>
      </c>
      <c r="AF96" s="108">
        <f t="shared" si="147"/>
        <v>1.0834212642870877E-2</v>
      </c>
      <c r="AG96" s="108">
        <f t="shared" si="147"/>
        <v>8.0629463910499716E-2</v>
      </c>
      <c r="AH96" s="108">
        <f t="shared" si="147"/>
        <v>4.699063595038298E-3</v>
      </c>
      <c r="AI96" s="108">
        <f t="shared" si="147"/>
        <v>1.4933474620197061E-2</v>
      </c>
      <c r="AJ96" s="108">
        <f t="shared" si="147"/>
        <v>-5.7896960804465589E-2</v>
      </c>
      <c r="AK96" s="108">
        <f t="shared" si="147"/>
        <v>-7.0763756946015804E-2</v>
      </c>
      <c r="AL96" s="108">
        <f t="shared" si="147"/>
        <v>1.6484807119151169E-2</v>
      </c>
      <c r="AM96" s="108">
        <f t="shared" si="147"/>
        <v>-3.0992947494835076E-2</v>
      </c>
      <c r="AN96" s="108">
        <f t="shared" si="147"/>
        <v>7.7267982650441672E-2</v>
      </c>
      <c r="AO96" s="108">
        <f t="shared" si="147"/>
        <v>0.22320968245439077</v>
      </c>
      <c r="AP96" s="108">
        <f t="shared" si="147"/>
        <v>-7.7011464089163581E-2</v>
      </c>
      <c r="AQ96" s="108">
        <f t="shared" si="147"/>
        <v>-4.5419357130462024E-2</v>
      </c>
      <c r="AR96" s="108">
        <f t="shared" si="147"/>
        <v>7.5235289143985298E-3</v>
      </c>
      <c r="AS96" s="108">
        <f t="shared" si="147"/>
        <v>-2.3109503070648137E-2</v>
      </c>
      <c r="AT96" s="109">
        <f t="shared" si="147"/>
        <v>-4.969841340233444E-2</v>
      </c>
    </row>
    <row r="97" spans="1:46" ht="3.95" customHeight="1"/>
    <row r="98" spans="1:46">
      <c r="B98" s="42" t="s">
        <v>309</v>
      </c>
      <c r="C98" s="43"/>
      <c r="D98" s="43"/>
      <c r="E98" s="6"/>
      <c r="F98" s="43"/>
      <c r="G98" s="43"/>
      <c r="H98" s="6"/>
      <c r="I98" s="43"/>
      <c r="J98" s="43"/>
      <c r="K98" s="43"/>
      <c r="L98" s="6"/>
      <c r="M98" s="43"/>
      <c r="N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>
      <c r="B99" s="211" t="s">
        <v>311</v>
      </c>
      <c r="C99" s="70">
        <v>0</v>
      </c>
      <c r="D99" s="70">
        <v>0</v>
      </c>
      <c r="E99" s="23"/>
      <c r="F99" s="70">
        <v>0</v>
      </c>
      <c r="G99" s="70">
        <v>0</v>
      </c>
      <c r="H99" s="23"/>
      <c r="I99" s="70">
        <v>0</v>
      </c>
      <c r="J99" s="70">
        <v>0</v>
      </c>
      <c r="K99" s="23">
        <f>-K10*($C$191)</f>
        <v>-25.891874999999999</v>
      </c>
      <c r="L99" s="65"/>
      <c r="M99" s="23">
        <f t="shared" ref="M99:M103" si="148">K99-J99</f>
        <v>-25.891874999999999</v>
      </c>
      <c r="N99" s="66">
        <f t="shared" ref="N99" si="149">IFERROR(K99/J99-1,0)</f>
        <v>0</v>
      </c>
      <c r="P99" s="83">
        <f t="shared" ref="P99:AT99" si="150">-P10</f>
        <v>-5.4649999999999999</v>
      </c>
      <c r="Q99" s="83">
        <f t="shared" si="150"/>
        <v>-3.9</v>
      </c>
      <c r="R99" s="83">
        <f t="shared" si="150"/>
        <v>-2.7549999999999999</v>
      </c>
      <c r="S99" s="83">
        <f t="shared" si="150"/>
        <v>-3.5019999999999998</v>
      </c>
      <c r="T99" s="83">
        <f t="shared" si="150"/>
        <v>-4.6589999999999998</v>
      </c>
      <c r="U99" s="83">
        <f t="shared" si="150"/>
        <v>-3.9369999999999998</v>
      </c>
      <c r="V99" s="83">
        <f t="shared" si="150"/>
        <v>-4.6020000000000003</v>
      </c>
      <c r="W99" s="83">
        <f t="shared" si="150"/>
        <v>-4.7380000000000004</v>
      </c>
      <c r="X99" s="83">
        <f t="shared" si="150"/>
        <v>-2.1190000000000002</v>
      </c>
      <c r="Y99" s="83">
        <f t="shared" si="150"/>
        <v>-2.0640000000000001</v>
      </c>
      <c r="Z99" s="83">
        <f t="shared" si="150"/>
        <v>-3.0125000000000002</v>
      </c>
      <c r="AA99" s="83">
        <f t="shared" si="150"/>
        <v>-3.3050000000000002</v>
      </c>
      <c r="AB99" s="83">
        <f t="shared" si="150"/>
        <v>-3.0790000000000002</v>
      </c>
      <c r="AC99" s="83">
        <f t="shared" si="150"/>
        <v>-0.7</v>
      </c>
      <c r="AD99" s="83">
        <f t="shared" si="150"/>
        <v>-10.438549999999999</v>
      </c>
      <c r="AE99" s="83">
        <f t="shared" si="150"/>
        <v>-4.3</v>
      </c>
      <c r="AF99" s="83">
        <f t="shared" si="150"/>
        <v>-11.14</v>
      </c>
      <c r="AG99" s="83">
        <f t="shared" si="150"/>
        <v>-6.1624999999999996</v>
      </c>
      <c r="AH99" s="83">
        <f t="shared" si="150"/>
        <v>-6.4340000000000002</v>
      </c>
      <c r="AI99" s="83">
        <f t="shared" si="150"/>
        <v>-3.9649999999999999</v>
      </c>
      <c r="AJ99" s="83">
        <f t="shared" si="150"/>
        <v>-3.92</v>
      </c>
      <c r="AK99" s="83">
        <f t="shared" si="150"/>
        <v>-9.1364999999999998</v>
      </c>
      <c r="AL99" s="83">
        <f t="shared" si="150"/>
        <v>-5.2537500000000001</v>
      </c>
      <c r="AM99" s="83">
        <f t="shared" si="150"/>
        <v>-9.99</v>
      </c>
      <c r="AN99" s="83">
        <f t="shared" si="150"/>
        <v>-10.2105</v>
      </c>
      <c r="AO99" s="83">
        <f t="shared" si="150"/>
        <v>-6.6749999999999998</v>
      </c>
      <c r="AP99" s="83">
        <f t="shared" si="150"/>
        <v>-9.0990000000000002</v>
      </c>
      <c r="AQ99" s="83">
        <f t="shared" si="150"/>
        <v>-8.9544999999999995</v>
      </c>
      <c r="AR99" s="83">
        <f t="shared" si="150"/>
        <v>-12.606</v>
      </c>
      <c r="AS99" s="83">
        <f t="shared" si="150"/>
        <v>-5.4115000000000002</v>
      </c>
      <c r="AT99" s="83">
        <f t="shared" si="150"/>
        <v>-6.0984999999999996</v>
      </c>
    </row>
    <row r="100" spans="1:46">
      <c r="B100" s="211" t="s">
        <v>312</v>
      </c>
      <c r="C100" s="82">
        <v>0</v>
      </c>
      <c r="D100" s="82">
        <v>0</v>
      </c>
      <c r="F100" s="82">
        <v>0</v>
      </c>
      <c r="G100" s="82">
        <v>0</v>
      </c>
      <c r="I100" s="82">
        <v>0</v>
      </c>
      <c r="J100" s="82">
        <v>0</v>
      </c>
      <c r="K100" s="143">
        <f>+K34*($C$191)</f>
        <v>49.287359999999993</v>
      </c>
      <c r="M100" s="23">
        <f t="shared" si="148"/>
        <v>49.287359999999993</v>
      </c>
      <c r="N100" s="66">
        <f t="shared" ref="N100:N102" si="151">IFERROR(K100/J100-1,0)</f>
        <v>0</v>
      </c>
      <c r="P100" s="83">
        <f t="shared" ref="P100:AT100" si="152">+P34</f>
        <v>9.1372800000000005</v>
      </c>
      <c r="Q100" s="83">
        <f t="shared" si="152"/>
        <v>8.9629599999999989</v>
      </c>
      <c r="R100" s="83">
        <f t="shared" si="152"/>
        <v>10.19584</v>
      </c>
      <c r="S100" s="83">
        <f t="shared" si="152"/>
        <v>15.04429</v>
      </c>
      <c r="T100" s="83">
        <f t="shared" si="152"/>
        <v>16.637439999999998</v>
      </c>
      <c r="U100" s="83">
        <f t="shared" si="152"/>
        <v>7.4949899999999996</v>
      </c>
      <c r="V100" s="83">
        <f t="shared" si="152"/>
        <v>7.9820200000000003</v>
      </c>
      <c r="W100" s="83">
        <f t="shared" si="152"/>
        <v>5.9027399999999997</v>
      </c>
      <c r="X100" s="83">
        <f t="shared" si="152"/>
        <v>7.7676300000000005</v>
      </c>
      <c r="Y100" s="83">
        <f t="shared" si="152"/>
        <v>8.2141699999999993</v>
      </c>
      <c r="Z100" s="83">
        <f t="shared" si="152"/>
        <v>12.622719999999999</v>
      </c>
      <c r="AA100" s="83">
        <f t="shared" si="152"/>
        <v>12.85047</v>
      </c>
      <c r="AB100" s="83">
        <f t="shared" si="152"/>
        <v>10.345559999999999</v>
      </c>
      <c r="AC100" s="83">
        <f t="shared" si="152"/>
        <v>8.0879799999999999</v>
      </c>
      <c r="AD100" s="83">
        <f t="shared" si="152"/>
        <v>9.7528700000000015</v>
      </c>
      <c r="AE100" s="83">
        <f t="shared" si="152"/>
        <v>10.28</v>
      </c>
      <c r="AF100" s="83">
        <f t="shared" si="152"/>
        <v>11.13632</v>
      </c>
      <c r="AG100" s="83">
        <f t="shared" si="152"/>
        <v>10.874319999999999</v>
      </c>
      <c r="AH100" s="83">
        <f t="shared" si="152"/>
        <v>13.472569999999999</v>
      </c>
      <c r="AI100" s="83">
        <f t="shared" si="152"/>
        <v>12.70407</v>
      </c>
      <c r="AJ100" s="83">
        <f t="shared" si="152"/>
        <v>14.698840000000001</v>
      </c>
      <c r="AK100" s="83">
        <f t="shared" si="152"/>
        <v>15.543059999999999</v>
      </c>
      <c r="AL100" s="83">
        <f t="shared" si="152"/>
        <v>14.34361</v>
      </c>
      <c r="AM100" s="83">
        <f t="shared" si="152"/>
        <v>20.930520000000001</v>
      </c>
      <c r="AN100" s="83">
        <f t="shared" si="152"/>
        <v>16.553939999999997</v>
      </c>
      <c r="AO100" s="83">
        <f t="shared" si="152"/>
        <v>11.52661</v>
      </c>
      <c r="AP100" s="83">
        <f t="shared" si="152"/>
        <v>14.938829999999999</v>
      </c>
      <c r="AQ100" s="83">
        <f t="shared" si="152"/>
        <v>15.58352</v>
      </c>
      <c r="AR100" s="83">
        <f t="shared" si="152"/>
        <v>19.603400000000001</v>
      </c>
      <c r="AS100" s="83">
        <f t="shared" si="152"/>
        <v>16.644569999999998</v>
      </c>
      <c r="AT100" s="83">
        <f t="shared" si="152"/>
        <v>16.429119999999998</v>
      </c>
    </row>
    <row r="101" spans="1:46">
      <c r="B101" s="335" t="s">
        <v>1844</v>
      </c>
      <c r="C101" s="115">
        <v>0</v>
      </c>
      <c r="D101" s="115">
        <v>0</v>
      </c>
      <c r="F101" s="115">
        <v>0</v>
      </c>
      <c r="G101" s="115">
        <v>0</v>
      </c>
      <c r="I101" s="115">
        <v>0</v>
      </c>
      <c r="J101" s="115">
        <v>0</v>
      </c>
      <c r="K101" s="83">
        <f>K32-C185</f>
        <v>220.13062500000001</v>
      </c>
      <c r="M101" s="23">
        <f t="shared" ref="M101" si="153">K101-J101</f>
        <v>220.13062500000001</v>
      </c>
      <c r="N101" s="66">
        <f t="shared" ref="N101" si="154">IFERROR(K101/J101-1,0)</f>
        <v>0</v>
      </c>
      <c r="P101" s="115">
        <v>0</v>
      </c>
      <c r="Q101" s="115">
        <v>0</v>
      </c>
      <c r="R101" s="115">
        <v>0</v>
      </c>
      <c r="S101" s="115">
        <v>0</v>
      </c>
      <c r="T101" s="115">
        <v>0</v>
      </c>
      <c r="U101" s="115">
        <v>0</v>
      </c>
      <c r="V101" s="115">
        <v>0</v>
      </c>
      <c r="W101" s="115">
        <v>0</v>
      </c>
      <c r="X101" s="115">
        <v>0</v>
      </c>
      <c r="Y101" s="115">
        <v>0</v>
      </c>
      <c r="Z101" s="115">
        <v>0</v>
      </c>
      <c r="AA101" s="115">
        <v>0</v>
      </c>
      <c r="AB101" s="115">
        <v>0</v>
      </c>
      <c r="AC101" s="115">
        <v>0</v>
      </c>
      <c r="AD101" s="115">
        <v>0</v>
      </c>
      <c r="AE101" s="115">
        <v>0</v>
      </c>
      <c r="AF101" s="115">
        <v>0</v>
      </c>
      <c r="AG101" s="115">
        <v>0</v>
      </c>
      <c r="AH101" s="115">
        <v>0</v>
      </c>
      <c r="AI101" s="115">
        <v>0</v>
      </c>
      <c r="AJ101" s="115">
        <v>0</v>
      </c>
      <c r="AK101" s="115">
        <v>0</v>
      </c>
      <c r="AL101" s="115">
        <v>0</v>
      </c>
      <c r="AM101" s="115">
        <v>0</v>
      </c>
      <c r="AN101" s="115">
        <v>0</v>
      </c>
      <c r="AO101" s="115">
        <v>0</v>
      </c>
      <c r="AP101" s="115">
        <v>0</v>
      </c>
      <c r="AQ101" s="115">
        <v>0</v>
      </c>
      <c r="AR101" s="115">
        <v>0</v>
      </c>
      <c r="AS101" s="115">
        <v>0</v>
      </c>
      <c r="AT101" s="115">
        <v>0</v>
      </c>
    </row>
    <row r="102" spans="1:46">
      <c r="B102" s="211" t="s">
        <v>1572</v>
      </c>
      <c r="C102" s="115">
        <v>0</v>
      </c>
      <c r="D102" s="115">
        <v>0</v>
      </c>
      <c r="F102" s="115">
        <v>0</v>
      </c>
      <c r="G102" s="115">
        <v>0</v>
      </c>
      <c r="I102" s="115">
        <v>0</v>
      </c>
      <c r="J102" s="115">
        <v>0</v>
      </c>
      <c r="K102" s="83">
        <f>+$C$189</f>
        <v>143.23972444444445</v>
      </c>
      <c r="M102" s="23">
        <f t="shared" si="148"/>
        <v>143.23972444444445</v>
      </c>
      <c r="N102" s="66">
        <f t="shared" si="151"/>
        <v>0</v>
      </c>
      <c r="P102" s="115">
        <v>0</v>
      </c>
      <c r="Q102" s="115">
        <v>0</v>
      </c>
      <c r="R102" s="115">
        <v>0</v>
      </c>
      <c r="S102" s="115">
        <v>0</v>
      </c>
      <c r="T102" s="115">
        <v>0</v>
      </c>
      <c r="U102" s="115">
        <v>0</v>
      </c>
      <c r="V102" s="115">
        <v>0</v>
      </c>
      <c r="W102" s="115">
        <v>0</v>
      </c>
      <c r="X102" s="115">
        <v>0</v>
      </c>
      <c r="Y102" s="115">
        <v>0</v>
      </c>
      <c r="Z102" s="115">
        <v>0</v>
      </c>
      <c r="AA102" s="115">
        <v>0</v>
      </c>
      <c r="AB102" s="115">
        <v>0</v>
      </c>
      <c r="AC102" s="115">
        <v>0</v>
      </c>
      <c r="AD102" s="115">
        <v>0</v>
      </c>
      <c r="AE102" s="115">
        <v>0</v>
      </c>
      <c r="AF102" s="115">
        <v>0</v>
      </c>
      <c r="AG102" s="115">
        <v>0</v>
      </c>
      <c r="AH102" s="115">
        <v>0</v>
      </c>
      <c r="AI102" s="115">
        <v>0</v>
      </c>
      <c r="AJ102" s="115">
        <v>0</v>
      </c>
      <c r="AK102" s="115">
        <v>0</v>
      </c>
      <c r="AL102" s="115">
        <v>0</v>
      </c>
      <c r="AM102" s="115">
        <v>0</v>
      </c>
      <c r="AN102" s="115">
        <v>0</v>
      </c>
      <c r="AO102" s="115">
        <v>0</v>
      </c>
      <c r="AP102" s="115">
        <v>0</v>
      </c>
      <c r="AQ102" s="115">
        <v>0</v>
      </c>
      <c r="AR102" s="115">
        <v>0</v>
      </c>
      <c r="AS102" s="115">
        <v>0</v>
      </c>
      <c r="AT102" s="115">
        <v>0</v>
      </c>
    </row>
    <row r="103" spans="1:46">
      <c r="B103" s="279" t="s">
        <v>313</v>
      </c>
      <c r="C103" s="115">
        <v>0</v>
      </c>
      <c r="D103" s="115">
        <v>0</v>
      </c>
      <c r="F103" s="115">
        <v>0</v>
      </c>
      <c r="G103" s="115">
        <v>0</v>
      </c>
      <c r="I103" s="115">
        <v>0</v>
      </c>
      <c r="J103" s="83"/>
      <c r="K103" s="83">
        <f>+$C$179</f>
        <v>28.2</v>
      </c>
      <c r="M103" s="23">
        <f t="shared" si="148"/>
        <v>28.2</v>
      </c>
      <c r="N103" s="66">
        <f t="shared" ref="N103" si="155">IFERROR(K103/J103-1,0)</f>
        <v>0</v>
      </c>
      <c r="P103" s="83">
        <f t="shared" ref="P103:AT103" si="156">+P36</f>
        <v>0</v>
      </c>
      <c r="Q103" s="83">
        <f t="shared" si="156"/>
        <v>0</v>
      </c>
      <c r="R103" s="83">
        <f t="shared" si="156"/>
        <v>0</v>
      </c>
      <c r="S103" s="83">
        <f t="shared" si="156"/>
        <v>0</v>
      </c>
      <c r="T103" s="83">
        <f t="shared" si="156"/>
        <v>0</v>
      </c>
      <c r="U103" s="83">
        <f t="shared" si="156"/>
        <v>0</v>
      </c>
      <c r="V103" s="83">
        <f t="shared" si="156"/>
        <v>0</v>
      </c>
      <c r="W103" s="83">
        <f t="shared" si="156"/>
        <v>0</v>
      </c>
      <c r="X103" s="83">
        <f t="shared" si="156"/>
        <v>0</v>
      </c>
      <c r="Y103" s="83">
        <f t="shared" si="156"/>
        <v>0</v>
      </c>
      <c r="Z103" s="83">
        <f t="shared" si="156"/>
        <v>0</v>
      </c>
      <c r="AA103" s="83">
        <f t="shared" si="156"/>
        <v>0</v>
      </c>
      <c r="AB103" s="83">
        <f t="shared" si="156"/>
        <v>0</v>
      </c>
      <c r="AC103" s="83">
        <f t="shared" si="156"/>
        <v>0</v>
      </c>
      <c r="AD103" s="83">
        <f t="shared" si="156"/>
        <v>0</v>
      </c>
      <c r="AE103" s="83">
        <f t="shared" si="156"/>
        <v>0</v>
      </c>
      <c r="AF103" s="83">
        <f t="shared" si="156"/>
        <v>0</v>
      </c>
      <c r="AG103" s="83">
        <f t="shared" si="156"/>
        <v>1.4667999999999999</v>
      </c>
      <c r="AH103" s="83">
        <f t="shared" si="156"/>
        <v>1.6326500000000002</v>
      </c>
      <c r="AI103" s="83">
        <f t="shared" si="156"/>
        <v>1.7180499999999999</v>
      </c>
      <c r="AJ103" s="83">
        <f t="shared" si="156"/>
        <v>1.9145999999999999</v>
      </c>
      <c r="AK103" s="83">
        <f t="shared" si="156"/>
        <v>2.3529</v>
      </c>
      <c r="AL103" s="83">
        <f t="shared" si="156"/>
        <v>2.2452399999999999</v>
      </c>
      <c r="AM103" s="83">
        <f t="shared" si="156"/>
        <v>7.8193900000000003</v>
      </c>
      <c r="AN103" s="83">
        <f t="shared" si="156"/>
        <v>5.6533999999999995</v>
      </c>
      <c r="AO103" s="83">
        <f t="shared" si="156"/>
        <v>5.9568900000000005</v>
      </c>
      <c r="AP103" s="83">
        <f t="shared" si="156"/>
        <v>7.7827999999999999</v>
      </c>
      <c r="AQ103" s="83">
        <f t="shared" si="156"/>
        <v>8.1370100000000001</v>
      </c>
      <c r="AR103" s="83">
        <f t="shared" si="156"/>
        <v>7.8082500000000001</v>
      </c>
      <c r="AS103" s="83">
        <f t="shared" si="156"/>
        <v>8.4072000000000013</v>
      </c>
      <c r="AT103" s="83">
        <f t="shared" si="156"/>
        <v>8.1957599999999999</v>
      </c>
    </row>
    <row r="104" spans="1:46">
      <c r="B104" s="92" t="s">
        <v>314</v>
      </c>
      <c r="C104" s="59">
        <f>SUM(C99:C103)</f>
        <v>0</v>
      </c>
      <c r="D104" s="59">
        <f>SUM(D99:D103)</f>
        <v>0</v>
      </c>
      <c r="F104" s="59">
        <f>SUM(F99:F103)</f>
        <v>0</v>
      </c>
      <c r="G104" s="59">
        <f>SUM(G99:G103)</f>
        <v>0</v>
      </c>
      <c r="I104" s="59">
        <f>SUM(I99:I103)</f>
        <v>0</v>
      </c>
      <c r="J104" s="59">
        <f>SUM(J99:J103)</f>
        <v>0</v>
      </c>
      <c r="K104" s="59">
        <f>SUM(K99:K103)</f>
        <v>414.96583444444445</v>
      </c>
      <c r="L104" s="71"/>
      <c r="M104" s="59">
        <f>SUM(M99:M103)</f>
        <v>414.96583444444445</v>
      </c>
      <c r="N104" s="90">
        <f t="shared" ref="N104" si="157">IFERROR(K104/J104-1,0)</f>
        <v>0</v>
      </c>
      <c r="P104" s="59">
        <f t="shared" ref="P104:AT104" si="158">SUM(P99:P103)</f>
        <v>3.6722800000000007</v>
      </c>
      <c r="Q104" s="59">
        <f t="shared" si="158"/>
        <v>5.0629599999999986</v>
      </c>
      <c r="R104" s="59">
        <f t="shared" si="158"/>
        <v>7.4408400000000006</v>
      </c>
      <c r="S104" s="59">
        <f t="shared" si="158"/>
        <v>11.542290000000001</v>
      </c>
      <c r="T104" s="59">
        <f t="shared" si="158"/>
        <v>11.978439999999999</v>
      </c>
      <c r="U104" s="59">
        <f t="shared" si="158"/>
        <v>3.5579899999999998</v>
      </c>
      <c r="V104" s="59">
        <f t="shared" si="158"/>
        <v>3.38002</v>
      </c>
      <c r="W104" s="59">
        <f t="shared" si="158"/>
        <v>1.1647399999999992</v>
      </c>
      <c r="X104" s="59">
        <f t="shared" si="158"/>
        <v>5.6486300000000007</v>
      </c>
      <c r="Y104" s="59">
        <f t="shared" si="158"/>
        <v>6.1501699999999992</v>
      </c>
      <c r="Z104" s="59">
        <f t="shared" si="158"/>
        <v>9.6102199999999982</v>
      </c>
      <c r="AA104" s="59">
        <f t="shared" si="158"/>
        <v>9.5454699999999999</v>
      </c>
      <c r="AB104" s="59">
        <f t="shared" si="158"/>
        <v>7.2665599999999984</v>
      </c>
      <c r="AC104" s="59">
        <f t="shared" si="158"/>
        <v>7.3879799999999998</v>
      </c>
      <c r="AD104" s="59">
        <f t="shared" si="158"/>
        <v>-0.68567999999999785</v>
      </c>
      <c r="AE104" s="59">
        <f t="shared" si="158"/>
        <v>5.9799999999999995</v>
      </c>
      <c r="AF104" s="59">
        <f t="shared" si="158"/>
        <v>-3.6800000000010158E-3</v>
      </c>
      <c r="AG104" s="59">
        <f t="shared" si="158"/>
        <v>6.1786199999999996</v>
      </c>
      <c r="AH104" s="59">
        <f t="shared" si="158"/>
        <v>8.6712199999999999</v>
      </c>
      <c r="AI104" s="59">
        <f t="shared" si="158"/>
        <v>10.45712</v>
      </c>
      <c r="AJ104" s="59">
        <f t="shared" si="158"/>
        <v>12.693440000000001</v>
      </c>
      <c r="AK104" s="59">
        <f t="shared" si="158"/>
        <v>8.7594599999999989</v>
      </c>
      <c r="AL104" s="59">
        <f t="shared" si="158"/>
        <v>11.335100000000001</v>
      </c>
      <c r="AM104" s="59">
        <f t="shared" si="158"/>
        <v>18.759910000000001</v>
      </c>
      <c r="AN104" s="59">
        <f t="shared" si="158"/>
        <v>11.996839999999997</v>
      </c>
      <c r="AO104" s="59">
        <f t="shared" si="158"/>
        <v>10.8085</v>
      </c>
      <c r="AP104" s="59">
        <f t="shared" si="158"/>
        <v>13.622629999999999</v>
      </c>
      <c r="AQ104" s="59">
        <f t="shared" si="158"/>
        <v>14.766030000000001</v>
      </c>
      <c r="AR104" s="59">
        <f t="shared" si="158"/>
        <v>14.80565</v>
      </c>
      <c r="AS104" s="59">
        <f t="shared" si="158"/>
        <v>19.640270000000001</v>
      </c>
      <c r="AT104" s="59">
        <f t="shared" si="158"/>
        <v>18.526379999999996</v>
      </c>
    </row>
    <row r="105" spans="1:46" ht="3.95" customHeight="1"/>
    <row r="106" spans="1:46">
      <c r="B106" s="104" t="s">
        <v>463</v>
      </c>
      <c r="C106" s="105">
        <f>+C95+C104</f>
        <v>-49.229429999999894</v>
      </c>
      <c r="D106" s="106">
        <f>+D95+D104</f>
        <v>44.518099999999833</v>
      </c>
      <c r="F106" s="110">
        <f>+F95+F104</f>
        <v>-57.931530000000279</v>
      </c>
      <c r="G106" s="106">
        <f>+G95+G104</f>
        <v>-27.482449999999702</v>
      </c>
      <c r="I106" s="110">
        <f>+I95+I104</f>
        <v>-11.06329000000008</v>
      </c>
      <c r="J106" s="105">
        <f>+J95+J104</f>
        <v>74.967179999999942</v>
      </c>
      <c r="K106" s="106">
        <f>+K95+K104</f>
        <v>468.56305724500555</v>
      </c>
      <c r="L106" s="71"/>
      <c r="M106" s="110">
        <f>+M95+M104</f>
        <v>342.89256444444459</v>
      </c>
      <c r="N106" s="112">
        <f t="shared" ref="N106" si="159">IFERROR(K106/J106-1,0)</f>
        <v>5.2502425360671952</v>
      </c>
      <c r="P106" s="110">
        <f t="shared" ref="P106:AT106" si="160">+P95+P104</f>
        <v>10.979324166666668</v>
      </c>
      <c r="Q106" s="105">
        <f t="shared" si="160"/>
        <v>4.9015341666666803</v>
      </c>
      <c r="R106" s="105">
        <f t="shared" si="160"/>
        <v>1.6448841666666736</v>
      </c>
      <c r="S106" s="105">
        <f t="shared" si="160"/>
        <v>-2.6970058333333498</v>
      </c>
      <c r="T106" s="105">
        <f t="shared" si="160"/>
        <v>-10.866805833333313</v>
      </c>
      <c r="U106" s="105">
        <f t="shared" si="160"/>
        <v>-6.259545833333334</v>
      </c>
      <c r="V106" s="105">
        <f t="shared" si="160"/>
        <v>5.6002941666666803</v>
      </c>
      <c r="W106" s="105">
        <f t="shared" si="160"/>
        <v>6.2117341666666634</v>
      </c>
      <c r="X106" s="105">
        <f t="shared" si="160"/>
        <v>-2.9591858333333274</v>
      </c>
      <c r="Y106" s="105">
        <f t="shared" si="160"/>
        <v>-5.7796058333333526</v>
      </c>
      <c r="Z106" s="105">
        <f t="shared" si="160"/>
        <v>-24.69893583333333</v>
      </c>
      <c r="AA106" s="105">
        <f t="shared" si="160"/>
        <v>-19.129015833333312</v>
      </c>
      <c r="AB106" s="105">
        <f t="shared" si="160"/>
        <v>7.4111741666666333</v>
      </c>
      <c r="AC106" s="105">
        <f t="shared" si="160"/>
        <v>-7.7079258333333369</v>
      </c>
      <c r="AD106" s="105">
        <f t="shared" si="160"/>
        <v>6.7133741666666733</v>
      </c>
      <c r="AE106" s="105">
        <f t="shared" si="160"/>
        <v>-6.3737758333333199</v>
      </c>
      <c r="AF106" s="105">
        <f t="shared" si="160"/>
        <v>1.6436741666666759</v>
      </c>
      <c r="AG106" s="105">
        <f t="shared" si="160"/>
        <v>18.541134166666644</v>
      </c>
      <c r="AH106" s="105">
        <f t="shared" si="160"/>
        <v>9.4013641666666548</v>
      </c>
      <c r="AI106" s="105">
        <f t="shared" si="160"/>
        <v>12.844584166666642</v>
      </c>
      <c r="AJ106" s="105">
        <f t="shared" si="160"/>
        <v>3.1983841666666795</v>
      </c>
      <c r="AK106" s="105">
        <f t="shared" si="160"/>
        <v>-3.9245358333333265</v>
      </c>
      <c r="AL106" s="105">
        <f t="shared" si="160"/>
        <v>14.330234166666706</v>
      </c>
      <c r="AM106" s="105">
        <f t="shared" si="160"/>
        <v>12.663514166666657</v>
      </c>
      <c r="AN106" s="105">
        <f t="shared" si="160"/>
        <v>28.392024166666609</v>
      </c>
      <c r="AO106" s="105">
        <f t="shared" si="160"/>
        <v>64.802114166666641</v>
      </c>
      <c r="AP106" s="105">
        <f t="shared" si="160"/>
        <v>-4.2051658333333553</v>
      </c>
      <c r="AQ106" s="105">
        <f t="shared" si="160"/>
        <v>3.8508741666666459</v>
      </c>
      <c r="AR106" s="105">
        <f t="shared" si="160"/>
        <v>16.657934166666667</v>
      </c>
      <c r="AS106" s="105">
        <f t="shared" si="160"/>
        <v>13.920684166666737</v>
      </c>
      <c r="AT106" s="106">
        <f t="shared" si="160"/>
        <v>6.0309141666666655</v>
      </c>
    </row>
    <row r="107" spans="1:46" s="97" customFormat="1">
      <c r="B107" s="107" t="s">
        <v>305</v>
      </c>
      <c r="C107" s="108">
        <f>C106/C$28</f>
        <v>-4.3375252215738382E-2</v>
      </c>
      <c r="D107" s="109">
        <f>D106/D$28</f>
        <v>2.3687612860502708E-2</v>
      </c>
      <c r="F107" s="111">
        <f>F106/F$28</f>
        <v>-5.8055007194802909E-2</v>
      </c>
      <c r="G107" s="109">
        <f>G106/G$28</f>
        <v>-1.6446499900779059E-2</v>
      </c>
      <c r="I107" s="111">
        <f>I106/I$28</f>
        <v>-7.2574210892583828E-3</v>
      </c>
      <c r="J107" s="108">
        <f>J106/J$28</f>
        <v>2.9369740561411246E-2</v>
      </c>
      <c r="K107" s="109">
        <f>K106/K$28</f>
        <v>0.15151478199333121</v>
      </c>
      <c r="L107" s="103"/>
      <c r="M107" s="111">
        <v>0</v>
      </c>
      <c r="N107" s="113">
        <v>0</v>
      </c>
      <c r="P107" s="111">
        <f t="shared" ref="P107" si="161">P106/P$24</f>
        <v>0.13569278851838168</v>
      </c>
      <c r="Q107" s="108">
        <f t="shared" ref="Q107" si="162">Q106/Q$24</f>
        <v>6.0322342514638111E-2</v>
      </c>
      <c r="R107" s="108">
        <f t="shared" ref="R107" si="163">R106/R$24</f>
        <v>2.1057967470723825E-2</v>
      </c>
      <c r="S107" s="108">
        <f t="shared" ref="S107" si="164">S106/S$24</f>
        <v>-3.2356317426344851E-2</v>
      </c>
      <c r="T107" s="108">
        <f t="shared" ref="T107" si="165">T106/T$24</f>
        <v>-0.12047970820631825</v>
      </c>
      <c r="U107" s="108">
        <f t="shared" ref="U107" si="166">U106/U$24</f>
        <v>-6.96156385566645E-2</v>
      </c>
      <c r="V107" s="108">
        <f t="shared" ref="V107" si="167">V106/V$24</f>
        <v>5.3498132360482814E-2</v>
      </c>
      <c r="W107" s="108">
        <f t="shared" ref="W107" si="168">W106/W$24</f>
        <v>5.966123766508908E-2</v>
      </c>
      <c r="X107" s="108">
        <f t="shared" ref="X107" si="169">X106/X$24</f>
        <v>-3.0081357218674151E-2</v>
      </c>
      <c r="Y107" s="108">
        <f t="shared" ref="Y107" si="170">Y106/Y$24</f>
        <v>-5.834514448811115E-2</v>
      </c>
      <c r="Z107" s="108">
        <f t="shared" ref="Z107" si="171">Z106/Z$24</f>
        <v>-0.2261034997508482</v>
      </c>
      <c r="AA107" s="108">
        <f t="shared" ref="AA107" si="172">AA106/AA$24</f>
        <v>-0.16525883459601992</v>
      </c>
      <c r="AB107" s="108">
        <f t="shared" ref="AB107" si="173">AB106/AB$24</f>
        <v>5.3447554272344149E-2</v>
      </c>
      <c r="AC107" s="108">
        <f t="shared" ref="AC107" si="174">AC106/AC$24</f>
        <v>-6.0311181723480878E-2</v>
      </c>
      <c r="AD107" s="108">
        <f t="shared" ref="AD107" si="175">AD106/AD$24</f>
        <v>4.9848544509318984E-2</v>
      </c>
      <c r="AE107" s="108">
        <f t="shared" ref="AE107" si="176">AE106/AE$24</f>
        <v>-4.6874408594875253E-2</v>
      </c>
      <c r="AF107" s="108">
        <f t="shared" ref="AF107" si="177">AF106/AF$24</f>
        <v>1.0810010256199862E-2</v>
      </c>
      <c r="AG107" s="108">
        <f t="shared" ref="AG107" si="178">AG106/AG$24</f>
        <v>0.12092699656368312</v>
      </c>
      <c r="AH107" s="108">
        <f t="shared" ref="AH107" si="179">AH106/AH$24</f>
        <v>6.0505322258432838E-2</v>
      </c>
      <c r="AI107" s="108">
        <f t="shared" ref="AI107" si="180">AI106/AI$24</f>
        <v>8.0342262027626898E-2</v>
      </c>
      <c r="AJ107" s="108">
        <f t="shared" ref="AJ107" si="181">AJ106/AJ$24</f>
        <v>1.9502436424338139E-2</v>
      </c>
      <c r="AK107" s="108">
        <f t="shared" ref="AK107" si="182">AK106/AK$24</f>
        <v>-2.1894906264956274E-2</v>
      </c>
      <c r="AL107" s="108">
        <f t="shared" ref="AL107" si="183">AL106/AL$24</f>
        <v>7.88716408229128E-2</v>
      </c>
      <c r="AM107" s="108">
        <f t="shared" ref="AM107" si="184">AM106/AM$24</f>
        <v>6.4378961011952951E-2</v>
      </c>
      <c r="AN107" s="108">
        <f t="shared" ref="AN107" si="185">AN106/AN$24</f>
        <v>0.13380724537277019</v>
      </c>
      <c r="AO107" s="108">
        <f t="shared" ref="AO107" si="186">AO106/AO$24</f>
        <v>0.26789203776702503</v>
      </c>
      <c r="AP107" s="108">
        <f t="shared" ref="AP107" si="187">AP106/AP$24</f>
        <v>-1.8165228084855076E-2</v>
      </c>
      <c r="AQ107" s="108">
        <f t="shared" ref="AQ107" si="188">AQ106/AQ$24</f>
        <v>1.6023979108586776E-2</v>
      </c>
      <c r="AR107" s="108">
        <f t="shared" ref="AR107" si="189">AR106/AR$24</f>
        <v>6.7660487312051501E-2</v>
      </c>
      <c r="AS107" s="108">
        <f t="shared" ref="AS107" si="190">AS106/AS$24</f>
        <v>5.6245347629939706E-2</v>
      </c>
      <c r="AT107" s="109">
        <f t="shared" ref="AT107" si="191">AT106/AT$24</f>
        <v>2.3986850066000234E-2</v>
      </c>
    </row>
    <row r="109" spans="1:46">
      <c r="A109" s="116" t="s">
        <v>294</v>
      </c>
      <c r="B109" s="117" t="s">
        <v>320</v>
      </c>
      <c r="C109" s="118"/>
      <c r="D109" s="119" t="s">
        <v>287</v>
      </c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</row>
    <row r="110" spans="1:46">
      <c r="A110" s="116"/>
      <c r="B110" s="42" t="s">
        <v>279</v>
      </c>
      <c r="C110" s="121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 spans="1:46">
      <c r="B111" s="57" t="str">
        <f>+B7</f>
        <v>STR Subscription</v>
      </c>
      <c r="C111" s="46">
        <f>+AT7*12</f>
        <v>2410.0500000000002</v>
      </c>
      <c r="D111" s="95" t="s">
        <v>288</v>
      </c>
      <c r="E111" s="45"/>
      <c r="F111" s="86"/>
      <c r="G111" s="86"/>
      <c r="H111" s="45"/>
      <c r="I111" s="86"/>
      <c r="J111" s="86"/>
      <c r="K111" s="86"/>
      <c r="L111" s="86"/>
      <c r="M111" s="86"/>
      <c r="N111" s="86"/>
    </row>
    <row r="112" spans="1:46">
      <c r="B112" s="57" t="str">
        <f>+B9</f>
        <v>SMB Subscription</v>
      </c>
      <c r="C112" s="82">
        <f>+'Client Retention $'!AD77*12</f>
        <v>16.200000000000003</v>
      </c>
      <c r="D112" s="95" t="s">
        <v>1319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+B8</f>
        <v>Occupancy Taxes</v>
      </c>
      <c r="C113" s="82">
        <f>+AT8*12</f>
        <v>192.82980000000001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+B10</f>
        <v>Onboarding</v>
      </c>
      <c r="C114" s="82">
        <f>AVERAGE(AM10:AT10)*12</f>
        <v>103.5675</v>
      </c>
      <c r="D114" s="95" t="s">
        <v>289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+B12</f>
        <v>STR Bill Pay</v>
      </c>
      <c r="C115" s="82">
        <f>+AT12*12</f>
        <v>83.460000000000008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+B11</f>
        <v>Topkey Subscription</v>
      </c>
      <c r="C116" s="82">
        <f>+AT11*12</f>
        <v>94.835999999999999</v>
      </c>
      <c r="D116" s="95" t="s">
        <v>288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7" t="str">
        <f>+B13</f>
        <v>Controller Services</v>
      </c>
      <c r="C117" s="82">
        <f>+AT13*12</f>
        <v>42</v>
      </c>
      <c r="D117" s="95" t="s">
        <v>288</v>
      </c>
      <c r="F117" s="83"/>
      <c r="G117" s="83"/>
      <c r="I117" s="83"/>
      <c r="J117" s="83"/>
      <c r="K117" s="83"/>
      <c r="L117" s="83"/>
      <c r="M117" s="83"/>
      <c r="N117" s="83"/>
    </row>
    <row r="118" spans="2:14">
      <c r="B118" s="57" t="str">
        <f>+B14</f>
        <v>Historical Cleanup</v>
      </c>
      <c r="C118" s="82">
        <f>+AT14*12</f>
        <v>0</v>
      </c>
      <c r="D118" s="95" t="s">
        <v>290</v>
      </c>
      <c r="F118" s="83"/>
      <c r="G118" s="83"/>
      <c r="I118" s="83"/>
      <c r="J118" s="83"/>
      <c r="K118" s="83"/>
      <c r="L118" s="83"/>
      <c r="M118" s="83"/>
      <c r="N118" s="83"/>
    </row>
    <row r="119" spans="2:14">
      <c r="B119" s="58" t="str">
        <f>+B15</f>
        <v>Total Recurring Revenue</v>
      </c>
      <c r="C119" s="59">
        <f>SUM(C111:C118)</f>
        <v>2942.9432999999999</v>
      </c>
      <c r="D119" s="71"/>
      <c r="F119" s="71"/>
      <c r="G119" s="71"/>
      <c r="I119" s="71"/>
      <c r="J119" s="71"/>
      <c r="K119" s="71"/>
      <c r="L119" s="71"/>
      <c r="M119" s="71"/>
      <c r="N119" s="71"/>
    </row>
    <row r="120" spans="2:14" ht="3.95" customHeight="1"/>
    <row r="121" spans="2:14">
      <c r="B121" s="57" t="str">
        <f>+B18</f>
        <v>1099 Filing</v>
      </c>
      <c r="C121" s="82">
        <f>+J18</f>
        <v>38.761499999999998</v>
      </c>
      <c r="D121" s="95" t="s">
        <v>1320</v>
      </c>
    </row>
    <row r="122" spans="2:14">
      <c r="B122" s="57" t="str">
        <f>+B19</f>
        <v>Income Tax</v>
      </c>
      <c r="C122" s="82">
        <v>0</v>
      </c>
      <c r="D122" s="95" t="s">
        <v>291</v>
      </c>
    </row>
    <row r="123" spans="2:14">
      <c r="B123" s="57" t="str">
        <f>+B17</f>
        <v>Profit Share</v>
      </c>
      <c r="C123" s="82">
        <f>AVERAGE(AI17:AT17)*12</f>
        <v>16.836220000000001</v>
      </c>
      <c r="D123" s="95" t="s">
        <v>292</v>
      </c>
    </row>
    <row r="124" spans="2:14">
      <c r="B124" s="57" t="str">
        <f>+B20</f>
        <v>Billable Expense Income</v>
      </c>
      <c r="C124" s="82">
        <v>0</v>
      </c>
      <c r="D124" s="95" t="s">
        <v>291</v>
      </c>
    </row>
    <row r="125" spans="2:14">
      <c r="B125" s="57" t="str">
        <f>+B21</f>
        <v>Offshore Recruiting</v>
      </c>
      <c r="C125" s="82">
        <v>0</v>
      </c>
      <c r="D125" s="95" t="s">
        <v>291</v>
      </c>
    </row>
    <row r="126" spans="2:14">
      <c r="B126" s="58" t="str">
        <f>+B22</f>
        <v>Total Nonrecurring Revenue</v>
      </c>
      <c r="C126" s="59">
        <f>SUM(C121:C125)</f>
        <v>55.597719999999995</v>
      </c>
    </row>
    <row r="128" spans="2:14">
      <c r="B128" s="42" t="s">
        <v>280</v>
      </c>
      <c r="C128" s="4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2:14">
      <c r="B129" s="56" t="s">
        <v>63</v>
      </c>
      <c r="C129" s="53">
        <f>+'Employee Overview'!K28</f>
        <v>681.3</v>
      </c>
      <c r="D129" s="95" t="s">
        <v>1850</v>
      </c>
      <c r="F129" s="83"/>
      <c r="G129" s="83"/>
      <c r="I129" s="83"/>
      <c r="J129" s="83"/>
      <c r="K129" s="83"/>
      <c r="L129" s="83"/>
      <c r="M129" s="83"/>
      <c r="N129" s="83"/>
    </row>
    <row r="130" spans="2:14" ht="12" customHeight="1">
      <c r="B130" s="57" t="s">
        <v>34</v>
      </c>
      <c r="C130" s="53">
        <f>+'Employee Overview'!K7</f>
        <v>492.6</v>
      </c>
      <c r="D130" s="95" t="s">
        <v>1850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93" t="s">
        <v>277</v>
      </c>
      <c r="C131" s="83">
        <f>+J35</f>
        <v>108.34394</v>
      </c>
      <c r="D131" s="95" t="s">
        <v>318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35</v>
      </c>
      <c r="C132" s="82">
        <f>+AT33*12</f>
        <v>392.92452000000003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278</v>
      </c>
      <c r="C133" s="82">
        <f>AT36*12</f>
        <v>98.349119999999999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ht="12" customHeight="1">
      <c r="B134" s="57" t="s">
        <v>36</v>
      </c>
      <c r="C134" s="53">
        <f>+'Employee Overview'!K19</f>
        <v>58.2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7" t="s">
        <v>38</v>
      </c>
      <c r="C135" s="82">
        <f>AT38*12</f>
        <v>33.081240000000001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7" t="s">
        <v>37</v>
      </c>
      <c r="C136" s="82">
        <f>AT34*12</f>
        <v>197.14943999999997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Employee Benefits</v>
      </c>
      <c r="C137" s="82">
        <f>+AT39*12</f>
        <v>32.178359999999998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8" t="str">
        <f>+B40</f>
        <v>Total Payroll Expenses</v>
      </c>
      <c r="C138" s="59">
        <f>SUM(C129:C137)</f>
        <v>2094.12662</v>
      </c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D139" s="83"/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42" t="s">
        <v>303</v>
      </c>
      <c r="C140" s="43"/>
      <c r="D140" s="83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+B42</f>
        <v>Software &amp; Apps - COGS</v>
      </c>
      <c r="C141" s="82">
        <f>+AT42*12</f>
        <v>335.70816000000002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+B43</f>
        <v>Software &amp; Apps - G&amp;A</v>
      </c>
      <c r="C142" s="82">
        <f>+AT43*12</f>
        <v>155.82264000000001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Software &amp; Apps - Topkey</v>
      </c>
      <c r="C143" s="82">
        <f>AT44*12</f>
        <v>60.84</v>
      </c>
      <c r="D143" s="95" t="s">
        <v>288</v>
      </c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+B45</f>
        <v>Software &amp; Apps - AI tools</v>
      </c>
      <c r="C144" s="82">
        <f>+AT45*12</f>
        <v>15.743759999999998</v>
      </c>
      <c r="D144" s="95" t="s">
        <v>288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8" t="str">
        <f>+B46</f>
        <v>Total Software Expenses</v>
      </c>
      <c r="C145" s="59">
        <f>SUM(C141:C144)</f>
        <v>568.11455999999998</v>
      </c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/>
      <c r="C146" s="82"/>
      <c r="D146" s="95"/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42" t="s">
        <v>283</v>
      </c>
      <c r="C147" s="43"/>
      <c r="D147" s="95"/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>+B48</f>
        <v>Other Professional Fees</v>
      </c>
      <c r="C148" s="83">
        <f t="shared" ref="C148:C153" si="192">+J48</f>
        <v>72.576949999999997</v>
      </c>
      <c r="D148" s="95" t="s">
        <v>293</v>
      </c>
      <c r="F148" s="83"/>
      <c r="G148" s="83"/>
      <c r="I148" s="83"/>
      <c r="J148" s="83"/>
      <c r="K148" s="114"/>
      <c r="L148" s="83"/>
      <c r="M148" s="83"/>
      <c r="N148" s="83"/>
    </row>
    <row r="149" spans="2:14">
      <c r="B149" s="57" t="s">
        <v>42</v>
      </c>
      <c r="C149" s="83">
        <f t="shared" si="192"/>
        <v>30.693929999999998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ref="B150:B155" si="193">+B50</f>
        <v>Travel, Meals &amp; Entertainment</v>
      </c>
      <c r="C150" s="83">
        <f t="shared" si="192"/>
        <v>28.151060000000001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93"/>
        <v>Payment Collection Fees</v>
      </c>
      <c r="C151" s="83">
        <f t="shared" si="192"/>
        <v>15.573919999999999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93"/>
        <v>Professional Organizations</v>
      </c>
      <c r="C152" s="83">
        <f t="shared" si="192"/>
        <v>11.61077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3"/>
        <v>S&amp;M Events</v>
      </c>
      <c r="C153" s="83">
        <f t="shared" si="192"/>
        <v>23.343780000000002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3"/>
        <v>Contract Labor - Tax</v>
      </c>
      <c r="C154" s="83">
        <f>+C121</f>
        <v>38.761499999999998</v>
      </c>
      <c r="D154" s="95" t="s">
        <v>319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3"/>
        <v>Recruiting Fees</v>
      </c>
      <c r="C155" s="83">
        <f>+J55</f>
        <v>8.86876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ref="B156:B161" si="194">+B56</f>
        <v>Amortization</v>
      </c>
      <c r="C156" s="83">
        <f>+J56</f>
        <v>6.673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4"/>
        <v>Website</v>
      </c>
      <c r="C157" s="83">
        <f>+J57</f>
        <v>4.9035700000000002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94"/>
        <v>State Taxes</v>
      </c>
      <c r="C158" s="83">
        <f>+J58</f>
        <v>5.2619999999999996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94"/>
        <v>Insurance</v>
      </c>
      <c r="C159" s="83">
        <f>+J59</f>
        <v>4.8890399999999996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 t="shared" si="194"/>
        <v>Occupancy Tax Filing Fees</v>
      </c>
      <c r="C160" s="82">
        <f>+AT60*12</f>
        <v>8.4907199999999996</v>
      </c>
      <c r="D160" s="95" t="s">
        <v>288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 t="shared" si="194"/>
        <v>Utilities</v>
      </c>
      <c r="C161" s="83">
        <f>+J61</f>
        <v>3.2080000000000002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 t="str">
        <f>+B63</f>
        <v>1099 Filing Fees</v>
      </c>
      <c r="C162" s="83">
        <f>+J63</f>
        <v>3.31806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56" t="str">
        <f>+B62</f>
        <v>Interest</v>
      </c>
      <c r="C163" s="83">
        <f>+J62</f>
        <v>1.1564699999999999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2:14">
      <c r="B164" s="56" t="str">
        <f>+B64</f>
        <v>Other Income</v>
      </c>
      <c r="C164" s="83">
        <f>+J64</f>
        <v>-0.25575999999999999</v>
      </c>
      <c r="D164" s="95" t="s">
        <v>293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56" t="str">
        <f>+B65</f>
        <v>Other Expenses</v>
      </c>
      <c r="C165" s="83">
        <f>+J65</f>
        <v>18.409520000000001</v>
      </c>
      <c r="D165" s="95" t="s">
        <v>293</v>
      </c>
      <c r="F165" s="83"/>
      <c r="G165" s="83"/>
      <c r="I165" s="83"/>
      <c r="J165" s="83"/>
      <c r="K165" s="83"/>
      <c r="L165" s="83"/>
      <c r="M165" s="83"/>
      <c r="N165" s="83"/>
    </row>
    <row r="166" spans="2:14">
      <c r="B166" s="56"/>
      <c r="C166" s="83"/>
      <c r="D166" s="95"/>
      <c r="F166" s="83"/>
      <c r="G166" s="83"/>
      <c r="I166" s="83"/>
      <c r="J166" s="83"/>
      <c r="K166" s="83"/>
      <c r="L166" s="83"/>
      <c r="M166" s="83"/>
      <c r="N166" s="83"/>
    </row>
    <row r="167" spans="2:14">
      <c r="B167" s="42" t="str">
        <f>+B87</f>
        <v>Near-Term Adjustments</v>
      </c>
      <c r="C167" s="43"/>
      <c r="D167" s="95"/>
      <c r="F167" s="83"/>
      <c r="G167" s="83"/>
      <c r="I167" s="83"/>
      <c r="J167" s="83"/>
      <c r="K167" s="83"/>
      <c r="L167" s="83"/>
      <c r="M167" s="83"/>
      <c r="N167" s="83"/>
    </row>
    <row r="168" spans="2:14" ht="12" customHeight="1">
      <c r="B168" s="93" t="s">
        <v>277</v>
      </c>
      <c r="C168" s="53">
        <f>-'Headcount &amp; Compensation'!L10/1000</f>
        <v>-228.245</v>
      </c>
      <c r="D168" s="123" t="s">
        <v>317</v>
      </c>
      <c r="F168" s="83"/>
      <c r="G168" s="83"/>
      <c r="I168" s="83"/>
      <c r="J168" s="83"/>
      <c r="K168" s="83"/>
      <c r="L168" s="83"/>
      <c r="M168" s="83"/>
      <c r="N168" s="83"/>
    </row>
    <row r="169" spans="2:14">
      <c r="B169" s="210" t="s">
        <v>1326</v>
      </c>
      <c r="C169" s="83">
        <f>+C148</f>
        <v>72.576949999999997</v>
      </c>
      <c r="D169" s="95" t="s">
        <v>1327</v>
      </c>
    </row>
    <row r="170" spans="2:14">
      <c r="B170" s="297" t="s">
        <v>1599</v>
      </c>
      <c r="C170" s="53">
        <f>-'Employee Overview'!K34</f>
        <v>-116.25</v>
      </c>
      <c r="D170" s="95" t="s">
        <v>1600</v>
      </c>
    </row>
    <row r="171" spans="2:14" ht="3.95" customHeight="1">
      <c r="B171" s="297"/>
      <c r="C171" s="53"/>
      <c r="D171" s="95"/>
    </row>
    <row r="172" spans="2:14">
      <c r="B172" s="278" t="s">
        <v>1574</v>
      </c>
      <c r="C172" s="53">
        <f>+'Tech Stack'!C8+'Tech Stack'!C9+'Tech Stack'!C10</f>
        <v>108.9</v>
      </c>
    </row>
    <row r="173" spans="2:14">
      <c r="B173" s="278" t="s">
        <v>1575</v>
      </c>
      <c r="C173" s="82">
        <v>-12.1</v>
      </c>
      <c r="D173" s="123" t="s">
        <v>1577</v>
      </c>
    </row>
    <row r="174" spans="2:14">
      <c r="B174" s="280" t="s">
        <v>1576</v>
      </c>
      <c r="C174" s="59">
        <f>+C172+C173</f>
        <v>96.800000000000011</v>
      </c>
    </row>
    <row r="175" spans="2:14">
      <c r="B175" s="210"/>
      <c r="C175" s="83"/>
      <c r="D175" s="95"/>
    </row>
    <row r="176" spans="2:14">
      <c r="B176" s="280" t="s">
        <v>1894</v>
      </c>
      <c r="C176" s="388">
        <f>1-'Steady-State Staffing'!AB35</f>
        <v>0.53949623495134147</v>
      </c>
      <c r="D176" s="123" t="s">
        <v>1895</v>
      </c>
    </row>
    <row r="178" spans="2:14">
      <c r="B178" s="42" t="s">
        <v>309</v>
      </c>
      <c r="C178" s="43"/>
      <c r="D178" s="95"/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278" t="s">
        <v>1570</v>
      </c>
      <c r="C179" s="53">
        <f>+'Headcount &amp; Compensation'!L25/1000</f>
        <v>28.2</v>
      </c>
      <c r="D179" s="123" t="s">
        <v>1571</v>
      </c>
      <c r="F179" s="83"/>
      <c r="G179" s="83"/>
      <c r="I179" s="83"/>
      <c r="J179" s="83"/>
      <c r="K179" s="83"/>
      <c r="L179" s="83"/>
      <c r="M179" s="83"/>
      <c r="N179" s="83"/>
    </row>
    <row r="180" spans="2:14" ht="3.95" customHeight="1">
      <c r="B180" s="278"/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335" t="s">
        <v>1846</v>
      </c>
      <c r="C181" s="53">
        <f>+'Client Retention'!H28</f>
        <v>177</v>
      </c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335" t="s">
        <v>1847</v>
      </c>
      <c r="C182" s="82">
        <v>8</v>
      </c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0" t="s">
        <v>1845</v>
      </c>
      <c r="C183" s="220">
        <f>C181/C182</f>
        <v>22.125</v>
      </c>
      <c r="D183" s="123" t="s">
        <v>1843</v>
      </c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335" t="s">
        <v>1849</v>
      </c>
      <c r="C184" s="47">
        <f>+'Employee Overview'!D7</f>
        <v>12.315000000000001</v>
      </c>
      <c r="D184" s="123"/>
      <c r="F184" s="83"/>
      <c r="G184" s="83"/>
      <c r="I184" s="83"/>
      <c r="J184" s="83"/>
      <c r="K184" s="83"/>
      <c r="L184" s="83"/>
      <c r="M184" s="83"/>
      <c r="N184" s="83"/>
    </row>
    <row r="185" spans="2:14" ht="12" customHeight="1">
      <c r="B185" s="280" t="s">
        <v>1845</v>
      </c>
      <c r="C185" s="336">
        <f>C183*C184</f>
        <v>272.46937500000001</v>
      </c>
      <c r="D185" s="123"/>
      <c r="F185" s="83"/>
      <c r="G185" s="83"/>
      <c r="I185" s="83"/>
      <c r="J185" s="83"/>
      <c r="K185" s="83"/>
      <c r="L185" s="83"/>
      <c r="M185" s="83"/>
      <c r="N185" s="83"/>
    </row>
    <row r="186" spans="2:14" ht="3.95" customHeight="1">
      <c r="B186" s="278"/>
      <c r="C186" s="53"/>
      <c r="D186" s="123"/>
      <c r="F186" s="83"/>
      <c r="G186" s="83"/>
      <c r="I186" s="83"/>
      <c r="J186" s="83"/>
      <c r="K186" s="83"/>
      <c r="L186" s="83"/>
      <c r="M186" s="83"/>
      <c r="N186" s="83"/>
    </row>
    <row r="187" spans="2:14">
      <c r="B187" s="278" t="s">
        <v>1578</v>
      </c>
      <c r="C187" s="53">
        <f>+'Tech Stack'!C15</f>
        <v>161.14469</v>
      </c>
      <c r="D187" s="95"/>
    </row>
    <row r="188" spans="2:14">
      <c r="B188" s="335" t="s">
        <v>1848</v>
      </c>
      <c r="C188" s="115">
        <f>C173/C172*C187</f>
        <v>-17.904965555555552</v>
      </c>
      <c r="D188" s="123" t="s">
        <v>1579</v>
      </c>
    </row>
    <row r="189" spans="2:14">
      <c r="B189" s="280" t="s">
        <v>1576</v>
      </c>
      <c r="C189" s="59">
        <f>+C188+C187</f>
        <v>143.23972444444445</v>
      </c>
    </row>
    <row r="190" spans="2:14" ht="3.95" customHeight="1"/>
    <row r="191" spans="2:14">
      <c r="B191" s="349" t="s">
        <v>1891</v>
      </c>
      <c r="C191" s="387">
        <v>0.25</v>
      </c>
    </row>
    <row r="199" spans="1:10">
      <c r="C199" s="33">
        <v>45291</v>
      </c>
      <c r="D199" s="35">
        <f>C200</f>
        <v>45657</v>
      </c>
      <c r="E199" s="35"/>
      <c r="F199" s="33">
        <v>45657</v>
      </c>
      <c r="G199" s="33">
        <v>46022</v>
      </c>
      <c r="H199" s="33"/>
      <c r="I199" s="33">
        <v>45504</v>
      </c>
      <c r="J199" s="35">
        <f>I200</f>
        <v>45869</v>
      </c>
    </row>
    <row r="200" spans="1:10">
      <c r="A200" s="139" t="s">
        <v>294</v>
      </c>
      <c r="C200" s="34">
        <f>EOMONTH(C199,12)</f>
        <v>45657</v>
      </c>
      <c r="D200" s="34">
        <f>EOMONTH(D199,12)</f>
        <v>46022</v>
      </c>
      <c r="E200" s="34"/>
      <c r="F200" s="34">
        <v>45869</v>
      </c>
      <c r="G200" s="34">
        <f>EOMONTH(G199,12)</f>
        <v>46387</v>
      </c>
      <c r="H200" s="34"/>
      <c r="I200" s="34">
        <f>EOMONTH(I199,12)</f>
        <v>45869</v>
      </c>
      <c r="J200" s="34">
        <f>EOMONTH(J199,12)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968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970</v>
      </c>
    </row>
    <row r="35" spans="2:2" ht="24.75" customHeight="1"/>
    <row r="44" spans="2:2">
      <c r="B44" s="148" t="s">
        <v>971</v>
      </c>
    </row>
    <row r="64" ht="2.25" customHeight="1"/>
    <row r="65" spans="2:2">
      <c r="B65" s="148" t="s">
        <v>972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298" t="s">
        <v>1592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  <c r="AH98" s="298" t="s">
        <v>1592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969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  <c r="AH102" s="298" t="s">
        <v>1592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969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4">
      <c r="B107" s="19" t="s">
        <v>89</v>
      </c>
      <c r="C107" s="53">
        <f>+'P&amp;L Forecast'!P42+'P&amp;L Forecast'!P43+'P&amp;L Forecast'!P45</f>
        <v>10.52585</v>
      </c>
      <c r="D107" s="53">
        <f>+'P&amp;L Forecast'!Q42+'P&amp;L Forecast'!Q43+'P&amp;L Forecast'!Q45</f>
        <v>10.63571</v>
      </c>
      <c r="E107" s="53">
        <f>+'P&amp;L Forecast'!R42+'P&amp;L Forecast'!R43+'P&amp;L Forecast'!R45</f>
        <v>11.751950000000001</v>
      </c>
      <c r="F107" s="53">
        <f>+'P&amp;L Forecast'!S42+'P&amp;L Forecast'!S43+'P&amp;L Forecast'!S45</f>
        <v>11.98489</v>
      </c>
      <c r="G107" s="53">
        <f>+'P&amp;L Forecast'!T42+'P&amp;L Forecast'!T43+'P&amp;L Forecast'!T45</f>
        <v>12.81546</v>
      </c>
      <c r="H107" s="53">
        <f>+'P&amp;L Forecast'!U42+'P&amp;L Forecast'!U43+'P&amp;L Forecast'!U45</f>
        <v>14.24615</v>
      </c>
      <c r="I107" s="53">
        <f>+'P&amp;L Forecast'!V42+'P&amp;L Forecast'!V43+'P&amp;L Forecast'!V45</f>
        <v>16.36037</v>
      </c>
      <c r="J107" s="53">
        <f>+'P&amp;L Forecast'!W42+'P&amp;L Forecast'!W43+'P&amp;L Forecast'!W45</f>
        <v>16.36683</v>
      </c>
      <c r="K107" s="53">
        <f>+'P&amp;L Forecast'!X42+'P&amp;L Forecast'!X43+'P&amp;L Forecast'!X45</f>
        <v>16.550719999999998</v>
      </c>
      <c r="L107" s="53">
        <f>+'P&amp;L Forecast'!Y42+'P&amp;L Forecast'!Y43+'P&amp;L Forecast'!Y45</f>
        <v>17.8567</v>
      </c>
      <c r="M107" s="53">
        <f>+'P&amp;L Forecast'!Z42+'P&amp;L Forecast'!Z43+'P&amp;L Forecast'!Z45</f>
        <v>17.59788</v>
      </c>
      <c r="N107" s="53">
        <f>+'P&amp;L Forecast'!AA42+'P&amp;L Forecast'!AA43+'P&amp;L Forecast'!AA45</f>
        <v>18.64612</v>
      </c>
      <c r="O107" s="53">
        <f>+'P&amp;L Forecast'!AB42+'P&amp;L Forecast'!AB43+'P&amp;L Forecast'!AB45</f>
        <v>18.594989999999999</v>
      </c>
      <c r="P107" s="53">
        <f>+'P&amp;L Forecast'!AC42+'P&amp;L Forecast'!AC43+'P&amp;L Forecast'!AC45</f>
        <v>20.10492</v>
      </c>
      <c r="Q107" s="53">
        <f>+'P&amp;L Forecast'!AD42+'P&amp;L Forecast'!AD43+'P&amp;L Forecast'!AD45</f>
        <v>19.462519999999998</v>
      </c>
      <c r="R107" s="53">
        <f>+'P&amp;L Forecast'!AE42+'P&amp;L Forecast'!AE43+'P&amp;L Forecast'!AE45</f>
        <v>19.645500000000002</v>
      </c>
      <c r="S107" s="53">
        <f>+'P&amp;L Forecast'!AF42+'P&amp;L Forecast'!AF43+'P&amp;L Forecast'!AF45</f>
        <v>20.642859999999999</v>
      </c>
      <c r="T107" s="53">
        <f>+'P&amp;L Forecast'!AG42+'P&amp;L Forecast'!AG43+'P&amp;L Forecast'!AG45</f>
        <v>21.20917</v>
      </c>
      <c r="U107" s="53">
        <f>+'P&amp;L Forecast'!AH42+'P&amp;L Forecast'!AH43+'P&amp;L Forecast'!AH45</f>
        <v>22.120130000000003</v>
      </c>
      <c r="V107" s="53">
        <f>+'P&amp;L Forecast'!AI42+'P&amp;L Forecast'!AI43+'P&amp;L Forecast'!AI45</f>
        <v>24.11375</v>
      </c>
      <c r="W107" s="53">
        <f>+'P&amp;L Forecast'!AJ42+'P&amp;L Forecast'!AJ43+'P&amp;L Forecast'!AJ45</f>
        <v>24.329030000000003</v>
      </c>
      <c r="X107" s="53">
        <f>+'P&amp;L Forecast'!AK42+'P&amp;L Forecast'!AK43+'P&amp;L Forecast'!AK45</f>
        <v>24.437010000000001</v>
      </c>
      <c r="Y107" s="53">
        <f>+'P&amp;L Forecast'!AL42+'P&amp;L Forecast'!AL43+'P&amp;L Forecast'!AL45</f>
        <v>28.36364</v>
      </c>
      <c r="Z107" s="53">
        <f>+'P&amp;L Forecast'!AM42+'P&amp;L Forecast'!AM43+'P&amp;L Forecast'!AM45</f>
        <v>31.52985</v>
      </c>
      <c r="AA107" s="53">
        <f>+'P&amp;L Forecast'!AN42+'P&amp;L Forecast'!AN43+'P&amp;L Forecast'!AN45</f>
        <v>31.851459999999999</v>
      </c>
      <c r="AB107" s="53">
        <f>+'P&amp;L Forecast'!AO42+'P&amp;L Forecast'!AO43+'P&amp;L Forecast'!AO45</f>
        <v>32.760370000000002</v>
      </c>
      <c r="AC107" s="53">
        <f>+'P&amp;L Forecast'!AP42+'P&amp;L Forecast'!AP43+'P&amp;L Forecast'!AP45</f>
        <v>34.101439999999997</v>
      </c>
      <c r="AD107" s="53">
        <f>+'P&amp;L Forecast'!AQ42+'P&amp;L Forecast'!AQ43+'P&amp;L Forecast'!AQ45</f>
        <v>38.339700000000001</v>
      </c>
      <c r="AE107" s="53">
        <f>+'P&amp;L Forecast'!AR42+'P&amp;L Forecast'!AR43+'P&amp;L Forecast'!AR45</f>
        <v>37.589910000000003</v>
      </c>
      <c r="AF107" s="53">
        <f>+'P&amp;L Forecast'!AS42+'P&amp;L Forecast'!AS43+'P&amp;L Forecast'!AS45</f>
        <v>38.941310000000001</v>
      </c>
      <c r="AG107" s="53">
        <f>+'P&amp;L Forecast'!AT42+'P&amp;L Forecast'!AT43+'P&amp;L Forecast'!AT45</f>
        <v>42.272880000000001</v>
      </c>
      <c r="AH107" s="298"/>
    </row>
    <row r="108" spans="2:34">
      <c r="B108" s="139" t="s">
        <v>969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993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1324</v>
      </c>
      <c r="C5" s="176" t="s">
        <v>994</v>
      </c>
      <c r="D5" s="176" t="s">
        <v>1321</v>
      </c>
      <c r="E5" s="176" t="s">
        <v>1322</v>
      </c>
      <c r="F5" s="176" t="s">
        <v>1323</v>
      </c>
    </row>
    <row r="6" spans="2:11">
      <c r="B6" s="42" t="s">
        <v>1003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08">
        <f>C7</f>
        <v>161.14469</v>
      </c>
      <c r="E7" s="207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09">
        <f>C8</f>
        <v>78.900000000000006</v>
      </c>
      <c r="E8" s="162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09">
        <f>C9</f>
        <v>16.8</v>
      </c>
      <c r="E9" s="162">
        <f t="shared" si="0"/>
        <v>0</v>
      </c>
      <c r="F9" s="83">
        <f t="shared" si="1"/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09">
        <f>C10</f>
        <v>13.2</v>
      </c>
      <c r="E10" s="162">
        <f t="shared" si="0"/>
        <v>0</v>
      </c>
      <c r="F10" s="83">
        <f t="shared" si="1"/>
        <v>13.2</v>
      </c>
    </row>
    <row r="11" spans="2:11">
      <c r="B11" s="58" t="s">
        <v>1941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995</v>
      </c>
      <c r="C13" s="159" t="s">
        <v>994</v>
      </c>
      <c r="D13" s="76" t="s">
        <v>996</v>
      </c>
    </row>
    <row r="14" spans="2:11">
      <c r="B14" s="42" t="s">
        <v>1003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2">+K15</f>
        <v>161.14469</v>
      </c>
      <c r="D15" s="206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2"/>
        <v>78.900000000000006</v>
      </c>
      <c r="D16" s="206">
        <f t="shared" ref="D16:D26" si="3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2"/>
        <v>36.009</v>
      </c>
      <c r="D17" s="206">
        <f t="shared" si="3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2"/>
        <v>18.025680000000001</v>
      </c>
      <c r="D18" s="206">
        <f t="shared" si="3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2"/>
        <v>16.8</v>
      </c>
      <c r="D19" s="206">
        <f t="shared" si="3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2"/>
        <v>16.908709999999999</v>
      </c>
      <c r="D20" s="206">
        <f t="shared" si="3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2"/>
        <v>13.2</v>
      </c>
      <c r="D21" s="206">
        <f t="shared" si="3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2"/>
        <v>12.04365</v>
      </c>
      <c r="D22" s="163">
        <f t="shared" si="3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2"/>
        <v>9.052719999999999</v>
      </c>
      <c r="D23" s="163">
        <f t="shared" si="3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2"/>
        <v>8.9686699999999995</v>
      </c>
      <c r="D24" s="163">
        <f t="shared" si="3"/>
        <v>1.9403376887285273E-2</v>
      </c>
      <c r="K24" s="47">
        <f>+Software!D15/1000</f>
        <v>8.9686699999999995</v>
      </c>
    </row>
    <row r="25" spans="2:11">
      <c r="B25" s="58" t="s">
        <v>1000</v>
      </c>
      <c r="C25" s="125">
        <f>SUM(C15:C24)</f>
        <v>371.05312000000004</v>
      </c>
      <c r="D25" s="164">
        <f t="shared" si="3"/>
        <v>0.80275933137946753</v>
      </c>
      <c r="K25" s="125">
        <f>SUM(K15:K24)</f>
        <v>371.05312000000004</v>
      </c>
    </row>
    <row r="26" spans="2:11">
      <c r="B26" s="169" t="s">
        <v>1001</v>
      </c>
      <c r="C26" s="162">
        <f>+K26</f>
        <v>91.168999999999983</v>
      </c>
      <c r="D26" s="163">
        <f t="shared" si="3"/>
        <v>0.19724066862053244</v>
      </c>
      <c r="K26" s="166">
        <f>+K27-SUM(K15:K24)</f>
        <v>91.168999999999983</v>
      </c>
    </row>
    <row r="27" spans="2:11">
      <c r="B27" s="58" t="s">
        <v>1002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998</v>
      </c>
    </row>
  </sheetData>
  <conditionalFormatting sqref="A7:XFD11">
    <cfRule type="expression" dxfId="88" priority="1">
      <formula>$K$3=1</formula>
    </cfRule>
  </conditionalFormatting>
  <conditionalFormatting sqref="A15:XFD24 A25:B25 D25:XFD25 A26:XFD26">
    <cfRule type="expression" dxfId="87" priority="11">
      <formula>$K$3=1</formula>
    </cfRule>
  </conditionalFormatting>
  <conditionalFormatting sqref="B11:D11">
    <cfRule type="expression" dxfId="86" priority="2">
      <formula>$K$3=1</formula>
    </cfRule>
  </conditionalFormatting>
  <conditionalFormatting sqref="B14:D14">
    <cfRule type="expression" dxfId="85" priority="8">
      <formula>$V$3=1</formula>
    </cfRule>
  </conditionalFormatting>
  <conditionalFormatting sqref="B6:F6">
    <cfRule type="expression" dxfId="84" priority="7">
      <formula>$V$3=1</formula>
    </cfRule>
  </conditionalFormatting>
  <conditionalFormatting sqref="C7:C10">
    <cfRule type="expression" dxfId="83" priority="4">
      <formula>$V$3=1</formula>
    </cfRule>
  </conditionalFormatting>
  <conditionalFormatting sqref="C15 B15:B27 D15:D27 K15:K27 C25:C27 A36:A47 E36:XFD47">
    <cfRule type="expression" dxfId="82" priority="18">
      <formula>$K$3=1</formula>
    </cfRule>
  </conditionalFormatting>
  <conditionalFormatting sqref="C15:C25">
    <cfRule type="expression" dxfId="81" priority="10">
      <formula>$V$3=1</formula>
    </cfRule>
  </conditionalFormatting>
  <conditionalFormatting sqref="C27">
    <cfRule type="expression" dxfId="80" priority="20">
      <formula>$V$3=1</formula>
    </cfRule>
  </conditionalFormatting>
  <conditionalFormatting sqref="C7:D10">
    <cfRule type="expression" dxfId="79" priority="5">
      <formula>$K$3=1</formula>
    </cfRule>
  </conditionalFormatting>
  <conditionalFormatting sqref="C11:D11">
    <cfRule type="expression" dxfId="78" priority="3">
      <formula>$V$3=1</formula>
    </cfRule>
  </conditionalFormatting>
  <conditionalFormatting sqref="K15:K27">
    <cfRule type="expression" dxfId="77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4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5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974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1" t="s">
        <v>974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1" t="s">
        <v>974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1" t="s">
        <v>974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1" t="s">
        <v>974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1" t="s">
        <v>974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1" t="s">
        <v>974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1" t="s">
        <v>974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76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964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965</v>
      </c>
    </row>
    <row r="47" spans="2:33">
      <c r="B47" s="40" t="s">
        <v>450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450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58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58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977</v>
      </c>
      <c r="D5" s="75"/>
      <c r="E5" s="76" t="s">
        <v>270</v>
      </c>
      <c r="F5" s="77"/>
      <c r="G5" s="74"/>
      <c r="H5" s="74" t="s">
        <v>978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976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979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Forecast'!B31</f>
        <v>Indirect Labor</v>
      </c>
      <c r="C8" s="49">
        <f>+'P&amp;L Forecast'!I31</f>
        <v>202.41598000000002</v>
      </c>
      <c r="D8" s="49">
        <f>+'P&amp;L Forecast'!J31</f>
        <v>502.21877999999998</v>
      </c>
      <c r="E8" s="49">
        <f>+'P&amp;L Forecast'!K31</f>
        <v>681.3</v>
      </c>
      <c r="F8" s="48"/>
      <c r="G8" s="47">
        <f>+'P&amp;L Forecast'!AH31</f>
        <v>22.602640000000001</v>
      </c>
      <c r="H8" s="47">
        <f>+'P&amp;L Forecast'!AI31</f>
        <v>19.961279999999999</v>
      </c>
      <c r="I8" s="47">
        <f>+'P&amp;L Forecast'!AJ31</f>
        <v>27.605630000000001</v>
      </c>
      <c r="J8" s="47">
        <f>+'P&amp;L Forecast'!AK31</f>
        <v>34.185890000000001</v>
      </c>
      <c r="K8" s="47">
        <f>+'P&amp;L Forecast'!AL31</f>
        <v>29.731570000000001</v>
      </c>
      <c r="L8" s="47">
        <f>+'P&amp;L Forecast'!AM31</f>
        <v>33.459690000000002</v>
      </c>
      <c r="M8" s="47">
        <f>+'P&amp;L Forecast'!AN31</f>
        <v>36.253599999999999</v>
      </c>
      <c r="N8" s="47">
        <f>+'P&amp;L Forecast'!AO31</f>
        <v>33.607510000000005</v>
      </c>
      <c r="O8" s="47">
        <f>+'P&amp;L Forecast'!AP31</f>
        <v>57.199239999999996</v>
      </c>
      <c r="P8" s="47">
        <f>+'P&amp;L Forecast'!AQ31</f>
        <v>58.245950000000001</v>
      </c>
      <c r="Q8" s="47">
        <f>+'P&amp;L Forecast'!AR31</f>
        <v>54.069230000000005</v>
      </c>
      <c r="R8" s="47">
        <f>+'P&amp;L Forecast'!AS31</f>
        <v>60.003809999999994</v>
      </c>
      <c r="S8" s="47">
        <f>+'P&amp;L Forecast'!AT31</f>
        <v>57.895379999999996</v>
      </c>
    </row>
    <row r="9" spans="2:22">
      <c r="B9" s="56" t="str">
        <f>+'P&amp;L Forecast'!B32</f>
        <v>Bookkeeper Wages</v>
      </c>
      <c r="C9" s="64">
        <f>+'P&amp;L Forecast'!I32</f>
        <v>240.18097999999998</v>
      </c>
      <c r="D9" s="64">
        <f>+'P&amp;L Forecast'!J32</f>
        <v>436.67388999999997</v>
      </c>
      <c r="E9" s="64">
        <f>+'P&amp;L Forecast'!K32</f>
        <v>492.6</v>
      </c>
      <c r="F9" s="23"/>
      <c r="G9" s="53">
        <f>+'P&amp;L Forecast'!AH32</f>
        <v>27.908909999999999</v>
      </c>
      <c r="H9" s="53">
        <f>+'P&amp;L Forecast'!AI32</f>
        <v>29.547000000000001</v>
      </c>
      <c r="I9" s="53">
        <f>+'P&amp;L Forecast'!AJ32</f>
        <v>33.447269999999996</v>
      </c>
      <c r="J9" s="53">
        <f>+'P&amp;L Forecast'!AK32</f>
        <v>37.794319999999999</v>
      </c>
      <c r="K9" s="53">
        <f>+'P&amp;L Forecast'!AL32</f>
        <v>34.063319999999997</v>
      </c>
      <c r="L9" s="53">
        <f>+'P&amp;L Forecast'!AM32</f>
        <v>34.064579999999999</v>
      </c>
      <c r="M9" s="53">
        <f>+'P&amp;L Forecast'!AN32</f>
        <v>38.378879999999995</v>
      </c>
      <c r="N9" s="53">
        <f>+'P&amp;L Forecast'!AO32</f>
        <v>29.701520000000002</v>
      </c>
      <c r="O9" s="53">
        <f>+'P&amp;L Forecast'!AP32</f>
        <v>37.422499999999999</v>
      </c>
      <c r="P9" s="53">
        <f>+'P&amp;L Forecast'!AQ32</f>
        <v>38.772300000000001</v>
      </c>
      <c r="Q9" s="53">
        <f>+'P&amp;L Forecast'!AR32</f>
        <v>38.29477</v>
      </c>
      <c r="R9" s="53">
        <f>+'P&amp;L Forecast'!AS32</f>
        <v>40.699829999999999</v>
      </c>
      <c r="S9" s="53">
        <f>+'P&amp;L Forecast'!AT32</f>
        <v>44.4876</v>
      </c>
    </row>
    <row r="10" spans="2:22">
      <c r="B10" s="56" t="str">
        <f>+'P&amp;L Forecast'!B33</f>
        <v>Client Lead Wages</v>
      </c>
      <c r="C10" s="64">
        <f>+'P&amp;L Forecast'!I33</f>
        <v>353.12842999999998</v>
      </c>
      <c r="D10" s="64">
        <f>+'P&amp;L Forecast'!J33</f>
        <v>353.7317000000001</v>
      </c>
      <c r="E10" s="64">
        <f>+'P&amp;L Forecast'!K33</f>
        <v>392.92452000000003</v>
      </c>
      <c r="F10" s="23"/>
      <c r="G10" s="53">
        <f>+'P&amp;L Forecast'!AH33</f>
        <v>29.47963</v>
      </c>
      <c r="H10" s="53">
        <f>+'P&amp;L Forecast'!AI33</f>
        <v>26.830639999999999</v>
      </c>
      <c r="I10" s="53">
        <f>+'P&amp;L Forecast'!AJ33</f>
        <v>29.785550000000001</v>
      </c>
      <c r="J10" s="53">
        <f>+'P&amp;L Forecast'!AK33</f>
        <v>32.899370000000005</v>
      </c>
      <c r="K10" s="53">
        <f>+'P&amp;L Forecast'!AL33</f>
        <v>29.49334</v>
      </c>
      <c r="L10" s="53">
        <f>+'P&amp;L Forecast'!AM33</f>
        <v>32.669710000000002</v>
      </c>
      <c r="M10" s="53">
        <f>+'P&amp;L Forecast'!AN33</f>
        <v>26.114900000000002</v>
      </c>
      <c r="N10" s="53">
        <f>+'P&amp;L Forecast'!AO33</f>
        <v>21.9055</v>
      </c>
      <c r="O10" s="53">
        <f>+'P&amp;L Forecast'!AP33</f>
        <v>30.75844</v>
      </c>
      <c r="P10" s="53">
        <f>+'P&amp;L Forecast'!AQ33</f>
        <v>31.59038</v>
      </c>
      <c r="Q10" s="53">
        <f>+'P&amp;L Forecast'!AR33</f>
        <v>27.699919999999999</v>
      </c>
      <c r="R10" s="53">
        <f>+'P&amp;L Forecast'!AS33</f>
        <v>31.24024</v>
      </c>
      <c r="S10" s="53">
        <f>+'P&amp;L Forecast'!AT33</f>
        <v>32.74371</v>
      </c>
    </row>
    <row r="11" spans="2:22">
      <c r="B11" s="56" t="str">
        <f>+'P&amp;L Forecast'!B34</f>
        <v>Onboarding Team Wages</v>
      </c>
      <c r="C11" s="64">
        <f>+'P&amp;L Forecast'!I34</f>
        <v>121.30735</v>
      </c>
      <c r="D11" s="64">
        <f>+'P&amp;L Forecast'!J34</f>
        <v>189.50009</v>
      </c>
      <c r="E11" s="64">
        <f>+'P&amp;L Forecast'!K34</f>
        <v>197.14943999999997</v>
      </c>
      <c r="F11" s="70"/>
      <c r="G11" s="53">
        <f>+'P&amp;L Forecast'!AH34</f>
        <v>13.472569999999999</v>
      </c>
      <c r="H11" s="53">
        <f>+'P&amp;L Forecast'!AI34</f>
        <v>12.70407</v>
      </c>
      <c r="I11" s="53">
        <f>+'P&amp;L Forecast'!AJ34</f>
        <v>14.698840000000001</v>
      </c>
      <c r="J11" s="53">
        <f>+'P&amp;L Forecast'!AK34</f>
        <v>15.543059999999999</v>
      </c>
      <c r="K11" s="53">
        <f>+'P&amp;L Forecast'!AL34</f>
        <v>14.34361</v>
      </c>
      <c r="L11" s="53">
        <f>+'P&amp;L Forecast'!AM34</f>
        <v>20.930520000000001</v>
      </c>
      <c r="M11" s="53">
        <f>+'P&amp;L Forecast'!AN34</f>
        <v>16.553939999999997</v>
      </c>
      <c r="N11" s="53">
        <f>+'P&amp;L Forecast'!AO34</f>
        <v>11.52661</v>
      </c>
      <c r="O11" s="53">
        <f>+'P&amp;L Forecast'!AP34</f>
        <v>14.938829999999999</v>
      </c>
      <c r="P11" s="53">
        <f>+'P&amp;L Forecast'!AQ34</f>
        <v>15.58352</v>
      </c>
      <c r="Q11" s="53">
        <f>+'P&amp;L Forecast'!AR34</f>
        <v>19.603400000000001</v>
      </c>
      <c r="R11" s="53">
        <f>+'P&amp;L Forecast'!AS34</f>
        <v>16.644569999999998</v>
      </c>
      <c r="S11" s="53">
        <f>+'P&amp;L Forecast'!AT34</f>
        <v>16.429119999999998</v>
      </c>
    </row>
    <row r="12" spans="2:22">
      <c r="B12" s="56" t="str">
        <f>+'P&amp;L Forecast'!B35</f>
        <v>Owner Wages</v>
      </c>
      <c r="C12" s="64">
        <f>+'P&amp;L Forecast'!I35</f>
        <v>45.466120000000004</v>
      </c>
      <c r="D12" s="64">
        <f>+'P&amp;L Forecast'!J35</f>
        <v>108.34394</v>
      </c>
      <c r="E12" s="64">
        <f>+'P&amp;L Forecast'!K35</f>
        <v>108.34394</v>
      </c>
      <c r="F12" s="23"/>
      <c r="G12" s="53">
        <f>+'P&amp;L Forecast'!AH35</f>
        <v>9.5228700000000011</v>
      </c>
      <c r="H12" s="53">
        <f>+'P&amp;L Forecast'!AI35</f>
        <v>8.6948100000000004</v>
      </c>
      <c r="I12" s="53">
        <f>+'P&amp;L Forecast'!AJ35</f>
        <v>9.1088400000000007</v>
      </c>
      <c r="J12" s="53">
        <f>+'P&amp;L Forecast'!AK35</f>
        <v>9.5228700000000011</v>
      </c>
      <c r="K12" s="53">
        <f>+'P&amp;L Forecast'!AL35</f>
        <v>8.2807600000000008</v>
      </c>
      <c r="L12" s="53">
        <f>+'P&amp;L Forecast'!AM35</f>
        <v>9.5936399999999988</v>
      </c>
      <c r="M12" s="53">
        <f>+'P&amp;L Forecast'!AN35</f>
        <v>9.276209999999999</v>
      </c>
      <c r="N12" s="53">
        <f>+'P&amp;L Forecast'!AO35</f>
        <v>8.3226299999999984</v>
      </c>
      <c r="O12" s="53">
        <f>+'P&amp;L Forecast'!AP35</f>
        <v>9.1088299999999993</v>
      </c>
      <c r="P12" s="53">
        <f>+'P&amp;L Forecast'!AQ35</f>
        <v>9.1088299999999993</v>
      </c>
      <c r="Q12" s="53">
        <f>+'P&amp;L Forecast'!AR35</f>
        <v>8.6948100000000004</v>
      </c>
      <c r="R12" s="53">
        <f>+'P&amp;L Forecast'!AS35</f>
        <v>9.1088400000000007</v>
      </c>
      <c r="S12" s="53">
        <f>+'P&amp;L Forecast'!AT35</f>
        <v>9.5228700000000011</v>
      </c>
    </row>
    <row r="13" spans="2:22">
      <c r="B13" s="56" t="str">
        <f>+'P&amp;L Forecast'!B36</f>
        <v>S&amp;M Wages</v>
      </c>
      <c r="C13" s="64">
        <f>+'P&amp;L Forecast'!I36</f>
        <v>3.09945</v>
      </c>
      <c r="D13" s="64">
        <f>+'P&amp;L Forecast'!J36</f>
        <v>67.991489999999999</v>
      </c>
      <c r="E13" s="64">
        <f>+'P&amp;L Forecast'!K36</f>
        <v>98.349119999999999</v>
      </c>
      <c r="F13" s="23"/>
      <c r="G13" s="53">
        <f>+'P&amp;L Forecast'!AH36</f>
        <v>1.6326500000000002</v>
      </c>
      <c r="H13" s="53">
        <f>+'P&amp;L Forecast'!AI36</f>
        <v>1.7180499999999999</v>
      </c>
      <c r="I13" s="53">
        <f>+'P&amp;L Forecast'!AJ36</f>
        <v>1.9145999999999999</v>
      </c>
      <c r="J13" s="53">
        <f>+'P&amp;L Forecast'!AK36</f>
        <v>2.3529</v>
      </c>
      <c r="K13" s="53">
        <f>+'P&amp;L Forecast'!AL36</f>
        <v>2.2452399999999999</v>
      </c>
      <c r="L13" s="53">
        <f>+'P&amp;L Forecast'!AM36</f>
        <v>7.8193900000000003</v>
      </c>
      <c r="M13" s="53">
        <f>+'P&amp;L Forecast'!AN36</f>
        <v>5.6533999999999995</v>
      </c>
      <c r="N13" s="53">
        <f>+'P&amp;L Forecast'!AO36</f>
        <v>5.9568900000000005</v>
      </c>
      <c r="O13" s="53">
        <f>+'P&amp;L Forecast'!AP36</f>
        <v>7.7827999999999999</v>
      </c>
      <c r="P13" s="53">
        <f>+'P&amp;L Forecast'!AQ36</f>
        <v>8.1370100000000001</v>
      </c>
      <c r="Q13" s="53">
        <f>+'P&amp;L Forecast'!AR36</f>
        <v>7.8082500000000001</v>
      </c>
      <c r="R13" s="53">
        <f>+'P&amp;L Forecast'!AS36</f>
        <v>8.4072000000000013</v>
      </c>
      <c r="S13" s="53">
        <f>+'P&amp;L Forecast'!AT36</f>
        <v>8.1957599999999999</v>
      </c>
    </row>
    <row r="14" spans="2:22">
      <c r="B14" s="56" t="str">
        <f>+'P&amp;L Forecast'!B37</f>
        <v>Occupancy Tax Specialist</v>
      </c>
      <c r="C14" s="64">
        <f>+'P&amp;L Forecast'!I37</f>
        <v>15.389199999999999</v>
      </c>
      <c r="D14" s="64">
        <f>+'P&amp;L Forecast'!J37</f>
        <v>57.373349999999995</v>
      </c>
      <c r="E14" s="64">
        <f>+'P&amp;L Forecast'!K37</f>
        <v>58.2</v>
      </c>
      <c r="F14" s="23"/>
      <c r="G14" s="53">
        <f>+'P&amp;L Forecast'!AH37</f>
        <v>2.1791700000000001</v>
      </c>
      <c r="H14" s="53">
        <f>+'P&amp;L Forecast'!AI37</f>
        <v>2.1229299999999998</v>
      </c>
      <c r="I14" s="53">
        <f>+'P&amp;L Forecast'!AJ37</f>
        <v>3.1041999999999996</v>
      </c>
      <c r="J14" s="53">
        <f>+'P&amp;L Forecast'!AK37</f>
        <v>3.2713700000000001</v>
      </c>
      <c r="K14" s="53">
        <f>+'P&amp;L Forecast'!AL37</f>
        <v>3.6394699999999998</v>
      </c>
      <c r="L14" s="53">
        <f>+'P&amp;L Forecast'!AM37</f>
        <v>3.1503299999999999</v>
      </c>
      <c r="M14" s="53">
        <f>+'P&amp;L Forecast'!AN37</f>
        <v>1.69116</v>
      </c>
      <c r="N14" s="53">
        <f>+'P&amp;L Forecast'!AO37</f>
        <v>5.5491899999999994</v>
      </c>
      <c r="O14" s="53">
        <f>+'P&amp;L Forecast'!AP37</f>
        <v>7.1998999999999995</v>
      </c>
      <c r="P14" s="53">
        <f>+'P&amp;L Forecast'!AQ37</f>
        <v>8.1927000000000003</v>
      </c>
      <c r="Q14" s="53">
        <f>+'P&amp;L Forecast'!AR37</f>
        <v>8.2833500000000004</v>
      </c>
      <c r="R14" s="53">
        <f>+'P&amp;L Forecast'!AS37</f>
        <v>5.4926499999999994</v>
      </c>
      <c r="S14" s="53">
        <f>+'P&amp;L Forecast'!AT37</f>
        <v>5.6760999999999999</v>
      </c>
    </row>
    <row r="15" spans="2:22">
      <c r="B15" s="56" t="str">
        <f>+'P&amp;L Forecast'!B38</f>
        <v>Sr. Client Lead Wages</v>
      </c>
      <c r="C15" s="64">
        <f>+'P&amp;L Forecast'!I38</f>
        <v>0</v>
      </c>
      <c r="D15" s="64">
        <f>+'P&amp;L Forecast'!J38</f>
        <v>7.9949999999999992</v>
      </c>
      <c r="E15" s="64">
        <f>+'P&amp;L Forecast'!K38</f>
        <v>33.081240000000001</v>
      </c>
      <c r="F15" s="23"/>
      <c r="G15" s="53">
        <f>+'P&amp;L Forecast'!AH38</f>
        <v>0</v>
      </c>
      <c r="H15" s="53">
        <f>+'P&amp;L Forecast'!AI38</f>
        <v>0</v>
      </c>
      <c r="I15" s="53">
        <f>+'P&amp;L Forecast'!AJ38</f>
        <v>0</v>
      </c>
      <c r="J15" s="53">
        <f>+'P&amp;L Forecast'!AK38</f>
        <v>0</v>
      </c>
      <c r="K15" s="53">
        <f>+'P&amp;L Forecast'!AL38</f>
        <v>0</v>
      </c>
      <c r="L15" s="53">
        <f>+'P&amp;L Forecast'!AM38</f>
        <v>0</v>
      </c>
      <c r="M15" s="53">
        <f>+'P&amp;L Forecast'!AN38</f>
        <v>0</v>
      </c>
      <c r="N15" s="53">
        <f>+'P&amp;L Forecast'!AO38</f>
        <v>0</v>
      </c>
      <c r="O15" s="53">
        <f>+'P&amp;L Forecast'!AP38</f>
        <v>0</v>
      </c>
      <c r="P15" s="53">
        <f>+'P&amp;L Forecast'!AQ38</f>
        <v>0</v>
      </c>
      <c r="Q15" s="53">
        <f>+'P&amp;L Forecast'!AR38</f>
        <v>2.5170599999999999</v>
      </c>
      <c r="R15" s="53">
        <f>+'P&amp;L Forecast'!AS38</f>
        <v>2.7211699999999999</v>
      </c>
      <c r="S15" s="53">
        <f>+'P&amp;L Forecast'!AT38</f>
        <v>2.7567699999999999</v>
      </c>
    </row>
    <row r="16" spans="2:22">
      <c r="B16" s="56" t="str">
        <f>+'P&amp;L Forecast'!B39</f>
        <v>Employee Benefits</v>
      </c>
      <c r="C16" s="64">
        <f>+'P&amp;L Forecast'!I39</f>
        <v>12.16686</v>
      </c>
      <c r="D16" s="64">
        <f>+'P&amp;L Forecast'!J39</f>
        <v>27.573299999999996</v>
      </c>
      <c r="E16" s="64">
        <f>+'P&amp;L Forecast'!K39</f>
        <v>32.178359999999998</v>
      </c>
      <c r="F16" s="23"/>
      <c r="G16" s="53">
        <f>+'P&amp;L Forecast'!AH39</f>
        <v>1.5608300000000002</v>
      </c>
      <c r="H16" s="53">
        <f>+'P&amp;L Forecast'!AI39</f>
        <v>1.7476700000000003</v>
      </c>
      <c r="I16" s="53">
        <f>+'P&amp;L Forecast'!AJ39</f>
        <v>0.90752999999999995</v>
      </c>
      <c r="J16" s="53">
        <f>+'P&amp;L Forecast'!AK39</f>
        <v>2.5135300000000003</v>
      </c>
      <c r="K16" s="53">
        <f>+'P&amp;L Forecast'!AL39</f>
        <v>1.0375300000000001</v>
      </c>
      <c r="L16" s="53">
        <f>+'P&amp;L Forecast'!AM39</f>
        <v>4.0045299999999999</v>
      </c>
      <c r="M16" s="53">
        <f>+'P&amp;L Forecast'!AN39</f>
        <v>1.5787300000000002</v>
      </c>
      <c r="N16" s="53">
        <f>+'P&amp;L Forecast'!AO39</f>
        <v>1.1455300000000002</v>
      </c>
      <c r="O16" s="53">
        <f>+'P&amp;L Forecast'!AP39</f>
        <v>5.1385300000000003</v>
      </c>
      <c r="P16" s="53">
        <f>+'P&amp;L Forecast'!AQ39</f>
        <v>1.92353</v>
      </c>
      <c r="Q16" s="53">
        <f>+'P&amp;L Forecast'!AR39</f>
        <v>1.46353</v>
      </c>
      <c r="R16" s="53">
        <f>+'P&amp;L Forecast'!AS39</f>
        <v>3.4311299999999996</v>
      </c>
      <c r="S16" s="53">
        <f>+'P&amp;L Forecast'!AT39</f>
        <v>2.68153</v>
      </c>
    </row>
    <row r="17" spans="2:19">
      <c r="B17" s="60" t="s">
        <v>980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2094.12662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988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0.227210498524379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0.16427989369310012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1.9409439327930222E-2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982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1" t="s">
        <v>974</v>
      </c>
      <c r="D31" s="66">
        <f t="shared" ref="D31:E40" si="27">IFERROR(D8/C8-1,0)</f>
        <v>1.4811221920324669</v>
      </c>
      <c r="E31" s="66">
        <f t="shared" si="27"/>
        <v>0.35658009443613392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1" t="s">
        <v>974</v>
      </c>
      <c r="D32" s="66">
        <f t="shared" si="27"/>
        <v>0.81810354008881148</v>
      </c>
      <c r="E32" s="66">
        <f t="shared" si="27"/>
        <v>0.12807294248804313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1" t="s">
        <v>974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1" t="s">
        <v>974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1" t="s">
        <v>974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1" t="s">
        <v>974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1" t="s">
        <v>974</v>
      </c>
      <c r="D37" s="66">
        <f t="shared" si="27"/>
        <v>2.7281567592857328</v>
      </c>
      <c r="E37" s="66">
        <f t="shared" si="27"/>
        <v>1.4408257492372512E-2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1" t="s">
        <v>974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1" t="s">
        <v>974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983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0.1956861817079365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984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Forecast'!B42</f>
        <v>Software &amp; Apps - COGS</v>
      </c>
      <c r="C43" s="49">
        <f>+'P&amp;L Forecast'!I42</f>
        <v>142.28344999999999</v>
      </c>
      <c r="D43" s="49">
        <f>+'P&amp;L Forecast'!J42</f>
        <v>224.80769000000001</v>
      </c>
      <c r="E43" s="49">
        <f>+'P&amp;L Forecast'!K42</f>
        <v>335.70816000000002</v>
      </c>
      <c r="F43" s="48"/>
      <c r="G43" s="47">
        <f>+'P&amp;L Forecast'!AH42</f>
        <v>13.135450000000001</v>
      </c>
      <c r="H43" s="47">
        <f>+'P&amp;L Forecast'!AI42</f>
        <v>14.257149999999999</v>
      </c>
      <c r="I43" s="47">
        <f>+'P&amp;L Forecast'!AJ42</f>
        <v>13.595120000000001</v>
      </c>
      <c r="J43" s="47">
        <f>+'P&amp;L Forecast'!AK42</f>
        <v>12.347620000000001</v>
      </c>
      <c r="K43" s="47">
        <f>+'P&amp;L Forecast'!AL42</f>
        <v>15.21781</v>
      </c>
      <c r="L43" s="47">
        <f>+'P&amp;L Forecast'!AM42</f>
        <v>17.108419999999999</v>
      </c>
      <c r="M43" s="47">
        <f>+'P&amp;L Forecast'!AN42</f>
        <v>18.468299999999999</v>
      </c>
      <c r="N43" s="47">
        <f>+'P&amp;L Forecast'!AO42</f>
        <v>17.920270000000002</v>
      </c>
      <c r="O43" s="47">
        <f>+'P&amp;L Forecast'!AP42</f>
        <v>18.40906</v>
      </c>
      <c r="P43" s="47">
        <f>+'P&amp;L Forecast'!AQ42</f>
        <v>21.38775</v>
      </c>
      <c r="Q43" s="47">
        <f>+'P&amp;L Forecast'!AR42</f>
        <v>23.44584</v>
      </c>
      <c r="R43" s="47">
        <f>+'P&amp;L Forecast'!AS42</f>
        <v>24.674669999999999</v>
      </c>
      <c r="S43" s="47">
        <f>+'P&amp;L Forecast'!AT42</f>
        <v>27.975680000000001</v>
      </c>
    </row>
    <row r="44" spans="2:19">
      <c r="B44" s="56" t="str">
        <f>+'P&amp;L Forecast'!B43</f>
        <v>Software &amp; Apps - G&amp;A</v>
      </c>
      <c r="C44" s="64">
        <f>+'P&amp;L Forecast'!I43</f>
        <v>86.514889999999994</v>
      </c>
      <c r="D44" s="64">
        <f>+'P&amp;L Forecast'!J43</f>
        <v>157.29514</v>
      </c>
      <c r="E44" s="64">
        <f>+'P&amp;L Forecast'!K43</f>
        <v>155.82264000000001</v>
      </c>
      <c r="F44" s="23"/>
      <c r="G44" s="53">
        <f>+'P&amp;L Forecast'!AH43</f>
        <v>8.9846800000000009</v>
      </c>
      <c r="H44" s="53">
        <f>+'P&amp;L Forecast'!AI43</f>
        <v>9.8566000000000003</v>
      </c>
      <c r="I44" s="53">
        <f>+'P&amp;L Forecast'!AJ43</f>
        <v>10.73391</v>
      </c>
      <c r="J44" s="53">
        <f>+'P&amp;L Forecast'!AK43</f>
        <v>12.08939</v>
      </c>
      <c r="K44" s="53">
        <f>+'P&amp;L Forecast'!AL43</f>
        <v>13.14583</v>
      </c>
      <c r="L44" s="53">
        <f>+'P&amp;L Forecast'!AM43</f>
        <v>14.421430000000001</v>
      </c>
      <c r="M44" s="53">
        <f>+'P&amp;L Forecast'!AN43</f>
        <v>13.263159999999999</v>
      </c>
      <c r="N44" s="53">
        <f>+'P&amp;L Forecast'!AO43</f>
        <v>14.7201</v>
      </c>
      <c r="O44" s="53">
        <f>+'P&amp;L Forecast'!AP43</f>
        <v>14.99072</v>
      </c>
      <c r="P44" s="53">
        <f>+'P&amp;L Forecast'!AQ43</f>
        <v>14.744590000000001</v>
      </c>
      <c r="Q44" s="53">
        <f>+'P&amp;L Forecast'!AR43</f>
        <v>13.229200000000001</v>
      </c>
      <c r="R44" s="53">
        <f>+'P&amp;L Forecast'!AS43</f>
        <v>13.114990000000001</v>
      </c>
      <c r="S44" s="53">
        <f>+'P&amp;L Forecast'!AT43</f>
        <v>12.98522</v>
      </c>
    </row>
    <row r="45" spans="2:19">
      <c r="B45" s="56" t="str">
        <f>+'P&amp;L Forecast'!B44</f>
        <v>Software &amp; Apps - Topkey</v>
      </c>
      <c r="C45" s="64">
        <f>+'P&amp;L Forecast'!I44</f>
        <v>0</v>
      </c>
      <c r="D45" s="64">
        <f>+'P&amp;L Forecast'!J44</f>
        <v>35.969000000000001</v>
      </c>
      <c r="E45" s="64">
        <f>+'P&amp;L Forecast'!K44</f>
        <v>60.84</v>
      </c>
      <c r="F45" s="23"/>
      <c r="G45" s="53">
        <f>+'P&amp;L Forecast'!AH44</f>
        <v>0</v>
      </c>
      <c r="H45" s="53">
        <f>+'P&amp;L Forecast'!AI44</f>
        <v>0</v>
      </c>
      <c r="I45" s="53">
        <f>+'P&amp;L Forecast'!AJ44</f>
        <v>0.93725000000000003</v>
      </c>
      <c r="J45" s="53">
        <f>+'P&amp;L Forecast'!AK44</f>
        <v>1.39225</v>
      </c>
      <c r="K45" s="53">
        <f>+'P&amp;L Forecast'!AL44</f>
        <v>2.3612500000000001</v>
      </c>
      <c r="L45" s="53">
        <f>+'P&amp;L Forecast'!AM44</f>
        <v>2.4504999999999999</v>
      </c>
      <c r="M45" s="53">
        <f>+'P&amp;L Forecast'!AN44</f>
        <v>2.9497499999999999</v>
      </c>
      <c r="N45" s="53">
        <f>+'P&amp;L Forecast'!AO44</f>
        <v>3.42</v>
      </c>
      <c r="O45" s="53">
        <f>+'P&amp;L Forecast'!AP44</f>
        <v>3.6779999999999999</v>
      </c>
      <c r="P45" s="53">
        <f>+'P&amp;L Forecast'!AQ44</f>
        <v>4.218</v>
      </c>
      <c r="Q45" s="53">
        <f>+'P&amp;L Forecast'!AR44</f>
        <v>4.2839999999999998</v>
      </c>
      <c r="R45" s="53">
        <f>+'P&amp;L Forecast'!AS44</f>
        <v>5.2080000000000002</v>
      </c>
      <c r="S45" s="53">
        <f>+'P&amp;L Forecast'!AT44</f>
        <v>5.07</v>
      </c>
    </row>
    <row r="46" spans="2:19">
      <c r="B46" s="56" t="str">
        <f>+'P&amp;L Forecast'!B45</f>
        <v>Software &amp; Apps - AI tools</v>
      </c>
      <c r="C46" s="64">
        <f>+'P&amp;L Forecast'!I45</f>
        <v>0</v>
      </c>
      <c r="D46" s="64">
        <f>+'P&amp;L Forecast'!J45</f>
        <v>6.52752</v>
      </c>
      <c r="E46" s="64">
        <f>+'P&amp;L Forecast'!K45</f>
        <v>15.743759999999998</v>
      </c>
      <c r="F46" s="23"/>
      <c r="G46" s="53">
        <f>+'P&amp;L Forecast'!AH45</f>
        <v>0</v>
      </c>
      <c r="H46" s="53">
        <f>+'P&amp;L Forecast'!AI45</f>
        <v>0</v>
      </c>
      <c r="I46" s="53">
        <f>+'P&amp;L Forecast'!AJ45</f>
        <v>0</v>
      </c>
      <c r="J46" s="53">
        <f>+'P&amp;L Forecast'!AK45</f>
        <v>0</v>
      </c>
      <c r="K46" s="53">
        <f>+'P&amp;L Forecast'!AL45</f>
        <v>0</v>
      </c>
      <c r="L46" s="53">
        <f>+'P&amp;L Forecast'!AM45</f>
        <v>0</v>
      </c>
      <c r="M46" s="53">
        <f>+'P&amp;L Forecast'!AN45</f>
        <v>0.12</v>
      </c>
      <c r="N46" s="53">
        <f>+'P&amp;L Forecast'!AO45</f>
        <v>0.12</v>
      </c>
      <c r="O46" s="53">
        <f>+'P&amp;L Forecast'!AP45</f>
        <v>0.70165999999999995</v>
      </c>
      <c r="P46" s="53">
        <f>+'P&amp;L Forecast'!AQ45</f>
        <v>2.20736</v>
      </c>
      <c r="Q46" s="53">
        <f>+'P&amp;L Forecast'!AR45</f>
        <v>0.91486999999999996</v>
      </c>
      <c r="R46" s="53">
        <f>+'P&amp;L Forecast'!AS45</f>
        <v>1.1516500000000001</v>
      </c>
      <c r="S46" s="53">
        <f>+'P&amp;L Forecast'!AT45</f>
        <v>1.3119799999999999</v>
      </c>
    </row>
    <row r="47" spans="2:19">
      <c r="B47" s="60" t="s">
        <v>981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989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985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974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1" t="s">
        <v>974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1" t="s">
        <v>974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1" t="s">
        <v>974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986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990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Overview'!B38</f>
        <v>Other Professional Fees</v>
      </c>
      <c r="C63" s="49">
        <f>+'P&amp;L Overview'!I38</f>
        <v>21.74858</v>
      </c>
      <c r="D63" s="49">
        <f>+'P&amp;L Overview'!J38</f>
        <v>72.576949999999997</v>
      </c>
      <c r="E63" s="49">
        <f>+'P&amp;L Overview'!K38</f>
        <v>72.576949999999997</v>
      </c>
      <c r="F63" s="48"/>
      <c r="G63" s="47">
        <f>+'P&amp;L Forecast'!AH48</f>
        <v>0</v>
      </c>
      <c r="H63" s="47">
        <f>+'P&amp;L Forecast'!AI48</f>
        <v>0.2</v>
      </c>
      <c r="I63" s="47">
        <f>+'P&amp;L Forecast'!AJ48</f>
        <v>1.3269500000000001</v>
      </c>
      <c r="J63" s="47">
        <f>+'P&amp;L Forecast'!AK48</f>
        <v>0</v>
      </c>
      <c r="K63" s="47">
        <f>+'P&amp;L Forecast'!AL48</f>
        <v>6</v>
      </c>
      <c r="L63" s="47">
        <f>+'P&amp;L Forecast'!AM48</f>
        <v>7.5</v>
      </c>
      <c r="M63" s="47">
        <f>+'P&amp;L Forecast'!AN48</f>
        <v>0</v>
      </c>
      <c r="N63" s="47">
        <f>+'P&amp;L Forecast'!AO48</f>
        <v>0</v>
      </c>
      <c r="O63" s="47">
        <f>+'P&amp;L Forecast'!AP48</f>
        <v>6.6</v>
      </c>
      <c r="P63" s="47">
        <f>+'P&amp;L Forecast'!AQ48</f>
        <v>14</v>
      </c>
      <c r="Q63" s="47">
        <f>+'P&amp;L Forecast'!AR48</f>
        <v>18</v>
      </c>
      <c r="R63" s="47">
        <f>+'P&amp;L Forecast'!AS48</f>
        <v>0</v>
      </c>
      <c r="S63" s="47">
        <f>+'P&amp;L Forecast'!AT48</f>
        <v>18.95</v>
      </c>
    </row>
    <row r="64" spans="2:19">
      <c r="B64" s="56" t="str">
        <f>+'P&amp;L Overview'!B39</f>
        <v>Referral Fees</v>
      </c>
      <c r="C64" s="64">
        <f>+'P&amp;L Overview'!I39</f>
        <v>26.209499999999998</v>
      </c>
      <c r="D64" s="64">
        <f>+'P&amp;L Overview'!J39</f>
        <v>30.693929999999998</v>
      </c>
      <c r="E64" s="64">
        <f>+'P&amp;L Overview'!K39</f>
        <v>30.693929999999998</v>
      </c>
      <c r="F64" s="23"/>
      <c r="G64" s="53">
        <f>+'P&amp;L Forecast'!AH49</f>
        <v>3.7697500000000002</v>
      </c>
      <c r="H64" s="53">
        <f>+'P&amp;L Forecast'!AI49</f>
        <v>1.696</v>
      </c>
      <c r="I64" s="53">
        <f>+'P&amp;L Forecast'!AJ49</f>
        <v>2.2275</v>
      </c>
      <c r="J64" s="53">
        <f>+'P&amp;L Forecast'!AK49</f>
        <v>1.6645000000000001</v>
      </c>
      <c r="K64" s="53">
        <f>+'P&amp;L Forecast'!AL49</f>
        <v>1.71879</v>
      </c>
      <c r="L64" s="53">
        <f>+'P&amp;L Forecast'!AM49</f>
        <v>2.75745</v>
      </c>
      <c r="M64" s="53">
        <f>+'P&amp;L Forecast'!AN49</f>
        <v>1.8688</v>
      </c>
      <c r="N64" s="53">
        <f>+'P&amp;L Forecast'!AO49</f>
        <v>4.4399100000000002</v>
      </c>
      <c r="O64" s="53">
        <f>+'P&amp;L Forecast'!AP49</f>
        <v>2.3936100000000002</v>
      </c>
      <c r="P64" s="53">
        <f>+'P&amp;L Forecast'!AQ49</f>
        <v>3.6578600000000003</v>
      </c>
      <c r="Q64" s="53">
        <f>+'P&amp;L Forecast'!AR49</f>
        <v>2.9337900000000001</v>
      </c>
      <c r="R64" s="53">
        <f>+'P&amp;L Forecast'!AS49</f>
        <v>1.5662</v>
      </c>
      <c r="S64" s="53">
        <f>+'P&amp;L Forecast'!AT49</f>
        <v>3.76952</v>
      </c>
    </row>
    <row r="65" spans="2:19">
      <c r="B65" s="56" t="str">
        <f>+'P&amp;L Overview'!B40</f>
        <v>Travel, Meals &amp; Entertainment</v>
      </c>
      <c r="C65" s="64">
        <f>+'P&amp;L Overview'!I40</f>
        <v>22.295579999999998</v>
      </c>
      <c r="D65" s="64">
        <f>+'P&amp;L Overview'!J40</f>
        <v>28.151060000000001</v>
      </c>
      <c r="E65" s="64">
        <f>+'P&amp;L Overview'!K40</f>
        <v>28.151060000000001</v>
      </c>
      <c r="F65" s="23"/>
      <c r="G65" s="53">
        <f>+'P&amp;L Forecast'!AH50</f>
        <v>9.7659999999999997E-2</v>
      </c>
      <c r="H65" s="53">
        <f>+'P&amp;L Forecast'!AI50</f>
        <v>0.92152000000000001</v>
      </c>
      <c r="I65" s="53">
        <f>+'P&amp;L Forecast'!AJ50</f>
        <v>2.9642300000000006</v>
      </c>
      <c r="J65" s="53">
        <f>+'P&amp;L Forecast'!AK50</f>
        <v>1.0367900000000001</v>
      </c>
      <c r="K65" s="53">
        <f>+'P&amp;L Forecast'!AL50</f>
        <v>2.11036</v>
      </c>
      <c r="L65" s="53">
        <f>+'P&amp;L Forecast'!AM50</f>
        <v>0.43274000000000001</v>
      </c>
      <c r="M65" s="53">
        <f>+'P&amp;L Forecast'!AN50</f>
        <v>0</v>
      </c>
      <c r="N65" s="53">
        <f>+'P&amp;L Forecast'!AO50</f>
        <v>0</v>
      </c>
      <c r="O65" s="53">
        <f>+'P&amp;L Forecast'!AP50</f>
        <v>0</v>
      </c>
      <c r="P65" s="53">
        <f>+'P&amp;L Forecast'!AQ50</f>
        <v>9.7651000000000003</v>
      </c>
      <c r="Q65" s="53">
        <f>+'P&amp;L Forecast'!AR50</f>
        <v>10.254430000000001</v>
      </c>
      <c r="R65" s="53">
        <f>+'P&amp;L Forecast'!AS50</f>
        <v>0.65590000000000004</v>
      </c>
      <c r="S65" s="53">
        <f>+'P&amp;L Forecast'!AT50</f>
        <v>9.9900000000000006E-3</v>
      </c>
    </row>
    <row r="66" spans="2:19">
      <c r="B66" s="56" t="str">
        <f>+'P&amp;L Overview'!B41</f>
        <v>Payment Collection Fees</v>
      </c>
      <c r="C66" s="64">
        <f>+'P&amp;L Overview'!I41</f>
        <v>10.54373</v>
      </c>
      <c r="D66" s="64">
        <f>+'P&amp;L Overview'!J41</f>
        <v>15.573919999999999</v>
      </c>
      <c r="E66" s="64">
        <f>+'P&amp;L Overview'!K41</f>
        <v>15.573919999999999</v>
      </c>
      <c r="F66" s="70"/>
      <c r="G66" s="53">
        <f>+'P&amp;L Forecast'!AH51</f>
        <v>1.22475</v>
      </c>
      <c r="H66" s="53">
        <f>+'P&amp;L Forecast'!AI51</f>
        <v>1.1043800000000001</v>
      </c>
      <c r="I66" s="53">
        <f>+'P&amp;L Forecast'!AJ51</f>
        <v>1.2972300000000001</v>
      </c>
      <c r="J66" s="53">
        <f>+'P&amp;L Forecast'!AK51</f>
        <v>1.2173900000000002</v>
      </c>
      <c r="K66" s="53">
        <f>+'P&amp;L Forecast'!AL51</f>
        <v>1.62294</v>
      </c>
      <c r="L66" s="53">
        <f>+'P&amp;L Forecast'!AM51</f>
        <v>1.3051400000000002</v>
      </c>
      <c r="M66" s="53">
        <f>+'P&amp;L Forecast'!AN51</f>
        <v>1.2297400000000001</v>
      </c>
      <c r="N66" s="53">
        <f>+'P&amp;L Forecast'!AO51</f>
        <v>1.73847</v>
      </c>
      <c r="O66" s="53">
        <f>+'P&amp;L Forecast'!AP51</f>
        <v>1.35348</v>
      </c>
      <c r="P66" s="53">
        <f>+'P&amp;L Forecast'!AQ51</f>
        <v>1.2339899999999999</v>
      </c>
      <c r="Q66" s="53">
        <f>+'P&amp;L Forecast'!AR51</f>
        <v>1.1713699999999998</v>
      </c>
      <c r="R66" s="53">
        <f>+'P&amp;L Forecast'!AS51</f>
        <v>1.1539200000000001</v>
      </c>
      <c r="S66" s="53">
        <f>+'P&amp;L Forecast'!AT51</f>
        <v>1.1458699999999999</v>
      </c>
    </row>
    <row r="67" spans="2:19">
      <c r="B67" s="56" t="str">
        <f>+'P&amp;L Overview'!B42</f>
        <v>Professional Organizations</v>
      </c>
      <c r="C67" s="64">
        <f>+'P&amp;L Overview'!I42</f>
        <v>9.5326799999999974</v>
      </c>
      <c r="D67" s="64">
        <f>+'P&amp;L Overview'!J42</f>
        <v>11.61077</v>
      </c>
      <c r="E67" s="64">
        <f>+'P&amp;L Overview'!K42</f>
        <v>11.61077</v>
      </c>
      <c r="F67" s="23"/>
      <c r="G67" s="53">
        <f>+'P&amp;L Forecast'!AH52</f>
        <v>1.4859800000000001</v>
      </c>
      <c r="H67" s="53">
        <f>+'P&amp;L Forecast'!AI52</f>
        <v>0.96329999999999993</v>
      </c>
      <c r="I67" s="53">
        <f>+'P&amp;L Forecast'!AJ52</f>
        <v>0.98041999999999996</v>
      </c>
      <c r="J67" s="53">
        <f>+'P&amp;L Forecast'!AK52</f>
        <v>1.02942</v>
      </c>
      <c r="K67" s="53">
        <f>+'P&amp;L Forecast'!AL52</f>
        <v>1.02942</v>
      </c>
      <c r="L67" s="53">
        <f>+'P&amp;L Forecast'!AM52</f>
        <v>1.0294000000000001</v>
      </c>
      <c r="M67" s="53">
        <f>+'P&amp;L Forecast'!AN52</f>
        <v>0.93983000000000005</v>
      </c>
      <c r="N67" s="53">
        <f>+'P&amp;L Forecast'!AO52</f>
        <v>0.93983000000000005</v>
      </c>
      <c r="O67" s="53">
        <f>+'P&amp;L Forecast'!AP52</f>
        <v>0.93983000000000005</v>
      </c>
      <c r="P67" s="53">
        <f>+'P&amp;L Forecast'!AQ52</f>
        <v>0.93983000000000005</v>
      </c>
      <c r="Q67" s="53">
        <f>+'P&amp;L Forecast'!AR52</f>
        <v>0.93983000000000005</v>
      </c>
      <c r="R67" s="53">
        <f>+'P&amp;L Forecast'!AS52</f>
        <v>0.93983000000000005</v>
      </c>
      <c r="S67" s="53">
        <f>+'P&amp;L Forecast'!AT52</f>
        <v>0.93983000000000005</v>
      </c>
    </row>
    <row r="68" spans="2:19">
      <c r="B68" s="56" t="str">
        <f>+'P&amp;L Overview'!B43</f>
        <v>S&amp;M Events</v>
      </c>
      <c r="C68" s="64">
        <f>+'P&amp;L Overview'!I43</f>
        <v>0</v>
      </c>
      <c r="D68" s="64">
        <f>+'P&amp;L Overview'!J43</f>
        <v>23.343780000000002</v>
      </c>
      <c r="E68" s="64">
        <f>+'P&amp;L Overview'!K43</f>
        <v>23.343780000000002</v>
      </c>
      <c r="F68" s="23"/>
      <c r="G68" s="53">
        <f>+'P&amp;L Forecast'!AH53</f>
        <v>0</v>
      </c>
      <c r="H68" s="53">
        <f>+'P&amp;L Forecast'!AI53</f>
        <v>7.17</v>
      </c>
      <c r="I68" s="53">
        <f>+'P&amp;L Forecast'!AJ53</f>
        <v>1.6495</v>
      </c>
      <c r="J68" s="53">
        <f>+'P&amp;L Forecast'!AK53</f>
        <v>2.6788000000000003</v>
      </c>
      <c r="K68" s="53">
        <f>+'P&amp;L Forecast'!AL53</f>
        <v>0</v>
      </c>
      <c r="L68" s="53">
        <f>+'P&amp;L Forecast'!AM53</f>
        <v>0</v>
      </c>
      <c r="M68" s="53">
        <f>+'P&amp;L Forecast'!AN53</f>
        <v>0.05</v>
      </c>
      <c r="N68" s="53">
        <f>+'P&amp;L Forecast'!AO53</f>
        <v>0</v>
      </c>
      <c r="O68" s="53">
        <f>+'P&amp;L Forecast'!AP53</f>
        <v>0</v>
      </c>
      <c r="P68" s="53">
        <f>+'P&amp;L Forecast'!AQ53</f>
        <v>0</v>
      </c>
      <c r="Q68" s="53">
        <f>+'P&amp;L Forecast'!AR53</f>
        <v>9.8049999999999998E-2</v>
      </c>
      <c r="R68" s="53">
        <f>+'P&amp;L Forecast'!AS53</f>
        <v>2.4300000000000003E-3</v>
      </c>
      <c r="S68" s="53">
        <f>+'P&amp;L Forecast'!AT53</f>
        <v>11.695</v>
      </c>
    </row>
    <row r="69" spans="2:19">
      <c r="B69" s="56" t="str">
        <f>+'P&amp;L Overview'!B44</f>
        <v>Contract Labor - Tax</v>
      </c>
      <c r="C69" s="64">
        <f>+'P&amp;L Overview'!I44</f>
        <v>0</v>
      </c>
      <c r="D69" s="64">
        <f>+'P&amp;L Overview'!J44</f>
        <v>32.103000000000002</v>
      </c>
      <c r="E69" s="64">
        <f>+'P&amp;L Overview'!K44</f>
        <v>38.761499999999998</v>
      </c>
      <c r="F69" s="23"/>
      <c r="G69" s="53">
        <f>+'P&amp;L Forecast'!AH54</f>
        <v>0</v>
      </c>
      <c r="H69" s="53">
        <f>+'P&amp;L Forecast'!AI54</f>
        <v>0</v>
      </c>
      <c r="I69" s="53">
        <f>+'P&amp;L Forecast'!AJ54</f>
        <v>0</v>
      </c>
      <c r="J69" s="53">
        <f>+'P&amp;L Forecast'!AK54</f>
        <v>1.1499999999999999</v>
      </c>
      <c r="K69" s="53">
        <f>+'P&amp;L Forecast'!AL54</f>
        <v>0.4375</v>
      </c>
      <c r="L69" s="53">
        <f>+'P&amp;L Forecast'!AM54</f>
        <v>0</v>
      </c>
      <c r="M69" s="53">
        <f>+'P&amp;L Forecast'!AN54</f>
        <v>0</v>
      </c>
      <c r="N69" s="53">
        <f>+'P&amp;L Forecast'!AO54</f>
        <v>3</v>
      </c>
      <c r="O69" s="53">
        <f>+'P&amp;L Forecast'!AP54</f>
        <v>16.265499999999999</v>
      </c>
      <c r="P69" s="53">
        <f>+'P&amp;L Forecast'!AQ54</f>
        <v>2.8</v>
      </c>
      <c r="Q69" s="53">
        <f>+'P&amp;L Forecast'!AR54</f>
        <v>0</v>
      </c>
      <c r="R69" s="53">
        <f>+'P&amp;L Forecast'!AS54</f>
        <v>8.4499999999999993</v>
      </c>
      <c r="S69" s="53">
        <f>+'P&amp;L Forecast'!AT54</f>
        <v>0</v>
      </c>
    </row>
    <row r="70" spans="2:19">
      <c r="B70" s="56" t="str">
        <f>+'P&amp;L Overview'!B45</f>
        <v>Recruiting Fees</v>
      </c>
      <c r="C70" s="64">
        <f>+'P&amp;L Overview'!I45</f>
        <v>35.346060000000008</v>
      </c>
      <c r="D70" s="64">
        <f>+'P&amp;L Overview'!J45</f>
        <v>8.86876</v>
      </c>
      <c r="E70" s="64">
        <f>+'P&amp;L Overview'!K45</f>
        <v>8.86876</v>
      </c>
      <c r="F70" s="23"/>
      <c r="G70" s="53">
        <f>+'P&amp;L Forecast'!AH55</f>
        <v>0.77688000000000001</v>
      </c>
      <c r="H70" s="53">
        <f>+'P&amp;L Forecast'!AI55</f>
        <v>0.21671000000000001</v>
      </c>
      <c r="I70" s="53">
        <f>+'P&amp;L Forecast'!AJ55</f>
        <v>0.74951999999999996</v>
      </c>
      <c r="J70" s="53">
        <f>+'P&amp;L Forecast'!AK55</f>
        <v>0.92573000000000005</v>
      </c>
      <c r="K70" s="53">
        <f>+'P&amp;L Forecast'!AL55</f>
        <v>0.66044000000000003</v>
      </c>
      <c r="L70" s="53">
        <f>+'P&amp;L Forecast'!AM55</f>
        <v>0.75175999999999998</v>
      </c>
      <c r="M70" s="53">
        <f>+'P&amp;L Forecast'!AN55</f>
        <v>0.82029999999999992</v>
      </c>
      <c r="N70" s="53">
        <f>+'P&amp;L Forecast'!AO55</f>
        <v>0.68046000000000006</v>
      </c>
      <c r="O70" s="53">
        <f>+'P&amp;L Forecast'!AP55</f>
        <v>0.77239000000000002</v>
      </c>
      <c r="P70" s="53">
        <f>+'P&amp;L Forecast'!AQ55</f>
        <v>0.71608000000000005</v>
      </c>
      <c r="Q70" s="53">
        <f>+'P&amp;L Forecast'!AR55</f>
        <v>0.64019999999999999</v>
      </c>
      <c r="R70" s="53">
        <f>+'P&amp;L Forecast'!AS55</f>
        <v>1.1353800000000001</v>
      </c>
      <c r="S70" s="53">
        <f>+'P&amp;L Forecast'!AT55</f>
        <v>0.79979</v>
      </c>
    </row>
    <row r="71" spans="2:19">
      <c r="B71" s="56" t="str">
        <f>+'P&amp;L Overview'!B46</f>
        <v>Other Expenses</v>
      </c>
      <c r="C71" s="64">
        <f>+'P&amp;L Overview'!I46</f>
        <v>41.76881000000003</v>
      </c>
      <c r="D71" s="64">
        <f>+'P&amp;L Overview'!J46</f>
        <v>50.320349999999991</v>
      </c>
      <c r="E71" s="64">
        <f>+'P&amp;L Overview'!K46</f>
        <v>56.05462</v>
      </c>
      <c r="F71" s="23"/>
      <c r="G71" s="143">
        <f>+G72-SUM(G63:G70)</f>
        <v>1.8655900000000027</v>
      </c>
      <c r="H71" s="143">
        <f t="shared" ref="H71:S71" si="56">+H72-SUM(H63:H70)</f>
        <v>2.1041500000000006</v>
      </c>
      <c r="I71" s="143">
        <f t="shared" si="56"/>
        <v>4.1907599999999992</v>
      </c>
      <c r="J71" s="143">
        <f t="shared" si="56"/>
        <v>3.0395699999999977</v>
      </c>
      <c r="K71" s="143">
        <f t="shared" si="56"/>
        <v>1.0314300000000003</v>
      </c>
      <c r="L71" s="143">
        <f t="shared" si="56"/>
        <v>13.049990000000005</v>
      </c>
      <c r="M71" s="143">
        <f t="shared" si="56"/>
        <v>5.3295300000000001</v>
      </c>
      <c r="N71" s="143">
        <f t="shared" si="56"/>
        <v>6.8620100000000015</v>
      </c>
      <c r="O71" s="143">
        <f t="shared" si="56"/>
        <v>9.6291599999999988</v>
      </c>
      <c r="P71" s="143">
        <f t="shared" si="56"/>
        <v>-2.3808199999999999</v>
      </c>
      <c r="Q71" s="143">
        <f t="shared" si="56"/>
        <v>2.0276700000000005</v>
      </c>
      <c r="R71" s="143">
        <f t="shared" si="56"/>
        <v>2.8599300000000003</v>
      </c>
      <c r="S71" s="143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Forecast'!AH66</f>
        <v>9.2206100000000024</v>
      </c>
      <c r="H72" s="63">
        <f>+'P&amp;L Forecast'!AI66</f>
        <v>14.376060000000001</v>
      </c>
      <c r="I72" s="61">
        <f>+'P&amp;L Forecast'!AJ66</f>
        <v>15.38611</v>
      </c>
      <c r="J72" s="61">
        <f>+'P&amp;L Forecast'!AK66</f>
        <v>12.742199999999999</v>
      </c>
      <c r="K72" s="61">
        <f>+'P&amp;L Forecast'!AL66</f>
        <v>14.61088</v>
      </c>
      <c r="L72" s="61">
        <f>+'P&amp;L Forecast'!AM66</f>
        <v>26.826480000000007</v>
      </c>
      <c r="M72" s="61">
        <f>+'P&amp;L Forecast'!AN66</f>
        <v>10.238199999999999</v>
      </c>
      <c r="N72" s="61">
        <f>+'P&amp;L Forecast'!AO66</f>
        <v>17.660680000000003</v>
      </c>
      <c r="O72" s="61">
        <f>+'P&amp;L Forecast'!AP66</f>
        <v>37.953969999999998</v>
      </c>
      <c r="P72" s="61">
        <f>+'P&amp;L Forecast'!AQ66</f>
        <v>30.732039999999998</v>
      </c>
      <c r="Q72" s="61">
        <f>+'P&amp;L Forecast'!AR66</f>
        <v>36.065340000000006</v>
      </c>
      <c r="R72" s="61">
        <f>+'P&amp;L Forecast'!AS66</f>
        <v>16.763590000000001</v>
      </c>
      <c r="S72" s="62">
        <f>+'P&amp;L Forecast'!AT66</f>
        <v>39.886970000000005</v>
      </c>
    </row>
    <row r="73" spans="2:19" ht="3.95" customHeight="1">
      <c r="E73" s="85"/>
    </row>
    <row r="74" spans="2:19">
      <c r="B74" s="42" t="s">
        <v>991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3" t="s">
        <v>987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75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sheetPr>
    <pageSetUpPr fitToPage="1"/>
  </sheetPr>
  <dimension ref="A1:R50"/>
  <sheetViews>
    <sheetView showGridLines="0" zoomScale="115" zoomScaleNormal="115" workbookViewId="0">
      <selection activeCell="C15" sqref="C15"/>
    </sheetView>
  </sheetViews>
  <sheetFormatPr defaultRowHeight="12"/>
  <cols>
    <col min="1" max="1" width="1.28515625" style="173" customWidth="1"/>
    <col min="2" max="2" width="40" style="173" customWidth="1"/>
    <col min="3" max="10" width="13" style="173" customWidth="1"/>
    <col min="11" max="11" width="3.85546875" style="173" customWidth="1"/>
    <col min="12" max="12" width="7.5703125" style="173" customWidth="1"/>
    <col min="13" max="13" width="5.7109375" style="173" customWidth="1"/>
    <col min="14" max="17" width="17.140625" style="173" customWidth="1"/>
    <col min="18" max="18" width="38.140625" style="173" customWidth="1"/>
    <col min="19" max="16384" width="9.140625" style="173"/>
  </cols>
  <sheetData>
    <row r="1" spans="1:18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</row>
    <row r="2" spans="1:18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</row>
    <row r="3" spans="1:18">
      <c r="A3" s="417"/>
      <c r="B3" s="415" t="s">
        <v>1943</v>
      </c>
      <c r="C3" s="417"/>
      <c r="D3" s="417"/>
      <c r="E3" s="417"/>
      <c r="F3" s="417"/>
      <c r="G3" s="417"/>
      <c r="H3" s="417"/>
      <c r="I3" s="417"/>
      <c r="J3" s="417"/>
      <c r="K3" s="417"/>
      <c r="L3" s="417" t="s">
        <v>276</v>
      </c>
      <c r="M3" s="446">
        <v>1</v>
      </c>
      <c r="N3" s="417"/>
      <c r="O3" s="417"/>
      <c r="P3" s="417"/>
      <c r="Q3" s="417"/>
      <c r="R3" s="417"/>
    </row>
    <row r="4" spans="1:18">
      <c r="A4" s="417"/>
      <c r="B4" s="450"/>
      <c r="C4" s="450"/>
      <c r="D4" s="450"/>
      <c r="E4" s="450"/>
      <c r="F4" s="450"/>
      <c r="G4" s="450"/>
      <c r="H4" s="450"/>
      <c r="I4" s="450"/>
      <c r="J4" s="450"/>
      <c r="K4" s="417"/>
      <c r="L4" s="417"/>
      <c r="M4" s="417"/>
      <c r="N4" s="417"/>
      <c r="O4" s="417"/>
      <c r="P4" s="417"/>
      <c r="Q4" s="417"/>
      <c r="R4" s="417"/>
    </row>
    <row r="5" spans="1:18" ht="33.950000000000003" customHeight="1">
      <c r="A5" s="417"/>
      <c r="B5" s="447" t="s">
        <v>1296</v>
      </c>
      <c r="C5" s="448" t="s">
        <v>1944</v>
      </c>
      <c r="D5" s="448" t="s">
        <v>1945</v>
      </c>
      <c r="E5" s="448" t="s">
        <v>1946</v>
      </c>
      <c r="F5" s="448" t="s">
        <v>1947</v>
      </c>
      <c r="G5" s="448" t="s">
        <v>1948</v>
      </c>
      <c r="H5" s="448" t="s">
        <v>1949</v>
      </c>
      <c r="I5" s="448" t="s">
        <v>1950</v>
      </c>
      <c r="J5" s="448" t="s">
        <v>1951</v>
      </c>
      <c r="K5" s="436"/>
      <c r="L5" s="436"/>
      <c r="M5" s="436"/>
      <c r="N5" s="436"/>
      <c r="O5" s="436"/>
      <c r="P5" s="436"/>
      <c r="Q5" s="436"/>
      <c r="R5" s="436"/>
    </row>
    <row r="6" spans="1:18" ht="12.95" customHeight="1">
      <c r="A6" s="417"/>
      <c r="B6" s="416" t="s">
        <v>467</v>
      </c>
      <c r="C6" s="437"/>
      <c r="D6" s="437"/>
      <c r="E6" s="437"/>
      <c r="F6" s="437"/>
      <c r="G6" s="437"/>
      <c r="H6" s="437"/>
      <c r="I6" s="437"/>
      <c r="J6" s="437"/>
      <c r="K6" s="436"/>
      <c r="L6" s="436"/>
      <c r="M6" s="436"/>
      <c r="N6" s="436"/>
      <c r="O6" s="436"/>
      <c r="P6" s="427" t="s">
        <v>1970</v>
      </c>
      <c r="Q6" s="427" t="s">
        <v>1971</v>
      </c>
      <c r="R6" s="436"/>
    </row>
    <row r="7" spans="1:18" ht="12.95" customHeight="1">
      <c r="A7" s="417"/>
      <c r="B7" s="417" t="s">
        <v>1300</v>
      </c>
      <c r="C7" s="430">
        <f>COUNTIFS('Full Customer List'!$C$7:$C$320,$C$34,'Full Customer List'!$E$7:$E$320,$B7)</f>
        <v>147</v>
      </c>
      <c r="D7" s="430">
        <f>SUMIFS('Full Customer List'!$F$7:$F$320,'Full Customer List'!$C$7:$C$320,$C$34,'Full Customer List'!$E$7:$E$320,$B7)</f>
        <v>3751</v>
      </c>
      <c r="E7" s="431">
        <f>SUMIFS('Full Customer List'!$G$7:$G$320,'Full Customer List'!$C$7:$C$320,$C$34,'Full Customer List'!$E$7:$E$320,$B7)</f>
        <v>233614.39333333328</v>
      </c>
      <c r="F7" s="431">
        <f>$E7*12</f>
        <v>2803372.7199999993</v>
      </c>
      <c r="G7" s="431">
        <f>IFERROR($E7/$C7,0)</f>
        <v>1589.2135600907027</v>
      </c>
      <c r="H7" s="431">
        <f>IFERROR($Q7/$D7,0)</f>
        <v>60.980110192837451</v>
      </c>
      <c r="I7" s="434">
        <f>IFERROR($D7/$P7,0)</f>
        <v>26.048611111111111</v>
      </c>
      <c r="J7" s="439">
        <f>IFERROR($E7/$E$11,0)</f>
        <v>0.90649998959425915</v>
      </c>
      <c r="K7" s="436"/>
      <c r="L7" s="436"/>
      <c r="M7" s="436"/>
      <c r="N7" s="436"/>
      <c r="O7" s="436"/>
      <c r="P7" s="428">
        <f>COUNTIFS('Full Customer List'!$C$7:$C$320,$C$34,'Full Customer List'!$E$7:$E$320,$B7,'Full Customer List'!$F$7:$F$320,"&gt;"&amp;$C$37)</f>
        <v>144</v>
      </c>
      <c r="Q7" s="428">
        <f>SUMIFS('Full Customer List'!$G$7:$G$320,'Full Customer List'!$C$7:$C$320,$C$34,'Full Customer List'!$E$7:$E$320,$B7,'Full Customer List'!$F$7:$F$320,"&gt;"&amp;$C$37)</f>
        <v>228736.39333333328</v>
      </c>
      <c r="R7" s="436"/>
    </row>
    <row r="8" spans="1:18" ht="12.95" customHeight="1">
      <c r="A8" s="417"/>
      <c r="B8" s="417" t="s">
        <v>1178</v>
      </c>
      <c r="C8" s="430">
        <f>COUNTIFS('Full Customer List'!$C$7:$C$320,$C$34,'Full Customer List'!$E$7:$E$320,$B8)</f>
        <v>30</v>
      </c>
      <c r="D8" s="430">
        <f>SUMIFS('Full Customer List'!$F$7:$F$320,'Full Customer List'!$C$7:$C$320,$C$34,'Full Customer List'!$E$7:$E$320,$B8)</f>
        <v>49</v>
      </c>
      <c r="E8" s="430">
        <f>SUMIFS('Full Customer List'!$G$7:$G$320,'Full Customer List'!$C$7:$C$320,$C$34,'Full Customer List'!$E$7:$E$320,$B8)</f>
        <v>13297.333333333332</v>
      </c>
      <c r="F8" s="430">
        <f t="shared" ref="F8:F10" si="0">$E8*12</f>
        <v>159568</v>
      </c>
      <c r="G8" s="430">
        <f t="shared" ref="G8:G10" si="1">IFERROR($E8/$C8,0)</f>
        <v>443.24444444444441</v>
      </c>
      <c r="H8" s="430">
        <f t="shared" ref="H8:H10" si="2">IFERROR($Q8/$D8,0)</f>
        <v>57.217687074829932</v>
      </c>
      <c r="I8" s="434">
        <f t="shared" ref="I8:I10" si="3">IFERROR($D8/$P8,0)</f>
        <v>8.1666666666666661</v>
      </c>
      <c r="J8" s="439">
        <f t="shared" ref="J8:J10" si="4">IFERROR($E8/$E$11,0)</f>
        <v>5.1597987419802233E-2</v>
      </c>
      <c r="K8" s="436"/>
      <c r="L8" s="436"/>
      <c r="M8" s="436"/>
      <c r="N8" s="436"/>
      <c r="O8" s="436"/>
      <c r="P8" s="428">
        <f>COUNTIFS('Full Customer List'!$C$7:$C$320,$C$34,'Full Customer List'!$E$7:$E$320,$B8,'Full Customer List'!$F$7:$F$320,"&gt;"&amp;$C$37)</f>
        <v>6</v>
      </c>
      <c r="Q8" s="428">
        <f>SUMIFS('Full Customer List'!$G$7:$G$320,'Full Customer List'!$C$7:$C$320,$C$34,'Full Customer List'!$E$7:$E$320,$B8,'Full Customer List'!$F$7:$F$320,"&gt;"&amp;$C$37)</f>
        <v>2803.6666666666665</v>
      </c>
      <c r="R8" s="436"/>
    </row>
    <row r="9" spans="1:18" ht="12.95" customHeight="1">
      <c r="A9" s="417"/>
      <c r="B9" s="417" t="s">
        <v>1303</v>
      </c>
      <c r="C9" s="430">
        <f>COUNTIFS('Full Customer List'!$C$7:$C$320,$C$34,'Full Customer List'!$E$7:$E$320,$B9)</f>
        <v>11</v>
      </c>
      <c r="D9" s="430">
        <f>SUMIFS('Full Customer List'!$F$7:$F$320,'Full Customer List'!$C$7:$C$320,$C$34,'Full Customer List'!$E$7:$E$320,$B9)</f>
        <v>0</v>
      </c>
      <c r="E9" s="430">
        <f>SUMIFS('Full Customer List'!$G$7:$G$320,'Full Customer List'!$C$7:$C$320,$C$34,'Full Customer List'!$E$7:$E$320,$B9)</f>
        <v>9448.5833333333339</v>
      </c>
      <c r="F9" s="430">
        <f t="shared" si="0"/>
        <v>113383</v>
      </c>
      <c r="G9" s="430">
        <f t="shared" si="1"/>
        <v>858.96212121212125</v>
      </c>
      <c r="H9" s="430">
        <f t="shared" si="2"/>
        <v>0</v>
      </c>
      <c r="I9" s="434">
        <f t="shared" si="3"/>
        <v>0</v>
      </c>
      <c r="J9" s="439">
        <f t="shared" si="4"/>
        <v>3.6663582971644924E-2</v>
      </c>
      <c r="K9" s="436"/>
      <c r="L9" s="436"/>
      <c r="M9" s="436"/>
      <c r="N9" s="436"/>
      <c r="O9" s="436"/>
      <c r="P9" s="428">
        <f>COUNTIFS('Full Customer List'!$C$7:$C$320,$C$34,'Full Customer List'!$E$7:$E$320,$B9,'Full Customer List'!$F$7:$F$320,"&gt;"&amp;$C$37)</f>
        <v>0</v>
      </c>
      <c r="Q9" s="428">
        <f>SUMIFS('Full Customer List'!$G$7:$G$320,'Full Customer List'!$C$7:$C$320,$C$34,'Full Customer List'!$E$7:$E$320,$B9,'Full Customer List'!$F$7:$F$320,"&gt;"&amp;$C$37)</f>
        <v>0</v>
      </c>
      <c r="R9" s="436"/>
    </row>
    <row r="10" spans="1:18" ht="12.95" customHeight="1">
      <c r="A10" s="417"/>
      <c r="B10" s="417" t="s">
        <v>1301</v>
      </c>
      <c r="C10" s="430">
        <f>COUNTIFS('Full Customer List'!$C$7:$C$320,$C$34,'Full Customer List'!$E$7:$E$320,$B10)</f>
        <v>2</v>
      </c>
      <c r="D10" s="430">
        <f>SUMIFS('Full Customer List'!$F$7:$F$320,'Full Customer List'!$C$7:$C$320,$C$34,'Full Customer List'!$E$7:$E$320,$B10)</f>
        <v>0</v>
      </c>
      <c r="E10" s="430">
        <f>SUMIFS('Full Customer List'!$G$7:$G$320,'Full Customer List'!$C$7:$C$320,$C$34,'Full Customer List'!$E$7:$E$320,$B10)</f>
        <v>1350</v>
      </c>
      <c r="F10" s="430">
        <f t="shared" si="0"/>
        <v>16200</v>
      </c>
      <c r="G10" s="430">
        <f t="shared" si="1"/>
        <v>675</v>
      </c>
      <c r="H10" s="430">
        <f t="shared" si="2"/>
        <v>0</v>
      </c>
      <c r="I10" s="434">
        <f t="shared" si="3"/>
        <v>0</v>
      </c>
      <c r="J10" s="439">
        <f t="shared" si="4"/>
        <v>5.2384400142935694E-3</v>
      </c>
      <c r="K10" s="436"/>
      <c r="L10" s="436"/>
      <c r="M10" s="436"/>
      <c r="N10" s="436"/>
      <c r="O10" s="436"/>
      <c r="P10" s="428">
        <f>COUNTIFS('Full Customer List'!$C$7:$C$320,$C$34,'Full Customer List'!$E$7:$E$320,$B10,'Full Customer List'!$F$7:$F$320,"&gt;"&amp;$C$37)</f>
        <v>0</v>
      </c>
      <c r="Q10" s="428">
        <f>SUMIFS('Full Customer List'!$G$7:$G$320,'Full Customer List'!$C$7:$C$320,$C$34,'Full Customer List'!$E$7:$E$320,$B10,'Full Customer List'!$F$7:$F$320,"&gt;"&amp;$C$37)</f>
        <v>0</v>
      </c>
      <c r="R10" s="436"/>
    </row>
    <row r="11" spans="1:18" ht="12.95" customHeight="1">
      <c r="A11" s="417"/>
      <c r="B11" s="438" t="s">
        <v>1871</v>
      </c>
      <c r="C11" s="440">
        <f>SUM(C7:C10)</f>
        <v>190</v>
      </c>
      <c r="D11" s="440">
        <f>SUM(D7:D10)</f>
        <v>3800</v>
      </c>
      <c r="E11" s="441">
        <f>SUM(E7:E10)</f>
        <v>257710.30999999997</v>
      </c>
      <c r="F11" s="441">
        <f>$E11*12</f>
        <v>3092523.7199999997</v>
      </c>
      <c r="G11" s="441">
        <f>IFERROR($E11/$C11,0)</f>
        <v>1356.3700526315788</v>
      </c>
      <c r="H11" s="441">
        <f>IFERROR($Q11/$D11,0)</f>
        <v>60.931594736842086</v>
      </c>
      <c r="I11" s="442">
        <f>IFERROR($D11/$P11,0)</f>
        <v>25.333333333333332</v>
      </c>
      <c r="J11" s="443">
        <f>SUM(J7:J10)</f>
        <v>0.99999999999999989</v>
      </c>
      <c r="K11" s="436"/>
      <c r="L11" s="436"/>
      <c r="M11" s="436"/>
      <c r="N11" s="436"/>
      <c r="O11" s="436"/>
      <c r="P11" s="428">
        <f>SUM(P7:P10)</f>
        <v>150</v>
      </c>
      <c r="Q11" s="428">
        <f>SUM(Q7:Q10)</f>
        <v>231540.05999999994</v>
      </c>
      <c r="R11" s="436"/>
    </row>
    <row r="12" spans="1:18" ht="12.95" customHeight="1">
      <c r="A12" s="417"/>
      <c r="B12" s="417"/>
      <c r="C12" s="417"/>
      <c r="D12" s="417"/>
      <c r="E12" s="417"/>
      <c r="F12" s="417"/>
      <c r="G12" s="417"/>
      <c r="H12" s="417"/>
      <c r="I12" s="417"/>
      <c r="J12" s="417"/>
      <c r="K12" s="436"/>
      <c r="L12" s="436"/>
      <c r="M12" s="436"/>
      <c r="N12" s="436"/>
      <c r="O12" s="436"/>
      <c r="P12" s="436"/>
      <c r="Q12" s="436"/>
      <c r="R12" s="436"/>
    </row>
    <row r="13" spans="1:18" ht="12.95" customHeight="1">
      <c r="A13" s="417"/>
      <c r="B13" s="447" t="s">
        <v>1972</v>
      </c>
      <c r="C13" s="448" t="s">
        <v>1197</v>
      </c>
      <c r="D13" s="417"/>
      <c r="E13" s="417"/>
      <c r="F13" s="417"/>
      <c r="G13" s="417"/>
      <c r="H13" s="417"/>
      <c r="I13" s="417"/>
      <c r="J13" s="417"/>
      <c r="K13" s="436"/>
      <c r="L13" s="436"/>
      <c r="M13" s="436"/>
      <c r="N13" s="436"/>
      <c r="O13" s="436"/>
      <c r="P13" s="436"/>
      <c r="Q13" s="436"/>
      <c r="R13" s="436"/>
    </row>
    <row r="14" spans="1:18" ht="12.95" customHeight="1">
      <c r="A14" s="417"/>
      <c r="B14" s="416" t="s">
        <v>1973</v>
      </c>
      <c r="C14" s="437"/>
      <c r="D14" s="417"/>
      <c r="E14" s="417"/>
      <c r="F14" s="417"/>
      <c r="G14" s="417"/>
      <c r="H14" s="417"/>
      <c r="I14" s="417"/>
      <c r="J14" s="417"/>
      <c r="K14" s="436"/>
      <c r="L14" s="436"/>
      <c r="M14" s="436"/>
      <c r="N14" s="436"/>
      <c r="O14" s="436"/>
      <c r="P14" s="436"/>
      <c r="Q14" s="436"/>
      <c r="R14" s="436"/>
    </row>
    <row r="15" spans="1:18" ht="12.95" customHeight="1">
      <c r="A15" s="417"/>
      <c r="B15" s="417" t="s">
        <v>1948</v>
      </c>
      <c r="C15" s="429">
        <f>$G$11</f>
        <v>1356.3700526315788</v>
      </c>
      <c r="D15" s="417"/>
      <c r="E15" s="417"/>
      <c r="F15" s="417"/>
      <c r="G15" s="417"/>
      <c r="H15" s="417"/>
      <c r="I15" s="417"/>
      <c r="J15" s="417"/>
      <c r="K15" s="436"/>
      <c r="L15" s="436"/>
      <c r="M15" s="436"/>
      <c r="N15" s="436"/>
      <c r="O15" s="436"/>
      <c r="P15" s="436"/>
      <c r="Q15" s="436"/>
      <c r="R15" s="436"/>
    </row>
    <row r="16" spans="1:18" ht="12.95" customHeight="1">
      <c r="A16" s="417"/>
      <c r="B16" s="417" t="s">
        <v>1974</v>
      </c>
      <c r="C16" s="430" cm="1">
        <f t="array" ref="C16">(_xlfn.AGGREGATE(14,6,'Full Customer List'!$G$7:$G$320/('Full Customer List'!$C$7:$C$320=$C$34),ROUNDUP($C$41/2,0))+_xlfn.AGGREGATE(14,6,'Full Customer List'!$G$7:$G$320/('Full Customer List'!$C$7:$C$320=$C$34),ROUNDDOWN($C$41/2,0)+1))/2</f>
        <v>973.16666666666674</v>
      </c>
      <c r="D16" s="417"/>
      <c r="E16" s="417"/>
      <c r="F16" s="417"/>
      <c r="G16" s="417"/>
      <c r="H16" s="417"/>
      <c r="I16" s="417"/>
      <c r="J16" s="417"/>
      <c r="K16" s="436"/>
      <c r="L16" s="436"/>
      <c r="M16" s="436"/>
      <c r="N16" s="436"/>
      <c r="O16" s="436"/>
      <c r="P16" s="436"/>
      <c r="Q16" s="436"/>
      <c r="R16" s="427" t="s">
        <v>1977</v>
      </c>
    </row>
    <row r="17" spans="1:18" ht="12.95" customHeight="1">
      <c r="A17" s="417"/>
      <c r="B17" s="417" t="s">
        <v>1975</v>
      </c>
      <c r="C17" s="430">
        <f>$C15*12</f>
        <v>16276.440631578946</v>
      </c>
      <c r="D17" s="417"/>
      <c r="E17" s="417"/>
      <c r="F17" s="417"/>
      <c r="G17" s="417"/>
      <c r="H17" s="417"/>
      <c r="I17" s="417"/>
      <c r="J17" s="417"/>
      <c r="K17" s="436"/>
      <c r="L17" s="436"/>
      <c r="M17" s="436"/>
      <c r="N17" s="436"/>
      <c r="O17" s="436"/>
      <c r="P17" s="436"/>
      <c r="Q17" s="436"/>
      <c r="R17" s="436"/>
    </row>
    <row r="18" spans="1:18" ht="12.95" customHeight="1">
      <c r="A18" s="417"/>
      <c r="B18" s="417" t="s">
        <v>1950</v>
      </c>
      <c r="C18" s="432">
        <f>$I$11</f>
        <v>25.333333333333332</v>
      </c>
      <c r="D18" s="417"/>
      <c r="E18" s="417"/>
      <c r="F18" s="417"/>
      <c r="G18" s="417"/>
      <c r="H18" s="417"/>
      <c r="I18" s="417"/>
      <c r="J18" s="417"/>
      <c r="K18" s="436"/>
      <c r="L18" s="436"/>
      <c r="M18" s="436"/>
      <c r="N18" s="436"/>
      <c r="O18" s="436"/>
      <c r="P18" s="436"/>
      <c r="Q18" s="436"/>
      <c r="R18" s="436"/>
    </row>
    <row r="19" spans="1:18" ht="12.95" customHeight="1">
      <c r="A19" s="417"/>
      <c r="B19" s="417" t="s">
        <v>1949</v>
      </c>
      <c r="C19" s="433">
        <f>$H$11</f>
        <v>60.931594736842086</v>
      </c>
      <c r="D19" s="417"/>
      <c r="E19" s="417"/>
      <c r="F19" s="417"/>
      <c r="G19" s="417"/>
      <c r="H19" s="417"/>
      <c r="I19" s="417"/>
      <c r="J19" s="417"/>
      <c r="K19" s="436"/>
      <c r="L19" s="436"/>
      <c r="M19" s="436"/>
      <c r="N19" s="436"/>
      <c r="O19" s="436"/>
      <c r="P19" s="436"/>
      <c r="Q19" s="436"/>
      <c r="R19" s="436"/>
    </row>
    <row r="20" spans="1:18" ht="12.95" customHeight="1">
      <c r="A20" s="417"/>
      <c r="B20" s="417" t="s">
        <v>1976</v>
      </c>
      <c r="C20" s="434">
        <f>($C$36-SUMIFS('Full Customer List'!$I$7:$I$320,'Full Customer List'!$C$7:$C$320,$C$34)/$C$41)/365</f>
        <v>1.4545061283345391</v>
      </c>
      <c r="D20" s="417"/>
      <c r="E20" s="417"/>
      <c r="F20" s="417"/>
      <c r="G20" s="417"/>
      <c r="H20" s="417"/>
      <c r="I20" s="417"/>
      <c r="J20" s="417"/>
      <c r="K20" s="436"/>
      <c r="L20" s="436"/>
      <c r="M20" s="436"/>
      <c r="N20" s="436"/>
      <c r="O20" s="436"/>
      <c r="P20" s="436"/>
      <c r="Q20" s="436"/>
      <c r="R20" s="436"/>
    </row>
    <row r="21" spans="1:18" ht="12.95" customHeight="1">
      <c r="A21" s="417"/>
      <c r="B21" s="417"/>
      <c r="C21" s="417"/>
      <c r="D21" s="417"/>
      <c r="E21" s="417"/>
      <c r="F21" s="417"/>
      <c r="G21" s="417"/>
      <c r="H21" s="417"/>
      <c r="I21" s="417"/>
      <c r="J21" s="417"/>
      <c r="K21" s="436"/>
      <c r="L21" s="436"/>
      <c r="M21" s="436"/>
      <c r="N21" s="436"/>
      <c r="O21" s="436"/>
      <c r="P21" s="436"/>
      <c r="Q21" s="436"/>
      <c r="R21" s="436"/>
    </row>
    <row r="22" spans="1:18" ht="33.950000000000003" customHeight="1">
      <c r="A22" s="417"/>
      <c r="B22" s="447" t="s">
        <v>1978</v>
      </c>
      <c r="C22" s="448" t="s">
        <v>1944</v>
      </c>
      <c r="D22" s="448" t="s">
        <v>1979</v>
      </c>
      <c r="E22" s="448" t="s">
        <v>1946</v>
      </c>
      <c r="F22" s="448" t="s">
        <v>1980</v>
      </c>
      <c r="G22" s="448" t="s">
        <v>1945</v>
      </c>
      <c r="H22" s="448" t="s">
        <v>1948</v>
      </c>
      <c r="I22" s="417"/>
      <c r="J22" s="417"/>
      <c r="K22" s="436"/>
      <c r="L22" s="436"/>
      <c r="M22" s="436"/>
      <c r="N22" s="436"/>
      <c r="O22" s="436"/>
      <c r="P22" s="436"/>
      <c r="Q22" s="436"/>
      <c r="R22" s="436"/>
    </row>
    <row r="23" spans="1:18" ht="12.95" customHeight="1">
      <c r="A23" s="417"/>
      <c r="B23" s="416" t="s">
        <v>1981</v>
      </c>
      <c r="C23" s="437"/>
      <c r="D23" s="437"/>
      <c r="E23" s="437"/>
      <c r="F23" s="437"/>
      <c r="G23" s="437"/>
      <c r="H23" s="437"/>
      <c r="I23" s="417"/>
      <c r="J23" s="417"/>
      <c r="K23" s="436"/>
      <c r="L23" s="436"/>
      <c r="M23" s="436"/>
      <c r="N23" s="427" t="s">
        <v>1982</v>
      </c>
      <c r="O23" s="427" t="s">
        <v>1983</v>
      </c>
      <c r="P23" s="436"/>
      <c r="Q23" s="436"/>
      <c r="R23" s="436"/>
    </row>
    <row r="24" spans="1:18" ht="12.95" customHeight="1">
      <c r="A24" s="417"/>
      <c r="B24" s="417" t="s">
        <v>1984</v>
      </c>
      <c r="C24" s="430">
        <f>COUNTIFS('Full Customer List'!$C$7:$C$320,$C$34,'Full Customer List'!$G$7:$G$320,"&gt;="&amp;$N24,'Full Customer List'!$G$7:$G$320,"&lt;"&amp;$O24)</f>
        <v>50</v>
      </c>
      <c r="D24" s="439">
        <f>IFERROR($C24/$C$31,0)</f>
        <v>0.26315789473684209</v>
      </c>
      <c r="E24" s="431">
        <f>SUMIFS('Full Customer List'!$G$7:$G$320,'Full Customer List'!$C$7:$C$320,$C$34,'Full Customer List'!$G$7:$G$320,"&gt;="&amp;$N24,'Full Customer List'!$G$7:$G$320,"&lt;"&amp;$O24)</f>
        <v>18941.34</v>
      </c>
      <c r="F24" s="439">
        <f>IFERROR($E24/$E$31,0)</f>
        <v>7.3498572874325457E-2</v>
      </c>
      <c r="G24" s="430">
        <f>SUMIFS('Full Customer List'!$F$7:$F$320,'Full Customer List'!$C$7:$C$320,$C$34,'Full Customer List'!$G$7:$G$320,"&gt;="&amp;$N24,'Full Customer List'!$G$7:$G$320,"&lt;"&amp;$O24)</f>
        <v>170</v>
      </c>
      <c r="H24" s="431">
        <f>IFERROR($E24/$C24,0)</f>
        <v>378.82679999999999</v>
      </c>
      <c r="I24" s="417"/>
      <c r="J24" s="417"/>
      <c r="K24" s="436"/>
      <c r="L24" s="436"/>
      <c r="M24" s="436"/>
      <c r="N24" s="435">
        <v>0</v>
      </c>
      <c r="O24" s="435">
        <v>500</v>
      </c>
      <c r="P24" s="436"/>
      <c r="Q24" s="436"/>
      <c r="R24" s="436"/>
    </row>
    <row r="25" spans="1:18" ht="12.95" customHeight="1">
      <c r="A25" s="417"/>
      <c r="B25" s="417" t="s">
        <v>1985</v>
      </c>
      <c r="C25" s="430">
        <f>COUNTIFS('Full Customer List'!$C$7:$C$320,$C$34,'Full Customer List'!$G$7:$G$320,"&gt;="&amp;$N25,'Full Customer List'!$G$7:$G$320,"&lt;"&amp;$O25)</f>
        <v>48</v>
      </c>
      <c r="D25" s="439">
        <f t="shared" ref="D25:D30" si="5">IFERROR($C25/$C$31,0)</f>
        <v>0.25263157894736843</v>
      </c>
      <c r="E25" s="430">
        <f>SUMIFS('Full Customer List'!$G$7:$G$320,'Full Customer List'!$C$7:$C$320,$C$34,'Full Customer List'!$G$7:$G$320,"&gt;="&amp;$N25,'Full Customer List'!$G$7:$G$320,"&lt;"&amp;$O25)</f>
        <v>35979.003333333327</v>
      </c>
      <c r="F25" s="439">
        <f t="shared" ref="F25:F30" si="6">IFERROR($E25/$E$31,0)</f>
        <v>0.13961025980424818</v>
      </c>
      <c r="G25" s="430">
        <f>SUMIFS('Full Customer List'!$F$7:$F$320,'Full Customer List'!$C$7:$C$320,$C$34,'Full Customer List'!$G$7:$G$320,"&gt;="&amp;$N25,'Full Customer List'!$G$7:$G$320,"&lt;"&amp;$O25)</f>
        <v>328</v>
      </c>
      <c r="H25" s="430">
        <f t="shared" ref="H25:H30" si="7">IFERROR($E25/$C25,0)</f>
        <v>749.56256944444431</v>
      </c>
      <c r="I25" s="417"/>
      <c r="J25" s="417"/>
      <c r="K25" s="436"/>
      <c r="L25" s="436"/>
      <c r="M25" s="436"/>
      <c r="N25" s="435">
        <v>500</v>
      </c>
      <c r="O25" s="435">
        <v>1000</v>
      </c>
      <c r="P25" s="436"/>
      <c r="Q25" s="436"/>
      <c r="R25" s="436"/>
    </row>
    <row r="26" spans="1:18" ht="12.95" customHeight="1">
      <c r="A26" s="417"/>
      <c r="B26" s="417" t="s">
        <v>1986</v>
      </c>
      <c r="C26" s="430">
        <f>COUNTIFS('Full Customer List'!$C$7:$C$320,$C$34,'Full Customer List'!$G$7:$G$320,"&gt;="&amp;$N26,'Full Customer List'!$G$7:$G$320,"&lt;"&amp;$O26)</f>
        <v>55</v>
      </c>
      <c r="D26" s="439">
        <f t="shared" si="5"/>
        <v>0.28947368421052633</v>
      </c>
      <c r="E26" s="430">
        <f>SUMIFS('Full Customer List'!$G$7:$G$320,'Full Customer List'!$C$7:$C$320,$C$34,'Full Customer List'!$G$7:$G$320,"&gt;="&amp;$N26,'Full Customer List'!$G$7:$G$320,"&lt;"&amp;$O26)</f>
        <v>80812.796666666647</v>
      </c>
      <c r="F26" s="439">
        <f t="shared" si="6"/>
        <v>0.31357999090787897</v>
      </c>
      <c r="G26" s="430">
        <f>SUMIFS('Full Customer List'!$F$7:$F$320,'Full Customer List'!$C$7:$C$320,$C$34,'Full Customer List'!$G$7:$G$320,"&gt;="&amp;$N26,'Full Customer List'!$G$7:$G$320,"&lt;"&amp;$O26)</f>
        <v>1220</v>
      </c>
      <c r="H26" s="430">
        <f t="shared" si="7"/>
        <v>1469.3235757575753</v>
      </c>
      <c r="I26" s="417"/>
      <c r="J26" s="417"/>
      <c r="K26" s="436"/>
      <c r="L26" s="436"/>
      <c r="M26" s="436"/>
      <c r="N26" s="435">
        <v>1000</v>
      </c>
      <c r="O26" s="435">
        <v>2000</v>
      </c>
      <c r="P26" s="436"/>
      <c r="Q26" s="436"/>
      <c r="R26" s="436"/>
    </row>
    <row r="27" spans="1:18" ht="12.95" customHeight="1">
      <c r="A27" s="417"/>
      <c r="B27" s="417" t="s">
        <v>1987</v>
      </c>
      <c r="C27" s="430">
        <f>COUNTIFS('Full Customer List'!$C$7:$C$320,$C$34,'Full Customer List'!$G$7:$G$320,"&gt;="&amp;$N27,'Full Customer List'!$G$7:$G$320,"&lt;"&amp;$O27)</f>
        <v>25</v>
      </c>
      <c r="D27" s="439">
        <f t="shared" si="5"/>
        <v>0.13157894736842105</v>
      </c>
      <c r="E27" s="430">
        <f>SUMIFS('Full Customer List'!$G$7:$G$320,'Full Customer List'!$C$7:$C$320,$C$34,'Full Customer List'!$G$7:$G$320,"&gt;="&amp;$N27,'Full Customer List'!$G$7:$G$320,"&lt;"&amp;$O27)</f>
        <v>60771.473333333342</v>
      </c>
      <c r="F27" s="439">
        <f t="shared" si="6"/>
        <v>0.23581312417548742</v>
      </c>
      <c r="G27" s="430">
        <f>SUMIFS('Full Customer List'!$F$7:$F$320,'Full Customer List'!$C$7:$C$320,$C$34,'Full Customer List'!$G$7:$G$320,"&gt;="&amp;$N27,'Full Customer List'!$G$7:$G$320,"&lt;"&amp;$O27)</f>
        <v>978</v>
      </c>
      <c r="H27" s="430">
        <f t="shared" si="7"/>
        <v>2430.8589333333339</v>
      </c>
      <c r="I27" s="417"/>
      <c r="J27" s="417"/>
      <c r="K27" s="436"/>
      <c r="L27" s="436"/>
      <c r="M27" s="436"/>
      <c r="N27" s="435">
        <v>2000</v>
      </c>
      <c r="O27" s="435">
        <v>3000</v>
      </c>
      <c r="P27" s="436"/>
      <c r="Q27" s="436"/>
      <c r="R27" s="436"/>
    </row>
    <row r="28" spans="1:18" ht="12.95" customHeight="1">
      <c r="A28" s="417"/>
      <c r="B28" s="417" t="s">
        <v>1988</v>
      </c>
      <c r="C28" s="430">
        <f>COUNTIFS('Full Customer List'!$C$7:$C$320,$C$34,'Full Customer List'!$G$7:$G$320,"&gt;="&amp;$N28,'Full Customer List'!$G$7:$G$320,"&lt;"&amp;$O28)</f>
        <v>7</v>
      </c>
      <c r="D28" s="439">
        <f t="shared" si="5"/>
        <v>3.6842105263157891E-2</v>
      </c>
      <c r="E28" s="430">
        <f>SUMIFS('Full Customer List'!$G$7:$G$320,'Full Customer List'!$C$7:$C$320,$C$34,'Full Customer List'!$G$7:$G$320,"&gt;="&amp;$N28,'Full Customer List'!$G$7:$G$320,"&lt;"&amp;$O28)</f>
        <v>24989.000000000004</v>
      </c>
      <c r="F28" s="439">
        <f t="shared" si="6"/>
        <v>9.6965464827542244E-2</v>
      </c>
      <c r="G28" s="430">
        <f>SUMIFS('Full Customer List'!$F$7:$F$320,'Full Customer List'!$C$7:$C$320,$C$34,'Full Customer List'!$G$7:$G$320,"&gt;="&amp;$N28,'Full Customer List'!$G$7:$G$320,"&lt;"&amp;$O28)</f>
        <v>451</v>
      </c>
      <c r="H28" s="430">
        <f t="shared" si="7"/>
        <v>3569.8571428571436</v>
      </c>
      <c r="I28" s="417"/>
      <c r="J28" s="417"/>
      <c r="K28" s="436"/>
      <c r="L28" s="436"/>
      <c r="M28" s="436"/>
      <c r="N28" s="435">
        <v>3000</v>
      </c>
      <c r="O28" s="435">
        <v>5000</v>
      </c>
      <c r="P28" s="436"/>
      <c r="Q28" s="436"/>
      <c r="R28" s="436"/>
    </row>
    <row r="29" spans="1:18" ht="12.95" customHeight="1">
      <c r="A29" s="417"/>
      <c r="B29" s="417" t="s">
        <v>1989</v>
      </c>
      <c r="C29" s="430">
        <f>COUNTIFS('Full Customer List'!$C$7:$C$320,$C$34,'Full Customer List'!$G$7:$G$320,"&gt;="&amp;$N29,'Full Customer List'!$G$7:$G$320,"&lt;"&amp;$O29)</f>
        <v>5</v>
      </c>
      <c r="D29" s="439">
        <f t="shared" si="5"/>
        <v>2.6315789473684209E-2</v>
      </c>
      <c r="E29" s="430">
        <f>SUMIFS('Full Customer List'!$G$7:$G$320,'Full Customer List'!$C$7:$C$320,$C$34,'Full Customer List'!$G$7:$G$320,"&gt;="&amp;$N29,'Full Customer List'!$G$7:$G$320,"&lt;"&amp;$O29)</f>
        <v>36216.69666666667</v>
      </c>
      <c r="F29" s="439">
        <f t="shared" si="6"/>
        <v>0.14053258741051794</v>
      </c>
      <c r="G29" s="430">
        <f>SUMIFS('Full Customer List'!$F$7:$F$320,'Full Customer List'!$C$7:$C$320,$C$34,'Full Customer List'!$G$7:$G$320,"&gt;="&amp;$N29,'Full Customer List'!$G$7:$G$320,"&lt;"&amp;$O29)</f>
        <v>653</v>
      </c>
      <c r="H29" s="430">
        <f t="shared" si="7"/>
        <v>7243.3393333333343</v>
      </c>
      <c r="I29" s="417"/>
      <c r="J29" s="417"/>
      <c r="K29" s="436"/>
      <c r="L29" s="436"/>
      <c r="M29" s="436"/>
      <c r="N29" s="435">
        <v>5000</v>
      </c>
      <c r="O29" s="435">
        <v>10000</v>
      </c>
      <c r="P29" s="436"/>
      <c r="Q29" s="436"/>
      <c r="R29" s="436"/>
    </row>
    <row r="30" spans="1:18" ht="12.95" customHeight="1">
      <c r="A30" s="417"/>
      <c r="B30" s="417" t="s">
        <v>1990</v>
      </c>
      <c r="C30" s="430">
        <f>COUNTIFS('Full Customer List'!$C$7:$C$320,$C$34,'Full Customer List'!$G$7:$G$320,"&gt;="&amp;$N30,'Full Customer List'!$G$7:$G$320,"&lt;"&amp;$O30)</f>
        <v>0</v>
      </c>
      <c r="D30" s="439">
        <f t="shared" si="5"/>
        <v>0</v>
      </c>
      <c r="E30" s="430">
        <f>SUMIFS('Full Customer List'!$G$7:$G$320,'Full Customer List'!$C$7:$C$320,$C$34,'Full Customer List'!$G$7:$G$320,"&gt;="&amp;$N30,'Full Customer List'!$G$7:$G$320,"&lt;"&amp;$O30)</f>
        <v>0</v>
      </c>
      <c r="F30" s="439">
        <f t="shared" si="6"/>
        <v>0</v>
      </c>
      <c r="G30" s="430">
        <f>SUMIFS('Full Customer List'!$F$7:$F$320,'Full Customer List'!$C$7:$C$320,$C$34,'Full Customer List'!$G$7:$G$320,"&gt;="&amp;$N30,'Full Customer List'!$G$7:$G$320,"&lt;"&amp;$O30)</f>
        <v>0</v>
      </c>
      <c r="H30" s="430">
        <f t="shared" si="7"/>
        <v>0</v>
      </c>
      <c r="I30" s="417"/>
      <c r="J30" s="417"/>
      <c r="K30" s="436"/>
      <c r="L30" s="436"/>
      <c r="M30" s="436"/>
      <c r="N30" s="435">
        <v>10000</v>
      </c>
      <c r="O30" s="433">
        <f>$C$38</f>
        <v>1000000000</v>
      </c>
      <c r="P30" s="436"/>
      <c r="Q30" s="436"/>
      <c r="R30" s="436"/>
    </row>
    <row r="31" spans="1:18" ht="12.95" customHeight="1">
      <c r="A31" s="417"/>
      <c r="B31" s="438" t="s">
        <v>1871</v>
      </c>
      <c r="C31" s="440">
        <f>SUM(C24:C30)</f>
        <v>190</v>
      </c>
      <c r="D31" s="444">
        <f>SUM(D24:D30)</f>
        <v>1</v>
      </c>
      <c r="E31" s="441">
        <f>SUM(E24:E30)</f>
        <v>257710.30999999994</v>
      </c>
      <c r="F31" s="444">
        <f>SUM(F24:F30)</f>
        <v>1.0000000000000002</v>
      </c>
      <c r="G31" s="440">
        <f>SUM(G24:G30)</f>
        <v>3800</v>
      </c>
      <c r="H31" s="445">
        <f>IFERROR($E31/$C31,0)</f>
        <v>1356.3700526315786</v>
      </c>
      <c r="I31" s="417"/>
      <c r="J31" s="417"/>
      <c r="K31" s="436"/>
      <c r="L31" s="436"/>
      <c r="M31" s="436"/>
      <c r="N31" s="436"/>
      <c r="O31" s="436"/>
      <c r="P31" s="436"/>
      <c r="Q31" s="436"/>
      <c r="R31" s="436"/>
    </row>
    <row r="32" spans="1:18" ht="12.95" customHeight="1">
      <c r="A32" s="417"/>
      <c r="B32" s="417"/>
      <c r="C32" s="417"/>
      <c r="D32" s="417"/>
      <c r="E32" s="417"/>
      <c r="F32" s="417"/>
      <c r="G32" s="417"/>
      <c r="H32" s="417"/>
      <c r="I32" s="417"/>
      <c r="J32" s="417"/>
      <c r="K32" s="436"/>
      <c r="L32" s="436"/>
      <c r="M32" s="436"/>
      <c r="N32" s="436"/>
      <c r="O32" s="436"/>
      <c r="P32" s="436"/>
      <c r="Q32" s="436"/>
      <c r="R32" s="436"/>
    </row>
    <row r="33" spans="1:18" ht="12.95" customHeight="1">
      <c r="A33" s="417"/>
      <c r="B33" s="416" t="s">
        <v>1952</v>
      </c>
      <c r="C33" s="418" t="s">
        <v>1197</v>
      </c>
      <c r="D33" s="416" t="s">
        <v>287</v>
      </c>
      <c r="E33" s="417"/>
      <c r="F33" s="417"/>
      <c r="G33" s="417"/>
      <c r="H33" s="417"/>
      <c r="I33" s="417"/>
      <c r="J33" s="417"/>
      <c r="K33" s="436"/>
      <c r="L33" s="436"/>
      <c r="M33" s="436"/>
      <c r="N33" s="436"/>
      <c r="O33" s="436"/>
      <c r="P33" s="436"/>
      <c r="Q33" s="436"/>
      <c r="R33" s="436"/>
    </row>
    <row r="34" spans="1:18" ht="12.95" customHeight="1">
      <c r="A34" s="417"/>
      <c r="B34" s="417" t="s">
        <v>1953</v>
      </c>
      <c r="C34" s="419" t="s">
        <v>497</v>
      </c>
      <c r="D34" s="417" t="s">
        <v>1954</v>
      </c>
      <c r="E34" s="417"/>
      <c r="F34" s="417"/>
      <c r="G34" s="417"/>
      <c r="H34" s="417"/>
      <c r="I34" s="417"/>
      <c r="J34" s="417"/>
      <c r="K34" s="436"/>
      <c r="L34" s="436"/>
      <c r="M34" s="436"/>
      <c r="N34" s="436"/>
      <c r="O34" s="436"/>
      <c r="P34" s="436"/>
      <c r="Q34" s="436"/>
      <c r="R34" s="436"/>
    </row>
    <row r="35" spans="1:18" ht="12.95" customHeight="1">
      <c r="A35" s="417"/>
      <c r="B35" s="417" t="s">
        <v>1955</v>
      </c>
      <c r="C35" s="419" t="s">
        <v>1901</v>
      </c>
      <c r="D35" s="417" t="s">
        <v>1956</v>
      </c>
      <c r="E35" s="417"/>
      <c r="F35" s="417"/>
      <c r="G35" s="417"/>
      <c r="H35" s="417"/>
      <c r="I35" s="417"/>
      <c r="J35" s="417"/>
      <c r="K35" s="436"/>
      <c r="L35" s="436"/>
      <c r="M35" s="436"/>
      <c r="N35" s="436"/>
      <c r="O35" s="436"/>
      <c r="P35" s="436"/>
      <c r="Q35" s="436"/>
      <c r="R35" s="436"/>
    </row>
    <row r="36" spans="1:18" ht="12.95" customHeight="1">
      <c r="A36" s="417"/>
      <c r="B36" s="417" t="s">
        <v>1957</v>
      </c>
      <c r="C36" s="420">
        <f>EOMONTH('Full Customer List'!$AC$6,0)</f>
        <v>46234</v>
      </c>
      <c r="D36" s="417" t="s">
        <v>1958</v>
      </c>
      <c r="E36" s="417"/>
      <c r="F36" s="417"/>
      <c r="G36" s="417"/>
      <c r="H36" s="417"/>
      <c r="I36" s="417"/>
      <c r="J36" s="417"/>
      <c r="K36" s="436"/>
      <c r="L36" s="436"/>
      <c r="M36" s="436"/>
      <c r="N36" s="436"/>
      <c r="O36" s="436"/>
      <c r="P36" s="436"/>
      <c r="Q36" s="436"/>
      <c r="R36" s="436"/>
    </row>
    <row r="37" spans="1:18" ht="12.95" customHeight="1">
      <c r="A37" s="417"/>
      <c r="B37" s="417" t="s">
        <v>1959</v>
      </c>
      <c r="C37" s="451">
        <v>0</v>
      </c>
      <c r="D37" s="417" t="s">
        <v>1960</v>
      </c>
      <c r="E37" s="417"/>
      <c r="F37" s="417"/>
      <c r="G37" s="417"/>
      <c r="H37" s="417"/>
      <c r="I37" s="417"/>
      <c r="J37" s="417"/>
      <c r="K37" s="436"/>
      <c r="L37" s="436"/>
      <c r="M37" s="436"/>
      <c r="N37" s="436"/>
      <c r="O37" s="436"/>
      <c r="P37" s="436"/>
      <c r="Q37" s="436"/>
      <c r="R37" s="436"/>
    </row>
    <row r="38" spans="1:18" ht="12.95" customHeight="1">
      <c r="A38" s="417"/>
      <c r="B38" s="417" t="s">
        <v>1961</v>
      </c>
      <c r="C38" s="421">
        <v>1000000000</v>
      </c>
      <c r="D38" s="417" t="s">
        <v>1962</v>
      </c>
      <c r="E38" s="417"/>
      <c r="F38" s="417"/>
      <c r="G38" s="417"/>
      <c r="H38" s="417"/>
      <c r="I38" s="417"/>
      <c r="J38" s="417"/>
      <c r="K38" s="436"/>
      <c r="L38" s="436"/>
      <c r="M38" s="436"/>
      <c r="N38" s="436"/>
      <c r="O38" s="436"/>
      <c r="P38" s="436"/>
      <c r="Q38" s="436"/>
      <c r="R38" s="436"/>
    </row>
    <row r="39" spans="1:18" ht="12.95" customHeight="1">
      <c r="A39" s="417"/>
      <c r="B39" s="417"/>
      <c r="C39" s="417"/>
      <c r="D39" s="417"/>
      <c r="E39" s="417"/>
      <c r="F39" s="417"/>
      <c r="G39" s="417"/>
      <c r="H39" s="417"/>
      <c r="I39" s="417"/>
      <c r="J39" s="417"/>
      <c r="K39" s="436"/>
      <c r="L39" s="436"/>
      <c r="M39" s="436"/>
      <c r="N39" s="436"/>
      <c r="O39" s="436"/>
      <c r="P39" s="436"/>
      <c r="Q39" s="436"/>
      <c r="R39" s="436"/>
    </row>
    <row r="40" spans="1:18" ht="12.95" customHeight="1">
      <c r="A40" s="417"/>
      <c r="B40" s="422" t="s">
        <v>1305</v>
      </c>
      <c r="C40" s="417"/>
      <c r="D40" s="417"/>
      <c r="E40" s="417"/>
      <c r="F40" s="417"/>
      <c r="G40" s="417"/>
      <c r="H40" s="417"/>
      <c r="I40" s="417"/>
      <c r="J40" s="417"/>
      <c r="K40" s="436"/>
      <c r="L40" s="436"/>
      <c r="M40" s="436"/>
      <c r="N40" s="436"/>
      <c r="O40" s="436"/>
      <c r="P40" s="436"/>
      <c r="Q40" s="436"/>
      <c r="R40" s="436"/>
    </row>
    <row r="41" spans="1:18" ht="12.95" customHeight="1">
      <c r="A41" s="417"/>
      <c r="B41" s="423" t="s">
        <v>1963</v>
      </c>
      <c r="C41" s="424">
        <f>COUNTIFS('Full Customer List'!$C$7:$C$320,$C$34)</f>
        <v>190</v>
      </c>
      <c r="D41" s="417"/>
      <c r="E41" s="417"/>
      <c r="F41" s="417"/>
      <c r="G41" s="417"/>
      <c r="H41" s="417"/>
      <c r="I41" s="417"/>
      <c r="J41" s="417"/>
      <c r="K41" s="436"/>
      <c r="L41" s="436"/>
      <c r="M41" s="436"/>
      <c r="N41" s="436"/>
      <c r="O41" s="436"/>
      <c r="P41" s="436"/>
      <c r="Q41" s="436"/>
      <c r="R41" s="436"/>
    </row>
    <row r="42" spans="1:18" ht="12.95" customHeight="1">
      <c r="A42" s="417"/>
      <c r="B42" s="423" t="s">
        <v>1964</v>
      </c>
      <c r="C42" s="425">
        <f>SUMIFS('Full Customer List'!$G$7:$G$320,'Full Customer List'!$C$7:$C$320,$C$34)</f>
        <v>257710.30999999994</v>
      </c>
      <c r="D42" s="417"/>
      <c r="E42" s="417"/>
      <c r="F42" s="417"/>
      <c r="G42" s="417"/>
      <c r="H42" s="417"/>
      <c r="I42" s="417"/>
      <c r="J42" s="417"/>
      <c r="K42" s="436"/>
      <c r="L42" s="436"/>
      <c r="M42" s="436"/>
      <c r="N42" s="436"/>
      <c r="O42" s="436"/>
      <c r="P42" s="436"/>
      <c r="Q42" s="436"/>
      <c r="R42" s="436"/>
    </row>
    <row r="43" spans="1:18" ht="12.95" customHeight="1">
      <c r="A43" s="417"/>
      <c r="B43" s="423" t="s">
        <v>1965</v>
      </c>
      <c r="C43" s="426">
        <f>COUNTIFS('Full Customer List'!$C$7:$C$320,$C$34,'Full Customer List'!$F$7:$F$320,"")</f>
        <v>35</v>
      </c>
      <c r="D43" s="417"/>
      <c r="E43" s="417"/>
      <c r="F43" s="417"/>
      <c r="G43" s="417"/>
      <c r="H43" s="417"/>
      <c r="I43" s="417"/>
      <c r="J43" s="417"/>
      <c r="K43" s="436"/>
      <c r="L43" s="436"/>
      <c r="M43" s="436"/>
      <c r="N43" s="436"/>
      <c r="O43" s="436"/>
      <c r="P43" s="436"/>
      <c r="Q43" s="436"/>
      <c r="R43" s="427" t="s">
        <v>1966</v>
      </c>
    </row>
    <row r="44" spans="1:18" ht="12.95" customHeight="1">
      <c r="A44" s="417"/>
      <c r="B44" s="423" t="s">
        <v>1967</v>
      </c>
      <c r="C44" s="424">
        <f>$C$11-$C$41</f>
        <v>0</v>
      </c>
      <c r="D44" s="417"/>
      <c r="E44" s="417"/>
      <c r="F44" s="417"/>
      <c r="G44" s="417"/>
      <c r="H44" s="417"/>
      <c r="I44" s="417"/>
      <c r="J44" s="417"/>
      <c r="K44" s="436"/>
      <c r="L44" s="436"/>
      <c r="M44" s="436"/>
      <c r="N44" s="436"/>
      <c r="O44" s="436"/>
      <c r="P44" s="436"/>
      <c r="Q44" s="436"/>
      <c r="R44" s="436"/>
    </row>
    <row r="45" spans="1:18" ht="12.95" customHeight="1">
      <c r="A45" s="417"/>
      <c r="B45" s="423" t="s">
        <v>1968</v>
      </c>
      <c r="C45" s="424">
        <f>$C$31-$C$41</f>
        <v>0</v>
      </c>
      <c r="D45" s="417"/>
      <c r="E45" s="417"/>
      <c r="F45" s="417"/>
      <c r="G45" s="417"/>
      <c r="H45" s="417"/>
      <c r="I45" s="417"/>
      <c r="J45" s="417"/>
      <c r="K45" s="436"/>
      <c r="L45" s="436"/>
      <c r="M45" s="436"/>
      <c r="N45" s="436"/>
      <c r="O45" s="436"/>
      <c r="P45" s="436"/>
      <c r="Q45" s="436"/>
      <c r="R45" s="436"/>
    </row>
    <row r="46" spans="1:18" ht="12.95" customHeight="1">
      <c r="A46" s="417"/>
      <c r="B46" s="423" t="s">
        <v>1969</v>
      </c>
      <c r="C46" s="425">
        <f>$E$31-$C$42</f>
        <v>0</v>
      </c>
      <c r="D46" s="417"/>
      <c r="E46" s="417"/>
      <c r="F46" s="417"/>
      <c r="G46" s="417"/>
      <c r="H46" s="417"/>
      <c r="I46" s="417"/>
      <c r="J46" s="417"/>
      <c r="K46" s="436"/>
      <c r="L46" s="436"/>
      <c r="M46" s="436"/>
      <c r="N46" s="436"/>
      <c r="O46" s="436"/>
      <c r="P46" s="436"/>
      <c r="Q46" s="436"/>
      <c r="R46" s="436"/>
    </row>
    <row r="47" spans="1:18" ht="14.25">
      <c r="A47" s="417"/>
      <c r="B47" s="436"/>
      <c r="C47" s="436"/>
      <c r="D47" s="436"/>
      <c r="E47" s="436"/>
      <c r="F47" s="436"/>
      <c r="G47" s="436"/>
      <c r="H47" s="436"/>
      <c r="I47" s="436"/>
      <c r="J47" s="436"/>
      <c r="K47" s="436"/>
      <c r="L47" s="436"/>
      <c r="M47" s="436"/>
      <c r="N47" s="436"/>
      <c r="O47" s="436"/>
      <c r="P47" s="436"/>
      <c r="Q47" s="436"/>
      <c r="R47" s="436"/>
    </row>
    <row r="48" spans="1:18" ht="14.25">
      <c r="A48" s="417"/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436"/>
      <c r="R48" s="436"/>
    </row>
    <row r="49" spans="1:18" ht="14.25">
      <c r="A49" s="417"/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</row>
    <row r="50" spans="1:18" ht="14.25">
      <c r="A50" s="417"/>
      <c r="B50" s="436"/>
      <c r="C50" s="436"/>
      <c r="D50" s="436"/>
      <c r="E50" s="436"/>
      <c r="F50" s="436"/>
      <c r="G50" s="436"/>
      <c r="H50" s="436"/>
      <c r="I50" s="436"/>
      <c r="J50" s="436"/>
      <c r="K50" s="436"/>
      <c r="L50" s="436"/>
      <c r="M50" s="436"/>
      <c r="N50" s="436"/>
      <c r="O50" s="436"/>
      <c r="P50" s="436"/>
      <c r="Q50" s="436"/>
      <c r="R50" s="436"/>
    </row>
  </sheetData>
  <conditionalFormatting sqref="B6:J12 B14:J21 B23:J46">
    <cfRule type="expression" dxfId="74" priority="1">
      <formula>$M$3=1</formula>
    </cfRule>
  </conditionalFormatting>
  <pageMargins left="0.7" right="0.7" top="0.75" bottom="0.75" header="0.3" footer="0.3"/>
  <pageSetup scale="83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96"/>
  <sheetViews>
    <sheetView showGridLines="0" view="pageBreakPreview" zoomScale="145" zoomScaleNormal="130" zoomScaleSheetLayoutView="145" workbookViewId="0">
      <selection activeCell="AF29" sqref="AF29"/>
    </sheetView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P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>EOMONTH(Q5,0)</f>
        <v>45900</v>
      </c>
      <c r="R1" s="193">
        <f t="shared" ref="R1:AB1" si="1">EOMONTH(R5,0)</f>
        <v>45930</v>
      </c>
      <c r="S1" s="193">
        <f t="shared" si="1"/>
        <v>45961</v>
      </c>
      <c r="T1" s="193">
        <f t="shared" si="1"/>
        <v>45991</v>
      </c>
      <c r="U1" s="193">
        <f t="shared" si="1"/>
        <v>46022</v>
      </c>
      <c r="V1" s="193">
        <f t="shared" si="1"/>
        <v>46053</v>
      </c>
      <c r="W1" s="193">
        <f t="shared" si="1"/>
        <v>46081</v>
      </c>
      <c r="X1" s="193">
        <f t="shared" si="1"/>
        <v>46112</v>
      </c>
      <c r="Y1" s="193">
        <f t="shared" si="1"/>
        <v>46142</v>
      </c>
      <c r="Z1" s="193">
        <f t="shared" si="1"/>
        <v>46173</v>
      </c>
      <c r="AA1" s="193">
        <f t="shared" si="1"/>
        <v>46203</v>
      </c>
      <c r="AB1" s="193">
        <f t="shared" si="1"/>
        <v>46234</v>
      </c>
      <c r="AC1" s="193">
        <f t="shared" ref="AC1:AD1" si="2">EOMONTH(AC5,0)</f>
        <v>46265</v>
      </c>
      <c r="AD1" s="193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4" t="s">
        <v>1552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" si="3">EOMONTH(J5,0)+1</f>
        <v>45689</v>
      </c>
      <c r="L5" s="189">
        <f t="shared" ref="L5" si="4">EOMONTH(K5,0)+1</f>
        <v>45717</v>
      </c>
      <c r="M5" s="189">
        <f t="shared" ref="M5" si="5">EOMONTH(L5,0)+1</f>
        <v>45748</v>
      </c>
      <c r="N5" s="189">
        <f t="shared" ref="N5" si="6">EOMONTH(M5,0)+1</f>
        <v>45778</v>
      </c>
      <c r="O5" s="189">
        <f t="shared" ref="O5" si="7">EOMONTH(N5,0)+1</f>
        <v>45809</v>
      </c>
      <c r="P5" s="189">
        <f t="shared" ref="P5" si="8">EOMONTH(O5,0)+1</f>
        <v>45839</v>
      </c>
      <c r="Q5" s="189">
        <v>45870</v>
      </c>
      <c r="R5" s="189">
        <f t="shared" ref="R5:AB5" si="9">EOMONTH(Q5,0)+1</f>
        <v>45901</v>
      </c>
      <c r="S5" s="189">
        <f t="shared" si="9"/>
        <v>45931</v>
      </c>
      <c r="T5" s="189">
        <f t="shared" si="9"/>
        <v>45962</v>
      </c>
      <c r="U5" s="189">
        <f t="shared" si="9"/>
        <v>45992</v>
      </c>
      <c r="V5" s="189">
        <f t="shared" si="9"/>
        <v>46023</v>
      </c>
      <c r="W5" s="189">
        <f t="shared" si="9"/>
        <v>46054</v>
      </c>
      <c r="X5" s="189">
        <f t="shared" si="9"/>
        <v>46082</v>
      </c>
      <c r="Y5" s="189">
        <f t="shared" si="9"/>
        <v>46113</v>
      </c>
      <c r="Z5" s="189">
        <f t="shared" si="9"/>
        <v>46143</v>
      </c>
      <c r="AA5" s="189">
        <f t="shared" si="9"/>
        <v>46174</v>
      </c>
      <c r="AB5" s="189">
        <f t="shared" si="9"/>
        <v>46204</v>
      </c>
      <c r="AC5" s="189">
        <f t="shared" ref="AC5" si="10">EOMONTH(AB5,0)+1</f>
        <v>46235</v>
      </c>
      <c r="AD5" s="189">
        <f t="shared" ref="AD5" si="11">EOMONTH(AC5,0)+1</f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1313</v>
      </c>
      <c r="C7" s="181">
        <f>+C13-C8-C12</f>
        <v>83</v>
      </c>
      <c r="D7" s="181">
        <f>+D13-D8-D12</f>
        <v>91</v>
      </c>
      <c r="E7" s="181">
        <f>+E13-E8-E12</f>
        <v>145</v>
      </c>
      <c r="F7" s="181">
        <f>+F13-F8-F12</f>
        <v>188</v>
      </c>
      <c r="H7" s="181">
        <f t="shared" ref="H7:Z7" si="12">+H13-H8-H12</f>
        <v>178</v>
      </c>
      <c r="J7" s="181">
        <f t="shared" ref="J7:P7" si="13">+J13-J8-J12</f>
        <v>145</v>
      </c>
      <c r="K7" s="181">
        <f t="shared" si="13"/>
        <v>147</v>
      </c>
      <c r="L7" s="181">
        <f t="shared" si="13"/>
        <v>148</v>
      </c>
      <c r="M7" s="181">
        <f t="shared" si="13"/>
        <v>154</v>
      </c>
      <c r="N7" s="181">
        <f t="shared" si="13"/>
        <v>159</v>
      </c>
      <c r="O7" s="181">
        <f t="shared" si="13"/>
        <v>165</v>
      </c>
      <c r="P7" s="181">
        <f t="shared" si="13"/>
        <v>165</v>
      </c>
      <c r="Q7" s="181">
        <f t="shared" si="12"/>
        <v>169</v>
      </c>
      <c r="R7" s="181">
        <f t="shared" si="12"/>
        <v>175</v>
      </c>
      <c r="S7" s="181">
        <f t="shared" si="12"/>
        <v>178</v>
      </c>
      <c r="T7" s="181">
        <f t="shared" si="12"/>
        <v>191</v>
      </c>
      <c r="U7" s="181">
        <f t="shared" si="12"/>
        <v>189</v>
      </c>
      <c r="V7" s="181">
        <f t="shared" si="12"/>
        <v>188</v>
      </c>
      <c r="W7" s="181">
        <f t="shared" si="12"/>
        <v>195</v>
      </c>
      <c r="X7" s="181">
        <f t="shared" si="12"/>
        <v>204</v>
      </c>
      <c r="Y7" s="181">
        <f t="shared" si="12"/>
        <v>203</v>
      </c>
      <c r="Z7" s="181">
        <f t="shared" si="12"/>
        <v>209</v>
      </c>
      <c r="AA7" s="181">
        <f>+AA13-AA8-AA12</f>
        <v>200</v>
      </c>
      <c r="AB7" s="181">
        <f>+AB13-AB8-AB12</f>
        <v>200</v>
      </c>
      <c r="AC7" s="181">
        <f t="shared" ref="AC7:AD7" si="14">+AC13-AC8-AC12</f>
        <v>185</v>
      </c>
      <c r="AD7" s="181">
        <f t="shared" si="14"/>
        <v>186</v>
      </c>
    </row>
    <row r="8" spans="2:34">
      <c r="B8" s="188" t="s">
        <v>1314</v>
      </c>
      <c r="C8" s="173">
        <f>COUNTIFS('Full Customer List'!$I:$I,"&gt;"&amp;'Client Retention'!C$148,'Full Customer List'!$I:$I,"&lt;"&amp;'Client Retention'!C$149)</f>
        <v>28</v>
      </c>
      <c r="D8" s="173">
        <f>COUNTIFS('Full Customer List'!$I:$I,"&gt;"&amp;'Client Retention'!D$148,'Full Customer List'!$I:$I,"&lt;"&amp;'Client Retention'!D$149)</f>
        <v>88</v>
      </c>
      <c r="E8" s="194">
        <f>SUM(J8:U8)</f>
        <v>102</v>
      </c>
      <c r="F8" s="194">
        <f>SUM(V8:AD8)</f>
        <v>62</v>
      </c>
      <c r="H8" s="194">
        <f>SUM(S8:AD8)</f>
        <v>94</v>
      </c>
      <c r="J8" s="192">
        <f>COUNTIFS('Full Customer List'!$I:$I,'Client Retention'!J$5)</f>
        <v>9</v>
      </c>
      <c r="K8" s="192">
        <f>COUNTIFS('Full Customer List'!$I:$I,'Client Retention'!K$5)</f>
        <v>5</v>
      </c>
      <c r="L8" s="192">
        <f>COUNTIFS('Full Customer List'!$I:$I,'Client Retention'!L$5)</f>
        <v>8</v>
      </c>
      <c r="M8" s="192">
        <f>COUNTIFS('Full Customer List'!$I:$I,'Client Retention'!M$5)</f>
        <v>9</v>
      </c>
      <c r="N8" s="192">
        <f>COUNTIFS('Full Customer List'!$I:$I,'Client Retention'!N$5)</f>
        <v>9</v>
      </c>
      <c r="O8" s="192">
        <f>COUNTIFS('Full Customer List'!$I:$I,'Client Retention'!O$5)</f>
        <v>7</v>
      </c>
      <c r="P8" s="192">
        <f>COUNTIFS('Full Customer List'!$I:$I,'Client Retention'!P$5)</f>
        <v>7</v>
      </c>
      <c r="Q8" s="192">
        <f>COUNTIFS('Full Customer List'!$I:$I,'Client Retention'!Q$5)</f>
        <v>8</v>
      </c>
      <c r="R8" s="192">
        <f>COUNTIFS('Full Customer List'!$I:$I,'Client Retention'!R$5)</f>
        <v>8</v>
      </c>
      <c r="S8" s="192">
        <f>COUNTIFS('Full Customer List'!$I:$I,'Client Retention'!S$5)</f>
        <v>14</v>
      </c>
      <c r="T8" s="192">
        <f>COUNTIFS('Full Customer List'!$I:$I,'Client Retention'!T$5)</f>
        <v>7</v>
      </c>
      <c r="U8" s="192">
        <f>COUNTIFS('Full Customer List'!$I:$I,'Client Retention'!U$5)</f>
        <v>11</v>
      </c>
      <c r="V8" s="192">
        <f>COUNTIFS('Full Customer List'!$I:$I,'Client Retention'!V$5)</f>
        <v>11</v>
      </c>
      <c r="W8" s="192">
        <f>COUNTIFS('Full Customer List'!$I:$I,'Client Retention'!W$5)</f>
        <v>11</v>
      </c>
      <c r="X8" s="192">
        <f>COUNTIFS('Full Customer List'!$I:$I,'Client Retention'!X$5)</f>
        <v>6</v>
      </c>
      <c r="Y8" s="192">
        <f>COUNTIFS('Full Customer List'!$I:$I,'Client Retention'!Y$5)</f>
        <v>11</v>
      </c>
      <c r="Z8" s="192">
        <f>COUNTIFS('Full Customer List'!$I:$I,'Client Retention'!Z$5)</f>
        <v>7</v>
      </c>
      <c r="AA8" s="192">
        <f>COUNTIFS('Full Customer List'!$I:$I,'Client Retention'!AA$5)</f>
        <v>4</v>
      </c>
      <c r="AB8" s="192">
        <f>COUNTIFS('Full Customer List'!$I:$I,'Client Retention'!AB$5)</f>
        <v>5</v>
      </c>
      <c r="AC8" s="192">
        <f>COUNTIFS('Full Customer List'!$I:$I,'Client Retention'!AC$5)</f>
        <v>3</v>
      </c>
      <c r="AD8" s="192">
        <f>COUNTIFS('Full Customer List'!$I:$I,'Client Retention'!AD$5)</f>
        <v>4</v>
      </c>
    </row>
    <row r="9" spans="2:34">
      <c r="B9" s="262" t="s">
        <v>1528</v>
      </c>
      <c r="E9" s="194">
        <f t="shared" ref="E9:E11" si="15">SUM(J9:U9)</f>
        <v>-33</v>
      </c>
      <c r="F9" s="194">
        <f t="shared" ref="F9:F11" si="16">SUM(V9:AD9)</f>
        <v>-30</v>
      </c>
      <c r="H9" s="194">
        <f t="shared" ref="H9:H11" si="17">SUM(S9:AD9)</f>
        <v>-42</v>
      </c>
      <c r="J9" s="192">
        <f>-COUNTIFS('Full Customer List'!$J:$J,J$1,'Full Customer List'!$H:$H,'Client Retention'!$AF9)</f>
        <v>-1</v>
      </c>
      <c r="K9" s="192">
        <f>-COUNTIFS('Full Customer List'!$J:$J,K$1,'Full Customer List'!$H:$H,'Client Retention'!$AF9)</f>
        <v>-2</v>
      </c>
      <c r="L9" s="192">
        <f>-COUNTIFS('Full Customer List'!$J:$J,L$1,'Full Customer List'!$H:$H,'Client Retention'!$AF9)</f>
        <v>-1</v>
      </c>
      <c r="M9" s="192">
        <f>-COUNTIFS('Full Customer List'!$J:$J,M$1,'Full Customer List'!$H:$H,'Client Retention'!$AF9)</f>
        <v>-3</v>
      </c>
      <c r="N9" s="192">
        <f>-COUNTIFS('Full Customer List'!$J:$J,N$1,'Full Customer List'!$H:$H,'Client Retention'!$AF9)</f>
        <v>-1</v>
      </c>
      <c r="O9" s="192">
        <f>-COUNTIFS('Full Customer List'!$J:$J,O$1,'Full Customer List'!$H:$H,'Client Retention'!$AF9)</f>
        <v>-6</v>
      </c>
      <c r="P9" s="192">
        <f>-COUNTIFS('Full Customer List'!$J:$J,P$1,'Full Customer List'!$H:$H,'Client Retention'!$AF9)</f>
        <v>-3</v>
      </c>
      <c r="Q9" s="192">
        <f>-COUNTIFS('Full Customer List'!$J:$J,Q$1,'Full Customer List'!$H:$H,'Client Retention'!$AF9)</f>
        <v>-2</v>
      </c>
      <c r="R9" s="192">
        <f>-COUNTIFS('Full Customer List'!$J:$J,R$1,'Full Customer List'!$H:$H,'Client Retention'!$AF9)</f>
        <v>-2</v>
      </c>
      <c r="S9" s="192">
        <f>-COUNTIFS('Full Customer List'!$J:$J,S$1,'Full Customer List'!$H:$H,'Client Retention'!$AF9)</f>
        <v>-1</v>
      </c>
      <c r="T9" s="192">
        <f>-COUNTIFS('Full Customer List'!$J:$J,T$1,'Full Customer List'!$H:$H,'Client Retention'!$AF9)</f>
        <v>-3</v>
      </c>
      <c r="U9" s="192">
        <f>-COUNTIFS('Full Customer List'!$J:$J,U$1,'Full Customer List'!$H:$H,'Client Retention'!$AF9)</f>
        <v>-8</v>
      </c>
      <c r="V9" s="192">
        <f>-COUNTIFS('Full Customer List'!$J:$J,V$1,'Full Customer List'!$H:$H,'Client Retention'!$AF9)</f>
        <v>-2</v>
      </c>
      <c r="W9" s="192">
        <f>-COUNTIFS('Full Customer List'!$J:$J,W$1,'Full Customer List'!$H:$H,'Client Retention'!$AF9)</f>
        <v>-2</v>
      </c>
      <c r="X9" s="192">
        <f>-COUNTIFS('Full Customer List'!$J:$J,X$1,'Full Customer List'!$H:$H,'Client Retention'!$AF9)</f>
        <v>-4</v>
      </c>
      <c r="Y9" s="192">
        <f>-COUNTIFS('Full Customer List'!$J:$J,Y$1,'Full Customer List'!$H:$H,'Client Retention'!$AF9)</f>
        <v>-3</v>
      </c>
      <c r="Z9" s="192">
        <f>-COUNTIFS('Full Customer List'!$J:$J,Z$1,'Full Customer List'!$H:$H,'Client Retention'!$AF9)</f>
        <v>-13</v>
      </c>
      <c r="AA9" s="192">
        <f>-COUNTIFS('Full Customer List'!$J:$J,AA$1,'Full Customer List'!$H:$H,'Client Retention'!$AF9)</f>
        <v>-4</v>
      </c>
      <c r="AB9" s="192">
        <f>-COUNTIFS('Full Customer List'!$J:$J,AB$1,'Full Customer List'!$H:$H,'Client Retention'!$AF9)</f>
        <v>-2</v>
      </c>
      <c r="AC9" s="192">
        <f>-COUNTIFS('Full Customer List'!$J:$J,AC$1,'Full Customer List'!$H:$H,'Client Retention'!$AF9)</f>
        <v>0</v>
      </c>
      <c r="AD9" s="192">
        <f>-COUNTIFS('Full Customer List'!$J:$J,AD$1,'Full Customer List'!$H:$H,'Client Retention'!$AF9)</f>
        <v>0</v>
      </c>
      <c r="AF9" s="173" t="s">
        <v>504</v>
      </c>
    </row>
    <row r="10" spans="2:34">
      <c r="B10" s="262" t="s">
        <v>1529</v>
      </c>
      <c r="E10" s="194">
        <f t="shared" si="15"/>
        <v>-24</v>
      </c>
      <c r="F10" s="194">
        <f t="shared" si="16"/>
        <v>-21</v>
      </c>
      <c r="H10" s="194">
        <f t="shared" si="17"/>
        <v>-30</v>
      </c>
      <c r="J10" s="192">
        <f>-COUNTIFS('Full Customer List'!$J:$J,J$1,'Full Customer List'!$H:$H,'Client Retention'!$AF10)</f>
        <v>-6</v>
      </c>
      <c r="K10" s="192">
        <f>-COUNTIFS('Full Customer List'!$J:$J,K$1,'Full Customer List'!$H:$H,'Client Retention'!$AF10)</f>
        <v>-2</v>
      </c>
      <c r="L10" s="192">
        <f>-COUNTIFS('Full Customer List'!$J:$J,L$1,'Full Customer List'!$H:$H,'Client Retention'!$AF10)</f>
        <v>-1</v>
      </c>
      <c r="M10" s="192">
        <f>-COUNTIFS('Full Customer List'!$J:$J,M$1,'Full Customer List'!$H:$H,'Client Retention'!$AF10)</f>
        <v>-1</v>
      </c>
      <c r="N10" s="192">
        <f>-COUNTIFS('Full Customer List'!$J:$J,N$1,'Full Customer List'!$H:$H,'Client Retention'!$AF10)</f>
        <v>-2</v>
      </c>
      <c r="O10" s="192">
        <f>-COUNTIFS('Full Customer List'!$J:$J,O$1,'Full Customer List'!$H:$H,'Client Retention'!$AF10)</f>
        <v>-1</v>
      </c>
      <c r="P10" s="192">
        <f>-COUNTIFS('Full Customer List'!$J:$J,P$1,'Full Customer List'!$H:$H,'Client Retention'!$AF10)</f>
        <v>0</v>
      </c>
      <c r="Q10" s="192">
        <f>-COUNTIFS('Full Customer List'!$J:$J,Q$1,'Full Customer List'!$H:$H,'Client Retention'!$AF10)</f>
        <v>0</v>
      </c>
      <c r="R10" s="192">
        <f>-COUNTIFS('Full Customer List'!$J:$J,R$1,'Full Customer List'!$H:$H,'Client Retention'!$AF10)</f>
        <v>-2</v>
      </c>
      <c r="S10" s="192">
        <f>-COUNTIFS('Full Customer List'!$J:$J,S$1,'Full Customer List'!$H:$H,'Client Retention'!$AF10)</f>
        <v>0</v>
      </c>
      <c r="T10" s="192">
        <f>-COUNTIFS('Full Customer List'!$J:$J,T$1,'Full Customer List'!$H:$H,'Client Retention'!$AF10)</f>
        <v>-5</v>
      </c>
      <c r="U10" s="192">
        <f>-COUNTIFS('Full Customer List'!$J:$J,U$1,'Full Customer List'!$H:$H,'Client Retention'!$AF10)</f>
        <v>-4</v>
      </c>
      <c r="V10" s="192">
        <f>-COUNTIFS('Full Customer List'!$J:$J,V$1,'Full Customer List'!$H:$H,'Client Retention'!$AF10)</f>
        <v>-2</v>
      </c>
      <c r="W10" s="192">
        <f>-COUNTIFS('Full Customer List'!$J:$J,W$1,'Full Customer List'!$H:$H,'Client Retention'!$AF10)</f>
        <v>0</v>
      </c>
      <c r="X10" s="192">
        <f>-COUNTIFS('Full Customer List'!$J:$J,X$1,'Full Customer List'!$H:$H,'Client Retention'!$AF10)</f>
        <v>0</v>
      </c>
      <c r="Y10" s="192">
        <f>-COUNTIFS('Full Customer List'!$J:$J,Y$1,'Full Customer List'!$H:$H,'Client Retention'!$AF10)</f>
        <v>-1</v>
      </c>
      <c r="Z10" s="192">
        <f>-COUNTIFS('Full Customer List'!$J:$J,Z$1,'Full Customer List'!$H:$H,'Client Retention'!$AF10)</f>
        <v>-2</v>
      </c>
      <c r="AA10" s="192">
        <f>-COUNTIFS('Full Customer List'!$J:$J,AA$1,'Full Customer List'!$H:$H,'Client Retention'!$AF10)</f>
        <v>0</v>
      </c>
      <c r="AB10" s="192">
        <f>-COUNTIFS('Full Customer List'!$J:$J,AB$1,'Full Customer List'!$H:$H,'Client Retention'!$AF10)</f>
        <v>-16</v>
      </c>
      <c r="AC10" s="192">
        <f>-COUNTIFS('Full Customer List'!$J:$J,AC$1,'Full Customer List'!$H:$H,'Client Retention'!$AF10)</f>
        <v>0</v>
      </c>
      <c r="AD10" s="192">
        <f>-COUNTIFS('Full Customer List'!$J:$J,AD$1,'Full Customer List'!$H:$H,'Client Retention'!$AF10)</f>
        <v>0</v>
      </c>
      <c r="AF10" s="173" t="s">
        <v>505</v>
      </c>
    </row>
    <row r="11" spans="2:34">
      <c r="B11" s="262" t="s">
        <v>1530</v>
      </c>
      <c r="E11" s="194">
        <f t="shared" si="15"/>
        <v>-2</v>
      </c>
      <c r="F11" s="194">
        <f t="shared" si="16"/>
        <v>-9</v>
      </c>
      <c r="H11" s="194">
        <f t="shared" si="17"/>
        <v>-10</v>
      </c>
      <c r="J11" s="192">
        <f>-COUNTIFS('Full Customer List'!$J:$J,J$1,'Full Customer List'!$H:$H,'Client Retention'!$AF11)</f>
        <v>0</v>
      </c>
      <c r="K11" s="192">
        <f>-COUNTIFS('Full Customer List'!$J:$J,K$1,'Full Customer List'!$H:$H,'Client Retention'!$AF11)</f>
        <v>0</v>
      </c>
      <c r="L11" s="192">
        <f>-COUNTIFS('Full Customer List'!$J:$J,L$1,'Full Customer List'!$H:$H,'Client Retention'!$AF11)</f>
        <v>0</v>
      </c>
      <c r="M11" s="192">
        <f>-COUNTIFS('Full Customer List'!$J:$J,M$1,'Full Customer List'!$H:$H,'Client Retention'!$AF11)</f>
        <v>0</v>
      </c>
      <c r="N11" s="192">
        <f>-COUNTIFS('Full Customer List'!$J:$J,N$1,'Full Customer List'!$H:$H,'Client Retention'!$AF11)</f>
        <v>0</v>
      </c>
      <c r="O11" s="192">
        <f>-COUNTIFS('Full Customer List'!$J:$J,O$1,'Full Customer List'!$H:$H,'Client Retention'!$AF11)</f>
        <v>0</v>
      </c>
      <c r="P11" s="192">
        <f>-COUNTIFS('Full Customer List'!$J:$J,P$1,'Full Customer List'!$H:$H,'Client Retention'!$AF11)</f>
        <v>0</v>
      </c>
      <c r="Q11" s="192">
        <f>-COUNTIFS('Full Customer List'!$J:$J,Q$1,'Full Customer List'!$H:$H,'Client Retention'!$AF11)</f>
        <v>0</v>
      </c>
      <c r="R11" s="192">
        <f>-COUNTIFS('Full Customer List'!$J:$J,R$1,'Full Customer List'!$H:$H,'Client Retention'!$AF11)</f>
        <v>-1</v>
      </c>
      <c r="S11" s="192">
        <f>-COUNTIFS('Full Customer List'!$J:$J,S$1,'Full Customer List'!$H:$H,'Client Retention'!$AF11)</f>
        <v>0</v>
      </c>
      <c r="T11" s="192">
        <f>-COUNTIFS('Full Customer List'!$J:$J,T$1,'Full Customer List'!$H:$H,'Client Retention'!$AF11)</f>
        <v>-1</v>
      </c>
      <c r="U11" s="192">
        <f>-COUNTIFS('Full Customer List'!$J:$J,U$1,'Full Customer List'!$H:$H,'Client Retention'!$AF11)</f>
        <v>0</v>
      </c>
      <c r="V11" s="192">
        <f>-COUNTIFS('Full Customer List'!$J:$J,V$1,'Full Customer List'!$H:$H,'Client Retention'!$AF11)</f>
        <v>0</v>
      </c>
      <c r="W11" s="192">
        <f>-COUNTIFS('Full Customer List'!$J:$J,W$1,'Full Customer List'!$H:$H,'Client Retention'!$AF11)</f>
        <v>0</v>
      </c>
      <c r="X11" s="192">
        <f>-COUNTIFS('Full Customer List'!$J:$J,X$1,'Full Customer List'!$H:$H,'Client Retention'!$AF11)</f>
        <v>-3</v>
      </c>
      <c r="Y11" s="192">
        <f>-COUNTIFS('Full Customer List'!$J:$J,Y$1,'Full Customer List'!$H:$H,'Client Retention'!$AF11)</f>
        <v>-1</v>
      </c>
      <c r="Z11" s="192">
        <f>-COUNTIFS('Full Customer List'!$J:$J,Z$1,'Full Customer List'!$H:$H,'Client Retention'!$AF11)</f>
        <v>-1</v>
      </c>
      <c r="AA11" s="192">
        <f>-COUNTIFS('Full Customer List'!$J:$J,AA$1,'Full Customer List'!$H:$H,'Client Retention'!$AF11)</f>
        <v>0</v>
      </c>
      <c r="AB11" s="192">
        <f>-COUNTIFS('Full Customer List'!$J:$J,AB$1,'Full Customer List'!$H:$H,'Client Retention'!$AF11)</f>
        <v>-2</v>
      </c>
      <c r="AC11" s="192">
        <f>-COUNTIFS('Full Customer List'!$J:$J,AC$1,'Full Customer List'!$H:$H,'Client Retention'!$AF11)</f>
        <v>-2</v>
      </c>
      <c r="AD11" s="192">
        <f>-COUNTIFS('Full Customer List'!$J:$J,AD$1,'Full Customer List'!$H:$H,'Client Retention'!$AF11)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Departures'!B13</f>
        <v>-20</v>
      </c>
      <c r="D12" s="255">
        <f>-'Client Departures'!B14</f>
        <v>-34</v>
      </c>
      <c r="E12" s="253">
        <f>SUM(J12:U12)</f>
        <v>-59</v>
      </c>
      <c r="F12" s="253">
        <f>SUM(V12:AD12)</f>
        <v>-60</v>
      </c>
      <c r="G12" s="254"/>
      <c r="H12" s="253">
        <f>SUM(S12:AD12)</f>
        <v>-82</v>
      </c>
      <c r="I12" s="254"/>
      <c r="J12" s="255">
        <f>-COUNTIFS('Full Customer List'!$J:$J,J$1)</f>
        <v>-7</v>
      </c>
      <c r="K12" s="255">
        <f>-COUNTIFS('Full Customer List'!$J:$J,K$1)</f>
        <v>-4</v>
      </c>
      <c r="L12" s="255">
        <f>-COUNTIFS('Full Customer List'!$J:$J,L$1)</f>
        <v>-2</v>
      </c>
      <c r="M12" s="255">
        <f>-COUNTIFS('Full Customer List'!$J:$J,M$1)</f>
        <v>-4</v>
      </c>
      <c r="N12" s="255">
        <f>-COUNTIFS('Full Customer List'!$J:$J,N$1)</f>
        <v>-3</v>
      </c>
      <c r="O12" s="255">
        <f>-COUNTIFS('Full Customer List'!$J:$J,O$1)</f>
        <v>-7</v>
      </c>
      <c r="P12" s="255">
        <f>-COUNTIFS('Full Customer List'!$J:$J,P$1)</f>
        <v>-3</v>
      </c>
      <c r="Q12" s="255">
        <f>-COUNTIFS('Full Customer List'!$J:$J,Q$1)</f>
        <v>-2</v>
      </c>
      <c r="R12" s="255">
        <f>-COUNTIFS('Full Customer List'!$J:$J,R$1)</f>
        <v>-5</v>
      </c>
      <c r="S12" s="255">
        <f>-COUNTIFS('Full Customer List'!$J:$J,S$1)</f>
        <v>-1</v>
      </c>
      <c r="T12" s="255">
        <f>-COUNTIFS('Full Customer List'!$J:$J,T$1)</f>
        <v>-9</v>
      </c>
      <c r="U12" s="255">
        <f>-COUNTIFS('Full Customer List'!$J:$J,U$1)</f>
        <v>-12</v>
      </c>
      <c r="V12" s="255">
        <f>-COUNTIFS('Full Customer List'!$J:$J,V$1)</f>
        <v>-4</v>
      </c>
      <c r="W12" s="255">
        <f>-COUNTIFS('Full Customer List'!$J:$J,W$1)</f>
        <v>-2</v>
      </c>
      <c r="X12" s="255">
        <f>-COUNTIFS('Full Customer List'!$J:$J,X$1)</f>
        <v>-7</v>
      </c>
      <c r="Y12" s="255">
        <f>-COUNTIFS('Full Customer List'!$J:$J,Y$1)</f>
        <v>-5</v>
      </c>
      <c r="Z12" s="255">
        <f>-COUNTIFS('Full Customer List'!$J:$J,Z$1)</f>
        <v>-16</v>
      </c>
      <c r="AA12" s="255">
        <f>-COUNTIFS('Full Customer List'!$J:$J,AA$1)</f>
        <v>-4</v>
      </c>
      <c r="AB12" s="255">
        <f>-COUNTIFS('Full Customer List'!$J:$J,AB$1)</f>
        <v>-20</v>
      </c>
      <c r="AC12" s="255">
        <f>-COUNTIFS('Full Customer List'!$J:$J,AC$1)</f>
        <v>-2</v>
      </c>
      <c r="AD12" s="255">
        <f>-COUNTIFS('Full Customer List'!$J:$J,AD$1)</f>
        <v>0</v>
      </c>
    </row>
    <row r="13" spans="2:34">
      <c r="B13" s="256" t="s">
        <v>1315</v>
      </c>
      <c r="C13" s="257">
        <f>+D7</f>
        <v>91</v>
      </c>
      <c r="D13" s="257">
        <f>+E7</f>
        <v>145</v>
      </c>
      <c r="E13" s="257">
        <f>+F7</f>
        <v>188</v>
      </c>
      <c r="F13" s="258">
        <f>+$AD13</f>
        <v>190</v>
      </c>
      <c r="H13" s="261">
        <f>+$AD13</f>
        <v>190</v>
      </c>
      <c r="J13" s="259">
        <f t="shared" ref="J13" si="18">+K7</f>
        <v>147</v>
      </c>
      <c r="K13" s="257">
        <f t="shared" ref="K13" si="19">+L7</f>
        <v>148</v>
      </c>
      <c r="L13" s="257">
        <f t="shared" ref="L13" si="20">+M7</f>
        <v>154</v>
      </c>
      <c r="M13" s="257">
        <f t="shared" ref="M13" si="21">+N7</f>
        <v>159</v>
      </c>
      <c r="N13" s="257">
        <f t="shared" ref="N13" si="22">+O7</f>
        <v>165</v>
      </c>
      <c r="O13" s="257">
        <f t="shared" ref="O13" si="23">+P7</f>
        <v>165</v>
      </c>
      <c r="P13" s="257">
        <f>+Q7</f>
        <v>169</v>
      </c>
      <c r="Q13" s="257">
        <f t="shared" ref="Q13:Y13" si="24">+R7</f>
        <v>175</v>
      </c>
      <c r="R13" s="257">
        <f t="shared" si="24"/>
        <v>178</v>
      </c>
      <c r="S13" s="259">
        <f t="shared" si="24"/>
        <v>191</v>
      </c>
      <c r="T13" s="257">
        <f t="shared" si="24"/>
        <v>189</v>
      </c>
      <c r="U13" s="257">
        <f t="shared" si="24"/>
        <v>188</v>
      </c>
      <c r="V13" s="257">
        <f t="shared" si="24"/>
        <v>195</v>
      </c>
      <c r="W13" s="257">
        <f t="shared" si="24"/>
        <v>204</v>
      </c>
      <c r="X13" s="257">
        <f t="shared" si="24"/>
        <v>203</v>
      </c>
      <c r="Y13" s="257">
        <f t="shared" si="24"/>
        <v>209</v>
      </c>
      <c r="Z13" s="257">
        <f t="shared" ref="Z13" si="25">+AA7</f>
        <v>200</v>
      </c>
      <c r="AA13" s="257">
        <f t="shared" ref="AA13" si="26">+AB7</f>
        <v>200</v>
      </c>
      <c r="AB13" s="257">
        <f t="shared" ref="AB13" si="27">+AC7</f>
        <v>185</v>
      </c>
      <c r="AC13" s="257">
        <f t="shared" ref="AC13" si="28">+AD7</f>
        <v>186</v>
      </c>
      <c r="AD13" s="260">
        <f>COUNTIFS('Full Customer List'!$C:$C,"Active")</f>
        <v>190</v>
      </c>
      <c r="AF13" s="181"/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56" t="s">
        <v>1851</v>
      </c>
      <c r="C15" s="257">
        <f>AVERAGE(C7,C13)</f>
        <v>87</v>
      </c>
      <c r="D15" s="257">
        <f>AVERAGE(D7,D13)</f>
        <v>118</v>
      </c>
      <c r="E15" s="257">
        <f>AVERAGE(E7,E13)</f>
        <v>166.5</v>
      </c>
      <c r="F15" s="258">
        <f>AVERAGE(F7,F13)</f>
        <v>189</v>
      </c>
      <c r="H15" s="261">
        <f>AVERAGE(H7,H13)</f>
        <v>184</v>
      </c>
      <c r="J15" s="259">
        <f>AVERAGE(J7,J13)</f>
        <v>146</v>
      </c>
      <c r="K15" s="257">
        <f t="shared" ref="K15:AD15" si="29">AVERAGE(K7,K13)</f>
        <v>147.5</v>
      </c>
      <c r="L15" s="257">
        <f t="shared" si="29"/>
        <v>151</v>
      </c>
      <c r="M15" s="257">
        <f t="shared" si="29"/>
        <v>156.5</v>
      </c>
      <c r="N15" s="257">
        <f t="shared" si="29"/>
        <v>162</v>
      </c>
      <c r="O15" s="257">
        <f t="shared" si="29"/>
        <v>165</v>
      </c>
      <c r="P15" s="257">
        <f t="shared" si="29"/>
        <v>167</v>
      </c>
      <c r="Q15" s="257">
        <f t="shared" si="29"/>
        <v>172</v>
      </c>
      <c r="R15" s="257">
        <f t="shared" si="29"/>
        <v>176.5</v>
      </c>
      <c r="S15" s="259">
        <f t="shared" si="29"/>
        <v>184.5</v>
      </c>
      <c r="T15" s="257">
        <f t="shared" si="29"/>
        <v>190</v>
      </c>
      <c r="U15" s="257">
        <f t="shared" si="29"/>
        <v>188.5</v>
      </c>
      <c r="V15" s="257">
        <f t="shared" si="29"/>
        <v>191.5</v>
      </c>
      <c r="W15" s="257">
        <f t="shared" si="29"/>
        <v>199.5</v>
      </c>
      <c r="X15" s="257">
        <f t="shared" si="29"/>
        <v>203.5</v>
      </c>
      <c r="Y15" s="257">
        <f t="shared" si="29"/>
        <v>206</v>
      </c>
      <c r="Z15" s="257">
        <f t="shared" si="29"/>
        <v>204.5</v>
      </c>
      <c r="AA15" s="257">
        <f t="shared" si="29"/>
        <v>200</v>
      </c>
      <c r="AB15" s="257">
        <f t="shared" si="29"/>
        <v>192.5</v>
      </c>
      <c r="AC15" s="257">
        <f t="shared" si="29"/>
        <v>185.5</v>
      </c>
      <c r="AD15" s="260">
        <f t="shared" si="29"/>
        <v>188</v>
      </c>
    </row>
    <row r="16" spans="2:34" ht="3.95" customHeight="1">
      <c r="B16" s="179"/>
      <c r="C16" s="229"/>
      <c r="D16" s="229"/>
      <c r="E16" s="229"/>
      <c r="F16" s="229"/>
      <c r="H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30"/>
      <c r="AC16" s="230"/>
      <c r="AD16" s="230"/>
    </row>
    <row r="17" spans="2:34" ht="12" customHeight="1">
      <c r="B17" s="231" t="s">
        <v>1518</v>
      </c>
      <c r="C17" s="233">
        <f>(C8+C7)/C7-1</f>
        <v>0.33734939759036142</v>
      </c>
      <c r="D17" s="233">
        <f>(D8+D7)/D7-1</f>
        <v>0.96703296703296693</v>
      </c>
      <c r="E17" s="233">
        <f>(E8+E7)/E7-1</f>
        <v>0.70344827586206904</v>
      </c>
      <c r="F17" s="244">
        <f>(F8+F7)/F7-1</f>
        <v>0.32978723404255317</v>
      </c>
      <c r="G17" s="245"/>
      <c r="H17" s="246">
        <f>(H8+H7)/H7-1</f>
        <v>0.5280898876404494</v>
      </c>
      <c r="J17" s="243">
        <f t="shared" ref="J17:AB17" si="30">(J8+J7)/J7-1</f>
        <v>6.2068965517241281E-2</v>
      </c>
      <c r="K17" s="233">
        <f t="shared" si="30"/>
        <v>3.4013605442176909E-2</v>
      </c>
      <c r="L17" s="233">
        <f t="shared" si="30"/>
        <v>5.4054054054053946E-2</v>
      </c>
      <c r="M17" s="233">
        <f t="shared" si="30"/>
        <v>5.8441558441558517E-2</v>
      </c>
      <c r="N17" s="233">
        <f t="shared" si="30"/>
        <v>5.6603773584905648E-2</v>
      </c>
      <c r="O17" s="233">
        <f t="shared" si="30"/>
        <v>4.2424242424242475E-2</v>
      </c>
      <c r="P17" s="233">
        <f t="shared" si="30"/>
        <v>4.2424242424242475E-2</v>
      </c>
      <c r="Q17" s="233">
        <f t="shared" si="30"/>
        <v>4.7337278106508895E-2</v>
      </c>
      <c r="R17" s="233">
        <f t="shared" si="30"/>
        <v>4.5714285714285818E-2</v>
      </c>
      <c r="S17" s="243">
        <f t="shared" si="30"/>
        <v>7.8651685393258397E-2</v>
      </c>
      <c r="T17" s="233">
        <f t="shared" si="30"/>
        <v>3.6649214659685958E-2</v>
      </c>
      <c r="U17" s="233">
        <f t="shared" si="30"/>
        <v>5.8201058201058142E-2</v>
      </c>
      <c r="V17" s="233">
        <f t="shared" si="30"/>
        <v>5.8510638297872397E-2</v>
      </c>
      <c r="W17" s="233">
        <f t="shared" si="30"/>
        <v>5.6410256410256432E-2</v>
      </c>
      <c r="X17" s="233">
        <f t="shared" si="30"/>
        <v>2.9411764705882248E-2</v>
      </c>
      <c r="Y17" s="233">
        <f t="shared" si="30"/>
        <v>5.4187192118226646E-2</v>
      </c>
      <c r="Z17" s="233">
        <f t="shared" si="30"/>
        <v>3.3492822966507241E-2</v>
      </c>
      <c r="AA17" s="233">
        <f t="shared" si="30"/>
        <v>2.0000000000000018E-2</v>
      </c>
      <c r="AB17" s="233">
        <f t="shared" si="30"/>
        <v>2.4999999999999911E-2</v>
      </c>
      <c r="AC17" s="233">
        <f t="shared" ref="AC17:AD17" si="31">(AC8+AC7)/AC7-1</f>
        <v>1.6216216216216273E-2</v>
      </c>
      <c r="AD17" s="244">
        <f t="shared" si="31"/>
        <v>2.1505376344086002E-2</v>
      </c>
    </row>
    <row r="18" spans="2:34">
      <c r="B18" s="234" t="s">
        <v>1519</v>
      </c>
      <c r="C18" s="236">
        <f>(C12+C15)/C15-1</f>
        <v>-0.22988505747126442</v>
      </c>
      <c r="D18" s="236">
        <f>(D12+D15)/D15-1</f>
        <v>-0.28813559322033899</v>
      </c>
      <c r="E18" s="236">
        <f>(E12+E15)/E15-1</f>
        <v>-0.35435435435435436</v>
      </c>
      <c r="F18" s="237">
        <f>(F12+F15)/F15-1</f>
        <v>-0.31746031746031744</v>
      </c>
      <c r="G18" s="245"/>
      <c r="H18" s="239">
        <f>(H12+H15)/H15-1</f>
        <v>-0.44565217391304346</v>
      </c>
      <c r="J18" s="238">
        <f t="shared" ref="J18:AD18" si="32">(J12+J15)/J15-1</f>
        <v>-4.7945205479452024E-2</v>
      </c>
      <c r="K18" s="236">
        <f t="shared" si="32"/>
        <v>-2.7118644067796627E-2</v>
      </c>
      <c r="L18" s="236">
        <f t="shared" si="32"/>
        <v>-1.3245033112582738E-2</v>
      </c>
      <c r="M18" s="236">
        <f t="shared" si="32"/>
        <v>-2.5559105431309903E-2</v>
      </c>
      <c r="N18" s="236">
        <f t="shared" si="32"/>
        <v>-1.851851851851849E-2</v>
      </c>
      <c r="O18" s="236">
        <f t="shared" si="32"/>
        <v>-4.2424242424242475E-2</v>
      </c>
      <c r="P18" s="236">
        <f t="shared" si="32"/>
        <v>-1.7964071856287456E-2</v>
      </c>
      <c r="Q18" s="236">
        <f t="shared" si="32"/>
        <v>-1.1627906976744207E-2</v>
      </c>
      <c r="R18" s="236">
        <f t="shared" si="32"/>
        <v>-2.8328611898016942E-2</v>
      </c>
      <c r="S18" s="238">
        <f t="shared" si="32"/>
        <v>-5.4200542005420349E-3</v>
      </c>
      <c r="T18" s="236">
        <f t="shared" si="32"/>
        <v>-4.7368421052631615E-2</v>
      </c>
      <c r="U18" s="236">
        <f t="shared" si="32"/>
        <v>-6.3660477453580944E-2</v>
      </c>
      <c r="V18" s="236">
        <f t="shared" si="32"/>
        <v>-2.0887728459530019E-2</v>
      </c>
      <c r="W18" s="236">
        <f t="shared" si="32"/>
        <v>-1.0025062656641603E-2</v>
      </c>
      <c r="X18" s="236">
        <f t="shared" si="32"/>
        <v>-3.4398034398034349E-2</v>
      </c>
      <c r="Y18" s="236">
        <f t="shared" si="32"/>
        <v>-2.4271844660194164E-2</v>
      </c>
      <c r="Z18" s="236">
        <f t="shared" si="32"/>
        <v>-7.8239608801956018E-2</v>
      </c>
      <c r="AA18" s="236">
        <f t="shared" si="32"/>
        <v>-2.0000000000000018E-2</v>
      </c>
      <c r="AB18" s="236">
        <f t="shared" si="32"/>
        <v>-0.10389610389610393</v>
      </c>
      <c r="AC18" s="236">
        <f t="shared" si="32"/>
        <v>-1.0781671159029615E-2</v>
      </c>
      <c r="AD18" s="237">
        <f t="shared" si="32"/>
        <v>0</v>
      </c>
    </row>
    <row r="19" spans="2:34" ht="3.95" customHeight="1">
      <c r="B19" s="179"/>
      <c r="C19" s="182"/>
      <c r="D19" s="182"/>
    </row>
    <row r="20" spans="2:34" ht="24">
      <c r="B20" s="159" t="s">
        <v>1308</v>
      </c>
      <c r="C20" s="176" t="s">
        <v>1316</v>
      </c>
      <c r="D20" s="176" t="s">
        <v>3</v>
      </c>
      <c r="E20" s="176" t="s">
        <v>4</v>
      </c>
      <c r="F20" s="176" t="s">
        <v>1317</v>
      </c>
      <c r="G20" s="190"/>
      <c r="H20" s="176" t="s">
        <v>1527</v>
      </c>
      <c r="J20" s="189">
        <v>45658</v>
      </c>
      <c r="K20" s="189">
        <f t="shared" ref="K20" si="33">EOMONTH(J20,0)+1</f>
        <v>45689</v>
      </c>
      <c r="L20" s="189">
        <f t="shared" ref="L20" si="34">EOMONTH(K20,0)+1</f>
        <v>45717</v>
      </c>
      <c r="M20" s="189">
        <f t="shared" ref="M20" si="35">EOMONTH(L20,0)+1</f>
        <v>45748</v>
      </c>
      <c r="N20" s="189">
        <f t="shared" ref="N20" si="36">EOMONTH(M20,0)+1</f>
        <v>45778</v>
      </c>
      <c r="O20" s="189">
        <f t="shared" ref="O20" si="37">EOMONTH(N20,0)+1</f>
        <v>45809</v>
      </c>
      <c r="P20" s="189">
        <f t="shared" ref="P20" si="38">EOMONTH(O20,0)+1</f>
        <v>45839</v>
      </c>
      <c r="Q20" s="189">
        <v>45870</v>
      </c>
      <c r="R20" s="189">
        <f t="shared" ref="R20" si="39">EOMONTH(Q20,0)+1</f>
        <v>45901</v>
      </c>
      <c r="S20" s="189">
        <f t="shared" ref="S20" si="40">EOMONTH(R20,0)+1</f>
        <v>45931</v>
      </c>
      <c r="T20" s="189">
        <f t="shared" ref="T20" si="41">EOMONTH(S20,0)+1</f>
        <v>45962</v>
      </c>
      <c r="U20" s="189">
        <f t="shared" ref="U20" si="42">EOMONTH(T20,0)+1</f>
        <v>45992</v>
      </c>
      <c r="V20" s="189">
        <f t="shared" ref="V20" si="43">EOMONTH(U20,0)+1</f>
        <v>46023</v>
      </c>
      <c r="W20" s="189">
        <f t="shared" ref="W20" si="44">EOMONTH(V20,0)+1</f>
        <v>46054</v>
      </c>
      <c r="X20" s="189">
        <f t="shared" ref="X20" si="45">EOMONTH(W20,0)+1</f>
        <v>46082</v>
      </c>
      <c r="Y20" s="189">
        <f t="shared" ref="Y20" si="46">EOMONTH(X20,0)+1</f>
        <v>46113</v>
      </c>
      <c r="Z20" s="189">
        <f t="shared" ref="Z20" si="47">EOMONTH(Y20,0)+1</f>
        <v>46143</v>
      </c>
      <c r="AA20" s="189">
        <f t="shared" ref="AA20" si="48">EOMONTH(Z20,0)+1</f>
        <v>46174</v>
      </c>
      <c r="AB20" s="189">
        <f t="shared" ref="AB20" si="49">EOMONTH(AA20,0)+1</f>
        <v>46204</v>
      </c>
      <c r="AC20" s="189">
        <f t="shared" ref="AC20" si="50">EOMONTH(AB20,0)+1</f>
        <v>46235</v>
      </c>
      <c r="AD20" s="189">
        <f t="shared" ref="AD20" si="51">EOMONTH(AC20,0)+1</f>
        <v>46266</v>
      </c>
      <c r="AE20" s="184"/>
      <c r="AF20" s="184"/>
      <c r="AG20" s="184"/>
      <c r="AH20" s="184"/>
    </row>
    <row r="21" spans="2:34">
      <c r="B21" s="183" t="s">
        <v>1541</v>
      </c>
      <c r="C21" s="43"/>
      <c r="D21" s="43"/>
      <c r="E21" s="43"/>
      <c r="F21" s="43"/>
      <c r="G21" s="6"/>
      <c r="H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6"/>
      <c r="AF21" s="6"/>
      <c r="AG21" s="6"/>
      <c r="AH21" s="6"/>
    </row>
    <row r="22" spans="2:34">
      <c r="B22" s="173" t="s">
        <v>1313</v>
      </c>
      <c r="C22" s="181"/>
      <c r="D22" s="181"/>
      <c r="E22" s="181">
        <f>+E28-E23-E27</f>
        <v>113</v>
      </c>
      <c r="F22" s="181">
        <f>+F28-F23-F27</f>
        <v>157</v>
      </c>
      <c r="H22" s="181">
        <f t="shared" ref="H22" si="52">+H28-H23-H27</f>
        <v>151</v>
      </c>
      <c r="J22" s="181">
        <f t="shared" ref="J22:Z22" si="53">+J28-J23-J27</f>
        <v>113</v>
      </c>
      <c r="K22" s="181">
        <f t="shared" si="53"/>
        <v>118</v>
      </c>
      <c r="L22" s="181">
        <f t="shared" si="53"/>
        <v>120</v>
      </c>
      <c r="M22" s="181">
        <f t="shared" si="53"/>
        <v>126</v>
      </c>
      <c r="N22" s="181">
        <f t="shared" si="53"/>
        <v>131</v>
      </c>
      <c r="O22" s="181">
        <f t="shared" si="53"/>
        <v>138</v>
      </c>
      <c r="P22" s="181">
        <f t="shared" si="53"/>
        <v>138</v>
      </c>
      <c r="Q22" s="181">
        <f t="shared" si="53"/>
        <v>143</v>
      </c>
      <c r="R22" s="181">
        <f t="shared" si="53"/>
        <v>148</v>
      </c>
      <c r="S22" s="181">
        <f t="shared" si="53"/>
        <v>151</v>
      </c>
      <c r="T22" s="181">
        <f t="shared" si="53"/>
        <v>156</v>
      </c>
      <c r="U22" s="181">
        <f t="shared" si="53"/>
        <v>155</v>
      </c>
      <c r="V22" s="181">
        <f t="shared" si="53"/>
        <v>157</v>
      </c>
      <c r="W22" s="181">
        <f t="shared" si="53"/>
        <v>164</v>
      </c>
      <c r="X22" s="181">
        <f t="shared" si="53"/>
        <v>172</v>
      </c>
      <c r="Y22" s="181">
        <f t="shared" si="53"/>
        <v>173</v>
      </c>
      <c r="Z22" s="181">
        <f t="shared" si="53"/>
        <v>179</v>
      </c>
      <c r="AA22" s="181">
        <f>+AA28-AA23-AA27</f>
        <v>171</v>
      </c>
      <c r="AB22" s="181">
        <f>+AB28-AB23-AB27</f>
        <v>171</v>
      </c>
      <c r="AC22" s="181">
        <f t="shared" ref="AC22:AD22" si="54">+AC28-AC23-AC27</f>
        <v>172</v>
      </c>
      <c r="AD22" s="181">
        <f t="shared" si="54"/>
        <v>173</v>
      </c>
    </row>
    <row r="23" spans="2:34">
      <c r="B23" s="188" t="s">
        <v>1314</v>
      </c>
      <c r="E23" s="194">
        <f>SUM(J23:U23)</f>
        <v>90</v>
      </c>
      <c r="F23" s="194">
        <f>SUM(V23:AD23)</f>
        <v>59</v>
      </c>
      <c r="H23" s="194">
        <f>SUM(S23:AD23)</f>
        <v>83</v>
      </c>
      <c r="J23" s="192">
        <f t="shared" ref="J23:AD23" si="55">+J38+J53+J83</f>
        <v>9</v>
      </c>
      <c r="K23" s="192">
        <f t="shared" si="55"/>
        <v>5</v>
      </c>
      <c r="L23" s="192">
        <f t="shared" si="55"/>
        <v>8</v>
      </c>
      <c r="M23" s="192">
        <f t="shared" si="55"/>
        <v>9</v>
      </c>
      <c r="N23" s="192">
        <f t="shared" si="55"/>
        <v>9</v>
      </c>
      <c r="O23" s="192">
        <f t="shared" si="55"/>
        <v>6</v>
      </c>
      <c r="P23" s="192">
        <f t="shared" si="55"/>
        <v>7</v>
      </c>
      <c r="Q23" s="192">
        <f t="shared" si="55"/>
        <v>7</v>
      </c>
      <c r="R23" s="192">
        <f t="shared" si="55"/>
        <v>6</v>
      </c>
      <c r="S23" s="192">
        <f t="shared" si="55"/>
        <v>6</v>
      </c>
      <c r="T23" s="192">
        <f t="shared" si="55"/>
        <v>7</v>
      </c>
      <c r="U23" s="192">
        <f t="shared" si="55"/>
        <v>11</v>
      </c>
      <c r="V23" s="192">
        <f t="shared" si="55"/>
        <v>10</v>
      </c>
      <c r="W23" s="192">
        <f t="shared" si="55"/>
        <v>9</v>
      </c>
      <c r="X23" s="192">
        <f t="shared" si="55"/>
        <v>6</v>
      </c>
      <c r="Y23" s="192">
        <f t="shared" si="55"/>
        <v>11</v>
      </c>
      <c r="Z23" s="192">
        <f t="shared" si="55"/>
        <v>7</v>
      </c>
      <c r="AA23" s="192">
        <f t="shared" si="55"/>
        <v>4</v>
      </c>
      <c r="AB23" s="192">
        <f t="shared" si="55"/>
        <v>5</v>
      </c>
      <c r="AC23" s="192">
        <f t="shared" si="55"/>
        <v>3</v>
      </c>
      <c r="AD23" s="192">
        <f t="shared" si="55"/>
        <v>4</v>
      </c>
    </row>
    <row r="24" spans="2:34">
      <c r="B24" s="262" t="s">
        <v>1528</v>
      </c>
      <c r="E24" s="194">
        <f t="shared" ref="E24:E26" si="56">SUM(J24:U24)</f>
        <v>-26</v>
      </c>
      <c r="F24" s="194">
        <f t="shared" ref="F24:F26" si="57">SUM(V24:AD24)</f>
        <v>-25</v>
      </c>
      <c r="H24" s="194">
        <f t="shared" ref="H24:H26" si="58">SUM(S24:AD24)</f>
        <v>-34</v>
      </c>
      <c r="J24" s="192">
        <f t="shared" ref="J24:AD24" si="59">+J39+J54+J84</f>
        <v>0</v>
      </c>
      <c r="K24" s="192">
        <f t="shared" si="59"/>
        <v>-2</v>
      </c>
      <c r="L24" s="192">
        <f t="shared" si="59"/>
        <v>-1</v>
      </c>
      <c r="M24" s="192">
        <f t="shared" si="59"/>
        <v>-3</v>
      </c>
      <c r="N24" s="192">
        <f t="shared" si="59"/>
        <v>0</v>
      </c>
      <c r="O24" s="192">
        <f t="shared" si="59"/>
        <v>-5</v>
      </c>
      <c r="P24" s="192">
        <f t="shared" si="59"/>
        <v>-2</v>
      </c>
      <c r="Q24" s="192">
        <f t="shared" si="59"/>
        <v>-2</v>
      </c>
      <c r="R24" s="192">
        <f t="shared" si="59"/>
        <v>-2</v>
      </c>
      <c r="S24" s="192">
        <f t="shared" si="59"/>
        <v>-1</v>
      </c>
      <c r="T24" s="192">
        <f t="shared" si="59"/>
        <v>-3</v>
      </c>
      <c r="U24" s="192">
        <f t="shared" si="59"/>
        <v>-5</v>
      </c>
      <c r="V24" s="192">
        <f t="shared" si="59"/>
        <v>-1</v>
      </c>
      <c r="W24" s="192">
        <f t="shared" si="59"/>
        <v>-1</v>
      </c>
      <c r="X24" s="192">
        <f t="shared" si="59"/>
        <v>-2</v>
      </c>
      <c r="Y24" s="192">
        <f t="shared" si="59"/>
        <v>-3</v>
      </c>
      <c r="Z24" s="192">
        <f t="shared" si="59"/>
        <v>-12</v>
      </c>
      <c r="AA24" s="192">
        <f t="shared" si="59"/>
        <v>-4</v>
      </c>
      <c r="AB24" s="192">
        <f t="shared" si="59"/>
        <v>-2</v>
      </c>
      <c r="AC24" s="192">
        <f t="shared" si="59"/>
        <v>0</v>
      </c>
      <c r="AD24" s="192">
        <f t="shared" si="59"/>
        <v>0</v>
      </c>
    </row>
    <row r="25" spans="2:34">
      <c r="B25" s="262" t="s">
        <v>1529</v>
      </c>
      <c r="E25" s="194">
        <f t="shared" si="56"/>
        <v>-20</v>
      </c>
      <c r="F25" s="194">
        <f t="shared" si="57"/>
        <v>-6</v>
      </c>
      <c r="H25" s="194">
        <f t="shared" si="58"/>
        <v>-15</v>
      </c>
      <c r="J25" s="192">
        <f t="shared" ref="J25:AD25" si="60">+J40+J55+J85</f>
        <v>-4</v>
      </c>
      <c r="K25" s="192">
        <f t="shared" si="60"/>
        <v>-1</v>
      </c>
      <c r="L25" s="192">
        <f t="shared" si="60"/>
        <v>-1</v>
      </c>
      <c r="M25" s="192">
        <f t="shared" si="60"/>
        <v>-1</v>
      </c>
      <c r="N25" s="192">
        <f t="shared" si="60"/>
        <v>-2</v>
      </c>
      <c r="O25" s="192">
        <f t="shared" si="60"/>
        <v>-1</v>
      </c>
      <c r="P25" s="192">
        <f t="shared" si="60"/>
        <v>0</v>
      </c>
      <c r="Q25" s="192">
        <f t="shared" si="60"/>
        <v>0</v>
      </c>
      <c r="R25" s="192">
        <f t="shared" si="60"/>
        <v>-1</v>
      </c>
      <c r="S25" s="192">
        <f t="shared" si="60"/>
        <v>0</v>
      </c>
      <c r="T25" s="192">
        <f t="shared" si="60"/>
        <v>-5</v>
      </c>
      <c r="U25" s="192">
        <f t="shared" si="60"/>
        <v>-4</v>
      </c>
      <c r="V25" s="192">
        <f t="shared" si="60"/>
        <v>-2</v>
      </c>
      <c r="W25" s="192">
        <f t="shared" si="60"/>
        <v>0</v>
      </c>
      <c r="X25" s="192">
        <f t="shared" si="60"/>
        <v>0</v>
      </c>
      <c r="Y25" s="192">
        <f t="shared" si="60"/>
        <v>-1</v>
      </c>
      <c r="Z25" s="192">
        <f t="shared" si="60"/>
        <v>-2</v>
      </c>
      <c r="AA25" s="192">
        <f t="shared" si="60"/>
        <v>0</v>
      </c>
      <c r="AB25" s="192">
        <f t="shared" si="60"/>
        <v>-1</v>
      </c>
      <c r="AC25" s="192">
        <f t="shared" si="60"/>
        <v>0</v>
      </c>
      <c r="AD25" s="192">
        <f t="shared" si="60"/>
        <v>0</v>
      </c>
    </row>
    <row r="26" spans="2:34">
      <c r="B26" s="262" t="s">
        <v>1530</v>
      </c>
      <c r="E26" s="194">
        <f t="shared" si="56"/>
        <v>0</v>
      </c>
      <c r="F26" s="194">
        <f t="shared" si="57"/>
        <v>-8</v>
      </c>
      <c r="H26" s="194">
        <f t="shared" si="58"/>
        <v>-8</v>
      </c>
      <c r="J26" s="192">
        <f t="shared" ref="J26:AD26" si="61">+J41+J56+J86</f>
        <v>0</v>
      </c>
      <c r="K26" s="192">
        <f t="shared" si="61"/>
        <v>0</v>
      </c>
      <c r="L26" s="192">
        <f t="shared" si="61"/>
        <v>0</v>
      </c>
      <c r="M26" s="192">
        <f t="shared" si="61"/>
        <v>0</v>
      </c>
      <c r="N26" s="192">
        <f t="shared" si="61"/>
        <v>0</v>
      </c>
      <c r="O26" s="192">
        <f t="shared" si="61"/>
        <v>0</v>
      </c>
      <c r="P26" s="192">
        <f t="shared" si="61"/>
        <v>0</v>
      </c>
      <c r="Q26" s="192">
        <f t="shared" si="61"/>
        <v>0</v>
      </c>
      <c r="R26" s="192">
        <f t="shared" si="61"/>
        <v>0</v>
      </c>
      <c r="S26" s="192">
        <f t="shared" si="61"/>
        <v>0</v>
      </c>
      <c r="T26" s="192">
        <f t="shared" si="61"/>
        <v>0</v>
      </c>
      <c r="U26" s="192">
        <f t="shared" si="61"/>
        <v>0</v>
      </c>
      <c r="V26" s="192">
        <f t="shared" si="61"/>
        <v>0</v>
      </c>
      <c r="W26" s="192">
        <f t="shared" si="61"/>
        <v>0</v>
      </c>
      <c r="X26" s="192">
        <f t="shared" si="61"/>
        <v>-3</v>
      </c>
      <c r="Y26" s="192">
        <f t="shared" si="61"/>
        <v>-1</v>
      </c>
      <c r="Z26" s="192">
        <f t="shared" si="61"/>
        <v>-1</v>
      </c>
      <c r="AA26" s="192">
        <f t="shared" si="61"/>
        <v>0</v>
      </c>
      <c r="AB26" s="192">
        <f t="shared" si="61"/>
        <v>-1</v>
      </c>
      <c r="AC26" s="192">
        <f t="shared" si="61"/>
        <v>-2</v>
      </c>
      <c r="AD26" s="192">
        <f t="shared" si="61"/>
        <v>0</v>
      </c>
    </row>
    <row r="27" spans="2:34" ht="12" customHeight="1">
      <c r="B27" s="252" t="s">
        <v>1532</v>
      </c>
      <c r="C27" s="255"/>
      <c r="D27" s="255"/>
      <c r="E27" s="253">
        <f>SUM(J27:U27)</f>
        <v>-46</v>
      </c>
      <c r="F27" s="253">
        <f>SUM(V27:AD27)</f>
        <v>-39</v>
      </c>
      <c r="G27" s="254"/>
      <c r="H27" s="253">
        <f>SUM(S27:AD27)</f>
        <v>-57</v>
      </c>
      <c r="I27" s="254"/>
      <c r="J27" s="255">
        <f t="shared" ref="J27:AD27" si="62">+J42+J57+J87</f>
        <v>-4</v>
      </c>
      <c r="K27" s="255">
        <f t="shared" si="62"/>
        <v>-3</v>
      </c>
      <c r="L27" s="255">
        <f t="shared" si="62"/>
        <v>-2</v>
      </c>
      <c r="M27" s="255">
        <f t="shared" si="62"/>
        <v>-4</v>
      </c>
      <c r="N27" s="255">
        <f t="shared" si="62"/>
        <v>-2</v>
      </c>
      <c r="O27" s="255">
        <f t="shared" si="62"/>
        <v>-6</v>
      </c>
      <c r="P27" s="255">
        <f t="shared" si="62"/>
        <v>-2</v>
      </c>
      <c r="Q27" s="255">
        <f t="shared" si="62"/>
        <v>-2</v>
      </c>
      <c r="R27" s="255">
        <f t="shared" si="62"/>
        <v>-3</v>
      </c>
      <c r="S27" s="255">
        <f t="shared" si="62"/>
        <v>-1</v>
      </c>
      <c r="T27" s="255">
        <f t="shared" si="62"/>
        <v>-8</v>
      </c>
      <c r="U27" s="255">
        <f t="shared" si="62"/>
        <v>-9</v>
      </c>
      <c r="V27" s="255">
        <f t="shared" si="62"/>
        <v>-3</v>
      </c>
      <c r="W27" s="255">
        <f t="shared" si="62"/>
        <v>-1</v>
      </c>
      <c r="X27" s="255">
        <f t="shared" si="62"/>
        <v>-5</v>
      </c>
      <c r="Y27" s="255">
        <f t="shared" si="62"/>
        <v>-5</v>
      </c>
      <c r="Z27" s="255">
        <f t="shared" si="62"/>
        <v>-15</v>
      </c>
      <c r="AA27" s="255">
        <f t="shared" si="62"/>
        <v>-4</v>
      </c>
      <c r="AB27" s="255">
        <f t="shared" si="62"/>
        <v>-4</v>
      </c>
      <c r="AC27" s="255">
        <f t="shared" si="62"/>
        <v>-2</v>
      </c>
      <c r="AD27" s="255">
        <f t="shared" si="62"/>
        <v>0</v>
      </c>
      <c r="AF27" s="337">
        <f>AD28/J22-1</f>
        <v>0.5663716814159292</v>
      </c>
    </row>
    <row r="28" spans="2:34">
      <c r="B28" s="256" t="s">
        <v>1315</v>
      </c>
      <c r="C28" s="257"/>
      <c r="D28" s="257"/>
      <c r="E28" s="257">
        <f>+F22</f>
        <v>157</v>
      </c>
      <c r="F28" s="258">
        <f>+$AD28</f>
        <v>177</v>
      </c>
      <c r="H28" s="261">
        <f>+$AD28</f>
        <v>177</v>
      </c>
      <c r="J28" s="259">
        <f t="shared" ref="J28" si="63">+K22</f>
        <v>118</v>
      </c>
      <c r="K28" s="257">
        <f t="shared" ref="K28" si="64">+L22</f>
        <v>120</v>
      </c>
      <c r="L28" s="257">
        <f t="shared" ref="L28" si="65">+M22</f>
        <v>126</v>
      </c>
      <c r="M28" s="257">
        <f t="shared" ref="M28" si="66">+N22</f>
        <v>131</v>
      </c>
      <c r="N28" s="257">
        <f t="shared" ref="N28" si="67">+O22</f>
        <v>138</v>
      </c>
      <c r="O28" s="257">
        <f t="shared" ref="O28" si="68">+P22</f>
        <v>138</v>
      </c>
      <c r="P28" s="257">
        <f>+Q22</f>
        <v>143</v>
      </c>
      <c r="Q28" s="257">
        <f t="shared" ref="Q28" si="69">+R22</f>
        <v>148</v>
      </c>
      <c r="R28" s="257">
        <f t="shared" ref="R28" si="70">+S22</f>
        <v>151</v>
      </c>
      <c r="S28" s="259">
        <f t="shared" ref="S28" si="71">+T22</f>
        <v>156</v>
      </c>
      <c r="T28" s="257">
        <f t="shared" ref="T28" si="72">+U22</f>
        <v>155</v>
      </c>
      <c r="U28" s="257">
        <f t="shared" ref="U28" si="73">+V22</f>
        <v>157</v>
      </c>
      <c r="V28" s="257">
        <f t="shared" ref="V28" si="74">+W22</f>
        <v>164</v>
      </c>
      <c r="W28" s="257">
        <f t="shared" ref="W28" si="75">+X22</f>
        <v>172</v>
      </c>
      <c r="X28" s="257">
        <f t="shared" ref="X28" si="76">+Y22</f>
        <v>173</v>
      </c>
      <c r="Y28" s="257">
        <f t="shared" ref="Y28" si="77">+Z22</f>
        <v>179</v>
      </c>
      <c r="Z28" s="257">
        <f t="shared" ref="Z28" si="78">+AA22</f>
        <v>171</v>
      </c>
      <c r="AA28" s="257">
        <f>+AB22</f>
        <v>171</v>
      </c>
      <c r="AB28" s="257">
        <f>+AB43+AB58</f>
        <v>172</v>
      </c>
      <c r="AC28" s="257">
        <f>+AC43+AC58</f>
        <v>173</v>
      </c>
      <c r="AD28" s="258">
        <f>+AD43+AD58+AD88</f>
        <v>177</v>
      </c>
      <c r="AF28" s="181">
        <f>AD28-J22</f>
        <v>64</v>
      </c>
    </row>
    <row r="29" spans="2:34" ht="3.95" customHeight="1">
      <c r="B29" s="179"/>
      <c r="C29" s="229"/>
      <c r="D29" s="229"/>
      <c r="E29" s="229"/>
      <c r="F29" s="229"/>
      <c r="H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30"/>
      <c r="AC29" s="230"/>
      <c r="AD29" s="230"/>
    </row>
    <row r="30" spans="2:34">
      <c r="B30" s="256" t="s">
        <v>1851</v>
      </c>
      <c r="C30" s="257"/>
      <c r="D30" s="257"/>
      <c r="E30" s="257">
        <f>AVERAGE(E22,E28)</f>
        <v>135</v>
      </c>
      <c r="F30" s="258">
        <f>AVERAGE(F22,F28)</f>
        <v>167</v>
      </c>
      <c r="H30" s="261">
        <f>AVERAGE(H22,H28)</f>
        <v>164</v>
      </c>
      <c r="J30" s="259">
        <f>AVERAGE(J22,J28)</f>
        <v>115.5</v>
      </c>
      <c r="K30" s="257">
        <f t="shared" ref="K30:AD30" si="79">AVERAGE(K22,K28)</f>
        <v>119</v>
      </c>
      <c r="L30" s="257">
        <f t="shared" si="79"/>
        <v>123</v>
      </c>
      <c r="M30" s="257">
        <f t="shared" si="79"/>
        <v>128.5</v>
      </c>
      <c r="N30" s="257">
        <f t="shared" si="79"/>
        <v>134.5</v>
      </c>
      <c r="O30" s="257">
        <f t="shared" si="79"/>
        <v>138</v>
      </c>
      <c r="P30" s="257">
        <f t="shared" si="79"/>
        <v>140.5</v>
      </c>
      <c r="Q30" s="257">
        <f t="shared" si="79"/>
        <v>145.5</v>
      </c>
      <c r="R30" s="257">
        <f t="shared" si="79"/>
        <v>149.5</v>
      </c>
      <c r="S30" s="259">
        <f t="shared" si="79"/>
        <v>153.5</v>
      </c>
      <c r="T30" s="257">
        <f t="shared" si="79"/>
        <v>155.5</v>
      </c>
      <c r="U30" s="257">
        <f t="shared" si="79"/>
        <v>156</v>
      </c>
      <c r="V30" s="257">
        <f t="shared" si="79"/>
        <v>160.5</v>
      </c>
      <c r="W30" s="257">
        <f t="shared" si="79"/>
        <v>168</v>
      </c>
      <c r="X30" s="257">
        <f t="shared" si="79"/>
        <v>172.5</v>
      </c>
      <c r="Y30" s="257">
        <f t="shared" si="79"/>
        <v>176</v>
      </c>
      <c r="Z30" s="257">
        <f t="shared" si="79"/>
        <v>175</v>
      </c>
      <c r="AA30" s="257">
        <f t="shared" si="79"/>
        <v>171</v>
      </c>
      <c r="AB30" s="257">
        <f t="shared" si="79"/>
        <v>171.5</v>
      </c>
      <c r="AC30" s="257">
        <f t="shared" si="79"/>
        <v>172.5</v>
      </c>
      <c r="AD30" s="260">
        <f t="shared" si="79"/>
        <v>175</v>
      </c>
      <c r="AF30" s="181"/>
    </row>
    <row r="31" spans="2:34" ht="3.95" customHeight="1">
      <c r="B31" s="179"/>
      <c r="C31" s="229"/>
      <c r="D31" s="229"/>
      <c r="E31" s="229"/>
      <c r="F31" s="229"/>
      <c r="H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30"/>
      <c r="AC31" s="230"/>
      <c r="AD31" s="230"/>
    </row>
    <row r="32" spans="2:34">
      <c r="B32" s="231" t="s">
        <v>1518</v>
      </c>
      <c r="C32" s="232"/>
      <c r="D32" s="232"/>
      <c r="E32" s="233">
        <f>(E23+E22)/E22-1</f>
        <v>0.79646017699115035</v>
      </c>
      <c r="F32" s="244">
        <f>(F23+F22)/F22-1</f>
        <v>0.37579617834394896</v>
      </c>
      <c r="G32" s="245"/>
      <c r="H32" s="246">
        <f>(H23+H22)/H22-1</f>
        <v>0.54966887417218535</v>
      </c>
      <c r="J32" s="243">
        <f t="shared" ref="J32:AB32" si="80">(J23+J22)/J22-1</f>
        <v>7.9646017699114946E-2</v>
      </c>
      <c r="K32" s="233">
        <f t="shared" si="80"/>
        <v>4.2372881355932313E-2</v>
      </c>
      <c r="L32" s="233">
        <f t="shared" si="80"/>
        <v>6.6666666666666652E-2</v>
      </c>
      <c r="M32" s="233">
        <f t="shared" si="80"/>
        <v>7.1428571428571397E-2</v>
      </c>
      <c r="N32" s="233">
        <f t="shared" si="80"/>
        <v>6.8702290076335881E-2</v>
      </c>
      <c r="O32" s="233">
        <f t="shared" si="80"/>
        <v>4.3478260869565188E-2</v>
      </c>
      <c r="P32" s="233">
        <f t="shared" si="80"/>
        <v>5.0724637681159424E-2</v>
      </c>
      <c r="Q32" s="233">
        <f t="shared" si="80"/>
        <v>4.8951048951048959E-2</v>
      </c>
      <c r="R32" s="233">
        <f t="shared" si="80"/>
        <v>4.0540540540540571E-2</v>
      </c>
      <c r="S32" s="243">
        <f t="shared" si="80"/>
        <v>3.9735099337748325E-2</v>
      </c>
      <c r="T32" s="233">
        <f t="shared" si="80"/>
        <v>4.4871794871794934E-2</v>
      </c>
      <c r="U32" s="233">
        <f t="shared" si="80"/>
        <v>7.0967741935483941E-2</v>
      </c>
      <c r="V32" s="233">
        <f t="shared" si="80"/>
        <v>6.3694267515923553E-2</v>
      </c>
      <c r="W32" s="233">
        <f t="shared" si="80"/>
        <v>5.4878048780487854E-2</v>
      </c>
      <c r="X32" s="233">
        <f t="shared" si="80"/>
        <v>3.488372093023262E-2</v>
      </c>
      <c r="Y32" s="233">
        <f t="shared" si="80"/>
        <v>6.3583815028901647E-2</v>
      </c>
      <c r="Z32" s="233">
        <f t="shared" si="80"/>
        <v>3.9106145251396551E-2</v>
      </c>
      <c r="AA32" s="233">
        <f t="shared" si="80"/>
        <v>2.3391812865497075E-2</v>
      </c>
      <c r="AB32" s="233">
        <f t="shared" si="80"/>
        <v>2.9239766081871288E-2</v>
      </c>
      <c r="AC32" s="233">
        <f t="shared" ref="AC32:AD32" si="81">(AC23+AC22)/AC22-1</f>
        <v>1.744186046511631E-2</v>
      </c>
      <c r="AD32" s="244">
        <f t="shared" si="81"/>
        <v>2.3121387283236983E-2</v>
      </c>
    </row>
    <row r="33" spans="2:33">
      <c r="B33" s="234" t="s">
        <v>1519</v>
      </c>
      <c r="C33" s="235"/>
      <c r="D33" s="235"/>
      <c r="E33" s="236">
        <f>(E27+E30)/E30-1</f>
        <v>-0.34074074074074079</v>
      </c>
      <c r="F33" s="237">
        <f>(F27+F30)/F30-1</f>
        <v>-0.23353293413173648</v>
      </c>
      <c r="G33" s="245"/>
      <c r="H33" s="239">
        <f>(H27+H30)/H30-1</f>
        <v>-0.34756097560975607</v>
      </c>
      <c r="J33" s="238">
        <f t="shared" ref="J33:AD33" si="82">(J27+J30)/J30-1</f>
        <v>-3.4632034632034681E-2</v>
      </c>
      <c r="K33" s="236">
        <f t="shared" si="82"/>
        <v>-2.5210084033613467E-2</v>
      </c>
      <c r="L33" s="236">
        <f t="shared" si="82"/>
        <v>-1.6260162601625994E-2</v>
      </c>
      <c r="M33" s="236">
        <f t="shared" si="82"/>
        <v>-3.1128404669260701E-2</v>
      </c>
      <c r="N33" s="236">
        <f t="shared" si="82"/>
        <v>-1.4869888475836479E-2</v>
      </c>
      <c r="O33" s="236">
        <f t="shared" si="82"/>
        <v>-4.3478260869565188E-2</v>
      </c>
      <c r="P33" s="236">
        <f t="shared" si="82"/>
        <v>-1.4234875444839812E-2</v>
      </c>
      <c r="Q33" s="236">
        <f t="shared" si="82"/>
        <v>-1.3745704467353903E-2</v>
      </c>
      <c r="R33" s="236">
        <f t="shared" si="82"/>
        <v>-2.006688963210701E-2</v>
      </c>
      <c r="S33" s="238">
        <f t="shared" si="82"/>
        <v>-6.514657980456029E-3</v>
      </c>
      <c r="T33" s="236">
        <f t="shared" si="82"/>
        <v>-5.144694533762062E-2</v>
      </c>
      <c r="U33" s="236">
        <f t="shared" si="82"/>
        <v>-5.7692307692307709E-2</v>
      </c>
      <c r="V33" s="236">
        <f t="shared" si="82"/>
        <v>-1.8691588785046731E-2</v>
      </c>
      <c r="W33" s="236">
        <f t="shared" si="82"/>
        <v>-5.9523809523809312E-3</v>
      </c>
      <c r="X33" s="236">
        <f t="shared" si="82"/>
        <v>-2.8985507246376829E-2</v>
      </c>
      <c r="Y33" s="236">
        <f t="shared" si="82"/>
        <v>-2.8409090909090939E-2</v>
      </c>
      <c r="Z33" s="236">
        <f t="shared" si="82"/>
        <v>-8.5714285714285743E-2</v>
      </c>
      <c r="AA33" s="236">
        <f t="shared" si="82"/>
        <v>-2.3391812865497075E-2</v>
      </c>
      <c r="AB33" s="236">
        <f t="shared" si="82"/>
        <v>-2.3323615160349864E-2</v>
      </c>
      <c r="AC33" s="236">
        <f t="shared" si="82"/>
        <v>-1.1594202898550732E-2</v>
      </c>
      <c r="AD33" s="237">
        <f t="shared" si="82"/>
        <v>0</v>
      </c>
    </row>
    <row r="34" spans="2:33" ht="3.95" customHeight="1">
      <c r="B34" s="179"/>
      <c r="C34" s="182"/>
      <c r="D34" s="182"/>
    </row>
    <row r="35" spans="2:33" ht="24">
      <c r="B35" s="159" t="s">
        <v>1308</v>
      </c>
      <c r="C35" s="176" t="s">
        <v>1316</v>
      </c>
      <c r="D35" s="176" t="s">
        <v>3</v>
      </c>
      <c r="E35" s="176" t="s">
        <v>4</v>
      </c>
      <c r="F35" s="176" t="s">
        <v>1317</v>
      </c>
      <c r="G35" s="190"/>
      <c r="H35" s="176" t="s">
        <v>1527</v>
      </c>
      <c r="J35" s="189">
        <v>45658</v>
      </c>
      <c r="K35" s="189">
        <f t="shared" ref="K35" si="83">EOMONTH(J35,0)+1</f>
        <v>45689</v>
      </c>
      <c r="L35" s="189">
        <f t="shared" ref="L35" si="84">EOMONTH(K35,0)+1</f>
        <v>45717</v>
      </c>
      <c r="M35" s="189">
        <f t="shared" ref="M35" si="85">EOMONTH(L35,0)+1</f>
        <v>45748</v>
      </c>
      <c r="N35" s="189">
        <f t="shared" ref="N35" si="86">EOMONTH(M35,0)+1</f>
        <v>45778</v>
      </c>
      <c r="O35" s="189">
        <f t="shared" ref="O35" si="87">EOMONTH(N35,0)+1</f>
        <v>45809</v>
      </c>
      <c r="P35" s="189">
        <f t="shared" ref="P35" si="88">EOMONTH(O35,0)+1</f>
        <v>45839</v>
      </c>
      <c r="Q35" s="189">
        <v>45870</v>
      </c>
      <c r="R35" s="189">
        <f t="shared" ref="R35" si="89">EOMONTH(Q35,0)+1</f>
        <v>45901</v>
      </c>
      <c r="S35" s="189">
        <f t="shared" ref="S35" si="90">EOMONTH(R35,0)+1</f>
        <v>45931</v>
      </c>
      <c r="T35" s="189">
        <f t="shared" ref="T35" si="91">EOMONTH(S35,0)+1</f>
        <v>45962</v>
      </c>
      <c r="U35" s="189">
        <f t="shared" ref="U35" si="92">EOMONTH(T35,0)+1</f>
        <v>45992</v>
      </c>
      <c r="V35" s="189">
        <f t="shared" ref="V35" si="93">EOMONTH(U35,0)+1</f>
        <v>46023</v>
      </c>
      <c r="W35" s="189">
        <f t="shared" ref="W35" si="94">EOMONTH(V35,0)+1</f>
        <v>46054</v>
      </c>
      <c r="X35" s="189">
        <f t="shared" ref="X35" si="95">EOMONTH(W35,0)+1</f>
        <v>46082</v>
      </c>
      <c r="Y35" s="189">
        <f t="shared" ref="Y35" si="96">EOMONTH(X35,0)+1</f>
        <v>46113</v>
      </c>
      <c r="Z35" s="189">
        <f t="shared" ref="Z35" si="97">EOMONTH(Y35,0)+1</f>
        <v>46143</v>
      </c>
      <c r="AA35" s="189">
        <f t="shared" ref="AA35" si="98">EOMONTH(Z35,0)+1</f>
        <v>46174</v>
      </c>
      <c r="AB35" s="189">
        <f t="shared" ref="AB35" si="99">EOMONTH(AA35,0)+1</f>
        <v>46204</v>
      </c>
      <c r="AC35" s="189">
        <f t="shared" ref="AC35" si="100">EOMONTH(AB35,0)+1</f>
        <v>46235</v>
      </c>
      <c r="AD35" s="189">
        <f t="shared" ref="AD35" si="101">EOMONTH(AC35,0)+1</f>
        <v>46266</v>
      </c>
      <c r="AE35" s="184"/>
      <c r="AF35" s="217" t="s">
        <v>1300</v>
      </c>
      <c r="AG35" s="184"/>
    </row>
    <row r="36" spans="2:33">
      <c r="B36" s="183" t="str">
        <f>+AF35</f>
        <v>Property Manager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</row>
    <row r="37" spans="2:33">
      <c r="B37" s="173" t="s">
        <v>1313</v>
      </c>
      <c r="C37" s="181"/>
      <c r="D37" s="181"/>
      <c r="E37" s="181">
        <f>+E43-E38-E42</f>
        <v>68</v>
      </c>
      <c r="F37" s="181">
        <f>+F43-F38-F42</f>
        <v>124</v>
      </c>
      <c r="H37" s="181">
        <f>+H43-H38-H42</f>
        <v>109</v>
      </c>
      <c r="J37" s="181">
        <f t="shared" ref="J37:AD37" si="102">+J43-J38-J42</f>
        <v>68</v>
      </c>
      <c r="K37" s="181">
        <f t="shared" si="102"/>
        <v>75</v>
      </c>
      <c r="L37" s="181">
        <f t="shared" si="102"/>
        <v>77</v>
      </c>
      <c r="M37" s="181">
        <f t="shared" si="102"/>
        <v>83</v>
      </c>
      <c r="N37" s="181">
        <f t="shared" si="102"/>
        <v>90</v>
      </c>
      <c r="O37" s="181">
        <f t="shared" si="102"/>
        <v>95</v>
      </c>
      <c r="P37" s="181">
        <f t="shared" si="102"/>
        <v>98</v>
      </c>
      <c r="Q37" s="181">
        <f t="shared" si="102"/>
        <v>101</v>
      </c>
      <c r="R37" s="181">
        <f t="shared" si="102"/>
        <v>105</v>
      </c>
      <c r="S37" s="181">
        <f t="shared" si="102"/>
        <v>109</v>
      </c>
      <c r="T37" s="181">
        <f t="shared" si="102"/>
        <v>113</v>
      </c>
      <c r="U37" s="181">
        <f t="shared" si="102"/>
        <v>118</v>
      </c>
      <c r="V37" s="181">
        <f t="shared" si="102"/>
        <v>124</v>
      </c>
      <c r="W37" s="181">
        <f t="shared" si="102"/>
        <v>130</v>
      </c>
      <c r="X37" s="181">
        <f t="shared" si="102"/>
        <v>135</v>
      </c>
      <c r="Y37" s="181">
        <f t="shared" si="102"/>
        <v>136</v>
      </c>
      <c r="Z37" s="181">
        <f t="shared" si="102"/>
        <v>140</v>
      </c>
      <c r="AA37" s="181">
        <f t="shared" si="102"/>
        <v>140</v>
      </c>
      <c r="AB37" s="181">
        <f t="shared" si="102"/>
        <v>141</v>
      </c>
      <c r="AC37" s="181">
        <f t="shared" si="102"/>
        <v>142</v>
      </c>
      <c r="AD37" s="181">
        <f t="shared" si="102"/>
        <v>143</v>
      </c>
    </row>
    <row r="38" spans="2:33">
      <c r="B38" s="188" t="s">
        <v>1314</v>
      </c>
      <c r="E38" s="194">
        <f>SUM(J38:U38)</f>
        <v>59</v>
      </c>
      <c r="F38" s="194">
        <f>SUM(V38:AD38)</f>
        <v>48</v>
      </c>
      <c r="H38" s="194">
        <f>SUM(S38:AD38)</f>
        <v>64</v>
      </c>
      <c r="J38" s="192">
        <f>COUNTIFS('Full Customer List'!$I:$I,'Client Retention'!J$5,'Full Customer List'!$E:$E,'Client Retention'!$AF$35)</f>
        <v>7</v>
      </c>
      <c r="K38" s="192">
        <f>COUNTIFS('Full Customer List'!$I:$I,'Client Retention'!K$5,'Full Customer List'!$E:$E,'Client Retention'!$AF$35)</f>
        <v>2</v>
      </c>
      <c r="L38" s="192">
        <f>COUNTIFS('Full Customer List'!$I:$I,'Client Retention'!L$5,'Full Customer List'!$E:$E,'Client Retention'!$AF$35)</f>
        <v>6</v>
      </c>
      <c r="M38" s="192">
        <f>COUNTIFS('Full Customer List'!$I:$I,'Client Retention'!M$5,'Full Customer List'!$E:$E,'Client Retention'!$AF$35)</f>
        <v>7</v>
      </c>
      <c r="N38" s="192">
        <f>COUNTIFS('Full Customer List'!$I:$I,'Client Retention'!N$5,'Full Customer List'!$E:$E,'Client Retention'!$AF$35)</f>
        <v>5</v>
      </c>
      <c r="O38" s="192">
        <f>COUNTIFS('Full Customer List'!$I:$I,'Client Retention'!O$5,'Full Customer List'!$E:$E,'Client Retention'!$AF$35)</f>
        <v>3</v>
      </c>
      <c r="P38" s="192">
        <f>COUNTIFS('Full Customer List'!$I:$I,'Client Retention'!P$5,'Full Customer List'!$E:$E,'Client Retention'!$AF$35)</f>
        <v>5</v>
      </c>
      <c r="Q38" s="192">
        <f>COUNTIFS('Full Customer List'!$I:$I,'Client Retention'!Q$5,'Full Customer List'!$E:$E,'Client Retention'!$AF$35)</f>
        <v>4</v>
      </c>
      <c r="R38" s="192">
        <f>COUNTIFS('Full Customer List'!$I:$I,'Client Retention'!R$5,'Full Customer List'!$E:$E,'Client Retention'!$AF$35)</f>
        <v>4</v>
      </c>
      <c r="S38" s="192">
        <f>COUNTIFS('Full Customer List'!$I:$I,'Client Retention'!S$5,'Full Customer List'!$E:$E,'Client Retention'!$AF$35)</f>
        <v>4</v>
      </c>
      <c r="T38" s="192">
        <f>COUNTIFS('Full Customer List'!$I:$I,'Client Retention'!T$5,'Full Customer List'!$E:$E,'Client Retention'!$AF$35)</f>
        <v>5</v>
      </c>
      <c r="U38" s="192">
        <f>COUNTIFS('Full Customer List'!$I:$I,'Client Retention'!U$5,'Full Customer List'!$E:$E,'Client Retention'!$AF$35)</f>
        <v>7</v>
      </c>
      <c r="V38" s="192">
        <f>COUNTIFS('Full Customer List'!$I:$I,'Client Retention'!V$5,'Full Customer List'!$E:$E,'Client Retention'!$AF$35)</f>
        <v>7</v>
      </c>
      <c r="W38" s="192">
        <f>COUNTIFS('Full Customer List'!$I:$I,'Client Retention'!W$5,'Full Customer List'!$E:$E,'Client Retention'!$AF$35)</f>
        <v>6</v>
      </c>
      <c r="X38" s="192">
        <f>COUNTIFS('Full Customer List'!$I:$I,'Client Retention'!X$5,'Full Customer List'!$E:$E,'Client Retention'!$AF$35)</f>
        <v>5</v>
      </c>
      <c r="Y38" s="192">
        <f>COUNTIFS('Full Customer List'!$I:$I,'Client Retention'!Y$5,'Full Customer List'!$E:$E,'Client Retention'!$AF$35)</f>
        <v>8</v>
      </c>
      <c r="Z38" s="192">
        <f>COUNTIFS('Full Customer List'!$I:$I,'Client Retention'!Z$5,'Full Customer List'!$E:$E,'Client Retention'!$AF$35)</f>
        <v>7</v>
      </c>
      <c r="AA38" s="192">
        <f>COUNTIFS('Full Customer List'!$I:$I,'Client Retention'!AA$5,'Full Customer List'!$E:$E,'Client Retention'!$AF$35)</f>
        <v>4</v>
      </c>
      <c r="AB38" s="192">
        <f>COUNTIFS('Full Customer List'!$I:$I,'Client Retention'!AB$5,'Full Customer List'!$E:$E,'Client Retention'!$AF$35)</f>
        <v>4</v>
      </c>
      <c r="AC38" s="192">
        <f>COUNTIFS('Full Customer List'!$I:$I,'Client Retention'!AC$5,'Full Customer List'!$E:$E,'Client Retention'!$AF$35)</f>
        <v>3</v>
      </c>
      <c r="AD38" s="192">
        <f>COUNTIFS('Full Customer List'!$I:$I,'Client Retention'!AD$5,'Full Customer List'!$E:$E,'Client Retention'!$AF$35)</f>
        <v>4</v>
      </c>
    </row>
    <row r="39" spans="2:33">
      <c r="B39" s="262" t="s">
        <v>1528</v>
      </c>
      <c r="E39" s="194">
        <f t="shared" ref="E39" si="103">SUM(J39:U39)</f>
        <v>-2</v>
      </c>
      <c r="F39" s="194">
        <f t="shared" ref="F39" si="104">SUM(V39:AD39)</f>
        <v>-14</v>
      </c>
      <c r="H39" s="194">
        <f t="shared" ref="H39" si="105">SUM(S39:AD39)</f>
        <v>-14</v>
      </c>
      <c r="J39" s="192">
        <f>-COUNTIFS('Full Customer List'!$J:$J,J$1,'Full Customer List'!$E:$E,'Client Retention'!$AF$35,'Full Customer List'!$H:$H,'Client Retention'!$AF39)</f>
        <v>0</v>
      </c>
      <c r="K39" s="192">
        <f>-COUNTIFS('Full Customer List'!$J:$J,K$1,'Full Customer List'!$E:$E,'Client Retention'!$AF$35,'Full Customer List'!$H:$H,'Client Retention'!$AF39)</f>
        <v>0</v>
      </c>
      <c r="L39" s="192">
        <f>-COUNTIFS('Full Customer List'!$J:$J,L$1,'Full Customer List'!$E:$E,'Client Retention'!$AF$35,'Full Customer List'!$H:$H,'Client Retention'!$AF39)</f>
        <v>0</v>
      </c>
      <c r="M39" s="192">
        <f>-COUNTIFS('Full Customer List'!$J:$J,M$1,'Full Customer List'!$E:$E,'Client Retention'!$AF$35,'Full Customer List'!$H:$H,'Client Retention'!$AF39)</f>
        <v>0</v>
      </c>
      <c r="N39" s="192">
        <f>-COUNTIFS('Full Customer List'!$J:$J,N$1,'Full Customer List'!$E:$E,'Client Retention'!$AF$35,'Full Customer List'!$H:$H,'Client Retention'!$AF39)</f>
        <v>0</v>
      </c>
      <c r="O39" s="192">
        <f>-COUNTIFS('Full Customer List'!$J:$J,O$1,'Full Customer List'!$E:$E,'Client Retention'!$AF$35,'Full Customer List'!$H:$H,'Client Retention'!$AF39)</f>
        <v>0</v>
      </c>
      <c r="P39" s="192">
        <f>-COUNTIFS('Full Customer List'!$J:$J,P$1,'Full Customer List'!$E:$E,'Client Retention'!$AF$35,'Full Customer List'!$H:$H,'Client Retention'!$AF39)</f>
        <v>-2</v>
      </c>
      <c r="Q39" s="192">
        <f>-COUNTIFS('Full Customer List'!$J:$J,Q$1,'Full Customer List'!$E:$E,'Client Retention'!$AF$35,'Full Customer List'!$H:$H,'Client Retention'!$AF39)</f>
        <v>0</v>
      </c>
      <c r="R39" s="192">
        <f>-COUNTIFS('Full Customer List'!$J:$J,R$1,'Full Customer List'!$E:$E,'Client Retention'!$AF$35,'Full Customer List'!$H:$H,'Client Retention'!$AF39)</f>
        <v>0</v>
      </c>
      <c r="S39" s="192">
        <f>-COUNTIFS('Full Customer List'!$J:$J,S$1,'Full Customer List'!$E:$E,'Client Retention'!$AF$35,'Full Customer List'!$H:$H,'Client Retention'!$AF39)</f>
        <v>0</v>
      </c>
      <c r="T39" s="192">
        <f>-COUNTIFS('Full Customer List'!$J:$J,T$1,'Full Customer List'!$E:$E,'Client Retention'!$AF$35,'Full Customer List'!$H:$H,'Client Retention'!$AF39)</f>
        <v>0</v>
      </c>
      <c r="U39" s="192">
        <f>-COUNTIFS('Full Customer List'!$J:$J,U$1,'Full Customer List'!$E:$E,'Client Retention'!$AF$35,'Full Customer List'!$H:$H,'Client Retention'!$AF39)</f>
        <v>0</v>
      </c>
      <c r="V39" s="192">
        <f>-COUNTIFS('Full Customer List'!$J:$J,V$1,'Full Customer List'!$E:$E,'Client Retention'!$AF$35,'Full Customer List'!$H:$H,'Client Retention'!$AF39)</f>
        <v>0</v>
      </c>
      <c r="W39" s="192">
        <f>-COUNTIFS('Full Customer List'!$J:$J,W$1,'Full Customer List'!$E:$E,'Client Retention'!$AF$35,'Full Customer List'!$H:$H,'Client Retention'!$AF39)</f>
        <v>-1</v>
      </c>
      <c r="X39" s="192">
        <f>-COUNTIFS('Full Customer List'!$J:$J,X$1,'Full Customer List'!$E:$E,'Client Retention'!$AF$35,'Full Customer List'!$H:$H,'Client Retention'!$AF39)</f>
        <v>-2</v>
      </c>
      <c r="Y39" s="192">
        <f>-COUNTIFS('Full Customer List'!$J:$J,Y$1,'Full Customer List'!$E:$E,'Client Retention'!$AF$35,'Full Customer List'!$H:$H,'Client Retention'!$AF39)</f>
        <v>-2</v>
      </c>
      <c r="Z39" s="192">
        <f>-COUNTIFS('Full Customer List'!$J:$J,Z$1,'Full Customer List'!$E:$E,'Client Retention'!$AF$35,'Full Customer List'!$H:$H,'Client Retention'!$AF39)</f>
        <v>-4</v>
      </c>
      <c r="AA39" s="192">
        <f>-COUNTIFS('Full Customer List'!$J:$J,AA$1,'Full Customer List'!$E:$E,'Client Retention'!$AF$35,'Full Customer List'!$H:$H,'Client Retention'!$AF39)</f>
        <v>-3</v>
      </c>
      <c r="AB39" s="192">
        <f>-COUNTIFS('Full Customer List'!$J:$J,AB$1,'Full Customer List'!$E:$E,'Client Retention'!$AF$35,'Full Customer List'!$H:$H,'Client Retention'!$AF39)</f>
        <v>-2</v>
      </c>
      <c r="AC39" s="192">
        <f>-COUNTIFS('Full Customer List'!$J:$J,AC$1,'Full Customer List'!$E:$E,'Client Retention'!$AF$35,'Full Customer List'!$H:$H,'Client Retention'!$AF39)</f>
        <v>0</v>
      </c>
      <c r="AD39" s="192">
        <f>-COUNTIFS('Full Customer List'!$J:$J,AD$1,'Full Customer List'!$E:$E,'Client Retention'!$AF$35,'Full Customer List'!$H:$H,'Client Retention'!$AF39)</f>
        <v>0</v>
      </c>
      <c r="AF39" s="173" t="s">
        <v>504</v>
      </c>
    </row>
    <row r="40" spans="2:33">
      <c r="B40" s="262" t="s">
        <v>1529</v>
      </c>
      <c r="E40" s="194">
        <f t="shared" ref="E40" si="106">SUM(J40:U40)</f>
        <v>-1</v>
      </c>
      <c r="F40" s="194">
        <f t="shared" ref="F40" si="107">SUM(V40:AD40)</f>
        <v>-4</v>
      </c>
      <c r="H40" s="194">
        <f t="shared" ref="H40" si="108">SUM(S40:AD40)</f>
        <v>-5</v>
      </c>
      <c r="J40" s="192">
        <f>-COUNTIFS('Full Customer List'!$J:$J,J$1,'Full Customer List'!$E:$E,'Client Retention'!$AF$35,'Full Customer List'!$H:$H,'Client Retention'!$AF40)</f>
        <v>0</v>
      </c>
      <c r="K40" s="192">
        <f>-COUNTIFS('Full Customer List'!$J:$J,K$1,'Full Customer List'!$E:$E,'Client Retention'!$AF$35,'Full Customer List'!$H:$H,'Client Retention'!$AF40)</f>
        <v>0</v>
      </c>
      <c r="L40" s="192">
        <f>-COUNTIFS('Full Customer List'!$J:$J,L$1,'Full Customer List'!$E:$E,'Client Retention'!$AF$35,'Full Customer List'!$H:$H,'Client Retention'!$AF40)</f>
        <v>0</v>
      </c>
      <c r="M40" s="192">
        <f>-COUNTIFS('Full Customer List'!$J:$J,M$1,'Full Customer List'!$E:$E,'Client Retention'!$AF$35,'Full Customer List'!$H:$H,'Client Retention'!$AF40)</f>
        <v>0</v>
      </c>
      <c r="N40" s="192">
        <f>-COUNTIFS('Full Customer List'!$J:$J,N$1,'Full Customer List'!$E:$E,'Client Retention'!$AF$35,'Full Customer List'!$H:$H,'Client Retention'!$AF40)</f>
        <v>0</v>
      </c>
      <c r="O40" s="192">
        <f>-COUNTIFS('Full Customer List'!$J:$J,O$1,'Full Customer List'!$E:$E,'Client Retention'!$AF$35,'Full Customer List'!$H:$H,'Client Retention'!$AF40)</f>
        <v>0</v>
      </c>
      <c r="P40" s="192">
        <f>-COUNTIFS('Full Customer List'!$J:$J,P$1,'Full Customer List'!$E:$E,'Client Retention'!$AF$35,'Full Customer List'!$H:$H,'Client Retention'!$AF40)</f>
        <v>0</v>
      </c>
      <c r="Q40" s="192">
        <f>-COUNTIFS('Full Customer List'!$J:$J,Q$1,'Full Customer List'!$E:$E,'Client Retention'!$AF$35,'Full Customer List'!$H:$H,'Client Retention'!$AF40)</f>
        <v>0</v>
      </c>
      <c r="R40" s="192">
        <f>-COUNTIFS('Full Customer List'!$J:$J,R$1,'Full Customer List'!$E:$E,'Client Retention'!$AF$35,'Full Customer List'!$H:$H,'Client Retention'!$AF40)</f>
        <v>0</v>
      </c>
      <c r="S40" s="192">
        <f>-COUNTIFS('Full Customer List'!$J:$J,S$1,'Full Customer List'!$E:$E,'Client Retention'!$AF$35,'Full Customer List'!$H:$H,'Client Retention'!$AF40)</f>
        <v>0</v>
      </c>
      <c r="T40" s="192">
        <f>-COUNTIFS('Full Customer List'!$J:$J,T$1,'Full Customer List'!$E:$E,'Client Retention'!$AF$35,'Full Customer List'!$H:$H,'Client Retention'!$AF40)</f>
        <v>0</v>
      </c>
      <c r="U40" s="192">
        <f>-COUNTIFS('Full Customer List'!$J:$J,U$1,'Full Customer List'!$E:$E,'Client Retention'!$AF$35,'Full Customer List'!$H:$H,'Client Retention'!$AF40)</f>
        <v>-1</v>
      </c>
      <c r="V40" s="192">
        <f>-COUNTIFS('Full Customer List'!$J:$J,V$1,'Full Customer List'!$E:$E,'Client Retention'!$AF$35,'Full Customer List'!$H:$H,'Client Retention'!$AF40)</f>
        <v>-1</v>
      </c>
      <c r="W40" s="192">
        <f>-COUNTIFS('Full Customer List'!$J:$J,W$1,'Full Customer List'!$E:$E,'Client Retention'!$AF$35,'Full Customer List'!$H:$H,'Client Retention'!$AF40)</f>
        <v>0</v>
      </c>
      <c r="X40" s="192">
        <f>-COUNTIFS('Full Customer List'!$J:$J,X$1,'Full Customer List'!$E:$E,'Client Retention'!$AF$35,'Full Customer List'!$H:$H,'Client Retention'!$AF40)</f>
        <v>0</v>
      </c>
      <c r="Y40" s="192">
        <f>-COUNTIFS('Full Customer List'!$J:$J,Y$1,'Full Customer List'!$E:$E,'Client Retention'!$AF$35,'Full Customer List'!$H:$H,'Client Retention'!$AF40)</f>
        <v>-1</v>
      </c>
      <c r="Z40" s="192">
        <f>-COUNTIFS('Full Customer List'!$J:$J,Z$1,'Full Customer List'!$E:$E,'Client Retention'!$AF$35,'Full Customer List'!$H:$H,'Client Retention'!$AF40)</f>
        <v>-2</v>
      </c>
      <c r="AA40" s="192">
        <f>-COUNTIFS('Full Customer List'!$J:$J,AA$1,'Full Customer List'!$E:$E,'Client Retention'!$AF$35,'Full Customer List'!$H:$H,'Client Retention'!$AF40)</f>
        <v>0</v>
      </c>
      <c r="AB40" s="192">
        <f>-COUNTIFS('Full Customer List'!$J:$J,AB$1,'Full Customer List'!$E:$E,'Client Retention'!$AF$35,'Full Customer List'!$H:$H,'Client Retention'!$AF40)</f>
        <v>0</v>
      </c>
      <c r="AC40" s="192">
        <f>-COUNTIFS('Full Customer List'!$J:$J,AC$1,'Full Customer List'!$E:$E,'Client Retention'!$AF$35,'Full Customer List'!$H:$H,'Client Retention'!$AF40)</f>
        <v>0</v>
      </c>
      <c r="AD40" s="192">
        <f>-COUNTIFS('Full Customer List'!$J:$J,AD$1,'Full Customer List'!$E:$E,'Client Retention'!$AF$35,'Full Customer List'!$H:$H,'Client Retention'!$AF40)</f>
        <v>0</v>
      </c>
      <c r="AF40" s="173" t="s">
        <v>505</v>
      </c>
    </row>
    <row r="41" spans="2:33">
      <c r="B41" s="262" t="s">
        <v>1530</v>
      </c>
      <c r="E41" s="194">
        <f t="shared" ref="E41" si="109">SUM(J41:U41)</f>
        <v>0</v>
      </c>
      <c r="F41" s="194">
        <f t="shared" ref="F41" si="110">SUM(V41:AD41)</f>
        <v>-7</v>
      </c>
      <c r="H41" s="194">
        <f t="shared" ref="H41" si="111">SUM(S41:AD41)</f>
        <v>-7</v>
      </c>
      <c r="J41" s="192">
        <f>-COUNTIFS('Full Customer List'!$J:$J,J$1,'Full Customer List'!$E:$E,'Client Retention'!$AF$35,'Full Customer List'!$H:$H,'Client Retention'!$AF41)</f>
        <v>0</v>
      </c>
      <c r="K41" s="192">
        <f>-COUNTIFS('Full Customer List'!$J:$J,K$1,'Full Customer List'!$E:$E,'Client Retention'!$AF$35,'Full Customer List'!$H:$H,'Client Retention'!$AF41)</f>
        <v>0</v>
      </c>
      <c r="L41" s="192">
        <f>-COUNTIFS('Full Customer List'!$J:$J,L$1,'Full Customer List'!$E:$E,'Client Retention'!$AF$35,'Full Customer List'!$H:$H,'Client Retention'!$AF41)</f>
        <v>0</v>
      </c>
      <c r="M41" s="192">
        <f>-COUNTIFS('Full Customer List'!$J:$J,M$1,'Full Customer List'!$E:$E,'Client Retention'!$AF$35,'Full Customer List'!$H:$H,'Client Retention'!$AF41)</f>
        <v>0</v>
      </c>
      <c r="N41" s="192">
        <f>-COUNTIFS('Full Customer List'!$J:$J,N$1,'Full Customer List'!$E:$E,'Client Retention'!$AF$35,'Full Customer List'!$H:$H,'Client Retention'!$AF41)</f>
        <v>0</v>
      </c>
      <c r="O41" s="192">
        <f>-COUNTIFS('Full Customer List'!$J:$J,O$1,'Full Customer List'!$E:$E,'Client Retention'!$AF$35,'Full Customer List'!$H:$H,'Client Retention'!$AF41)</f>
        <v>0</v>
      </c>
      <c r="P41" s="192">
        <f>-COUNTIFS('Full Customer List'!$J:$J,P$1,'Full Customer List'!$E:$E,'Client Retention'!$AF$35,'Full Customer List'!$H:$H,'Client Retention'!$AF41)</f>
        <v>0</v>
      </c>
      <c r="Q41" s="192">
        <f>-COUNTIFS('Full Customer List'!$J:$J,Q$1,'Full Customer List'!$E:$E,'Client Retention'!$AF$35,'Full Customer List'!$H:$H,'Client Retention'!$AF41)</f>
        <v>0</v>
      </c>
      <c r="R41" s="192">
        <f>-COUNTIFS('Full Customer List'!$J:$J,R$1,'Full Customer List'!$E:$E,'Client Retention'!$AF$35,'Full Customer List'!$H:$H,'Client Retention'!$AF41)</f>
        <v>0</v>
      </c>
      <c r="S41" s="192">
        <f>-COUNTIFS('Full Customer List'!$J:$J,S$1,'Full Customer List'!$E:$E,'Client Retention'!$AF$35,'Full Customer List'!$H:$H,'Client Retention'!$AF41)</f>
        <v>0</v>
      </c>
      <c r="T41" s="192">
        <f>-COUNTIFS('Full Customer List'!$J:$J,T$1,'Full Customer List'!$E:$E,'Client Retention'!$AF$35,'Full Customer List'!$H:$H,'Client Retention'!$AF41)</f>
        <v>0</v>
      </c>
      <c r="U41" s="192">
        <f>-COUNTIFS('Full Customer List'!$J:$J,U$1,'Full Customer List'!$E:$E,'Client Retention'!$AF$35,'Full Customer List'!$H:$H,'Client Retention'!$AF41)</f>
        <v>0</v>
      </c>
      <c r="V41" s="192">
        <f>-COUNTIFS('Full Customer List'!$J:$J,V$1,'Full Customer List'!$E:$E,'Client Retention'!$AF$35,'Full Customer List'!$H:$H,'Client Retention'!$AF41)</f>
        <v>0</v>
      </c>
      <c r="W41" s="192">
        <f>-COUNTIFS('Full Customer List'!$J:$J,W$1,'Full Customer List'!$E:$E,'Client Retention'!$AF$35,'Full Customer List'!$H:$H,'Client Retention'!$AF41)</f>
        <v>0</v>
      </c>
      <c r="X41" s="192">
        <f>-COUNTIFS('Full Customer List'!$J:$J,X$1,'Full Customer List'!$E:$E,'Client Retention'!$AF$35,'Full Customer List'!$H:$H,'Client Retention'!$AF41)</f>
        <v>-2</v>
      </c>
      <c r="Y41" s="192">
        <f>-COUNTIFS('Full Customer List'!$J:$J,Y$1,'Full Customer List'!$E:$E,'Client Retention'!$AF$35,'Full Customer List'!$H:$H,'Client Retention'!$AF41)</f>
        <v>-1</v>
      </c>
      <c r="Z41" s="192">
        <f>-COUNTIFS('Full Customer List'!$J:$J,Z$1,'Full Customer List'!$E:$E,'Client Retention'!$AF$35,'Full Customer List'!$H:$H,'Client Retention'!$AF41)</f>
        <v>-1</v>
      </c>
      <c r="AA41" s="192">
        <f>-COUNTIFS('Full Customer List'!$J:$J,AA$1,'Full Customer List'!$E:$E,'Client Retention'!$AF$35,'Full Customer List'!$H:$H,'Client Retention'!$AF41)</f>
        <v>0</v>
      </c>
      <c r="AB41" s="192">
        <f>-COUNTIFS('Full Customer List'!$J:$J,AB$1,'Full Customer List'!$E:$E,'Client Retention'!$AF$35,'Full Customer List'!$H:$H,'Client Retention'!$AF41)</f>
        <v>-1</v>
      </c>
      <c r="AC41" s="192">
        <f>-COUNTIFS('Full Customer List'!$J:$J,AC$1,'Full Customer List'!$E:$E,'Client Retention'!$AF$35,'Full Customer List'!$H:$H,'Client Retention'!$AF41)</f>
        <v>-2</v>
      </c>
      <c r="AD41" s="192">
        <f>-COUNTIFS('Full Customer List'!$J:$J,AD$1,'Full Customer List'!$E:$E,'Client Retention'!$AF$35,'Full Customer List'!$H:$H,'Client Retention'!$AF41)</f>
        <v>0</v>
      </c>
      <c r="AF41" s="173" t="s">
        <v>1531</v>
      </c>
    </row>
    <row r="42" spans="2:33" ht="12" customHeight="1">
      <c r="B42" s="252" t="s">
        <v>1532</v>
      </c>
      <c r="C42" s="255"/>
      <c r="D42" s="255"/>
      <c r="E42" s="253">
        <f>SUM(J42:U42)</f>
        <v>-3</v>
      </c>
      <c r="F42" s="253">
        <f>SUM(V42:AD42)</f>
        <v>-25</v>
      </c>
      <c r="G42" s="254"/>
      <c r="H42" s="253">
        <f>SUM(S42:AD42)</f>
        <v>-26</v>
      </c>
      <c r="I42" s="254"/>
      <c r="J42" s="255">
        <f>-COUNTIFS('Full Customer List'!$J:$J,J$1,'Full Customer List'!$E:$E,'Client Retention'!$AF$35)</f>
        <v>0</v>
      </c>
      <c r="K42" s="255">
        <f>-COUNTIFS('Full Customer List'!$J:$J,K$1,'Full Customer List'!$E:$E,'Client Retention'!$AF$35)</f>
        <v>0</v>
      </c>
      <c r="L42" s="255">
        <f>-COUNTIFS('Full Customer List'!$J:$J,L$1,'Full Customer List'!$E:$E,'Client Retention'!$AF$35)</f>
        <v>0</v>
      </c>
      <c r="M42" s="255">
        <f>-COUNTIFS('Full Customer List'!$J:$J,M$1,'Full Customer List'!$E:$E,'Client Retention'!$AF$35)</f>
        <v>0</v>
      </c>
      <c r="N42" s="255">
        <f>-COUNTIFS('Full Customer List'!$J:$J,N$1,'Full Customer List'!$E:$E,'Client Retention'!$AF$35)</f>
        <v>0</v>
      </c>
      <c r="O42" s="255">
        <f>-COUNTIFS('Full Customer List'!$J:$J,O$1,'Full Customer List'!$E:$E,'Client Retention'!$AF$35)</f>
        <v>0</v>
      </c>
      <c r="P42" s="255">
        <f>-COUNTIFS('Full Customer List'!$J:$J,P$1,'Full Customer List'!$E:$E,'Client Retention'!$AF$35)</f>
        <v>-2</v>
      </c>
      <c r="Q42" s="255">
        <f>-COUNTIFS('Full Customer List'!$J:$J,Q$1,'Full Customer List'!$E:$E,'Client Retention'!$AF$35)</f>
        <v>0</v>
      </c>
      <c r="R42" s="255">
        <f>-COUNTIFS('Full Customer List'!$J:$J,R$1,'Full Customer List'!$E:$E,'Client Retention'!$AF$35)</f>
        <v>0</v>
      </c>
      <c r="S42" s="255">
        <f>-COUNTIFS('Full Customer List'!$J:$J,S$1,'Full Customer List'!$E:$E,'Client Retention'!$AF$35)</f>
        <v>0</v>
      </c>
      <c r="T42" s="255">
        <f>-COUNTIFS('Full Customer List'!$J:$J,T$1,'Full Customer List'!$E:$E,'Client Retention'!$AF$35)</f>
        <v>0</v>
      </c>
      <c r="U42" s="255">
        <f>-COUNTIFS('Full Customer List'!$J:$J,U$1,'Full Customer List'!$E:$E,'Client Retention'!$AF$35)</f>
        <v>-1</v>
      </c>
      <c r="V42" s="255">
        <f>-COUNTIFS('Full Customer List'!$J:$J,V$1,'Full Customer List'!$E:$E,'Client Retention'!$AF$35)</f>
        <v>-1</v>
      </c>
      <c r="W42" s="255">
        <f>-COUNTIFS('Full Customer List'!$J:$J,W$1,'Full Customer List'!$E:$E,'Client Retention'!$AF$35)</f>
        <v>-1</v>
      </c>
      <c r="X42" s="255">
        <f>-COUNTIFS('Full Customer List'!$J:$J,X$1,'Full Customer List'!$E:$E,'Client Retention'!$AF$35)</f>
        <v>-4</v>
      </c>
      <c r="Y42" s="255">
        <f>-COUNTIFS('Full Customer List'!$J:$J,Y$1,'Full Customer List'!$E:$E,'Client Retention'!$AF$35)</f>
        <v>-4</v>
      </c>
      <c r="Z42" s="255">
        <f>-COUNTIFS('Full Customer List'!$J:$J,Z$1,'Full Customer List'!$E:$E,'Client Retention'!$AF$35)</f>
        <v>-7</v>
      </c>
      <c r="AA42" s="255">
        <f>-COUNTIFS('Full Customer List'!$J:$J,AA$1,'Full Customer List'!$E:$E,'Client Retention'!$AF$35)</f>
        <v>-3</v>
      </c>
      <c r="AB42" s="255">
        <f>-COUNTIFS('Full Customer List'!$J:$J,AB$1,'Full Customer List'!$E:$E,'Client Retention'!$AF$35)</f>
        <v>-3</v>
      </c>
      <c r="AC42" s="255">
        <f>-COUNTIFS('Full Customer List'!$J:$J,AC$1,'Full Customer List'!$E:$E,'Client Retention'!$AF$35)</f>
        <v>-2</v>
      </c>
      <c r="AD42" s="255">
        <f>-COUNTIFS('Full Customer List'!$J:$J,AD$1,'Full Customer List'!$E:$E,'Client Retention'!$AF$35)</f>
        <v>0</v>
      </c>
    </row>
    <row r="43" spans="2:33">
      <c r="B43" s="256" t="s">
        <v>1315</v>
      </c>
      <c r="C43" s="257"/>
      <c r="D43" s="257"/>
      <c r="E43" s="257">
        <f>+F37</f>
        <v>124</v>
      </c>
      <c r="F43" s="258">
        <f>+$AD43</f>
        <v>147</v>
      </c>
      <c r="H43" s="261">
        <f>+$AD43</f>
        <v>147</v>
      </c>
      <c r="J43" s="259">
        <f t="shared" ref="J43:AC43" si="112">+K37</f>
        <v>75</v>
      </c>
      <c r="K43" s="257">
        <f t="shared" si="112"/>
        <v>77</v>
      </c>
      <c r="L43" s="257">
        <f t="shared" si="112"/>
        <v>83</v>
      </c>
      <c r="M43" s="257">
        <f t="shared" si="112"/>
        <v>90</v>
      </c>
      <c r="N43" s="257">
        <f t="shared" si="112"/>
        <v>95</v>
      </c>
      <c r="O43" s="257">
        <f t="shared" si="112"/>
        <v>98</v>
      </c>
      <c r="P43" s="257">
        <f t="shared" si="112"/>
        <v>101</v>
      </c>
      <c r="Q43" s="257">
        <f t="shared" si="112"/>
        <v>105</v>
      </c>
      <c r="R43" s="257">
        <f t="shared" si="112"/>
        <v>109</v>
      </c>
      <c r="S43" s="259">
        <f t="shared" si="112"/>
        <v>113</v>
      </c>
      <c r="T43" s="257">
        <f t="shared" si="112"/>
        <v>118</v>
      </c>
      <c r="U43" s="257">
        <f t="shared" si="112"/>
        <v>124</v>
      </c>
      <c r="V43" s="257">
        <f t="shared" si="112"/>
        <v>130</v>
      </c>
      <c r="W43" s="257">
        <f t="shared" si="112"/>
        <v>135</v>
      </c>
      <c r="X43" s="257">
        <f t="shared" si="112"/>
        <v>136</v>
      </c>
      <c r="Y43" s="257">
        <f t="shared" si="112"/>
        <v>140</v>
      </c>
      <c r="Z43" s="257">
        <f t="shared" si="112"/>
        <v>140</v>
      </c>
      <c r="AA43" s="257">
        <f t="shared" si="112"/>
        <v>141</v>
      </c>
      <c r="AB43" s="257">
        <f t="shared" si="112"/>
        <v>142</v>
      </c>
      <c r="AC43" s="257">
        <f t="shared" si="112"/>
        <v>143</v>
      </c>
      <c r="AD43" s="260">
        <f>COUNTIFS('Full Customer List'!$C:$C,"Active",'Full Customer List'!$E:$E,'Client Retention'!$AF35)</f>
        <v>147</v>
      </c>
    </row>
    <row r="44" spans="2:33" ht="3.95" customHeight="1">
      <c r="B44" s="179"/>
      <c r="C44" s="229"/>
      <c r="D44" s="229"/>
      <c r="E44" s="229"/>
      <c r="F44" s="229"/>
      <c r="H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30"/>
      <c r="AC44" s="230"/>
      <c r="AD44" s="230"/>
    </row>
    <row r="45" spans="2:33">
      <c r="B45" s="256" t="s">
        <v>1851</v>
      </c>
      <c r="C45" s="257"/>
      <c r="D45" s="257"/>
      <c r="E45" s="257">
        <f>AVERAGE(E37,E43)</f>
        <v>96</v>
      </c>
      <c r="F45" s="258">
        <f>AVERAGE(F37,F43)</f>
        <v>135.5</v>
      </c>
      <c r="H45" s="261">
        <f>AVERAGE(H37,H43)</f>
        <v>128</v>
      </c>
      <c r="J45" s="259">
        <f>AVERAGE(J37,J43)</f>
        <v>71.5</v>
      </c>
      <c r="K45" s="257">
        <f t="shared" ref="K45:AD45" si="113">AVERAGE(K37,K43)</f>
        <v>76</v>
      </c>
      <c r="L45" s="257">
        <f t="shared" si="113"/>
        <v>80</v>
      </c>
      <c r="M45" s="257">
        <f t="shared" si="113"/>
        <v>86.5</v>
      </c>
      <c r="N45" s="257">
        <f t="shared" si="113"/>
        <v>92.5</v>
      </c>
      <c r="O45" s="257">
        <f t="shared" si="113"/>
        <v>96.5</v>
      </c>
      <c r="P45" s="257">
        <f t="shared" si="113"/>
        <v>99.5</v>
      </c>
      <c r="Q45" s="257">
        <f t="shared" si="113"/>
        <v>103</v>
      </c>
      <c r="R45" s="257">
        <f t="shared" si="113"/>
        <v>107</v>
      </c>
      <c r="S45" s="259">
        <f t="shared" si="113"/>
        <v>111</v>
      </c>
      <c r="T45" s="257">
        <f t="shared" si="113"/>
        <v>115.5</v>
      </c>
      <c r="U45" s="257">
        <f t="shared" si="113"/>
        <v>121</v>
      </c>
      <c r="V45" s="257">
        <f t="shared" si="113"/>
        <v>127</v>
      </c>
      <c r="W45" s="257">
        <f t="shared" si="113"/>
        <v>132.5</v>
      </c>
      <c r="X45" s="257">
        <f t="shared" si="113"/>
        <v>135.5</v>
      </c>
      <c r="Y45" s="257">
        <f t="shared" si="113"/>
        <v>138</v>
      </c>
      <c r="Z45" s="257">
        <f t="shared" si="113"/>
        <v>140</v>
      </c>
      <c r="AA45" s="257">
        <f t="shared" si="113"/>
        <v>140.5</v>
      </c>
      <c r="AB45" s="257">
        <f t="shared" si="113"/>
        <v>141.5</v>
      </c>
      <c r="AC45" s="257">
        <f t="shared" si="113"/>
        <v>142.5</v>
      </c>
      <c r="AD45" s="260">
        <f t="shared" si="113"/>
        <v>145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1518</v>
      </c>
      <c r="C47" s="232"/>
      <c r="D47" s="232"/>
      <c r="E47" s="233">
        <f>(E38+E37)/E37-1</f>
        <v>0.86764705882352944</v>
      </c>
      <c r="F47" s="244">
        <f>(F38+F37)/F37-1</f>
        <v>0.38709677419354849</v>
      </c>
      <c r="G47" s="245"/>
      <c r="H47" s="246">
        <f>(H38+H37)/H37-1</f>
        <v>0.58715596330275233</v>
      </c>
      <c r="J47" s="243">
        <f t="shared" ref="J47:AD47" si="114">(J38+J37)/J37-1</f>
        <v>0.10294117647058831</v>
      </c>
      <c r="K47" s="233">
        <f t="shared" si="114"/>
        <v>2.6666666666666616E-2</v>
      </c>
      <c r="L47" s="233">
        <f t="shared" si="114"/>
        <v>7.7922077922077948E-2</v>
      </c>
      <c r="M47" s="233">
        <f t="shared" si="114"/>
        <v>8.43373493975903E-2</v>
      </c>
      <c r="N47" s="233">
        <f t="shared" si="114"/>
        <v>5.555555555555558E-2</v>
      </c>
      <c r="O47" s="233">
        <f t="shared" si="114"/>
        <v>3.1578947368421151E-2</v>
      </c>
      <c r="P47" s="233">
        <f t="shared" si="114"/>
        <v>5.1020408163265252E-2</v>
      </c>
      <c r="Q47" s="233">
        <f t="shared" si="114"/>
        <v>3.9603960396039639E-2</v>
      </c>
      <c r="R47" s="233">
        <f t="shared" si="114"/>
        <v>3.8095238095238182E-2</v>
      </c>
      <c r="S47" s="243">
        <f t="shared" si="114"/>
        <v>3.669724770642202E-2</v>
      </c>
      <c r="T47" s="233">
        <f t="shared" si="114"/>
        <v>4.4247787610619538E-2</v>
      </c>
      <c r="U47" s="233">
        <f t="shared" si="114"/>
        <v>5.9322033898305149E-2</v>
      </c>
      <c r="V47" s="233">
        <f t="shared" si="114"/>
        <v>5.6451612903225756E-2</v>
      </c>
      <c r="W47" s="233">
        <f t="shared" si="114"/>
        <v>4.6153846153846212E-2</v>
      </c>
      <c r="X47" s="233">
        <f t="shared" si="114"/>
        <v>3.7037037037036979E-2</v>
      </c>
      <c r="Y47" s="233">
        <f t="shared" si="114"/>
        <v>5.8823529411764719E-2</v>
      </c>
      <c r="Z47" s="233">
        <f t="shared" si="114"/>
        <v>5.0000000000000044E-2</v>
      </c>
      <c r="AA47" s="233">
        <f t="shared" si="114"/>
        <v>2.857142857142847E-2</v>
      </c>
      <c r="AB47" s="233">
        <f t="shared" si="114"/>
        <v>2.8368794326241176E-2</v>
      </c>
      <c r="AC47" s="233">
        <f t="shared" si="114"/>
        <v>2.1126760563380254E-2</v>
      </c>
      <c r="AD47" s="244">
        <f t="shared" si="114"/>
        <v>2.7972027972027913E-2</v>
      </c>
    </row>
    <row r="48" spans="2:33">
      <c r="B48" s="234" t="s">
        <v>1519</v>
      </c>
      <c r="C48" s="235"/>
      <c r="D48" s="235"/>
      <c r="E48" s="236">
        <f>(E42+E45)/E45-1</f>
        <v>-3.125E-2</v>
      </c>
      <c r="F48" s="237">
        <f>(F42+F45)/F45-1</f>
        <v>-0.18450184501845024</v>
      </c>
      <c r="G48" s="245"/>
      <c r="H48" s="239">
        <f>(H42+H45)/H45-1</f>
        <v>-0.203125</v>
      </c>
      <c r="J48" s="238">
        <f t="shared" ref="J48:AD48" si="115">(J42+J45)/J45-1</f>
        <v>0</v>
      </c>
      <c r="K48" s="236">
        <f t="shared" si="115"/>
        <v>0</v>
      </c>
      <c r="L48" s="236">
        <f t="shared" si="115"/>
        <v>0</v>
      </c>
      <c r="M48" s="236">
        <f t="shared" si="115"/>
        <v>0</v>
      </c>
      <c r="N48" s="236">
        <f t="shared" si="115"/>
        <v>0</v>
      </c>
      <c r="O48" s="236">
        <f t="shared" si="115"/>
        <v>0</v>
      </c>
      <c r="P48" s="236">
        <f t="shared" si="115"/>
        <v>-2.010050251256279E-2</v>
      </c>
      <c r="Q48" s="236">
        <f t="shared" si="115"/>
        <v>0</v>
      </c>
      <c r="R48" s="236">
        <f t="shared" si="115"/>
        <v>0</v>
      </c>
      <c r="S48" s="238">
        <f t="shared" si="115"/>
        <v>0</v>
      </c>
      <c r="T48" s="236">
        <f t="shared" si="115"/>
        <v>0</v>
      </c>
      <c r="U48" s="236">
        <f t="shared" si="115"/>
        <v>-8.2644628099173278E-3</v>
      </c>
      <c r="V48" s="236">
        <f t="shared" si="115"/>
        <v>-7.8740157480314821E-3</v>
      </c>
      <c r="W48" s="236">
        <f t="shared" si="115"/>
        <v>-7.547169811320753E-3</v>
      </c>
      <c r="X48" s="236">
        <f t="shared" si="115"/>
        <v>-2.9520295202952074E-2</v>
      </c>
      <c r="Y48" s="236">
        <f t="shared" si="115"/>
        <v>-2.8985507246376829E-2</v>
      </c>
      <c r="Z48" s="236">
        <f t="shared" si="115"/>
        <v>-5.0000000000000044E-2</v>
      </c>
      <c r="AA48" s="236">
        <f t="shared" si="115"/>
        <v>-2.1352313167259829E-2</v>
      </c>
      <c r="AB48" s="236">
        <f t="shared" si="115"/>
        <v>-2.1201413427561877E-2</v>
      </c>
      <c r="AC48" s="236">
        <f t="shared" si="115"/>
        <v>-1.4035087719298289E-2</v>
      </c>
      <c r="AD48" s="237">
        <f t="shared" si="115"/>
        <v>0</v>
      </c>
    </row>
    <row r="49" spans="2:34" ht="3.95" customHeight="1"/>
    <row r="50" spans="2:34" ht="24">
      <c r="B50" s="159" t="s">
        <v>1308</v>
      </c>
      <c r="C50" s="176" t="s">
        <v>1316</v>
      </c>
      <c r="D50" s="176" t="s">
        <v>3</v>
      </c>
      <c r="E50" s="176" t="s">
        <v>4</v>
      </c>
      <c r="F50" s="176" t="s">
        <v>1317</v>
      </c>
      <c r="G50" s="190"/>
      <c r="H50" s="176" t="s">
        <v>1527</v>
      </c>
      <c r="J50" s="189">
        <v>45658</v>
      </c>
      <c r="K50" s="189">
        <f t="shared" ref="K50" si="116">EOMONTH(J50,0)+1</f>
        <v>45689</v>
      </c>
      <c r="L50" s="189">
        <f t="shared" ref="L50" si="117">EOMONTH(K50,0)+1</f>
        <v>45717</v>
      </c>
      <c r="M50" s="189">
        <f t="shared" ref="M50" si="118">EOMONTH(L50,0)+1</f>
        <v>45748</v>
      </c>
      <c r="N50" s="189">
        <f t="shared" ref="N50" si="119">EOMONTH(M50,0)+1</f>
        <v>45778</v>
      </c>
      <c r="O50" s="189">
        <f t="shared" ref="O50" si="120">EOMONTH(N50,0)+1</f>
        <v>45809</v>
      </c>
      <c r="P50" s="189">
        <f t="shared" ref="P50" si="121">EOMONTH(O50,0)+1</f>
        <v>45839</v>
      </c>
      <c r="Q50" s="189">
        <v>45870</v>
      </c>
      <c r="R50" s="189">
        <f t="shared" ref="R50" si="122">EOMONTH(Q50,0)+1</f>
        <v>45901</v>
      </c>
      <c r="S50" s="189">
        <f t="shared" ref="S50" si="123">EOMONTH(R50,0)+1</f>
        <v>45931</v>
      </c>
      <c r="T50" s="189">
        <f t="shared" ref="T50" si="124">EOMONTH(S50,0)+1</f>
        <v>45962</v>
      </c>
      <c r="U50" s="189">
        <f t="shared" ref="U50" si="125">EOMONTH(T50,0)+1</f>
        <v>45992</v>
      </c>
      <c r="V50" s="189">
        <f t="shared" ref="V50" si="126">EOMONTH(U50,0)+1</f>
        <v>46023</v>
      </c>
      <c r="W50" s="189">
        <f t="shared" ref="W50" si="127">EOMONTH(V50,0)+1</f>
        <v>46054</v>
      </c>
      <c r="X50" s="189">
        <f t="shared" ref="X50" si="128">EOMONTH(W50,0)+1</f>
        <v>46082</v>
      </c>
      <c r="Y50" s="189">
        <f t="shared" ref="Y50" si="129">EOMONTH(X50,0)+1</f>
        <v>46113</v>
      </c>
      <c r="Z50" s="189">
        <f t="shared" ref="Z50" si="130">EOMONTH(Y50,0)+1</f>
        <v>46143</v>
      </c>
      <c r="AA50" s="189">
        <f t="shared" ref="AA50" si="131">EOMONTH(Z50,0)+1</f>
        <v>46174</v>
      </c>
      <c r="AB50" s="189">
        <f t="shared" ref="AB50" si="132">EOMONTH(AA50,0)+1</f>
        <v>46204</v>
      </c>
      <c r="AC50" s="189">
        <f t="shared" ref="AC50" si="133">EOMONTH(AB50,0)+1</f>
        <v>46235</v>
      </c>
      <c r="AD50" s="189">
        <f t="shared" ref="AD50" si="134">EOMONTH(AC50,0)+1</f>
        <v>46266</v>
      </c>
      <c r="AE50" s="184"/>
      <c r="AF50" s="217" t="s">
        <v>1178</v>
      </c>
      <c r="AG50" s="184"/>
      <c r="AH50" s="184"/>
    </row>
    <row r="51" spans="2:34">
      <c r="B51" s="183" t="str">
        <f>+AF50</f>
        <v>STR Owner</v>
      </c>
      <c r="C51" s="43"/>
      <c r="D51" s="43"/>
      <c r="E51" s="43"/>
      <c r="F51" s="43"/>
      <c r="G51" s="6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6"/>
      <c r="AF51" s="6"/>
      <c r="AG51" s="6"/>
      <c r="AH51" s="6"/>
    </row>
    <row r="52" spans="2:34">
      <c r="B52" s="173" t="s">
        <v>1313</v>
      </c>
      <c r="C52" s="181"/>
      <c r="D52" s="181"/>
      <c r="E52" s="181">
        <f>+E58-E53-E57</f>
        <v>15</v>
      </c>
      <c r="F52" s="181">
        <f>+F58-F53-F57</f>
        <v>30</v>
      </c>
      <c r="H52" s="181">
        <f t="shared" ref="H52" si="135">+H58-H53-H57</f>
        <v>25</v>
      </c>
      <c r="J52" s="181">
        <f t="shared" ref="J52:Z52" si="136">+J58-J53-J57</f>
        <v>15</v>
      </c>
      <c r="K52" s="181">
        <f t="shared" si="136"/>
        <v>17</v>
      </c>
      <c r="L52" s="181">
        <f t="shared" si="136"/>
        <v>17</v>
      </c>
      <c r="M52" s="181">
        <f t="shared" si="136"/>
        <v>17</v>
      </c>
      <c r="N52" s="181">
        <f t="shared" si="136"/>
        <v>18</v>
      </c>
      <c r="O52" s="181">
        <f t="shared" si="136"/>
        <v>20</v>
      </c>
      <c r="P52" s="181">
        <f t="shared" si="136"/>
        <v>22</v>
      </c>
      <c r="Q52" s="181">
        <f t="shared" si="136"/>
        <v>23</v>
      </c>
      <c r="R52" s="181">
        <f t="shared" si="136"/>
        <v>25</v>
      </c>
      <c r="S52" s="181">
        <f t="shared" si="136"/>
        <v>25</v>
      </c>
      <c r="T52" s="181">
        <f t="shared" si="136"/>
        <v>26</v>
      </c>
      <c r="U52" s="181">
        <f t="shared" si="136"/>
        <v>27</v>
      </c>
      <c r="V52" s="181">
        <f t="shared" si="136"/>
        <v>30</v>
      </c>
      <c r="W52" s="181">
        <f t="shared" si="136"/>
        <v>33</v>
      </c>
      <c r="X52" s="181">
        <f t="shared" si="136"/>
        <v>36</v>
      </c>
      <c r="Y52" s="181">
        <f t="shared" si="136"/>
        <v>36</v>
      </c>
      <c r="Z52" s="181">
        <f t="shared" si="136"/>
        <v>37</v>
      </c>
      <c r="AA52" s="181">
        <f>+AA58-AA53-AA57</f>
        <v>30</v>
      </c>
      <c r="AB52" s="181">
        <f>+AB58-AB53-AB57</f>
        <v>29</v>
      </c>
      <c r="AC52" s="181">
        <f t="shared" ref="AC52:AD52" si="137">+AC58-AC53-AC57</f>
        <v>30</v>
      </c>
      <c r="AD52" s="181">
        <f t="shared" si="137"/>
        <v>30</v>
      </c>
    </row>
    <row r="53" spans="2:34">
      <c r="B53" s="188" t="s">
        <v>1314</v>
      </c>
      <c r="E53" s="194">
        <f>SUM(J53:U53)</f>
        <v>15</v>
      </c>
      <c r="F53" s="194">
        <f>SUM(V53:AD53)</f>
        <v>10</v>
      </c>
      <c r="H53" s="194">
        <f>SUM(S53:AD53)</f>
        <v>15</v>
      </c>
      <c r="J53" s="192">
        <f>COUNTIFS('Full Customer List'!$I:$I,'Client Retention'!J$5,'Full Customer List'!$E:$E,$AF50)</f>
        <v>2</v>
      </c>
      <c r="K53" s="192">
        <f>COUNTIFS('Full Customer List'!$I:$I,'Client Retention'!K$5,'Full Customer List'!$E:$E,$AF50)</f>
        <v>0</v>
      </c>
      <c r="L53" s="192">
        <f>COUNTIFS('Full Customer List'!$I:$I,'Client Retention'!L$5,'Full Customer List'!$E:$E,$AF50)</f>
        <v>0</v>
      </c>
      <c r="M53" s="192">
        <f>COUNTIFS('Full Customer List'!$I:$I,'Client Retention'!M$5,'Full Customer List'!$E:$E,$AF50)</f>
        <v>1</v>
      </c>
      <c r="N53" s="192">
        <f>COUNTIFS('Full Customer List'!$I:$I,'Client Retention'!N$5,'Full Customer List'!$E:$E,$AF50)</f>
        <v>2</v>
      </c>
      <c r="O53" s="192">
        <f>COUNTIFS('Full Customer List'!$I:$I,'Client Retention'!O$5,'Full Customer List'!$E:$E,$AF50)</f>
        <v>2</v>
      </c>
      <c r="P53" s="192">
        <f>COUNTIFS('Full Customer List'!$I:$I,'Client Retention'!P$5,'Full Customer List'!$E:$E,$AF50)</f>
        <v>1</v>
      </c>
      <c r="Q53" s="192">
        <f>COUNTIFS('Full Customer List'!$I:$I,'Client Retention'!Q$5,'Full Customer List'!$E:$E,$AF50)</f>
        <v>2</v>
      </c>
      <c r="R53" s="192">
        <f>COUNTIFS('Full Customer List'!$I:$I,'Client Retention'!R$5,'Full Customer List'!$E:$E,$AF50)</f>
        <v>0</v>
      </c>
      <c r="S53" s="192">
        <f>COUNTIFS('Full Customer List'!$I:$I,'Client Retention'!S$5,'Full Customer List'!$E:$E,$AF50)</f>
        <v>1</v>
      </c>
      <c r="T53" s="192">
        <f>COUNTIFS('Full Customer List'!$I:$I,'Client Retention'!T$5,'Full Customer List'!$E:$E,$AF50)</f>
        <v>1</v>
      </c>
      <c r="U53" s="192">
        <f>COUNTIFS('Full Customer List'!$I:$I,'Client Retention'!U$5,'Full Customer List'!$E:$E,$AF50)</f>
        <v>3</v>
      </c>
      <c r="V53" s="192">
        <f>COUNTIFS('Full Customer List'!$I:$I,'Client Retention'!V$5,'Full Customer List'!$E:$E,$AF50)</f>
        <v>3</v>
      </c>
      <c r="W53" s="192">
        <f>COUNTIFS('Full Customer List'!$I:$I,'Client Retention'!W$5,'Full Customer List'!$E:$E,$AF50)</f>
        <v>3</v>
      </c>
      <c r="X53" s="192">
        <f>COUNTIFS('Full Customer List'!$I:$I,'Client Retention'!X$5,'Full Customer List'!$E:$E,$AF50)</f>
        <v>1</v>
      </c>
      <c r="Y53" s="192">
        <f>COUNTIFS('Full Customer List'!$I:$I,'Client Retention'!Y$5,'Full Customer List'!$E:$E,$AF50)</f>
        <v>2</v>
      </c>
      <c r="Z53" s="192">
        <f>COUNTIFS('Full Customer List'!$I:$I,'Client Retention'!Z$5,'Full Customer List'!$E:$E,$AF50)</f>
        <v>0</v>
      </c>
      <c r="AA53" s="192">
        <f>COUNTIFS('Full Customer List'!$I:$I,'Client Retention'!AA$5,'Full Customer List'!$E:$E,$AF50)</f>
        <v>0</v>
      </c>
      <c r="AB53" s="192">
        <f>COUNTIFS('Full Customer List'!$I:$I,'Client Retention'!AB$5,'Full Customer List'!$E:$E,$AF50)</f>
        <v>1</v>
      </c>
      <c r="AC53" s="192">
        <f>COUNTIFS('Full Customer List'!$I:$I,'Client Retention'!AC$5,'Full Customer List'!$E:$E,$AF50)</f>
        <v>0</v>
      </c>
      <c r="AD53" s="192">
        <f>COUNTIFS('Full Customer List'!$I:$I,'Client Retention'!AD$5,'Full Customer List'!$E:$E,$AF50)</f>
        <v>0</v>
      </c>
    </row>
    <row r="54" spans="2:34">
      <c r="B54" s="262" t="s">
        <v>1528</v>
      </c>
      <c r="E54" s="194">
        <f t="shared" ref="E54:E56" si="138">SUM(J54:U54)</f>
        <v>0</v>
      </c>
      <c r="F54" s="194">
        <f t="shared" ref="F54:F56" si="139">SUM(V54:AD54)</f>
        <v>-9</v>
      </c>
      <c r="H54" s="194">
        <f t="shared" ref="H54:H56" si="140">SUM(S54:AD54)</f>
        <v>-9</v>
      </c>
      <c r="J54" s="192">
        <f>-COUNTIFS('Full Customer List'!$J:$J,J$1,'Full Customer List'!$E:$E,$AF50,'Full Customer List'!$H:$H,'Client Retention'!$AF54)</f>
        <v>0</v>
      </c>
      <c r="K54" s="192">
        <f>-COUNTIFS('Full Customer List'!$J:$J,K$1,'Full Customer List'!$E:$E,$AF50,'Full Customer List'!$H:$H,'Client Retention'!$AF54)</f>
        <v>0</v>
      </c>
      <c r="L54" s="192">
        <f>-COUNTIFS('Full Customer List'!$J:$J,L$1,'Full Customer List'!$E:$E,$AF50,'Full Customer List'!$H:$H,'Client Retention'!$AF54)</f>
        <v>0</v>
      </c>
      <c r="M54" s="192">
        <f>-COUNTIFS('Full Customer List'!$J:$J,M$1,'Full Customer List'!$E:$E,$AF50,'Full Customer List'!$H:$H,'Client Retention'!$AF54)</f>
        <v>0</v>
      </c>
      <c r="N54" s="192">
        <f>-COUNTIFS('Full Customer List'!$J:$J,N$1,'Full Customer List'!$E:$E,$AF50,'Full Customer List'!$H:$H,'Client Retention'!$AF54)</f>
        <v>0</v>
      </c>
      <c r="O54" s="192">
        <f>-COUNTIFS('Full Customer List'!$J:$J,O$1,'Full Customer List'!$E:$E,$AF50,'Full Customer List'!$H:$H,'Client Retention'!$AF54)</f>
        <v>0</v>
      </c>
      <c r="P54" s="192">
        <f>-COUNTIFS('Full Customer List'!$J:$J,P$1,'Full Customer List'!$E:$E,$AF50,'Full Customer List'!$H:$H,'Client Retention'!$AF54)</f>
        <v>0</v>
      </c>
      <c r="Q54" s="192">
        <f>-COUNTIFS('Full Customer List'!$J:$J,Q$1,'Full Customer List'!$E:$E,$AF50,'Full Customer List'!$H:$H,'Client Retention'!$AF54)</f>
        <v>0</v>
      </c>
      <c r="R54" s="192">
        <f>-COUNTIFS('Full Customer List'!$J:$J,R$1,'Full Customer List'!$E:$E,$AF50,'Full Customer List'!$H:$H,'Client Retention'!$AF54)</f>
        <v>0</v>
      </c>
      <c r="S54" s="192">
        <f>-COUNTIFS('Full Customer List'!$J:$J,S$1,'Full Customer List'!$E:$E,$AF50,'Full Customer List'!$H:$H,'Client Retention'!$AF54)</f>
        <v>0</v>
      </c>
      <c r="T54" s="192">
        <f>-COUNTIFS('Full Customer List'!$J:$J,T$1,'Full Customer List'!$E:$E,$AF50,'Full Customer List'!$H:$H,'Client Retention'!$AF54)</f>
        <v>0</v>
      </c>
      <c r="U54" s="192">
        <f>-COUNTIFS('Full Customer List'!$J:$J,U$1,'Full Customer List'!$E:$E,$AF50,'Full Customer List'!$H:$H,'Client Retention'!$AF54)</f>
        <v>0</v>
      </c>
      <c r="V54" s="192">
        <f>-COUNTIFS('Full Customer List'!$J:$J,V$1,'Full Customer List'!$E:$E,$AF50,'Full Customer List'!$H:$H,'Client Retention'!$AF54)</f>
        <v>0</v>
      </c>
      <c r="W54" s="192">
        <f>-COUNTIFS('Full Customer List'!$J:$J,W$1,'Full Customer List'!$E:$E,$AF50,'Full Customer List'!$H:$H,'Client Retention'!$AF54)</f>
        <v>0</v>
      </c>
      <c r="X54" s="192">
        <f>-COUNTIFS('Full Customer List'!$J:$J,X$1,'Full Customer List'!$E:$E,$AF50,'Full Customer List'!$H:$H,'Client Retention'!$AF54)</f>
        <v>0</v>
      </c>
      <c r="Y54" s="192">
        <f>-COUNTIFS('Full Customer List'!$J:$J,Y$1,'Full Customer List'!$E:$E,$AF50,'Full Customer List'!$H:$H,'Client Retention'!$AF54)</f>
        <v>-1</v>
      </c>
      <c r="Z54" s="192">
        <f>-COUNTIFS('Full Customer List'!$J:$J,Z$1,'Full Customer List'!$E:$E,$AF50,'Full Customer List'!$H:$H,'Client Retention'!$AF54)</f>
        <v>-7</v>
      </c>
      <c r="AA54" s="192">
        <f>-COUNTIFS('Full Customer List'!$J:$J,AA$1,'Full Customer List'!$E:$E,$AF50,'Full Customer List'!$H:$H,'Client Retention'!$AF54)</f>
        <v>-1</v>
      </c>
      <c r="AB54" s="192">
        <f>-COUNTIFS('Full Customer List'!$J:$J,AB$1,'Full Customer List'!$E:$E,$AF50,'Full Customer List'!$H:$H,'Client Retention'!$AF54)</f>
        <v>0</v>
      </c>
      <c r="AC54" s="192">
        <f>-COUNTIFS('Full Customer List'!$J:$J,AC$1,'Full Customer List'!$E:$E,$AF50,'Full Customer List'!$H:$H,'Client Retention'!$AF54)</f>
        <v>0</v>
      </c>
      <c r="AD54" s="192">
        <f>-COUNTIFS('Full Customer List'!$J:$J,AD$1,'Full Customer List'!$E:$E,$AF50,'Full Customer List'!$H:$H,'Client Retention'!$AF54)</f>
        <v>0</v>
      </c>
      <c r="AF54" s="173" t="s">
        <v>504</v>
      </c>
    </row>
    <row r="55" spans="2:34">
      <c r="B55" s="262" t="s">
        <v>1529</v>
      </c>
      <c r="E55" s="194">
        <f t="shared" si="138"/>
        <v>0</v>
      </c>
      <c r="F55" s="194">
        <f t="shared" si="139"/>
        <v>0</v>
      </c>
      <c r="H55" s="194">
        <f t="shared" si="140"/>
        <v>0</v>
      </c>
      <c r="J55" s="192">
        <f>-COUNTIFS('Full Customer List'!$J:$J,J$1,'Full Customer List'!$E:$E,$AF50,'Full Customer List'!$H:$H,'Client Retention'!$AF55)</f>
        <v>0</v>
      </c>
      <c r="K55" s="192">
        <f>-COUNTIFS('Full Customer List'!$J:$J,K$1,'Full Customer List'!$E:$E,$AF50,'Full Customer List'!$H:$H,'Client Retention'!$AF55)</f>
        <v>0</v>
      </c>
      <c r="L55" s="192">
        <f>-COUNTIFS('Full Customer List'!$J:$J,L$1,'Full Customer List'!$E:$E,$AF50,'Full Customer List'!$H:$H,'Client Retention'!$AF55)</f>
        <v>0</v>
      </c>
      <c r="M55" s="192">
        <f>-COUNTIFS('Full Customer List'!$J:$J,M$1,'Full Customer List'!$E:$E,$AF50,'Full Customer List'!$H:$H,'Client Retention'!$AF55)</f>
        <v>0</v>
      </c>
      <c r="N55" s="192">
        <f>-COUNTIFS('Full Customer List'!$J:$J,N$1,'Full Customer List'!$E:$E,$AF50,'Full Customer List'!$H:$H,'Client Retention'!$AF55)</f>
        <v>0</v>
      </c>
      <c r="O55" s="192">
        <f>-COUNTIFS('Full Customer List'!$J:$J,O$1,'Full Customer List'!$E:$E,$AF50,'Full Customer List'!$H:$H,'Client Retention'!$AF55)</f>
        <v>0</v>
      </c>
      <c r="P55" s="192">
        <f>-COUNTIFS('Full Customer List'!$J:$J,P$1,'Full Customer List'!$E:$E,$AF50,'Full Customer List'!$H:$H,'Client Retention'!$AF55)</f>
        <v>0</v>
      </c>
      <c r="Q55" s="192">
        <f>-COUNTIFS('Full Customer List'!$J:$J,Q$1,'Full Customer List'!$E:$E,$AF50,'Full Customer List'!$H:$H,'Client Retention'!$AF55)</f>
        <v>0</v>
      </c>
      <c r="R55" s="192">
        <f>-COUNTIFS('Full Customer List'!$J:$J,R$1,'Full Customer List'!$E:$E,$AF50,'Full Customer List'!$H:$H,'Client Retention'!$AF55)</f>
        <v>0</v>
      </c>
      <c r="S55" s="192">
        <f>-COUNTIFS('Full Customer List'!$J:$J,S$1,'Full Customer List'!$E:$E,$AF50,'Full Customer List'!$H:$H,'Client Retention'!$AF55)</f>
        <v>0</v>
      </c>
      <c r="T55" s="192">
        <f>-COUNTIFS('Full Customer List'!$J:$J,T$1,'Full Customer List'!$E:$E,$AF50,'Full Customer List'!$H:$H,'Client Retention'!$AF55)</f>
        <v>0</v>
      </c>
      <c r="U55" s="192">
        <f>-COUNTIFS('Full Customer List'!$J:$J,U$1,'Full Customer List'!$E:$E,$AF50,'Full Customer List'!$H:$H,'Client Retention'!$AF55)</f>
        <v>0</v>
      </c>
      <c r="V55" s="192">
        <f>-COUNTIFS('Full Customer List'!$J:$J,V$1,'Full Customer List'!$E:$E,$AF50,'Full Customer List'!$H:$H,'Client Retention'!$AF55)</f>
        <v>0</v>
      </c>
      <c r="W55" s="192">
        <f>-COUNTIFS('Full Customer List'!$J:$J,W$1,'Full Customer List'!$E:$E,$AF50,'Full Customer List'!$H:$H,'Client Retention'!$AF55)</f>
        <v>0</v>
      </c>
      <c r="X55" s="192">
        <f>-COUNTIFS('Full Customer List'!$J:$J,X$1,'Full Customer List'!$E:$E,$AF50,'Full Customer List'!$H:$H,'Client Retention'!$AF55)</f>
        <v>0</v>
      </c>
      <c r="Y55" s="192">
        <f>-COUNTIFS('Full Customer List'!$J:$J,Y$1,'Full Customer List'!$E:$E,$AF50,'Full Customer List'!$H:$H,'Client Retention'!$AF55)</f>
        <v>0</v>
      </c>
      <c r="Z55" s="192">
        <f>-COUNTIFS('Full Customer List'!$J:$J,Z$1,'Full Customer List'!$E:$E,$AF50,'Full Customer List'!$H:$H,'Client Retention'!$AF55)</f>
        <v>0</v>
      </c>
      <c r="AA55" s="192">
        <f>-COUNTIFS('Full Customer List'!$J:$J,AA$1,'Full Customer List'!$E:$E,$AF50,'Full Customer List'!$H:$H,'Client Retention'!$AF55)</f>
        <v>0</v>
      </c>
      <c r="AB55" s="192">
        <f>-COUNTIFS('Full Customer List'!$J:$J,AB$1,'Full Customer List'!$E:$E,$AF50,'Full Customer List'!$H:$H,'Client Retention'!$AF55)</f>
        <v>0</v>
      </c>
      <c r="AC55" s="192">
        <f>-COUNTIFS('Full Customer List'!$J:$J,AC$1,'Full Customer List'!$E:$E,$AF50,'Full Customer List'!$H:$H,'Client Retention'!$AF55)</f>
        <v>0</v>
      </c>
      <c r="AD55" s="192">
        <f>-COUNTIFS('Full Customer List'!$J:$J,AD$1,'Full Customer List'!$E:$E,$AF50,'Full Customer List'!$H:$H,'Client Retention'!$AF55)</f>
        <v>0</v>
      </c>
      <c r="AF55" s="173" t="s">
        <v>505</v>
      </c>
    </row>
    <row r="56" spans="2:34">
      <c r="B56" s="262" t="s">
        <v>1530</v>
      </c>
      <c r="E56" s="194">
        <f t="shared" si="138"/>
        <v>0</v>
      </c>
      <c r="F56" s="194">
        <f t="shared" si="139"/>
        <v>-1</v>
      </c>
      <c r="H56" s="194">
        <f t="shared" si="140"/>
        <v>-1</v>
      </c>
      <c r="J56" s="192">
        <f>-COUNTIFS('Full Customer List'!$J:$J,J$1,'Full Customer List'!$E:$E,$AF50,'Full Customer List'!$H:$H,'Client Retention'!$AF56)</f>
        <v>0</v>
      </c>
      <c r="K56" s="192">
        <f>-COUNTIFS('Full Customer List'!$J:$J,K$1,'Full Customer List'!$E:$E,$AF50,'Full Customer List'!$H:$H,'Client Retention'!$AF56)</f>
        <v>0</v>
      </c>
      <c r="L56" s="192">
        <f>-COUNTIFS('Full Customer List'!$J:$J,L$1,'Full Customer List'!$E:$E,$AF50,'Full Customer List'!$H:$H,'Client Retention'!$AF56)</f>
        <v>0</v>
      </c>
      <c r="M56" s="192">
        <f>-COUNTIFS('Full Customer List'!$J:$J,M$1,'Full Customer List'!$E:$E,$AF50,'Full Customer List'!$H:$H,'Client Retention'!$AF56)</f>
        <v>0</v>
      </c>
      <c r="N56" s="192">
        <f>-COUNTIFS('Full Customer List'!$J:$J,N$1,'Full Customer List'!$E:$E,$AF50,'Full Customer List'!$H:$H,'Client Retention'!$AF56)</f>
        <v>0</v>
      </c>
      <c r="O56" s="192">
        <f>-COUNTIFS('Full Customer List'!$J:$J,O$1,'Full Customer List'!$E:$E,$AF50,'Full Customer List'!$H:$H,'Client Retention'!$AF56)</f>
        <v>0</v>
      </c>
      <c r="P56" s="192">
        <f>-COUNTIFS('Full Customer List'!$J:$J,P$1,'Full Customer List'!$E:$E,$AF50,'Full Customer List'!$H:$H,'Client Retention'!$AF56)</f>
        <v>0</v>
      </c>
      <c r="Q56" s="192">
        <f>-COUNTIFS('Full Customer List'!$J:$J,Q$1,'Full Customer List'!$E:$E,$AF50,'Full Customer List'!$H:$H,'Client Retention'!$AF56)</f>
        <v>0</v>
      </c>
      <c r="R56" s="192">
        <f>-COUNTIFS('Full Customer List'!$J:$J,R$1,'Full Customer List'!$E:$E,$AF50,'Full Customer List'!$H:$H,'Client Retention'!$AF56)</f>
        <v>0</v>
      </c>
      <c r="S56" s="192">
        <f>-COUNTIFS('Full Customer List'!$J:$J,S$1,'Full Customer List'!$E:$E,$AF50,'Full Customer List'!$H:$H,'Client Retention'!$AF56)</f>
        <v>0</v>
      </c>
      <c r="T56" s="192">
        <f>-COUNTIFS('Full Customer List'!$J:$J,T$1,'Full Customer List'!$E:$E,$AF50,'Full Customer List'!$H:$H,'Client Retention'!$AF56)</f>
        <v>0</v>
      </c>
      <c r="U56" s="192">
        <f>-COUNTIFS('Full Customer List'!$J:$J,U$1,'Full Customer List'!$E:$E,$AF50,'Full Customer List'!$H:$H,'Client Retention'!$AF56)</f>
        <v>0</v>
      </c>
      <c r="V56" s="192">
        <f>-COUNTIFS('Full Customer List'!$J:$J,V$1,'Full Customer List'!$E:$E,$AF50,'Full Customer List'!$H:$H,'Client Retention'!$AF56)</f>
        <v>0</v>
      </c>
      <c r="W56" s="192">
        <f>-COUNTIFS('Full Customer List'!$J:$J,W$1,'Full Customer List'!$E:$E,$AF50,'Full Customer List'!$H:$H,'Client Retention'!$AF56)</f>
        <v>0</v>
      </c>
      <c r="X56" s="192">
        <f>-COUNTIFS('Full Customer List'!$J:$J,X$1,'Full Customer List'!$E:$E,$AF50,'Full Customer List'!$H:$H,'Client Retention'!$AF56)</f>
        <v>-1</v>
      </c>
      <c r="Y56" s="192">
        <f>-COUNTIFS('Full Customer List'!$J:$J,Y$1,'Full Customer List'!$E:$E,$AF50,'Full Customer List'!$H:$H,'Client Retention'!$AF56)</f>
        <v>0</v>
      </c>
      <c r="Z56" s="192">
        <f>-COUNTIFS('Full Customer List'!$J:$J,Z$1,'Full Customer List'!$E:$E,$AF50,'Full Customer List'!$H:$H,'Client Retention'!$AF56)</f>
        <v>0</v>
      </c>
      <c r="AA56" s="192">
        <f>-COUNTIFS('Full Customer List'!$J:$J,AA$1,'Full Customer List'!$E:$E,$AF50,'Full Customer List'!$H:$H,'Client Retention'!$AF56)</f>
        <v>0</v>
      </c>
      <c r="AB56" s="192">
        <f>-COUNTIFS('Full Customer List'!$J:$J,AB$1,'Full Customer List'!$E:$E,$AF50,'Full Customer List'!$H:$H,'Client Retention'!$AF56)</f>
        <v>0</v>
      </c>
      <c r="AC56" s="192">
        <f>-COUNTIFS('Full Customer List'!$J:$J,AC$1,'Full Customer List'!$E:$E,$AF50,'Full Customer List'!$H:$H,'Client Retention'!$AF56)</f>
        <v>0</v>
      </c>
      <c r="AD56" s="192">
        <f>-COUNTIFS('Full Customer List'!$J:$J,AD$1,'Full Customer List'!$E:$E,$AF50,'Full Customer List'!$H:$H,'Client Retention'!$AF56)</f>
        <v>0</v>
      </c>
      <c r="AF56" s="173" t="s">
        <v>1531</v>
      </c>
    </row>
    <row r="57" spans="2:34" ht="12" customHeight="1">
      <c r="B57" s="252" t="s">
        <v>1532</v>
      </c>
      <c r="C57" s="255"/>
      <c r="D57" s="255"/>
      <c r="E57" s="253">
        <f>SUM(J57:U57)</f>
        <v>0</v>
      </c>
      <c r="F57" s="253">
        <f>SUM(V57:AD57)</f>
        <v>-10</v>
      </c>
      <c r="G57" s="254"/>
      <c r="H57" s="253">
        <f>SUM(S57:AD57)</f>
        <v>-10</v>
      </c>
      <c r="I57" s="254"/>
      <c r="J57" s="255">
        <f>-COUNTIFS('Full Customer List'!$J:$J,J$1,'Full Customer List'!$E:$E,$AF50)</f>
        <v>0</v>
      </c>
      <c r="K57" s="255">
        <f>-COUNTIFS('Full Customer List'!$J:$J,K$1,'Full Customer List'!$E:$E,$AF50)</f>
        <v>0</v>
      </c>
      <c r="L57" s="255">
        <f>-COUNTIFS('Full Customer List'!$J:$J,L$1,'Full Customer List'!$E:$E,$AF50)</f>
        <v>0</v>
      </c>
      <c r="M57" s="255">
        <f>-COUNTIFS('Full Customer List'!$J:$J,M$1,'Full Customer List'!$E:$E,$AF50)</f>
        <v>0</v>
      </c>
      <c r="N57" s="255">
        <f>-COUNTIFS('Full Customer List'!$J:$J,N$1,'Full Customer List'!$E:$E,$AF50)</f>
        <v>0</v>
      </c>
      <c r="O57" s="255">
        <f>-COUNTIFS('Full Customer List'!$J:$J,O$1,'Full Customer List'!$E:$E,$AF50)</f>
        <v>0</v>
      </c>
      <c r="P57" s="255">
        <f>-COUNTIFS('Full Customer List'!$J:$J,P$1,'Full Customer List'!$E:$E,$AF50)</f>
        <v>0</v>
      </c>
      <c r="Q57" s="255">
        <f>-COUNTIFS('Full Customer List'!$J:$J,Q$1,'Full Customer List'!$E:$E,$AF50)</f>
        <v>0</v>
      </c>
      <c r="R57" s="255">
        <f>-COUNTIFS('Full Customer List'!$J:$J,R$1,'Full Customer List'!$E:$E,$AF50)</f>
        <v>0</v>
      </c>
      <c r="S57" s="255">
        <f>-COUNTIFS('Full Customer List'!$J:$J,S$1,'Full Customer List'!$E:$E,$AF50)</f>
        <v>0</v>
      </c>
      <c r="T57" s="255">
        <f>-COUNTIFS('Full Customer List'!$J:$J,T$1,'Full Customer List'!$E:$E,$AF50)</f>
        <v>0</v>
      </c>
      <c r="U57" s="255">
        <f>-COUNTIFS('Full Customer List'!$J:$J,U$1,'Full Customer List'!$E:$E,$AF50)</f>
        <v>0</v>
      </c>
      <c r="V57" s="255">
        <f>-COUNTIFS('Full Customer List'!$J:$J,V$1,'Full Customer List'!$E:$E,$AF50)</f>
        <v>0</v>
      </c>
      <c r="W57" s="255">
        <f>-COUNTIFS('Full Customer List'!$J:$J,W$1,'Full Customer List'!$E:$E,$AF50)</f>
        <v>0</v>
      </c>
      <c r="X57" s="255">
        <f>-COUNTIFS('Full Customer List'!$J:$J,X$1,'Full Customer List'!$E:$E,$AF50)</f>
        <v>-1</v>
      </c>
      <c r="Y57" s="255">
        <f>-COUNTIFS('Full Customer List'!$J:$J,Y$1,'Full Customer List'!$E:$E,$AF50)</f>
        <v>-1</v>
      </c>
      <c r="Z57" s="255">
        <f>-COUNTIFS('Full Customer List'!$J:$J,Z$1,'Full Customer List'!$E:$E,$AF50)</f>
        <v>-7</v>
      </c>
      <c r="AA57" s="255">
        <f>-COUNTIFS('Full Customer List'!$J:$J,AA$1,'Full Customer List'!$E:$E,$AF50)</f>
        <v>-1</v>
      </c>
      <c r="AB57" s="255">
        <f>-COUNTIFS('Full Customer List'!$J:$J,AB$1,'Full Customer List'!$E:$E,$AF50)</f>
        <v>0</v>
      </c>
      <c r="AC57" s="255">
        <f>-COUNTIFS('Full Customer List'!$J:$J,AC$1,'Full Customer List'!$E:$E,$AF50)</f>
        <v>0</v>
      </c>
      <c r="AD57" s="255">
        <f>-COUNTIFS('Full Customer List'!$J:$J,AD$1,'Full Customer List'!$E:$E,$AF50)</f>
        <v>0</v>
      </c>
    </row>
    <row r="58" spans="2:34">
      <c r="B58" s="256" t="s">
        <v>1315</v>
      </c>
      <c r="C58" s="257"/>
      <c r="D58" s="257"/>
      <c r="E58" s="257">
        <f>+F52</f>
        <v>30</v>
      </c>
      <c r="F58" s="258">
        <f>+$AD58</f>
        <v>30</v>
      </c>
      <c r="H58" s="261">
        <f>+$AD58</f>
        <v>30</v>
      </c>
      <c r="J58" s="259">
        <f t="shared" ref="J58:AC58" si="141">+K52</f>
        <v>17</v>
      </c>
      <c r="K58" s="257">
        <f t="shared" si="141"/>
        <v>17</v>
      </c>
      <c r="L58" s="257">
        <f t="shared" si="141"/>
        <v>17</v>
      </c>
      <c r="M58" s="257">
        <f t="shared" si="141"/>
        <v>18</v>
      </c>
      <c r="N58" s="257">
        <f t="shared" si="141"/>
        <v>20</v>
      </c>
      <c r="O58" s="257">
        <f t="shared" si="141"/>
        <v>22</v>
      </c>
      <c r="P58" s="257">
        <f t="shared" si="141"/>
        <v>23</v>
      </c>
      <c r="Q58" s="257">
        <f t="shared" si="141"/>
        <v>25</v>
      </c>
      <c r="R58" s="257">
        <f t="shared" si="141"/>
        <v>25</v>
      </c>
      <c r="S58" s="259">
        <f t="shared" si="141"/>
        <v>26</v>
      </c>
      <c r="T58" s="257">
        <f t="shared" si="141"/>
        <v>27</v>
      </c>
      <c r="U58" s="257">
        <f t="shared" si="141"/>
        <v>30</v>
      </c>
      <c r="V58" s="257">
        <f t="shared" si="141"/>
        <v>33</v>
      </c>
      <c r="W58" s="257">
        <f t="shared" si="141"/>
        <v>36</v>
      </c>
      <c r="X58" s="257">
        <f t="shared" si="141"/>
        <v>36</v>
      </c>
      <c r="Y58" s="257">
        <f t="shared" si="141"/>
        <v>37</v>
      </c>
      <c r="Z58" s="257">
        <f t="shared" si="141"/>
        <v>30</v>
      </c>
      <c r="AA58" s="257">
        <f t="shared" si="141"/>
        <v>29</v>
      </c>
      <c r="AB58" s="257">
        <f t="shared" si="141"/>
        <v>30</v>
      </c>
      <c r="AC58" s="257">
        <f t="shared" si="141"/>
        <v>30</v>
      </c>
      <c r="AD58" s="260">
        <f>COUNTIFS('Full Customer List'!$C:$C,"Active",'Full Customer List'!$E:$E,'Client Retention'!$AF50)</f>
        <v>30</v>
      </c>
    </row>
    <row r="59" spans="2:34" ht="3.95" customHeight="1">
      <c r="B59" s="179"/>
      <c r="C59" s="229"/>
      <c r="D59" s="229"/>
      <c r="E59" s="229"/>
      <c r="F59" s="229"/>
      <c r="H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30"/>
      <c r="AC59" s="230"/>
      <c r="AD59" s="230"/>
    </row>
    <row r="60" spans="2:34">
      <c r="B60" s="256" t="s">
        <v>1851</v>
      </c>
      <c r="C60" s="257"/>
      <c r="D60" s="257"/>
      <c r="E60" s="257">
        <f>AVERAGE(E52,E58)</f>
        <v>22.5</v>
      </c>
      <c r="F60" s="258">
        <f>AVERAGE(F52,F58)</f>
        <v>30</v>
      </c>
      <c r="H60" s="261">
        <f>AVERAGE(H52,H58)</f>
        <v>27.5</v>
      </c>
      <c r="J60" s="259">
        <f>AVERAGE(J52,J58)</f>
        <v>16</v>
      </c>
      <c r="K60" s="257">
        <f t="shared" ref="K60:AD60" si="142">AVERAGE(K52,K58)</f>
        <v>17</v>
      </c>
      <c r="L60" s="257">
        <f t="shared" si="142"/>
        <v>17</v>
      </c>
      <c r="M60" s="257">
        <f t="shared" si="142"/>
        <v>17.5</v>
      </c>
      <c r="N60" s="257">
        <f t="shared" si="142"/>
        <v>19</v>
      </c>
      <c r="O60" s="257">
        <f t="shared" si="142"/>
        <v>21</v>
      </c>
      <c r="P60" s="257">
        <f t="shared" si="142"/>
        <v>22.5</v>
      </c>
      <c r="Q60" s="257">
        <f t="shared" si="142"/>
        <v>24</v>
      </c>
      <c r="R60" s="257">
        <f t="shared" si="142"/>
        <v>25</v>
      </c>
      <c r="S60" s="259">
        <f t="shared" si="142"/>
        <v>25.5</v>
      </c>
      <c r="T60" s="257">
        <f t="shared" si="142"/>
        <v>26.5</v>
      </c>
      <c r="U60" s="257">
        <f t="shared" si="142"/>
        <v>28.5</v>
      </c>
      <c r="V60" s="257">
        <f t="shared" si="142"/>
        <v>31.5</v>
      </c>
      <c r="W60" s="257">
        <f t="shared" si="142"/>
        <v>34.5</v>
      </c>
      <c r="X60" s="257">
        <f t="shared" si="142"/>
        <v>36</v>
      </c>
      <c r="Y60" s="257">
        <f t="shared" si="142"/>
        <v>36.5</v>
      </c>
      <c r="Z60" s="257">
        <f t="shared" si="142"/>
        <v>33.5</v>
      </c>
      <c r="AA60" s="257">
        <f t="shared" si="142"/>
        <v>29.5</v>
      </c>
      <c r="AB60" s="257">
        <f t="shared" si="142"/>
        <v>29.5</v>
      </c>
      <c r="AC60" s="257">
        <f t="shared" si="142"/>
        <v>30</v>
      </c>
      <c r="AD60" s="260">
        <f t="shared" si="142"/>
        <v>30</v>
      </c>
    </row>
    <row r="61" spans="2:34" ht="3.95" customHeight="1">
      <c r="B61" s="179"/>
      <c r="C61" s="229"/>
      <c r="D61" s="229"/>
      <c r="E61" s="229"/>
      <c r="F61" s="229"/>
      <c r="H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30"/>
      <c r="AC61" s="230"/>
      <c r="AD61" s="230"/>
    </row>
    <row r="62" spans="2:34">
      <c r="B62" s="231" t="s">
        <v>1518</v>
      </c>
      <c r="C62" s="232"/>
      <c r="D62" s="232"/>
      <c r="E62" s="233">
        <f>(E53+E52)/E52-1</f>
        <v>1</v>
      </c>
      <c r="F62" s="244">
        <f>(F53+F52)/F52-1</f>
        <v>0.33333333333333326</v>
      </c>
      <c r="G62" s="245"/>
      <c r="H62" s="246">
        <f>(H53+H52)/H52-1</f>
        <v>0.60000000000000009</v>
      </c>
      <c r="J62" s="243">
        <f t="shared" ref="J62:AB62" si="143">(J53+J52)/J52-1</f>
        <v>0.1333333333333333</v>
      </c>
      <c r="K62" s="233">
        <f t="shared" si="143"/>
        <v>0</v>
      </c>
      <c r="L62" s="233">
        <f t="shared" si="143"/>
        <v>0</v>
      </c>
      <c r="M62" s="233">
        <f t="shared" si="143"/>
        <v>5.8823529411764719E-2</v>
      </c>
      <c r="N62" s="233">
        <f t="shared" si="143"/>
        <v>0.11111111111111116</v>
      </c>
      <c r="O62" s="233">
        <f t="shared" si="143"/>
        <v>0.10000000000000009</v>
      </c>
      <c r="P62" s="233">
        <f t="shared" si="143"/>
        <v>4.5454545454545414E-2</v>
      </c>
      <c r="Q62" s="233">
        <f t="shared" si="143"/>
        <v>8.6956521739130377E-2</v>
      </c>
      <c r="R62" s="233">
        <f t="shared" si="143"/>
        <v>0</v>
      </c>
      <c r="S62" s="243">
        <f t="shared" si="143"/>
        <v>4.0000000000000036E-2</v>
      </c>
      <c r="T62" s="233">
        <f t="shared" si="143"/>
        <v>3.8461538461538547E-2</v>
      </c>
      <c r="U62" s="233">
        <f t="shared" si="143"/>
        <v>0.11111111111111116</v>
      </c>
      <c r="V62" s="233">
        <f t="shared" si="143"/>
        <v>0.10000000000000009</v>
      </c>
      <c r="W62" s="233">
        <f t="shared" si="143"/>
        <v>9.0909090909090828E-2</v>
      </c>
      <c r="X62" s="233">
        <f t="shared" si="143"/>
        <v>2.7777777777777679E-2</v>
      </c>
      <c r="Y62" s="233">
        <f t="shared" si="143"/>
        <v>5.555555555555558E-2</v>
      </c>
      <c r="Z62" s="233">
        <f t="shared" si="143"/>
        <v>0</v>
      </c>
      <c r="AA62" s="233">
        <f t="shared" si="143"/>
        <v>0</v>
      </c>
      <c r="AB62" s="233">
        <f t="shared" si="143"/>
        <v>3.4482758620689724E-2</v>
      </c>
      <c r="AC62" s="233">
        <f t="shared" ref="AC62:AD62" si="144">(AC53+AC52)/AC52-1</f>
        <v>0</v>
      </c>
      <c r="AD62" s="244">
        <f t="shared" si="144"/>
        <v>0</v>
      </c>
    </row>
    <row r="63" spans="2:34" ht="12" customHeight="1">
      <c r="B63" s="234" t="s">
        <v>1519</v>
      </c>
      <c r="C63" s="235"/>
      <c r="D63" s="235"/>
      <c r="E63" s="236">
        <f>(E57+E60)/E60-1</f>
        <v>0</v>
      </c>
      <c r="F63" s="237">
        <f>(F57+F60)/F60-1</f>
        <v>-0.33333333333333337</v>
      </c>
      <c r="G63" s="245"/>
      <c r="H63" s="239">
        <f>(H57+H60)/H60-1</f>
        <v>-0.36363636363636365</v>
      </c>
      <c r="J63" s="238">
        <f t="shared" ref="J63:AD63" si="145">(J57+J60)/J60-1</f>
        <v>0</v>
      </c>
      <c r="K63" s="236">
        <f t="shared" si="145"/>
        <v>0</v>
      </c>
      <c r="L63" s="236">
        <f t="shared" si="145"/>
        <v>0</v>
      </c>
      <c r="M63" s="236">
        <f t="shared" si="145"/>
        <v>0</v>
      </c>
      <c r="N63" s="236">
        <f t="shared" si="145"/>
        <v>0</v>
      </c>
      <c r="O63" s="236">
        <f t="shared" si="145"/>
        <v>0</v>
      </c>
      <c r="P63" s="236">
        <f t="shared" si="145"/>
        <v>0</v>
      </c>
      <c r="Q63" s="236">
        <f t="shared" si="145"/>
        <v>0</v>
      </c>
      <c r="R63" s="236">
        <f t="shared" si="145"/>
        <v>0</v>
      </c>
      <c r="S63" s="238">
        <f t="shared" si="145"/>
        <v>0</v>
      </c>
      <c r="T63" s="236">
        <f t="shared" si="145"/>
        <v>0</v>
      </c>
      <c r="U63" s="236">
        <f t="shared" si="145"/>
        <v>0</v>
      </c>
      <c r="V63" s="236">
        <f t="shared" si="145"/>
        <v>0</v>
      </c>
      <c r="W63" s="236">
        <f t="shared" si="145"/>
        <v>0</v>
      </c>
      <c r="X63" s="236">
        <f t="shared" si="145"/>
        <v>-2.777777777777779E-2</v>
      </c>
      <c r="Y63" s="236">
        <f t="shared" si="145"/>
        <v>-2.7397260273972601E-2</v>
      </c>
      <c r="Z63" s="236">
        <f t="shared" si="145"/>
        <v>-0.20895522388059706</v>
      </c>
      <c r="AA63" s="236">
        <f t="shared" si="145"/>
        <v>-3.3898305084745783E-2</v>
      </c>
      <c r="AB63" s="236">
        <f t="shared" si="145"/>
        <v>0</v>
      </c>
      <c r="AC63" s="236">
        <f t="shared" si="145"/>
        <v>0</v>
      </c>
      <c r="AD63" s="237">
        <f t="shared" si="145"/>
        <v>0</v>
      </c>
    </row>
    <row r="64" spans="2:34" ht="3.95" customHeight="1">
      <c r="AF64" s="217"/>
    </row>
    <row r="65" spans="2:34" ht="24">
      <c r="B65" s="159" t="s">
        <v>1308</v>
      </c>
      <c r="C65" s="176" t="s">
        <v>1316</v>
      </c>
      <c r="D65" s="176" t="s">
        <v>3</v>
      </c>
      <c r="E65" s="176" t="s">
        <v>4</v>
      </c>
      <c r="F65" s="176" t="s">
        <v>1317</v>
      </c>
      <c r="G65" s="190"/>
      <c r="H65" s="176" t="s">
        <v>1527</v>
      </c>
      <c r="J65" s="189">
        <v>45658</v>
      </c>
      <c r="K65" s="189">
        <f t="shared" ref="K65" si="146">EOMONTH(J65,0)+1</f>
        <v>45689</v>
      </c>
      <c r="L65" s="189">
        <f t="shared" ref="L65" si="147">EOMONTH(K65,0)+1</f>
        <v>45717</v>
      </c>
      <c r="M65" s="189">
        <f t="shared" ref="M65" si="148">EOMONTH(L65,0)+1</f>
        <v>45748</v>
      </c>
      <c r="N65" s="189">
        <f t="shared" ref="N65" si="149">EOMONTH(M65,0)+1</f>
        <v>45778</v>
      </c>
      <c r="O65" s="189">
        <f t="shared" ref="O65" si="150">EOMONTH(N65,0)+1</f>
        <v>45809</v>
      </c>
      <c r="P65" s="189">
        <f t="shared" ref="P65" si="151">EOMONTH(O65,0)+1</f>
        <v>45839</v>
      </c>
      <c r="Q65" s="189">
        <v>45870</v>
      </c>
      <c r="R65" s="189">
        <f t="shared" ref="R65" si="152">EOMONTH(Q65,0)+1</f>
        <v>45901</v>
      </c>
      <c r="S65" s="189">
        <f t="shared" ref="S65" si="153">EOMONTH(R65,0)+1</f>
        <v>45931</v>
      </c>
      <c r="T65" s="189">
        <f t="shared" ref="T65" si="154">EOMONTH(S65,0)+1</f>
        <v>45962</v>
      </c>
      <c r="U65" s="189">
        <f t="shared" ref="U65" si="155">EOMONTH(T65,0)+1</f>
        <v>45992</v>
      </c>
      <c r="V65" s="189">
        <f t="shared" ref="V65" si="156">EOMONTH(U65,0)+1</f>
        <v>46023</v>
      </c>
      <c r="W65" s="189">
        <f t="shared" ref="W65" si="157">EOMONTH(V65,0)+1</f>
        <v>46054</v>
      </c>
      <c r="X65" s="189">
        <f t="shared" ref="X65" si="158">EOMONTH(W65,0)+1</f>
        <v>46082</v>
      </c>
      <c r="Y65" s="189">
        <f t="shared" ref="Y65" si="159">EOMONTH(X65,0)+1</f>
        <v>46113</v>
      </c>
      <c r="Z65" s="189">
        <f t="shared" ref="Z65" si="160">EOMONTH(Y65,0)+1</f>
        <v>46143</v>
      </c>
      <c r="AA65" s="189">
        <f t="shared" ref="AA65" si="161">EOMONTH(Z65,0)+1</f>
        <v>46174</v>
      </c>
      <c r="AB65" s="189">
        <f t="shared" ref="AB65" si="162">EOMONTH(AA65,0)+1</f>
        <v>46204</v>
      </c>
      <c r="AC65" s="189">
        <f t="shared" ref="AC65" si="163">EOMONTH(AB65,0)+1</f>
        <v>46235</v>
      </c>
      <c r="AD65" s="189">
        <f t="shared" ref="AD65" si="164">EOMONTH(AC65,0)+1</f>
        <v>46266</v>
      </c>
      <c r="AE65" s="184"/>
      <c r="AF65" s="217" t="s">
        <v>1301</v>
      </c>
      <c r="AG65" s="184"/>
      <c r="AH65" s="184"/>
    </row>
    <row r="66" spans="2:34">
      <c r="B66" s="183" t="str">
        <f>+AF65</f>
        <v>Small Business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217"/>
      <c r="AG66" s="6"/>
      <c r="AH66" s="6"/>
    </row>
    <row r="67" spans="2:34">
      <c r="B67" s="173" t="s">
        <v>1313</v>
      </c>
      <c r="C67" s="181"/>
      <c r="D67" s="181"/>
      <c r="E67" s="181">
        <f>+E73-E68-E72</f>
        <v>32</v>
      </c>
      <c r="F67" s="181">
        <f>+F73-F68-F72</f>
        <v>23</v>
      </c>
      <c r="H67" s="181">
        <f t="shared" ref="H67" si="165">+H73-H68-H72</f>
        <v>26</v>
      </c>
      <c r="J67" s="181">
        <f t="shared" ref="J67:Z67" si="166">+J73-J68-J72</f>
        <v>32</v>
      </c>
      <c r="K67" s="181">
        <f t="shared" si="166"/>
        <v>29</v>
      </c>
      <c r="L67" s="181">
        <f t="shared" si="166"/>
        <v>28</v>
      </c>
      <c r="M67" s="181">
        <f t="shared" si="166"/>
        <v>28</v>
      </c>
      <c r="N67" s="181">
        <f t="shared" si="166"/>
        <v>28</v>
      </c>
      <c r="O67" s="181">
        <f t="shared" si="166"/>
        <v>27</v>
      </c>
      <c r="P67" s="181">
        <f t="shared" si="166"/>
        <v>27</v>
      </c>
      <c r="Q67" s="181">
        <f t="shared" si="166"/>
        <v>26</v>
      </c>
      <c r="R67" s="181">
        <f t="shared" si="166"/>
        <v>27</v>
      </c>
      <c r="S67" s="181">
        <f t="shared" si="166"/>
        <v>26</v>
      </c>
      <c r="T67" s="181">
        <f t="shared" si="166"/>
        <v>26</v>
      </c>
      <c r="U67" s="181">
        <f t="shared" si="166"/>
        <v>26</v>
      </c>
      <c r="V67" s="181">
        <f t="shared" si="166"/>
        <v>23</v>
      </c>
      <c r="W67" s="181">
        <f t="shared" si="166"/>
        <v>22</v>
      </c>
      <c r="X67" s="181">
        <f t="shared" si="166"/>
        <v>21</v>
      </c>
      <c r="Y67" s="181">
        <f t="shared" si="166"/>
        <v>19</v>
      </c>
      <c r="Z67" s="181">
        <f t="shared" si="166"/>
        <v>19</v>
      </c>
      <c r="AA67" s="181">
        <f>+AA73-AA68-AA72</f>
        <v>18</v>
      </c>
      <c r="AB67" s="181">
        <f>+AB73-AB68-AB72</f>
        <v>18</v>
      </c>
      <c r="AC67" s="181">
        <f t="shared" ref="AC67:AD67" si="167">+AC73-AC68-AC72</f>
        <v>2</v>
      </c>
      <c r="AD67" s="181">
        <f t="shared" si="167"/>
        <v>2</v>
      </c>
      <c r="AF67" s="217"/>
    </row>
    <row r="68" spans="2:34">
      <c r="B68" s="188" t="s">
        <v>1314</v>
      </c>
      <c r="E68" s="194">
        <f>SUM(J68:U68)</f>
        <v>2</v>
      </c>
      <c r="F68" s="194">
        <f>SUM(V68:AD68)</f>
        <v>0</v>
      </c>
      <c r="H68" s="194">
        <f>SUM(S68:AD68)</f>
        <v>0</v>
      </c>
      <c r="J68" s="192">
        <f>COUNTIFS('Full Customer List'!$I:$I,'Client Retention'!J$5,'Full Customer List'!$E:$E,$AF65)</f>
        <v>0</v>
      </c>
      <c r="K68" s="192">
        <f>COUNTIFS('Full Customer List'!$I:$I,'Client Retention'!K$5,'Full Customer List'!$E:$E,$AF65)</f>
        <v>0</v>
      </c>
      <c r="L68" s="192">
        <f>COUNTIFS('Full Customer List'!$I:$I,'Client Retention'!L$5,'Full Customer List'!$E:$E,$AF65)</f>
        <v>0</v>
      </c>
      <c r="M68" s="192">
        <f>COUNTIFS('Full Customer List'!$I:$I,'Client Retention'!M$5,'Full Customer List'!$E:$E,$AF65)</f>
        <v>0</v>
      </c>
      <c r="N68" s="192">
        <f>COUNTIFS('Full Customer List'!$I:$I,'Client Retention'!N$5,'Full Customer List'!$E:$E,$AF65)</f>
        <v>0</v>
      </c>
      <c r="O68" s="192">
        <f>COUNTIFS('Full Customer List'!$I:$I,'Client Retention'!O$5,'Full Customer List'!$E:$E,$AF65)</f>
        <v>1</v>
      </c>
      <c r="P68" s="192">
        <f>COUNTIFS('Full Customer List'!$I:$I,'Client Retention'!P$5,'Full Customer List'!$E:$E,$AF65)</f>
        <v>0</v>
      </c>
      <c r="Q68" s="192">
        <f>COUNTIFS('Full Customer List'!$I:$I,'Client Retention'!Q$5,'Full Customer List'!$E:$E,$AF65)</f>
        <v>1</v>
      </c>
      <c r="R68" s="192">
        <f>COUNTIFS('Full Customer List'!$I:$I,'Client Retention'!R$5,'Full Customer List'!$E:$E,$AF65)</f>
        <v>0</v>
      </c>
      <c r="S68" s="192">
        <f>COUNTIFS('Full Customer List'!$I:$I,'Client Retention'!S$5,'Full Customer List'!$E:$E,$AF65)</f>
        <v>0</v>
      </c>
      <c r="T68" s="192">
        <f>COUNTIFS('Full Customer List'!$I:$I,'Client Retention'!T$5,'Full Customer List'!$E:$E,$AF65)</f>
        <v>0</v>
      </c>
      <c r="U68" s="192">
        <f>COUNTIFS('Full Customer List'!$I:$I,'Client Retention'!U$5,'Full Customer List'!$E:$E,$AF65)</f>
        <v>0</v>
      </c>
      <c r="V68" s="192">
        <f>COUNTIFS('Full Customer List'!$I:$I,'Client Retention'!V$5,'Full Customer List'!$E:$E,$AF65)</f>
        <v>0</v>
      </c>
      <c r="W68" s="192">
        <f>COUNTIFS('Full Customer List'!$I:$I,'Client Retention'!W$5,'Full Customer List'!$E:$E,$AF65)</f>
        <v>0</v>
      </c>
      <c r="X68" s="192">
        <f>COUNTIFS('Full Customer List'!$I:$I,'Client Retention'!X$5,'Full Customer List'!$E:$E,$AF65)</f>
        <v>0</v>
      </c>
      <c r="Y68" s="192">
        <f>COUNTIFS('Full Customer List'!$I:$I,'Client Retention'!Y$5,'Full Customer List'!$E:$E,$AF65)</f>
        <v>0</v>
      </c>
      <c r="Z68" s="192">
        <f>COUNTIFS('Full Customer List'!$I:$I,'Client Retention'!Z$5,'Full Customer List'!$E:$E,$AF65)</f>
        <v>0</v>
      </c>
      <c r="AA68" s="192">
        <f>COUNTIFS('Full Customer List'!$I:$I,'Client Retention'!AA$5,'Full Customer List'!$E:$E,$AF65)</f>
        <v>0</v>
      </c>
      <c r="AB68" s="192">
        <f>COUNTIFS('Full Customer List'!$I:$I,'Client Retention'!AB$5,'Full Customer List'!$E:$E,$AF65)</f>
        <v>0</v>
      </c>
      <c r="AC68" s="192">
        <f>COUNTIFS('Full Customer List'!$I:$I,'Client Retention'!AC$5,'Full Customer List'!$E:$E,$AF65)</f>
        <v>0</v>
      </c>
      <c r="AD68" s="192">
        <f>COUNTIFS('Full Customer List'!$I:$I,'Client Retention'!AD$5,'Full Customer List'!$E:$E,$AF65)</f>
        <v>0</v>
      </c>
      <c r="AF68" s="217"/>
    </row>
    <row r="69" spans="2:34">
      <c r="B69" s="262" t="s">
        <v>1528</v>
      </c>
      <c r="E69" s="194">
        <f t="shared" ref="E69:E71" si="168">SUM(J69:U69)</f>
        <v>-7</v>
      </c>
      <c r="F69" s="194">
        <f t="shared" ref="F69:F71" si="169">SUM(V69:AD69)</f>
        <v>-5</v>
      </c>
      <c r="H69" s="194">
        <f t="shared" ref="H69:H71" si="170">SUM(S69:AD69)</f>
        <v>-8</v>
      </c>
      <c r="J69" s="192">
        <f>-COUNTIFS('Full Customer List'!$J:$J,J$1,'Full Customer List'!$E:$E,$AF65,'Full Customer List'!$H:$H,'Client Retention'!$AF69)</f>
        <v>-1</v>
      </c>
      <c r="K69" s="192">
        <f>-COUNTIFS('Full Customer List'!$J:$J,K$1,'Full Customer List'!$E:$E,$AF65,'Full Customer List'!$H:$H,'Client Retention'!$AF69)</f>
        <v>0</v>
      </c>
      <c r="L69" s="192">
        <f>-COUNTIFS('Full Customer List'!$J:$J,L$1,'Full Customer List'!$E:$E,$AF65,'Full Customer List'!$H:$H,'Client Retention'!$AF69)</f>
        <v>0</v>
      </c>
      <c r="M69" s="192">
        <f>-COUNTIFS('Full Customer List'!$J:$J,M$1,'Full Customer List'!$E:$E,$AF65,'Full Customer List'!$H:$H,'Client Retention'!$AF69)</f>
        <v>0</v>
      </c>
      <c r="N69" s="192">
        <f>-COUNTIFS('Full Customer List'!$J:$J,N$1,'Full Customer List'!$E:$E,$AF65,'Full Customer List'!$H:$H,'Client Retention'!$AF69)</f>
        <v>-1</v>
      </c>
      <c r="O69" s="192">
        <f>-COUNTIFS('Full Customer List'!$J:$J,O$1,'Full Customer List'!$E:$E,$AF65,'Full Customer List'!$H:$H,'Client Retention'!$AF69)</f>
        <v>-1</v>
      </c>
      <c r="P69" s="192">
        <f>-COUNTIFS('Full Customer List'!$J:$J,P$1,'Full Customer List'!$E:$E,$AF65,'Full Customer List'!$H:$H,'Client Retention'!$AF69)</f>
        <v>-1</v>
      </c>
      <c r="Q69" s="192">
        <f>-COUNTIFS('Full Customer List'!$J:$J,Q$1,'Full Customer List'!$E:$E,$AF65,'Full Customer List'!$H:$H,'Client Retention'!$AF69)</f>
        <v>0</v>
      </c>
      <c r="R69" s="192">
        <f>-COUNTIFS('Full Customer List'!$J:$J,R$1,'Full Customer List'!$E:$E,$AF65,'Full Customer List'!$H:$H,'Client Retention'!$AF69)</f>
        <v>0</v>
      </c>
      <c r="S69" s="192">
        <f>-COUNTIFS('Full Customer List'!$J:$J,S$1,'Full Customer List'!$E:$E,$AF65,'Full Customer List'!$H:$H,'Client Retention'!$AF69)</f>
        <v>0</v>
      </c>
      <c r="T69" s="192">
        <f>-COUNTIFS('Full Customer List'!$J:$J,T$1,'Full Customer List'!$E:$E,$AF65,'Full Customer List'!$H:$H,'Client Retention'!$AF69)</f>
        <v>0</v>
      </c>
      <c r="U69" s="192">
        <f>-COUNTIFS('Full Customer List'!$J:$J,U$1,'Full Customer List'!$E:$E,$AF65,'Full Customer List'!$H:$H,'Client Retention'!$AF69)</f>
        <v>-3</v>
      </c>
      <c r="V69" s="192">
        <f>-COUNTIFS('Full Customer List'!$J:$J,V$1,'Full Customer List'!$E:$E,$AF65,'Full Customer List'!$H:$H,'Client Retention'!$AF69)</f>
        <v>-1</v>
      </c>
      <c r="W69" s="192">
        <f>-COUNTIFS('Full Customer List'!$J:$J,W$1,'Full Customer List'!$E:$E,$AF65,'Full Customer List'!$H:$H,'Client Retention'!$AF69)</f>
        <v>-1</v>
      </c>
      <c r="X69" s="192">
        <f>-COUNTIFS('Full Customer List'!$J:$J,X$1,'Full Customer List'!$E:$E,$AF65,'Full Customer List'!$H:$H,'Client Retention'!$AF69)</f>
        <v>-2</v>
      </c>
      <c r="Y69" s="192">
        <f>-COUNTIFS('Full Customer List'!$J:$J,Y$1,'Full Customer List'!$E:$E,$AF65,'Full Customer List'!$H:$H,'Client Retention'!$AF69)</f>
        <v>0</v>
      </c>
      <c r="Z69" s="192">
        <f>-COUNTIFS('Full Customer List'!$J:$J,Z$1,'Full Customer List'!$E:$E,$AF65,'Full Customer List'!$H:$H,'Client Retention'!$AF69)</f>
        <v>-1</v>
      </c>
      <c r="AA69" s="192">
        <f>-COUNTIFS('Full Customer List'!$J:$J,AA$1,'Full Customer List'!$E:$E,$AF65,'Full Customer List'!$H:$H,'Client Retention'!$AF69)</f>
        <v>0</v>
      </c>
      <c r="AB69" s="192">
        <f>-COUNTIFS('Full Customer List'!$J:$J,AB$1,'Full Customer List'!$E:$E,$AF65,'Full Customer List'!$H:$H,'Client Retention'!$AF69)</f>
        <v>0</v>
      </c>
      <c r="AC69" s="192">
        <f>-COUNTIFS('Full Customer List'!$J:$J,AC$1,'Full Customer List'!$E:$E,$AF65,'Full Customer List'!$H:$H,'Client Retention'!$AF69)</f>
        <v>0</v>
      </c>
      <c r="AD69" s="192">
        <f>-COUNTIFS('Full Customer List'!$J:$J,AD$1,'Full Customer List'!$E:$E,$AF65,'Full Customer List'!$H:$H,'Client Retention'!$AF69)</f>
        <v>0</v>
      </c>
      <c r="AF69" s="173" t="s">
        <v>504</v>
      </c>
    </row>
    <row r="70" spans="2:34">
      <c r="B70" s="262" t="s">
        <v>1529</v>
      </c>
      <c r="E70" s="194">
        <f t="shared" si="168"/>
        <v>-4</v>
      </c>
      <c r="F70" s="194">
        <f t="shared" si="169"/>
        <v>-15</v>
      </c>
      <c r="H70" s="194">
        <f t="shared" si="170"/>
        <v>-15</v>
      </c>
      <c r="J70" s="192">
        <f>-COUNTIFS('Full Customer List'!$J:$J,J$1,'Full Customer List'!$E:$E,$AF65,'Full Customer List'!$H:$H,'Client Retention'!$AF70)</f>
        <v>-2</v>
      </c>
      <c r="K70" s="192">
        <f>-COUNTIFS('Full Customer List'!$J:$J,K$1,'Full Customer List'!$E:$E,$AF65,'Full Customer List'!$H:$H,'Client Retention'!$AF70)</f>
        <v>-1</v>
      </c>
      <c r="L70" s="192">
        <f>-COUNTIFS('Full Customer List'!$J:$J,L$1,'Full Customer List'!$E:$E,$AF65,'Full Customer List'!$H:$H,'Client Retention'!$AF70)</f>
        <v>0</v>
      </c>
      <c r="M70" s="192">
        <f>-COUNTIFS('Full Customer List'!$J:$J,M$1,'Full Customer List'!$E:$E,$AF65,'Full Customer List'!$H:$H,'Client Retention'!$AF70)</f>
        <v>0</v>
      </c>
      <c r="N70" s="192">
        <f>-COUNTIFS('Full Customer List'!$J:$J,N$1,'Full Customer List'!$E:$E,$AF65,'Full Customer List'!$H:$H,'Client Retention'!$AF70)</f>
        <v>0</v>
      </c>
      <c r="O70" s="192">
        <f>-COUNTIFS('Full Customer List'!$J:$J,O$1,'Full Customer List'!$E:$E,$AF65,'Full Customer List'!$H:$H,'Client Retention'!$AF70)</f>
        <v>0</v>
      </c>
      <c r="P70" s="192">
        <f>-COUNTIFS('Full Customer List'!$J:$J,P$1,'Full Customer List'!$E:$E,$AF65,'Full Customer List'!$H:$H,'Client Retention'!$AF70)</f>
        <v>0</v>
      </c>
      <c r="Q70" s="192">
        <f>-COUNTIFS('Full Customer List'!$J:$J,Q$1,'Full Customer List'!$E:$E,$AF65,'Full Customer List'!$H:$H,'Client Retention'!$AF70)</f>
        <v>0</v>
      </c>
      <c r="R70" s="192">
        <f>-COUNTIFS('Full Customer List'!$J:$J,R$1,'Full Customer List'!$E:$E,$AF65,'Full Customer List'!$H:$H,'Client Retention'!$AF70)</f>
        <v>-1</v>
      </c>
      <c r="S70" s="192">
        <f>-COUNTIFS('Full Customer List'!$J:$J,S$1,'Full Customer List'!$E:$E,$AF65,'Full Customer List'!$H:$H,'Client Retention'!$AF70)</f>
        <v>0</v>
      </c>
      <c r="T70" s="192">
        <f>-COUNTIFS('Full Customer List'!$J:$J,T$1,'Full Customer List'!$E:$E,$AF65,'Full Customer List'!$H:$H,'Client Retention'!$AF70)</f>
        <v>0</v>
      </c>
      <c r="U70" s="192">
        <f>-COUNTIFS('Full Customer List'!$J:$J,U$1,'Full Customer List'!$E:$E,$AF65,'Full Customer List'!$H:$H,'Client Retention'!$AF70)</f>
        <v>0</v>
      </c>
      <c r="V70" s="192">
        <f>-COUNTIFS('Full Customer List'!$J:$J,V$1,'Full Customer List'!$E:$E,$AF65,'Full Customer List'!$H:$H,'Client Retention'!$AF70)</f>
        <v>0</v>
      </c>
      <c r="W70" s="192">
        <f>-COUNTIFS('Full Customer List'!$J:$J,W$1,'Full Customer List'!$E:$E,$AF65,'Full Customer List'!$H:$H,'Client Retention'!$AF70)</f>
        <v>0</v>
      </c>
      <c r="X70" s="192">
        <f>-COUNTIFS('Full Customer List'!$J:$J,X$1,'Full Customer List'!$E:$E,$AF65,'Full Customer List'!$H:$H,'Client Retention'!$AF70)</f>
        <v>0</v>
      </c>
      <c r="Y70" s="192">
        <f>-COUNTIFS('Full Customer List'!$J:$J,Y$1,'Full Customer List'!$E:$E,$AF65,'Full Customer List'!$H:$H,'Client Retention'!$AF70)</f>
        <v>0</v>
      </c>
      <c r="Z70" s="192">
        <f>-COUNTIFS('Full Customer List'!$J:$J,Z$1,'Full Customer List'!$E:$E,$AF65,'Full Customer List'!$H:$H,'Client Retention'!$AF70)</f>
        <v>0</v>
      </c>
      <c r="AA70" s="192">
        <f>-COUNTIFS('Full Customer List'!$J:$J,AA$1,'Full Customer List'!$E:$E,$AF65,'Full Customer List'!$H:$H,'Client Retention'!$AF70)</f>
        <v>0</v>
      </c>
      <c r="AB70" s="192">
        <f>-COUNTIFS('Full Customer List'!$J:$J,AB$1,'Full Customer List'!$E:$E,$AF65,'Full Customer List'!$H:$H,'Client Retention'!$AF70)</f>
        <v>-15</v>
      </c>
      <c r="AC70" s="192">
        <f>-COUNTIFS('Full Customer List'!$J:$J,AC$1,'Full Customer List'!$E:$E,$AF65,'Full Customer List'!$H:$H,'Client Retention'!$AF70)</f>
        <v>0</v>
      </c>
      <c r="AD70" s="192">
        <f>-COUNTIFS('Full Customer List'!$J:$J,AD$1,'Full Customer List'!$E:$E,$AF65,'Full Customer List'!$H:$H,'Client Retention'!$AF70)</f>
        <v>0</v>
      </c>
      <c r="AF70" s="173" t="s">
        <v>505</v>
      </c>
    </row>
    <row r="71" spans="2:34">
      <c r="B71" s="262" t="s">
        <v>1530</v>
      </c>
      <c r="E71" s="194">
        <f t="shared" si="168"/>
        <v>0</v>
      </c>
      <c r="F71" s="194">
        <f t="shared" si="169"/>
        <v>-1</v>
      </c>
      <c r="H71" s="194">
        <f t="shared" si="170"/>
        <v>-1</v>
      </c>
      <c r="J71" s="192">
        <f>-COUNTIFS('Full Customer List'!$J:$J,J$1,'Full Customer List'!$E:$E,$AF65,'Full Customer List'!$H:$H,'Client Retention'!$AF71)</f>
        <v>0</v>
      </c>
      <c r="K71" s="192">
        <f>-COUNTIFS('Full Customer List'!$J:$J,K$1,'Full Customer List'!$E:$E,$AF65,'Full Customer List'!$H:$H,'Client Retention'!$AF71)</f>
        <v>0</v>
      </c>
      <c r="L71" s="192">
        <f>-COUNTIFS('Full Customer List'!$J:$J,L$1,'Full Customer List'!$E:$E,$AF65,'Full Customer List'!$H:$H,'Client Retention'!$AF71)</f>
        <v>0</v>
      </c>
      <c r="M71" s="192">
        <f>-COUNTIFS('Full Customer List'!$J:$J,M$1,'Full Customer List'!$E:$E,$AF65,'Full Customer List'!$H:$H,'Client Retention'!$AF71)</f>
        <v>0</v>
      </c>
      <c r="N71" s="192">
        <f>-COUNTIFS('Full Customer List'!$J:$J,N$1,'Full Customer List'!$E:$E,$AF65,'Full Customer List'!$H:$H,'Client Retention'!$AF71)</f>
        <v>0</v>
      </c>
      <c r="O71" s="192">
        <f>-COUNTIFS('Full Customer List'!$J:$J,O$1,'Full Customer List'!$E:$E,$AF65,'Full Customer List'!$H:$H,'Client Retention'!$AF71)</f>
        <v>0</v>
      </c>
      <c r="P71" s="192">
        <f>-COUNTIFS('Full Customer List'!$J:$J,P$1,'Full Customer List'!$E:$E,$AF65,'Full Customer List'!$H:$H,'Client Retention'!$AF71)</f>
        <v>0</v>
      </c>
      <c r="Q71" s="192">
        <f>-COUNTIFS('Full Customer List'!$J:$J,Q$1,'Full Customer List'!$E:$E,$AF65,'Full Customer List'!$H:$H,'Client Retention'!$AF71)</f>
        <v>0</v>
      </c>
      <c r="R71" s="192">
        <f>-COUNTIFS('Full Customer List'!$J:$J,R$1,'Full Customer List'!$E:$E,$AF65,'Full Customer List'!$H:$H,'Client Retention'!$AF71)</f>
        <v>0</v>
      </c>
      <c r="S71" s="192">
        <f>-COUNTIFS('Full Customer List'!$J:$J,S$1,'Full Customer List'!$E:$E,$AF65,'Full Customer List'!$H:$H,'Client Retention'!$AF71)</f>
        <v>0</v>
      </c>
      <c r="T71" s="192">
        <f>-COUNTIFS('Full Customer List'!$J:$J,T$1,'Full Customer List'!$E:$E,$AF65,'Full Customer List'!$H:$H,'Client Retention'!$AF71)</f>
        <v>0</v>
      </c>
      <c r="U71" s="192">
        <f>-COUNTIFS('Full Customer List'!$J:$J,U$1,'Full Customer List'!$E:$E,$AF65,'Full Customer List'!$H:$H,'Client Retention'!$AF71)</f>
        <v>0</v>
      </c>
      <c r="V71" s="192">
        <f>-COUNTIFS('Full Customer List'!$J:$J,V$1,'Full Customer List'!$E:$E,$AF65,'Full Customer List'!$H:$H,'Client Retention'!$AF71)</f>
        <v>0</v>
      </c>
      <c r="W71" s="192">
        <f>-COUNTIFS('Full Customer List'!$J:$J,W$1,'Full Customer List'!$E:$E,$AF65,'Full Customer List'!$H:$H,'Client Retention'!$AF71)</f>
        <v>0</v>
      </c>
      <c r="X71" s="192">
        <f>-COUNTIFS('Full Customer List'!$J:$J,X$1,'Full Customer List'!$E:$E,$AF65,'Full Customer List'!$H:$H,'Client Retention'!$AF71)</f>
        <v>0</v>
      </c>
      <c r="Y71" s="192">
        <f>-COUNTIFS('Full Customer List'!$J:$J,Y$1,'Full Customer List'!$E:$E,$AF65,'Full Customer List'!$H:$H,'Client Retention'!$AF71)</f>
        <v>0</v>
      </c>
      <c r="Z71" s="192">
        <f>-COUNTIFS('Full Customer List'!$J:$J,Z$1,'Full Customer List'!$E:$E,$AF65,'Full Customer List'!$H:$H,'Client Retention'!$AF71)</f>
        <v>0</v>
      </c>
      <c r="AA71" s="192">
        <f>-COUNTIFS('Full Customer List'!$J:$J,AA$1,'Full Customer List'!$E:$E,$AF65,'Full Customer List'!$H:$H,'Client Retention'!$AF71)</f>
        <v>0</v>
      </c>
      <c r="AB71" s="192">
        <f>-COUNTIFS('Full Customer List'!$J:$J,AB$1,'Full Customer List'!$E:$E,$AF65,'Full Customer List'!$H:$H,'Client Retention'!$AF71)</f>
        <v>-1</v>
      </c>
      <c r="AC71" s="192">
        <f>-COUNTIFS('Full Customer List'!$J:$J,AC$1,'Full Customer List'!$E:$E,$AF65,'Full Customer List'!$H:$H,'Client Retention'!$AF71)</f>
        <v>0</v>
      </c>
      <c r="AD71" s="192">
        <f>-COUNTIFS('Full Customer List'!$J:$J,AD$1,'Full Customer List'!$E:$E,$AF65,'Full Customer List'!$H:$H,'Client Retention'!$AF71)</f>
        <v>0</v>
      </c>
      <c r="AF71" s="173" t="s">
        <v>1531</v>
      </c>
    </row>
    <row r="72" spans="2:34" ht="12" customHeight="1">
      <c r="B72" s="252" t="s">
        <v>1532</v>
      </c>
      <c r="C72" s="255"/>
      <c r="D72" s="255"/>
      <c r="E72" s="253">
        <f>SUM(J72:U72)</f>
        <v>-11</v>
      </c>
      <c r="F72" s="253">
        <f>SUM(V72:AD72)</f>
        <v>-21</v>
      </c>
      <c r="G72" s="254"/>
      <c r="H72" s="253">
        <f>SUM(S72:AD72)</f>
        <v>-24</v>
      </c>
      <c r="I72" s="254"/>
      <c r="J72" s="255">
        <f>-COUNTIFS('Full Customer List'!$J:$J,J$1,'Full Customer List'!$E:$E,$AF65)</f>
        <v>-3</v>
      </c>
      <c r="K72" s="255">
        <f>-COUNTIFS('Full Customer List'!$J:$J,K$1,'Full Customer List'!$E:$E,$AF65)</f>
        <v>-1</v>
      </c>
      <c r="L72" s="255">
        <f>-COUNTIFS('Full Customer List'!$J:$J,L$1,'Full Customer List'!$E:$E,$AF65)</f>
        <v>0</v>
      </c>
      <c r="M72" s="255">
        <f>-COUNTIFS('Full Customer List'!$J:$J,M$1,'Full Customer List'!$E:$E,$AF65)</f>
        <v>0</v>
      </c>
      <c r="N72" s="255">
        <f>-COUNTIFS('Full Customer List'!$J:$J,N$1,'Full Customer List'!$E:$E,$AF65)</f>
        <v>-1</v>
      </c>
      <c r="O72" s="255">
        <f>-COUNTIFS('Full Customer List'!$J:$J,O$1,'Full Customer List'!$E:$E,$AF65)</f>
        <v>-1</v>
      </c>
      <c r="P72" s="255">
        <f>-COUNTIFS('Full Customer List'!$J:$J,P$1,'Full Customer List'!$E:$E,$AF65)</f>
        <v>-1</v>
      </c>
      <c r="Q72" s="255">
        <f>-COUNTIFS('Full Customer List'!$J:$J,Q$1,'Full Customer List'!$E:$E,$AF65)</f>
        <v>0</v>
      </c>
      <c r="R72" s="255">
        <f>-COUNTIFS('Full Customer List'!$J:$J,R$1,'Full Customer List'!$E:$E,$AF65)</f>
        <v>-1</v>
      </c>
      <c r="S72" s="255">
        <f>-COUNTIFS('Full Customer List'!$J:$J,S$1,'Full Customer List'!$E:$E,$AF65)</f>
        <v>0</v>
      </c>
      <c r="T72" s="255">
        <f>-COUNTIFS('Full Customer List'!$J:$J,T$1,'Full Customer List'!$E:$E,$AF65)</f>
        <v>0</v>
      </c>
      <c r="U72" s="255">
        <f>-COUNTIFS('Full Customer List'!$J:$J,U$1,'Full Customer List'!$E:$E,$AF65)</f>
        <v>-3</v>
      </c>
      <c r="V72" s="255">
        <f>-COUNTIFS('Full Customer List'!$J:$J,V$1,'Full Customer List'!$E:$E,$AF65)</f>
        <v>-1</v>
      </c>
      <c r="W72" s="255">
        <f>-COUNTIFS('Full Customer List'!$J:$J,W$1,'Full Customer List'!$E:$E,$AF65)</f>
        <v>-1</v>
      </c>
      <c r="X72" s="255">
        <f>-COUNTIFS('Full Customer List'!$J:$J,X$1,'Full Customer List'!$E:$E,$AF65)</f>
        <v>-2</v>
      </c>
      <c r="Y72" s="255">
        <f>-COUNTIFS('Full Customer List'!$J:$J,Y$1,'Full Customer List'!$E:$E,$AF65)</f>
        <v>0</v>
      </c>
      <c r="Z72" s="255">
        <f>-COUNTIFS('Full Customer List'!$J:$J,Z$1,'Full Customer List'!$E:$E,$AF65)</f>
        <v>-1</v>
      </c>
      <c r="AA72" s="255">
        <f>-COUNTIFS('Full Customer List'!$J:$J,AA$1,'Full Customer List'!$E:$E,$AF65)</f>
        <v>0</v>
      </c>
      <c r="AB72" s="255">
        <f>-COUNTIFS('Full Customer List'!$J:$J,AB$1,'Full Customer List'!$E:$E,$AF65)</f>
        <v>-16</v>
      </c>
      <c r="AC72" s="255">
        <f>-COUNTIFS('Full Customer List'!$J:$J,AC$1,'Full Customer List'!$E:$E,$AF65)</f>
        <v>0</v>
      </c>
      <c r="AD72" s="255">
        <f>-COUNTIFS('Full Customer List'!$J:$J,AD$1,'Full Customer List'!$E:$E,$AF65)</f>
        <v>0</v>
      </c>
    </row>
    <row r="73" spans="2:34">
      <c r="B73" s="256" t="s">
        <v>1315</v>
      </c>
      <c r="C73" s="257"/>
      <c r="D73" s="257"/>
      <c r="E73" s="257">
        <f>+F67</f>
        <v>23</v>
      </c>
      <c r="F73" s="258">
        <f>+$AD73</f>
        <v>2</v>
      </c>
      <c r="H73" s="261">
        <f>+$AD73</f>
        <v>2</v>
      </c>
      <c r="J73" s="259">
        <f t="shared" ref="J73:AC73" si="171">+K67</f>
        <v>29</v>
      </c>
      <c r="K73" s="257">
        <f t="shared" si="171"/>
        <v>28</v>
      </c>
      <c r="L73" s="257">
        <f t="shared" si="171"/>
        <v>28</v>
      </c>
      <c r="M73" s="257">
        <f t="shared" si="171"/>
        <v>28</v>
      </c>
      <c r="N73" s="257">
        <f t="shared" si="171"/>
        <v>27</v>
      </c>
      <c r="O73" s="257">
        <f t="shared" si="171"/>
        <v>27</v>
      </c>
      <c r="P73" s="257">
        <f t="shared" si="171"/>
        <v>26</v>
      </c>
      <c r="Q73" s="257">
        <f t="shared" si="171"/>
        <v>27</v>
      </c>
      <c r="R73" s="257">
        <f t="shared" si="171"/>
        <v>26</v>
      </c>
      <c r="S73" s="259">
        <f t="shared" si="171"/>
        <v>26</v>
      </c>
      <c r="T73" s="257">
        <f t="shared" si="171"/>
        <v>26</v>
      </c>
      <c r="U73" s="257">
        <f t="shared" si="171"/>
        <v>23</v>
      </c>
      <c r="V73" s="257">
        <f t="shared" si="171"/>
        <v>22</v>
      </c>
      <c r="W73" s="257">
        <f t="shared" si="171"/>
        <v>21</v>
      </c>
      <c r="X73" s="257">
        <f t="shared" si="171"/>
        <v>19</v>
      </c>
      <c r="Y73" s="257">
        <f t="shared" si="171"/>
        <v>19</v>
      </c>
      <c r="Z73" s="257">
        <f t="shared" si="171"/>
        <v>18</v>
      </c>
      <c r="AA73" s="257">
        <f t="shared" si="171"/>
        <v>18</v>
      </c>
      <c r="AB73" s="257">
        <f t="shared" si="171"/>
        <v>2</v>
      </c>
      <c r="AC73" s="257">
        <f t="shared" si="171"/>
        <v>2</v>
      </c>
      <c r="AD73" s="260">
        <f>COUNTIFS('Full Customer List'!$C:$C,"Active",'Full Customer List'!$E:$E,'Client Retention'!$AF65)</f>
        <v>2</v>
      </c>
    </row>
    <row r="74" spans="2:34" ht="3.95" customHeight="1">
      <c r="B74" s="179"/>
      <c r="C74" s="229"/>
      <c r="D74" s="229"/>
      <c r="E74" s="229"/>
      <c r="F74" s="229"/>
      <c r="H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30"/>
      <c r="AC74" s="230"/>
      <c r="AD74" s="230"/>
    </row>
    <row r="75" spans="2:34">
      <c r="B75" s="256" t="s">
        <v>1851</v>
      </c>
      <c r="C75" s="257"/>
      <c r="D75" s="257"/>
      <c r="E75" s="257">
        <f>AVERAGE(E67,E73)</f>
        <v>27.5</v>
      </c>
      <c r="F75" s="258">
        <f>AVERAGE(F67,F73)</f>
        <v>12.5</v>
      </c>
      <c r="H75" s="261">
        <f>AVERAGE(H67,H73)</f>
        <v>14</v>
      </c>
      <c r="J75" s="259">
        <f>AVERAGE(J67,J73)</f>
        <v>30.5</v>
      </c>
      <c r="K75" s="257">
        <f t="shared" ref="K75:AD75" si="172">AVERAGE(K67,K73)</f>
        <v>28.5</v>
      </c>
      <c r="L75" s="257">
        <f t="shared" si="172"/>
        <v>28</v>
      </c>
      <c r="M75" s="257">
        <f t="shared" si="172"/>
        <v>28</v>
      </c>
      <c r="N75" s="257">
        <f t="shared" si="172"/>
        <v>27.5</v>
      </c>
      <c r="O75" s="257">
        <f t="shared" si="172"/>
        <v>27</v>
      </c>
      <c r="P75" s="257">
        <f t="shared" si="172"/>
        <v>26.5</v>
      </c>
      <c r="Q75" s="257">
        <f t="shared" si="172"/>
        <v>26.5</v>
      </c>
      <c r="R75" s="257">
        <f t="shared" si="172"/>
        <v>26.5</v>
      </c>
      <c r="S75" s="259">
        <f t="shared" si="172"/>
        <v>26</v>
      </c>
      <c r="T75" s="257">
        <f t="shared" si="172"/>
        <v>26</v>
      </c>
      <c r="U75" s="257">
        <f t="shared" si="172"/>
        <v>24.5</v>
      </c>
      <c r="V75" s="257">
        <f t="shared" si="172"/>
        <v>22.5</v>
      </c>
      <c r="W75" s="257">
        <f t="shared" si="172"/>
        <v>21.5</v>
      </c>
      <c r="X75" s="257">
        <f t="shared" si="172"/>
        <v>20</v>
      </c>
      <c r="Y75" s="257">
        <f t="shared" si="172"/>
        <v>19</v>
      </c>
      <c r="Z75" s="257">
        <f t="shared" si="172"/>
        <v>18.5</v>
      </c>
      <c r="AA75" s="257">
        <f t="shared" si="172"/>
        <v>18</v>
      </c>
      <c r="AB75" s="257">
        <f t="shared" si="172"/>
        <v>10</v>
      </c>
      <c r="AC75" s="257">
        <f t="shared" si="172"/>
        <v>2</v>
      </c>
      <c r="AD75" s="260">
        <f t="shared" si="172"/>
        <v>2</v>
      </c>
    </row>
    <row r="76" spans="2:34" ht="3.95" customHeight="1">
      <c r="B76" s="179"/>
      <c r="C76" s="229"/>
      <c r="D76" s="229"/>
      <c r="E76" s="229"/>
      <c r="F76" s="229"/>
      <c r="H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30"/>
      <c r="AC76" s="230"/>
      <c r="AD76" s="230"/>
    </row>
    <row r="77" spans="2:34">
      <c r="B77" s="231" t="s">
        <v>1518</v>
      </c>
      <c r="C77" s="232"/>
      <c r="D77" s="232"/>
      <c r="E77" s="233">
        <f>(E68+E67)/E67-1</f>
        <v>6.25E-2</v>
      </c>
      <c r="F77" s="244">
        <f>(F68+F67)/F67-1</f>
        <v>0</v>
      </c>
      <c r="G77" s="245"/>
      <c r="H77" s="246">
        <f>(H68+H67)/H67-1</f>
        <v>0</v>
      </c>
      <c r="J77" s="243">
        <f t="shared" ref="J77:AB77" si="173">(J68+J67)/J67-1</f>
        <v>0</v>
      </c>
      <c r="K77" s="233">
        <f t="shared" si="173"/>
        <v>0</v>
      </c>
      <c r="L77" s="233">
        <f t="shared" si="173"/>
        <v>0</v>
      </c>
      <c r="M77" s="233">
        <f t="shared" si="173"/>
        <v>0</v>
      </c>
      <c r="N77" s="233">
        <f t="shared" si="173"/>
        <v>0</v>
      </c>
      <c r="O77" s="233">
        <f t="shared" si="173"/>
        <v>3.7037037037036979E-2</v>
      </c>
      <c r="P77" s="233">
        <f t="shared" si="173"/>
        <v>0</v>
      </c>
      <c r="Q77" s="233">
        <f t="shared" si="173"/>
        <v>3.8461538461538547E-2</v>
      </c>
      <c r="R77" s="233">
        <f t="shared" si="173"/>
        <v>0</v>
      </c>
      <c r="S77" s="243">
        <f t="shared" si="173"/>
        <v>0</v>
      </c>
      <c r="T77" s="233">
        <f t="shared" si="173"/>
        <v>0</v>
      </c>
      <c r="U77" s="233">
        <f t="shared" si="173"/>
        <v>0</v>
      </c>
      <c r="V77" s="233">
        <f t="shared" si="173"/>
        <v>0</v>
      </c>
      <c r="W77" s="233">
        <f t="shared" si="173"/>
        <v>0</v>
      </c>
      <c r="X77" s="233">
        <f t="shared" si="173"/>
        <v>0</v>
      </c>
      <c r="Y77" s="233">
        <f t="shared" si="173"/>
        <v>0</v>
      </c>
      <c r="Z77" s="233">
        <f t="shared" si="173"/>
        <v>0</v>
      </c>
      <c r="AA77" s="233">
        <f t="shared" si="173"/>
        <v>0</v>
      </c>
      <c r="AB77" s="233">
        <f t="shared" si="173"/>
        <v>0</v>
      </c>
      <c r="AC77" s="233">
        <f t="shared" ref="AC77:AD77" si="174">(AC68+AC67)/AC67-1</f>
        <v>0</v>
      </c>
      <c r="AD77" s="244">
        <f t="shared" si="174"/>
        <v>0</v>
      </c>
      <c r="AF77" s="217"/>
    </row>
    <row r="78" spans="2:34" ht="12" customHeight="1">
      <c r="B78" s="234" t="s">
        <v>1519</v>
      </c>
      <c r="C78" s="235"/>
      <c r="D78" s="235"/>
      <c r="E78" s="236">
        <f>(E72+E75)/E75-1</f>
        <v>-0.4</v>
      </c>
      <c r="F78" s="237">
        <f>(F72+F75)/F75-1</f>
        <v>-1.6800000000000002</v>
      </c>
      <c r="G78" s="245"/>
      <c r="H78" s="239">
        <f>(H72+H75)/H75-1</f>
        <v>-1.7142857142857144</v>
      </c>
      <c r="J78" s="238">
        <f t="shared" ref="J78:AD78" si="175">(J72+J75)/J75-1</f>
        <v>-9.8360655737704916E-2</v>
      </c>
      <c r="K78" s="236">
        <f t="shared" si="175"/>
        <v>-3.5087719298245612E-2</v>
      </c>
      <c r="L78" s="236">
        <f t="shared" si="175"/>
        <v>0</v>
      </c>
      <c r="M78" s="236">
        <f t="shared" si="175"/>
        <v>0</v>
      </c>
      <c r="N78" s="236">
        <f t="shared" si="175"/>
        <v>-3.6363636363636376E-2</v>
      </c>
      <c r="O78" s="236">
        <f t="shared" si="175"/>
        <v>-3.703703703703709E-2</v>
      </c>
      <c r="P78" s="236">
        <f t="shared" si="175"/>
        <v>-3.7735849056603765E-2</v>
      </c>
      <c r="Q78" s="236">
        <f t="shared" si="175"/>
        <v>0</v>
      </c>
      <c r="R78" s="236">
        <f t="shared" si="175"/>
        <v>-3.7735849056603765E-2</v>
      </c>
      <c r="S78" s="238">
        <f t="shared" si="175"/>
        <v>0</v>
      </c>
      <c r="T78" s="236">
        <f t="shared" si="175"/>
        <v>0</v>
      </c>
      <c r="U78" s="236">
        <f t="shared" si="175"/>
        <v>-0.12244897959183676</v>
      </c>
      <c r="V78" s="236">
        <f t="shared" si="175"/>
        <v>-4.4444444444444398E-2</v>
      </c>
      <c r="W78" s="236">
        <f t="shared" si="175"/>
        <v>-4.6511627906976716E-2</v>
      </c>
      <c r="X78" s="236">
        <f t="shared" si="175"/>
        <v>-9.9999999999999978E-2</v>
      </c>
      <c r="Y78" s="236">
        <f t="shared" si="175"/>
        <v>0</v>
      </c>
      <c r="Z78" s="236">
        <f t="shared" si="175"/>
        <v>-5.4054054054054057E-2</v>
      </c>
      <c r="AA78" s="236">
        <f t="shared" si="175"/>
        <v>0</v>
      </c>
      <c r="AB78" s="236">
        <f t="shared" si="175"/>
        <v>-1.6</v>
      </c>
      <c r="AC78" s="236">
        <f t="shared" si="175"/>
        <v>0</v>
      </c>
      <c r="AD78" s="237">
        <f t="shared" si="175"/>
        <v>0</v>
      </c>
      <c r="AF78" s="217"/>
    </row>
    <row r="79" spans="2:34" ht="3.95" customHeight="1">
      <c r="AF79" s="217"/>
    </row>
    <row r="80" spans="2:34" ht="24">
      <c r="B80" s="159" t="s">
        <v>1308</v>
      </c>
      <c r="C80" s="176" t="s">
        <v>1316</v>
      </c>
      <c r="D80" s="176" t="s">
        <v>3</v>
      </c>
      <c r="E80" s="176" t="s">
        <v>4</v>
      </c>
      <c r="F80" s="176" t="s">
        <v>1317</v>
      </c>
      <c r="G80" s="190"/>
      <c r="H80" s="176" t="s">
        <v>1527</v>
      </c>
      <c r="J80" s="189">
        <v>45658</v>
      </c>
      <c r="K80" s="189">
        <f t="shared" ref="K80" si="176">EOMONTH(J80,0)+1</f>
        <v>45689</v>
      </c>
      <c r="L80" s="189">
        <f t="shared" ref="L80" si="177">EOMONTH(K80,0)+1</f>
        <v>45717</v>
      </c>
      <c r="M80" s="189">
        <f t="shared" ref="M80" si="178">EOMONTH(L80,0)+1</f>
        <v>45748</v>
      </c>
      <c r="N80" s="189">
        <f t="shared" ref="N80" si="179">EOMONTH(M80,0)+1</f>
        <v>45778</v>
      </c>
      <c r="O80" s="189">
        <f t="shared" ref="O80" si="180">EOMONTH(N80,0)+1</f>
        <v>45809</v>
      </c>
      <c r="P80" s="189">
        <f t="shared" ref="P80" si="181">EOMONTH(O80,0)+1</f>
        <v>45839</v>
      </c>
      <c r="Q80" s="189">
        <v>45870</v>
      </c>
      <c r="R80" s="189">
        <f t="shared" ref="R80" si="182">EOMONTH(Q80,0)+1</f>
        <v>45901</v>
      </c>
      <c r="S80" s="189">
        <f t="shared" ref="S80" si="183">EOMONTH(R80,0)+1</f>
        <v>45931</v>
      </c>
      <c r="T80" s="189">
        <f t="shared" ref="T80" si="184">EOMONTH(S80,0)+1</f>
        <v>45962</v>
      </c>
      <c r="U80" s="189">
        <f t="shared" ref="U80" si="185">EOMONTH(T80,0)+1</f>
        <v>45992</v>
      </c>
      <c r="V80" s="189">
        <f t="shared" ref="V80" si="186">EOMONTH(U80,0)+1</f>
        <v>46023</v>
      </c>
      <c r="W80" s="189">
        <f t="shared" ref="W80" si="187">EOMONTH(V80,0)+1</f>
        <v>46054</v>
      </c>
      <c r="X80" s="189">
        <f t="shared" ref="X80" si="188">EOMONTH(W80,0)+1</f>
        <v>46082</v>
      </c>
      <c r="Y80" s="189">
        <f t="shared" ref="Y80" si="189">EOMONTH(X80,0)+1</f>
        <v>46113</v>
      </c>
      <c r="Z80" s="189">
        <f t="shared" ref="Z80" si="190">EOMONTH(Y80,0)+1</f>
        <v>46143</v>
      </c>
      <c r="AA80" s="189">
        <f t="shared" ref="AA80" si="191">EOMONTH(Z80,0)+1</f>
        <v>46174</v>
      </c>
      <c r="AB80" s="189">
        <f t="shared" ref="AB80" si="192">EOMONTH(AA80,0)+1</f>
        <v>46204</v>
      </c>
      <c r="AC80" s="189">
        <f t="shared" ref="AC80" si="193">EOMONTH(AB80,0)+1</f>
        <v>46235</v>
      </c>
      <c r="AD80" s="189">
        <f t="shared" ref="AD80" si="194">EOMONTH(AC80,0)+1</f>
        <v>46266</v>
      </c>
      <c r="AE80" s="184"/>
      <c r="AF80" s="217" t="s">
        <v>1302</v>
      </c>
      <c r="AG80" s="184"/>
      <c r="AH80" s="184"/>
    </row>
    <row r="81" spans="2:34">
      <c r="B81" s="183" t="str">
        <f>+AF80</f>
        <v>Short-Term Rental</v>
      </c>
      <c r="C81" s="43"/>
      <c r="D81" s="43"/>
      <c r="E81" s="43"/>
      <c r="F81" s="43"/>
      <c r="G81" s="6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6"/>
      <c r="AF81" s="6"/>
      <c r="AG81" s="6"/>
      <c r="AH81" s="6"/>
    </row>
    <row r="82" spans="2:34">
      <c r="B82" s="173" t="s">
        <v>1313</v>
      </c>
      <c r="C82" s="181"/>
      <c r="D82" s="181"/>
      <c r="E82" s="181">
        <f>+E88-E83-E87</f>
        <v>30</v>
      </c>
      <c r="F82" s="181">
        <f>+F88-F83-F87</f>
        <v>3</v>
      </c>
      <c r="H82" s="181">
        <f t="shared" ref="H82" si="195">+H88-H83-H87</f>
        <v>17</v>
      </c>
      <c r="J82" s="181">
        <f t="shared" ref="J82:Z82" si="196">+J88-J83-J87</f>
        <v>30</v>
      </c>
      <c r="K82" s="181">
        <f t="shared" si="196"/>
        <v>26</v>
      </c>
      <c r="L82" s="181">
        <f t="shared" si="196"/>
        <v>26</v>
      </c>
      <c r="M82" s="181">
        <f t="shared" si="196"/>
        <v>26</v>
      </c>
      <c r="N82" s="181">
        <f t="shared" si="196"/>
        <v>23</v>
      </c>
      <c r="O82" s="181">
        <f t="shared" si="196"/>
        <v>23</v>
      </c>
      <c r="P82" s="181">
        <f t="shared" si="196"/>
        <v>18</v>
      </c>
      <c r="Q82" s="181">
        <f t="shared" si="196"/>
        <v>19</v>
      </c>
      <c r="R82" s="181">
        <f t="shared" si="196"/>
        <v>18</v>
      </c>
      <c r="S82" s="181">
        <f t="shared" si="196"/>
        <v>17</v>
      </c>
      <c r="T82" s="181">
        <f t="shared" si="196"/>
        <v>17</v>
      </c>
      <c r="U82" s="181">
        <f t="shared" si="196"/>
        <v>10</v>
      </c>
      <c r="V82" s="181">
        <f t="shared" si="196"/>
        <v>3</v>
      </c>
      <c r="W82" s="181">
        <f t="shared" si="196"/>
        <v>1</v>
      </c>
      <c r="X82" s="181">
        <f t="shared" si="196"/>
        <v>1</v>
      </c>
      <c r="Y82" s="181">
        <f t="shared" si="196"/>
        <v>1</v>
      </c>
      <c r="Z82" s="181">
        <f t="shared" si="196"/>
        <v>2</v>
      </c>
      <c r="AA82" s="181">
        <f>+AA88-AA83-AA87</f>
        <v>1</v>
      </c>
      <c r="AB82" s="181">
        <f>+AB88-AB83-AB87</f>
        <v>1</v>
      </c>
      <c r="AC82" s="181">
        <f t="shared" ref="AC82:AD82" si="197">+AC88-AC83-AC87</f>
        <v>0</v>
      </c>
      <c r="AD82" s="181">
        <f t="shared" si="197"/>
        <v>0</v>
      </c>
    </row>
    <row r="83" spans="2:34">
      <c r="B83" s="188" t="s">
        <v>1314</v>
      </c>
      <c r="E83" s="194">
        <f>SUM(J83:U83)</f>
        <v>16</v>
      </c>
      <c r="F83" s="194">
        <f>SUM(V83:AD83)</f>
        <v>1</v>
      </c>
      <c r="H83" s="194">
        <f>SUM(S83:AD83)</f>
        <v>4</v>
      </c>
      <c r="J83" s="192">
        <f>COUNTIFS('Full Customer List'!$I:$I,'Client Retention'!J$5,'Full Customer List'!$E:$E,$AF80)</f>
        <v>0</v>
      </c>
      <c r="K83" s="192">
        <f>COUNTIFS('Full Customer List'!$I:$I,'Client Retention'!K$5,'Full Customer List'!$E:$E,$AF80)</f>
        <v>3</v>
      </c>
      <c r="L83" s="192">
        <f>COUNTIFS('Full Customer List'!$I:$I,'Client Retention'!L$5,'Full Customer List'!$E:$E,$AF80)</f>
        <v>2</v>
      </c>
      <c r="M83" s="192">
        <f>COUNTIFS('Full Customer List'!$I:$I,'Client Retention'!M$5,'Full Customer List'!$E:$E,$AF80)</f>
        <v>1</v>
      </c>
      <c r="N83" s="192">
        <f>COUNTIFS('Full Customer List'!$I:$I,'Client Retention'!N$5,'Full Customer List'!$E:$E,$AF80)</f>
        <v>2</v>
      </c>
      <c r="O83" s="192">
        <f>COUNTIFS('Full Customer List'!$I:$I,'Client Retention'!O$5,'Full Customer List'!$E:$E,$AF80)</f>
        <v>1</v>
      </c>
      <c r="P83" s="192">
        <f>COUNTIFS('Full Customer List'!$I:$I,'Client Retention'!P$5,'Full Customer List'!$E:$E,$AF80)</f>
        <v>1</v>
      </c>
      <c r="Q83" s="192">
        <f>COUNTIFS('Full Customer List'!$I:$I,'Client Retention'!Q$5,'Full Customer List'!$E:$E,$AF80)</f>
        <v>1</v>
      </c>
      <c r="R83" s="192">
        <f>COUNTIFS('Full Customer List'!$I:$I,'Client Retention'!R$5,'Full Customer List'!$E:$E,$AF80)</f>
        <v>2</v>
      </c>
      <c r="S83" s="192">
        <f>COUNTIFS('Full Customer List'!$I:$I,'Client Retention'!S$5,'Full Customer List'!$E:$E,$AF80)</f>
        <v>1</v>
      </c>
      <c r="T83" s="192">
        <f>COUNTIFS('Full Customer List'!$I:$I,'Client Retention'!T$5,'Full Customer List'!$E:$E,$AF80)</f>
        <v>1</v>
      </c>
      <c r="U83" s="192">
        <f>COUNTIFS('Full Customer List'!$I:$I,'Client Retention'!U$5,'Full Customer List'!$E:$E,$AF80)</f>
        <v>1</v>
      </c>
      <c r="V83" s="192">
        <f>COUNTIFS('Full Customer List'!$I:$I,'Client Retention'!V$5,'Full Customer List'!$E:$E,$AF80)</f>
        <v>0</v>
      </c>
      <c r="W83" s="192">
        <f>COUNTIFS('Full Customer List'!$I:$I,'Client Retention'!W$5,'Full Customer List'!$E:$E,$AF80)</f>
        <v>0</v>
      </c>
      <c r="X83" s="192">
        <f>COUNTIFS('Full Customer List'!$I:$I,'Client Retention'!X$5,'Full Customer List'!$E:$E,$AF80)</f>
        <v>0</v>
      </c>
      <c r="Y83" s="192">
        <f>COUNTIFS('Full Customer List'!$I:$I,'Client Retention'!Y$5,'Full Customer List'!$E:$E,$AF80)</f>
        <v>1</v>
      </c>
      <c r="Z83" s="192">
        <f>COUNTIFS('Full Customer List'!$I:$I,'Client Retention'!Z$5,'Full Customer List'!$E:$E,$AF80)</f>
        <v>0</v>
      </c>
      <c r="AA83" s="192">
        <f>COUNTIFS('Full Customer List'!$I:$I,'Client Retention'!AA$5,'Full Customer List'!$E:$E,$AF80)</f>
        <v>0</v>
      </c>
      <c r="AB83" s="192">
        <f>COUNTIFS('Full Customer List'!$I:$I,'Client Retention'!AB$5,'Full Customer List'!$E:$E,$AF80)</f>
        <v>0</v>
      </c>
      <c r="AC83" s="192">
        <f>COUNTIFS('Full Customer List'!$I:$I,'Client Retention'!AC$5,'Full Customer List'!$E:$E,$AF80)</f>
        <v>0</v>
      </c>
      <c r="AD83" s="192">
        <f>COUNTIFS('Full Customer List'!$I:$I,'Client Retention'!AD$5,'Full Customer List'!$E:$E,$AF80)</f>
        <v>0</v>
      </c>
    </row>
    <row r="84" spans="2:34">
      <c r="B84" s="262" t="s">
        <v>1528</v>
      </c>
      <c r="E84" s="194">
        <f t="shared" ref="E84:E86" si="198">SUM(J84:U84)</f>
        <v>-24</v>
      </c>
      <c r="F84" s="194">
        <f t="shared" ref="F84:F86" si="199">SUM(V84:AD84)</f>
        <v>-2</v>
      </c>
      <c r="H84" s="194">
        <f t="shared" ref="H84:H86" si="200">SUM(S84:AD84)</f>
        <v>-11</v>
      </c>
      <c r="J84" s="192">
        <f>-COUNTIFS('Full Customer List'!$J:$J,J$1,'Full Customer List'!$E:$E,$AF80,'Full Customer List'!$H:$H,'Client Retention'!$AF84)</f>
        <v>0</v>
      </c>
      <c r="K84" s="192">
        <f>-COUNTIFS('Full Customer List'!$J:$J,K$1,'Full Customer List'!$E:$E,$AF80,'Full Customer List'!$H:$H,'Client Retention'!$AF84)</f>
        <v>-2</v>
      </c>
      <c r="L84" s="192">
        <f>-COUNTIFS('Full Customer List'!$J:$J,L$1,'Full Customer List'!$E:$E,$AF80,'Full Customer List'!$H:$H,'Client Retention'!$AF84)</f>
        <v>-1</v>
      </c>
      <c r="M84" s="192">
        <f>-COUNTIFS('Full Customer List'!$J:$J,M$1,'Full Customer List'!$E:$E,$AF80,'Full Customer List'!$H:$H,'Client Retention'!$AF84)</f>
        <v>-3</v>
      </c>
      <c r="N84" s="192">
        <f>-COUNTIFS('Full Customer List'!$J:$J,N$1,'Full Customer List'!$E:$E,$AF80,'Full Customer List'!$H:$H,'Client Retention'!$AF84)</f>
        <v>0</v>
      </c>
      <c r="O84" s="192">
        <f>-COUNTIFS('Full Customer List'!$J:$J,O$1,'Full Customer List'!$E:$E,$AF80,'Full Customer List'!$H:$H,'Client Retention'!$AF84)</f>
        <v>-5</v>
      </c>
      <c r="P84" s="192">
        <f>-COUNTIFS('Full Customer List'!$J:$J,P$1,'Full Customer List'!$E:$E,$AF80,'Full Customer List'!$H:$H,'Client Retention'!$AF84)</f>
        <v>0</v>
      </c>
      <c r="Q84" s="192">
        <f>-COUNTIFS('Full Customer List'!$J:$J,Q$1,'Full Customer List'!$E:$E,$AF80,'Full Customer List'!$H:$H,'Client Retention'!$AF84)</f>
        <v>-2</v>
      </c>
      <c r="R84" s="192">
        <f>-COUNTIFS('Full Customer List'!$J:$J,R$1,'Full Customer List'!$E:$E,$AF80,'Full Customer List'!$H:$H,'Client Retention'!$AF84)</f>
        <v>-2</v>
      </c>
      <c r="S84" s="192">
        <f>-COUNTIFS('Full Customer List'!$J:$J,S$1,'Full Customer List'!$E:$E,$AF80,'Full Customer List'!$H:$H,'Client Retention'!$AF84)</f>
        <v>-1</v>
      </c>
      <c r="T84" s="192">
        <f>-COUNTIFS('Full Customer List'!$J:$J,T$1,'Full Customer List'!$E:$E,$AF80,'Full Customer List'!$H:$H,'Client Retention'!$AF84)</f>
        <v>-3</v>
      </c>
      <c r="U84" s="192">
        <f>-COUNTIFS('Full Customer List'!$J:$J,U$1,'Full Customer List'!$E:$E,$AF80,'Full Customer List'!$H:$H,'Client Retention'!$AF84)</f>
        <v>-5</v>
      </c>
      <c r="V84" s="192">
        <f>-COUNTIFS('Full Customer List'!$J:$J,V$1,'Full Customer List'!$E:$E,$AF80,'Full Customer List'!$H:$H,'Client Retention'!$AF84)</f>
        <v>-1</v>
      </c>
      <c r="W84" s="192">
        <f>-COUNTIFS('Full Customer List'!$J:$J,W$1,'Full Customer List'!$E:$E,$AF80,'Full Customer List'!$H:$H,'Client Retention'!$AF84)</f>
        <v>0</v>
      </c>
      <c r="X84" s="192">
        <f>-COUNTIFS('Full Customer List'!$J:$J,X$1,'Full Customer List'!$E:$E,$AF80,'Full Customer List'!$H:$H,'Client Retention'!$AF84)</f>
        <v>0</v>
      </c>
      <c r="Y84" s="192">
        <f>-COUNTIFS('Full Customer List'!$J:$J,Y$1,'Full Customer List'!$E:$E,$AF80,'Full Customer List'!$H:$H,'Client Retention'!$AF84)</f>
        <v>0</v>
      </c>
      <c r="Z84" s="192">
        <f>-COUNTIFS('Full Customer List'!$J:$J,Z$1,'Full Customer List'!$E:$E,$AF80,'Full Customer List'!$H:$H,'Client Retention'!$AF84)</f>
        <v>-1</v>
      </c>
      <c r="AA84" s="192">
        <f>-COUNTIFS('Full Customer List'!$J:$J,AA$1,'Full Customer List'!$E:$E,$AF80,'Full Customer List'!$H:$H,'Client Retention'!$AF84)</f>
        <v>0</v>
      </c>
      <c r="AB84" s="192">
        <f>-COUNTIFS('Full Customer List'!$J:$J,AB$1,'Full Customer List'!$E:$E,$AF80,'Full Customer List'!$H:$H,'Client Retention'!$AF84)</f>
        <v>0</v>
      </c>
      <c r="AC84" s="192">
        <f>-COUNTIFS('Full Customer List'!$J:$J,AC$1,'Full Customer List'!$E:$E,$AF80,'Full Customer List'!$H:$H,'Client Retention'!$AF84)</f>
        <v>0</v>
      </c>
      <c r="AD84" s="192">
        <f>-COUNTIFS('Full Customer List'!$J:$J,AD$1,'Full Customer List'!$E:$E,$AF80,'Full Customer List'!$H:$H,'Client Retention'!$AF84)</f>
        <v>0</v>
      </c>
      <c r="AF84" s="173" t="s">
        <v>504</v>
      </c>
    </row>
    <row r="85" spans="2:34">
      <c r="B85" s="262" t="s">
        <v>1529</v>
      </c>
      <c r="E85" s="194">
        <f t="shared" si="198"/>
        <v>-19</v>
      </c>
      <c r="F85" s="194">
        <f t="shared" si="199"/>
        <v>-2</v>
      </c>
      <c r="H85" s="194">
        <f t="shared" si="200"/>
        <v>-10</v>
      </c>
      <c r="J85" s="192">
        <f>-COUNTIFS('Full Customer List'!$J:$J,J$1,'Full Customer List'!$E:$E,$AF80,'Full Customer List'!$H:$H,'Client Retention'!$AF85)</f>
        <v>-4</v>
      </c>
      <c r="K85" s="192">
        <f>-COUNTIFS('Full Customer List'!$J:$J,K$1,'Full Customer List'!$E:$E,$AF80,'Full Customer List'!$H:$H,'Client Retention'!$AF85)</f>
        <v>-1</v>
      </c>
      <c r="L85" s="192">
        <f>-COUNTIFS('Full Customer List'!$J:$J,L$1,'Full Customer List'!$E:$E,$AF80,'Full Customer List'!$H:$H,'Client Retention'!$AF85)</f>
        <v>-1</v>
      </c>
      <c r="M85" s="192">
        <f>-COUNTIFS('Full Customer List'!$J:$J,M$1,'Full Customer List'!$E:$E,$AF80,'Full Customer List'!$H:$H,'Client Retention'!$AF85)</f>
        <v>-1</v>
      </c>
      <c r="N85" s="192">
        <f>-COUNTIFS('Full Customer List'!$J:$J,N$1,'Full Customer List'!$E:$E,$AF80,'Full Customer List'!$H:$H,'Client Retention'!$AF85)</f>
        <v>-2</v>
      </c>
      <c r="O85" s="192">
        <f>-COUNTIFS('Full Customer List'!$J:$J,O$1,'Full Customer List'!$E:$E,$AF80,'Full Customer List'!$H:$H,'Client Retention'!$AF85)</f>
        <v>-1</v>
      </c>
      <c r="P85" s="192">
        <f>-COUNTIFS('Full Customer List'!$J:$J,P$1,'Full Customer List'!$E:$E,$AF80,'Full Customer List'!$H:$H,'Client Retention'!$AF85)</f>
        <v>0</v>
      </c>
      <c r="Q85" s="192">
        <f>-COUNTIFS('Full Customer List'!$J:$J,Q$1,'Full Customer List'!$E:$E,$AF80,'Full Customer List'!$H:$H,'Client Retention'!$AF85)</f>
        <v>0</v>
      </c>
      <c r="R85" s="192">
        <f>-COUNTIFS('Full Customer List'!$J:$J,R$1,'Full Customer List'!$E:$E,$AF80,'Full Customer List'!$H:$H,'Client Retention'!$AF85)</f>
        <v>-1</v>
      </c>
      <c r="S85" s="192">
        <f>-COUNTIFS('Full Customer List'!$J:$J,S$1,'Full Customer List'!$E:$E,$AF80,'Full Customer List'!$H:$H,'Client Retention'!$AF85)</f>
        <v>0</v>
      </c>
      <c r="T85" s="192">
        <f>-COUNTIFS('Full Customer List'!$J:$J,T$1,'Full Customer List'!$E:$E,$AF80,'Full Customer List'!$H:$H,'Client Retention'!$AF85)</f>
        <v>-5</v>
      </c>
      <c r="U85" s="192">
        <f>-COUNTIFS('Full Customer List'!$J:$J,U$1,'Full Customer List'!$E:$E,$AF80,'Full Customer List'!$H:$H,'Client Retention'!$AF85)</f>
        <v>-3</v>
      </c>
      <c r="V85" s="192">
        <f>-COUNTIFS('Full Customer List'!$J:$J,V$1,'Full Customer List'!$E:$E,$AF80,'Full Customer List'!$H:$H,'Client Retention'!$AF85)</f>
        <v>-1</v>
      </c>
      <c r="W85" s="192">
        <f>-COUNTIFS('Full Customer List'!$J:$J,W$1,'Full Customer List'!$E:$E,$AF80,'Full Customer List'!$H:$H,'Client Retention'!$AF85)</f>
        <v>0</v>
      </c>
      <c r="X85" s="192">
        <f>-COUNTIFS('Full Customer List'!$J:$J,X$1,'Full Customer List'!$E:$E,$AF80,'Full Customer List'!$H:$H,'Client Retention'!$AF85)</f>
        <v>0</v>
      </c>
      <c r="Y85" s="192">
        <f>-COUNTIFS('Full Customer List'!$J:$J,Y$1,'Full Customer List'!$E:$E,$AF80,'Full Customer List'!$H:$H,'Client Retention'!$AF85)</f>
        <v>0</v>
      </c>
      <c r="Z85" s="192">
        <f>-COUNTIFS('Full Customer List'!$J:$J,Z$1,'Full Customer List'!$E:$E,$AF80,'Full Customer List'!$H:$H,'Client Retention'!$AF85)</f>
        <v>0</v>
      </c>
      <c r="AA85" s="192">
        <f>-COUNTIFS('Full Customer List'!$J:$J,AA$1,'Full Customer List'!$E:$E,$AF80,'Full Customer List'!$H:$H,'Client Retention'!$AF85)</f>
        <v>0</v>
      </c>
      <c r="AB85" s="192">
        <f>-COUNTIFS('Full Customer List'!$J:$J,AB$1,'Full Customer List'!$E:$E,$AF80,'Full Customer List'!$H:$H,'Client Retention'!$AF85)</f>
        <v>-1</v>
      </c>
      <c r="AC85" s="192">
        <f>-COUNTIFS('Full Customer List'!$J:$J,AC$1,'Full Customer List'!$E:$E,$AF80,'Full Customer List'!$H:$H,'Client Retention'!$AF85)</f>
        <v>0</v>
      </c>
      <c r="AD85" s="192">
        <f>-COUNTIFS('Full Customer List'!$J:$J,AD$1,'Full Customer List'!$E:$E,$AF80,'Full Customer List'!$H:$H,'Client Retention'!$AF85)</f>
        <v>0</v>
      </c>
      <c r="AF85" s="173" t="s">
        <v>505</v>
      </c>
    </row>
    <row r="86" spans="2:34">
      <c r="B86" s="262" t="s">
        <v>1530</v>
      </c>
      <c r="E86" s="194">
        <f t="shared" si="198"/>
        <v>0</v>
      </c>
      <c r="F86" s="194">
        <f t="shared" si="199"/>
        <v>0</v>
      </c>
      <c r="H86" s="194">
        <f t="shared" si="200"/>
        <v>0</v>
      </c>
      <c r="J86" s="192">
        <f>-COUNTIFS('Full Customer List'!$J:$J,J$1,'Full Customer List'!$E:$E,$AF80,'Full Customer List'!$H:$H,'Client Retention'!$AF86)</f>
        <v>0</v>
      </c>
      <c r="K86" s="192">
        <f>-COUNTIFS('Full Customer List'!$J:$J,K$1,'Full Customer List'!$E:$E,$AF80,'Full Customer List'!$H:$H,'Client Retention'!$AF86)</f>
        <v>0</v>
      </c>
      <c r="L86" s="192">
        <f>-COUNTIFS('Full Customer List'!$J:$J,L$1,'Full Customer List'!$E:$E,$AF80,'Full Customer List'!$H:$H,'Client Retention'!$AF86)</f>
        <v>0</v>
      </c>
      <c r="M86" s="192">
        <f>-COUNTIFS('Full Customer List'!$J:$J,M$1,'Full Customer List'!$E:$E,$AF80,'Full Customer List'!$H:$H,'Client Retention'!$AF86)</f>
        <v>0</v>
      </c>
      <c r="N86" s="192">
        <f>-COUNTIFS('Full Customer List'!$J:$J,N$1,'Full Customer List'!$E:$E,$AF80,'Full Customer List'!$H:$H,'Client Retention'!$AF86)</f>
        <v>0</v>
      </c>
      <c r="O86" s="192">
        <f>-COUNTIFS('Full Customer List'!$J:$J,O$1,'Full Customer List'!$E:$E,$AF80,'Full Customer List'!$H:$H,'Client Retention'!$AF86)</f>
        <v>0</v>
      </c>
      <c r="P86" s="192">
        <f>-COUNTIFS('Full Customer List'!$J:$J,P$1,'Full Customer List'!$E:$E,$AF80,'Full Customer List'!$H:$H,'Client Retention'!$AF86)</f>
        <v>0</v>
      </c>
      <c r="Q86" s="192">
        <f>-COUNTIFS('Full Customer List'!$J:$J,Q$1,'Full Customer List'!$E:$E,$AF80,'Full Customer List'!$H:$H,'Client Retention'!$AF86)</f>
        <v>0</v>
      </c>
      <c r="R86" s="192">
        <f>-COUNTIFS('Full Customer List'!$J:$J,R$1,'Full Customer List'!$E:$E,$AF80,'Full Customer List'!$H:$H,'Client Retention'!$AF86)</f>
        <v>0</v>
      </c>
      <c r="S86" s="192">
        <f>-COUNTIFS('Full Customer List'!$J:$J,S$1,'Full Customer List'!$E:$E,$AF80,'Full Customer List'!$H:$H,'Client Retention'!$AF86)</f>
        <v>0</v>
      </c>
      <c r="T86" s="192">
        <f>-COUNTIFS('Full Customer List'!$J:$J,T$1,'Full Customer List'!$E:$E,$AF80,'Full Customer List'!$H:$H,'Client Retention'!$AF86)</f>
        <v>0</v>
      </c>
      <c r="U86" s="192">
        <f>-COUNTIFS('Full Customer List'!$J:$J,U$1,'Full Customer List'!$E:$E,$AF80,'Full Customer List'!$H:$H,'Client Retention'!$AF86)</f>
        <v>0</v>
      </c>
      <c r="V86" s="192">
        <f>-COUNTIFS('Full Customer List'!$J:$J,V$1,'Full Customer List'!$E:$E,$AF80,'Full Customer List'!$H:$H,'Client Retention'!$AF86)</f>
        <v>0</v>
      </c>
      <c r="W86" s="192">
        <f>-COUNTIFS('Full Customer List'!$J:$J,W$1,'Full Customer List'!$E:$E,$AF80,'Full Customer List'!$H:$H,'Client Retention'!$AF86)</f>
        <v>0</v>
      </c>
      <c r="X86" s="192">
        <f>-COUNTIFS('Full Customer List'!$J:$J,X$1,'Full Customer List'!$E:$E,$AF80,'Full Customer List'!$H:$H,'Client Retention'!$AF86)</f>
        <v>0</v>
      </c>
      <c r="Y86" s="192">
        <f>-COUNTIFS('Full Customer List'!$J:$J,Y$1,'Full Customer List'!$E:$E,$AF80,'Full Customer List'!$H:$H,'Client Retention'!$AF86)</f>
        <v>0</v>
      </c>
      <c r="Z86" s="192">
        <f>-COUNTIFS('Full Customer List'!$J:$J,Z$1,'Full Customer List'!$E:$E,$AF80,'Full Customer List'!$H:$H,'Client Retention'!$AF86)</f>
        <v>0</v>
      </c>
      <c r="AA86" s="192">
        <f>-COUNTIFS('Full Customer List'!$J:$J,AA$1,'Full Customer List'!$E:$E,$AF80,'Full Customer List'!$H:$H,'Client Retention'!$AF86)</f>
        <v>0</v>
      </c>
      <c r="AB86" s="192">
        <f>-COUNTIFS('Full Customer List'!$J:$J,AB$1,'Full Customer List'!$E:$E,$AF80,'Full Customer List'!$H:$H,'Client Retention'!$AF86)</f>
        <v>0</v>
      </c>
      <c r="AC86" s="192">
        <f>-COUNTIFS('Full Customer List'!$J:$J,AC$1,'Full Customer List'!$E:$E,$AF80,'Full Customer List'!$H:$H,'Client Retention'!$AF86)</f>
        <v>0</v>
      </c>
      <c r="AD86" s="192">
        <f>-COUNTIFS('Full Customer List'!$J:$J,AD$1,'Full Customer List'!$E:$E,$AF80,'Full Customer List'!$H:$H,'Client Retention'!$AF86)</f>
        <v>0</v>
      </c>
      <c r="AF86" s="173" t="s">
        <v>1531</v>
      </c>
    </row>
    <row r="87" spans="2:34" ht="12" customHeight="1">
      <c r="B87" s="252" t="s">
        <v>1532</v>
      </c>
      <c r="C87" s="255"/>
      <c r="D87" s="255"/>
      <c r="E87" s="253">
        <f>SUM(J87:U87)</f>
        <v>-43</v>
      </c>
      <c r="F87" s="253">
        <f>SUM(V87:AD87)</f>
        <v>-4</v>
      </c>
      <c r="G87" s="254"/>
      <c r="H87" s="253">
        <f>SUM(S87:AD87)</f>
        <v>-21</v>
      </c>
      <c r="I87" s="254"/>
      <c r="J87" s="255">
        <f>-COUNTIFS('Full Customer List'!$J:$J,J$1,'Full Customer List'!$E:$E,$AF80)</f>
        <v>-4</v>
      </c>
      <c r="K87" s="255">
        <f>-COUNTIFS('Full Customer List'!$J:$J,K$1,'Full Customer List'!$E:$E,$AF80)</f>
        <v>-3</v>
      </c>
      <c r="L87" s="255">
        <f>-COUNTIFS('Full Customer List'!$J:$J,L$1,'Full Customer List'!$E:$E,$AF80)</f>
        <v>-2</v>
      </c>
      <c r="M87" s="255">
        <f>-COUNTIFS('Full Customer List'!$J:$J,M$1,'Full Customer List'!$E:$E,$AF80)</f>
        <v>-4</v>
      </c>
      <c r="N87" s="255">
        <f>-COUNTIFS('Full Customer List'!$J:$J,N$1,'Full Customer List'!$E:$E,$AF80)</f>
        <v>-2</v>
      </c>
      <c r="O87" s="255">
        <f>-COUNTIFS('Full Customer List'!$J:$J,O$1,'Full Customer List'!$E:$E,$AF80)</f>
        <v>-6</v>
      </c>
      <c r="P87" s="255">
        <f>-COUNTIFS('Full Customer List'!$J:$J,P$1,'Full Customer List'!$E:$E,$AF80)</f>
        <v>0</v>
      </c>
      <c r="Q87" s="255">
        <f>-COUNTIFS('Full Customer List'!$J:$J,Q$1,'Full Customer List'!$E:$E,$AF80)</f>
        <v>-2</v>
      </c>
      <c r="R87" s="255">
        <f>-COUNTIFS('Full Customer List'!$J:$J,R$1,'Full Customer List'!$E:$E,$AF80)</f>
        <v>-3</v>
      </c>
      <c r="S87" s="255">
        <f>-COUNTIFS('Full Customer List'!$J:$J,S$1,'Full Customer List'!$E:$E,$AF80)</f>
        <v>-1</v>
      </c>
      <c r="T87" s="255">
        <f>-COUNTIFS('Full Customer List'!$J:$J,T$1,'Full Customer List'!$E:$E,$AF80)</f>
        <v>-8</v>
      </c>
      <c r="U87" s="255">
        <f>-COUNTIFS('Full Customer List'!$J:$J,U$1,'Full Customer List'!$E:$E,$AF80)</f>
        <v>-8</v>
      </c>
      <c r="V87" s="255">
        <f>-COUNTIFS('Full Customer List'!$J:$J,V$1,'Full Customer List'!$E:$E,$AF80)</f>
        <v>-2</v>
      </c>
      <c r="W87" s="255">
        <f>-COUNTIFS('Full Customer List'!$J:$J,W$1,'Full Customer List'!$E:$E,$AF80)</f>
        <v>0</v>
      </c>
      <c r="X87" s="255">
        <f>-COUNTIFS('Full Customer List'!$J:$J,X$1,'Full Customer List'!$E:$E,$AF80)</f>
        <v>0</v>
      </c>
      <c r="Y87" s="255">
        <f>-COUNTIFS('Full Customer List'!$J:$J,Y$1,'Full Customer List'!$E:$E,$AF80)</f>
        <v>0</v>
      </c>
      <c r="Z87" s="255">
        <f>-COUNTIFS('Full Customer List'!$J:$J,Z$1,'Full Customer List'!$E:$E,$AF80)</f>
        <v>-1</v>
      </c>
      <c r="AA87" s="255">
        <f>-COUNTIFS('Full Customer List'!$J:$J,AA$1,'Full Customer List'!$E:$E,$AF80)</f>
        <v>0</v>
      </c>
      <c r="AB87" s="255">
        <f>-COUNTIFS('Full Customer List'!$J:$J,AB$1,'Full Customer List'!$E:$E,$AF80)</f>
        <v>-1</v>
      </c>
      <c r="AC87" s="255">
        <f>-COUNTIFS('Full Customer List'!$J:$J,AC$1,'Full Customer List'!$E:$E,$AF80)</f>
        <v>0</v>
      </c>
      <c r="AD87" s="255">
        <f>-COUNTIFS('Full Customer List'!$J:$J,AD$1,'Full Customer List'!$E:$E,$AF80)</f>
        <v>0</v>
      </c>
    </row>
    <row r="88" spans="2:34">
      <c r="B88" s="256" t="s">
        <v>1315</v>
      </c>
      <c r="C88" s="257"/>
      <c r="D88" s="257"/>
      <c r="E88" s="257">
        <f>+F82</f>
        <v>3</v>
      </c>
      <c r="F88" s="258">
        <f>+$AD88</f>
        <v>0</v>
      </c>
      <c r="H88" s="261">
        <f>+$AD88</f>
        <v>0</v>
      </c>
      <c r="J88" s="259">
        <f t="shared" ref="J88:AC88" si="201">+K82</f>
        <v>26</v>
      </c>
      <c r="K88" s="257">
        <f t="shared" si="201"/>
        <v>26</v>
      </c>
      <c r="L88" s="257">
        <f t="shared" si="201"/>
        <v>26</v>
      </c>
      <c r="M88" s="257">
        <f t="shared" si="201"/>
        <v>23</v>
      </c>
      <c r="N88" s="257">
        <f t="shared" si="201"/>
        <v>23</v>
      </c>
      <c r="O88" s="257">
        <f t="shared" si="201"/>
        <v>18</v>
      </c>
      <c r="P88" s="257">
        <f t="shared" si="201"/>
        <v>19</v>
      </c>
      <c r="Q88" s="257">
        <f t="shared" si="201"/>
        <v>18</v>
      </c>
      <c r="R88" s="257">
        <f t="shared" si="201"/>
        <v>17</v>
      </c>
      <c r="S88" s="259">
        <f t="shared" si="201"/>
        <v>17</v>
      </c>
      <c r="T88" s="257">
        <f t="shared" si="201"/>
        <v>10</v>
      </c>
      <c r="U88" s="257">
        <f t="shared" si="201"/>
        <v>3</v>
      </c>
      <c r="V88" s="257">
        <f t="shared" si="201"/>
        <v>1</v>
      </c>
      <c r="W88" s="257">
        <f t="shared" si="201"/>
        <v>1</v>
      </c>
      <c r="X88" s="257">
        <f t="shared" si="201"/>
        <v>1</v>
      </c>
      <c r="Y88" s="257">
        <f t="shared" si="201"/>
        <v>2</v>
      </c>
      <c r="Z88" s="257">
        <f t="shared" si="201"/>
        <v>1</v>
      </c>
      <c r="AA88" s="257">
        <f t="shared" si="201"/>
        <v>1</v>
      </c>
      <c r="AB88" s="257">
        <f t="shared" si="201"/>
        <v>0</v>
      </c>
      <c r="AC88" s="257">
        <f t="shared" si="201"/>
        <v>0</v>
      </c>
      <c r="AD88" s="258">
        <f>COUNTIFS('Full Customer List'!$C:$C,"Active",'Full Customer List'!$E:$E,'Client Retention'!$AF80)</f>
        <v>0</v>
      </c>
    </row>
    <row r="89" spans="2:34" ht="3.95" customHeight="1">
      <c r="B89" s="179"/>
      <c r="C89" s="229"/>
      <c r="D89" s="229"/>
      <c r="E89" s="229"/>
      <c r="F89" s="229"/>
      <c r="H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30"/>
      <c r="AC89" s="230"/>
      <c r="AD89" s="230"/>
    </row>
    <row r="90" spans="2:34">
      <c r="B90" s="256" t="s">
        <v>1851</v>
      </c>
      <c r="C90" s="257"/>
      <c r="D90" s="257"/>
      <c r="E90" s="257">
        <f>AVERAGE(E82,E88)</f>
        <v>16.5</v>
      </c>
      <c r="F90" s="258">
        <f>AVERAGE(F82,F88)</f>
        <v>1.5</v>
      </c>
      <c r="H90" s="261">
        <f>AVERAGE(H82,H88)</f>
        <v>8.5</v>
      </c>
      <c r="J90" s="259">
        <f>AVERAGE(J82,J88)</f>
        <v>28</v>
      </c>
      <c r="K90" s="257">
        <f t="shared" ref="K90:AD90" si="202">AVERAGE(K82,K88)</f>
        <v>26</v>
      </c>
      <c r="L90" s="257">
        <f t="shared" si="202"/>
        <v>26</v>
      </c>
      <c r="M90" s="257">
        <f t="shared" si="202"/>
        <v>24.5</v>
      </c>
      <c r="N90" s="257">
        <f t="shared" si="202"/>
        <v>23</v>
      </c>
      <c r="O90" s="257">
        <f t="shared" si="202"/>
        <v>20.5</v>
      </c>
      <c r="P90" s="257">
        <f t="shared" si="202"/>
        <v>18.5</v>
      </c>
      <c r="Q90" s="257">
        <f t="shared" si="202"/>
        <v>18.5</v>
      </c>
      <c r="R90" s="257">
        <f t="shared" si="202"/>
        <v>17.5</v>
      </c>
      <c r="S90" s="259">
        <f t="shared" si="202"/>
        <v>17</v>
      </c>
      <c r="T90" s="257">
        <f t="shared" si="202"/>
        <v>13.5</v>
      </c>
      <c r="U90" s="257">
        <f t="shared" si="202"/>
        <v>6.5</v>
      </c>
      <c r="V90" s="257">
        <f t="shared" si="202"/>
        <v>2</v>
      </c>
      <c r="W90" s="257">
        <f t="shared" si="202"/>
        <v>1</v>
      </c>
      <c r="X90" s="257">
        <f t="shared" si="202"/>
        <v>1</v>
      </c>
      <c r="Y90" s="257">
        <f t="shared" si="202"/>
        <v>1.5</v>
      </c>
      <c r="Z90" s="257">
        <f t="shared" si="202"/>
        <v>1.5</v>
      </c>
      <c r="AA90" s="257">
        <f t="shared" si="202"/>
        <v>1</v>
      </c>
      <c r="AB90" s="257">
        <f t="shared" si="202"/>
        <v>0.5</v>
      </c>
      <c r="AC90" s="257">
        <f t="shared" si="202"/>
        <v>0</v>
      </c>
      <c r="AD90" s="260">
        <f t="shared" si="202"/>
        <v>0</v>
      </c>
    </row>
    <row r="91" spans="2:34" ht="3.95" customHeight="1">
      <c r="B91" s="179"/>
      <c r="C91" s="229"/>
      <c r="D91" s="229"/>
      <c r="E91" s="229"/>
      <c r="F91" s="229"/>
      <c r="H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30"/>
      <c r="AC91" s="230"/>
      <c r="AD91" s="230"/>
    </row>
    <row r="92" spans="2:34">
      <c r="B92" s="231" t="s">
        <v>1518</v>
      </c>
      <c r="C92" s="232"/>
      <c r="D92" s="232"/>
      <c r="E92" s="233">
        <f>(E83+E82)/E82-1</f>
        <v>0.53333333333333344</v>
      </c>
      <c r="F92" s="244">
        <f>(F83+F82)/F82-1</f>
        <v>0.33333333333333326</v>
      </c>
      <c r="G92" s="245"/>
      <c r="H92" s="246">
        <f>(H83+H82)/H82-1</f>
        <v>0.23529411764705888</v>
      </c>
      <c r="J92" s="243">
        <f t="shared" ref="J92:AB92" si="203">(J83+J82)/J82-1</f>
        <v>0</v>
      </c>
      <c r="K92" s="233">
        <f t="shared" si="203"/>
        <v>0.11538461538461542</v>
      </c>
      <c r="L92" s="233">
        <f t="shared" si="203"/>
        <v>7.6923076923076872E-2</v>
      </c>
      <c r="M92" s="233">
        <f t="shared" si="203"/>
        <v>3.8461538461538547E-2</v>
      </c>
      <c r="N92" s="233">
        <f t="shared" si="203"/>
        <v>8.6956521739130377E-2</v>
      </c>
      <c r="O92" s="233">
        <f t="shared" si="203"/>
        <v>4.3478260869565188E-2</v>
      </c>
      <c r="P92" s="233">
        <f t="shared" si="203"/>
        <v>5.555555555555558E-2</v>
      </c>
      <c r="Q92" s="233">
        <f t="shared" si="203"/>
        <v>5.2631578947368363E-2</v>
      </c>
      <c r="R92" s="233">
        <f t="shared" si="203"/>
        <v>0.11111111111111116</v>
      </c>
      <c r="S92" s="243">
        <f t="shared" si="203"/>
        <v>5.8823529411764719E-2</v>
      </c>
      <c r="T92" s="233">
        <f t="shared" si="203"/>
        <v>5.8823529411764719E-2</v>
      </c>
      <c r="U92" s="233">
        <f t="shared" si="203"/>
        <v>0.10000000000000009</v>
      </c>
      <c r="V92" s="233">
        <f t="shared" si="203"/>
        <v>0</v>
      </c>
      <c r="W92" s="233">
        <f t="shared" si="203"/>
        <v>0</v>
      </c>
      <c r="X92" s="233">
        <f t="shared" si="203"/>
        <v>0</v>
      </c>
      <c r="Y92" s="233">
        <f t="shared" si="203"/>
        <v>1</v>
      </c>
      <c r="Z92" s="233">
        <f t="shared" si="203"/>
        <v>0</v>
      </c>
      <c r="AA92" s="233">
        <f t="shared" si="203"/>
        <v>0</v>
      </c>
      <c r="AB92" s="233">
        <f t="shared" si="203"/>
        <v>0</v>
      </c>
      <c r="AC92" s="233">
        <f>IFERROR((AC83+AC82)/AC82-1,0)</f>
        <v>0</v>
      </c>
      <c r="AD92" s="244">
        <f>IFERROR((AD83+AD82)/AD82-1,0)</f>
        <v>0</v>
      </c>
    </row>
    <row r="93" spans="2:34" ht="12" customHeight="1">
      <c r="B93" s="234" t="s">
        <v>1519</v>
      </c>
      <c r="C93" s="235"/>
      <c r="D93" s="235"/>
      <c r="E93" s="236">
        <f>(E87+E90)/E90-1</f>
        <v>-2.606060606060606</v>
      </c>
      <c r="F93" s="237">
        <f>(F87+F90)/F90-1</f>
        <v>-2.666666666666667</v>
      </c>
      <c r="G93" s="245"/>
      <c r="H93" s="239">
        <f>(H87+H90)/H90-1</f>
        <v>-2.4705882352941178</v>
      </c>
      <c r="J93" s="238">
        <f t="shared" ref="J93:AB93" si="204">(J87+J90)/J90-1</f>
        <v>-0.1428571428571429</v>
      </c>
      <c r="K93" s="236">
        <f t="shared" si="204"/>
        <v>-0.11538461538461542</v>
      </c>
      <c r="L93" s="236">
        <f t="shared" si="204"/>
        <v>-7.6923076923076872E-2</v>
      </c>
      <c r="M93" s="236">
        <f t="shared" si="204"/>
        <v>-0.16326530612244894</v>
      </c>
      <c r="N93" s="236">
        <f t="shared" si="204"/>
        <v>-8.6956521739130488E-2</v>
      </c>
      <c r="O93" s="236">
        <f t="shared" si="204"/>
        <v>-0.29268292682926833</v>
      </c>
      <c r="P93" s="236">
        <f t="shared" si="204"/>
        <v>0</v>
      </c>
      <c r="Q93" s="236">
        <f t="shared" si="204"/>
        <v>-0.10810810810810811</v>
      </c>
      <c r="R93" s="236">
        <f t="shared" si="204"/>
        <v>-0.17142857142857137</v>
      </c>
      <c r="S93" s="238">
        <f t="shared" si="204"/>
        <v>-5.8823529411764719E-2</v>
      </c>
      <c r="T93" s="236">
        <f t="shared" si="204"/>
        <v>-0.59259259259259256</v>
      </c>
      <c r="U93" s="236">
        <f t="shared" si="204"/>
        <v>-1.2307692307692308</v>
      </c>
      <c r="V93" s="236">
        <f t="shared" si="204"/>
        <v>-1</v>
      </c>
      <c r="W93" s="236">
        <f t="shared" si="204"/>
        <v>0</v>
      </c>
      <c r="X93" s="236">
        <f t="shared" si="204"/>
        <v>0</v>
      </c>
      <c r="Y93" s="236">
        <f t="shared" si="204"/>
        <v>0</v>
      </c>
      <c r="Z93" s="236">
        <f t="shared" si="204"/>
        <v>-0.66666666666666674</v>
      </c>
      <c r="AA93" s="236">
        <f t="shared" si="204"/>
        <v>0</v>
      </c>
      <c r="AB93" s="236">
        <f t="shared" si="204"/>
        <v>-2</v>
      </c>
      <c r="AC93" s="236">
        <f>IFERROR((AC87+AC90)/AC90-1,0)</f>
        <v>0</v>
      </c>
      <c r="AD93" s="237">
        <f>IFERROR((AD87+AD90)/AD90-1,0)</f>
        <v>0</v>
      </c>
    </row>
    <row r="94" spans="2:34" ht="3.95" customHeight="1">
      <c r="AF94" s="217"/>
    </row>
    <row r="95" spans="2:34" ht="24">
      <c r="B95" s="159" t="s">
        <v>1308</v>
      </c>
      <c r="C95" s="176" t="s">
        <v>1316</v>
      </c>
      <c r="D95" s="176" t="s">
        <v>3</v>
      </c>
      <c r="E95" s="176" t="s">
        <v>4</v>
      </c>
      <c r="F95" s="176" t="s">
        <v>1317</v>
      </c>
      <c r="G95" s="190"/>
      <c r="H95" s="176" t="s">
        <v>1527</v>
      </c>
      <c r="J95" s="189">
        <v>45658</v>
      </c>
      <c r="K95" s="189">
        <f t="shared" ref="K95" si="205">EOMONTH(J95,0)+1</f>
        <v>45689</v>
      </c>
      <c r="L95" s="189">
        <f t="shared" ref="L95" si="206">EOMONTH(K95,0)+1</f>
        <v>45717</v>
      </c>
      <c r="M95" s="189">
        <f t="shared" ref="M95" si="207">EOMONTH(L95,0)+1</f>
        <v>45748</v>
      </c>
      <c r="N95" s="189">
        <f t="shared" ref="N95" si="208">EOMONTH(M95,0)+1</f>
        <v>45778</v>
      </c>
      <c r="O95" s="189">
        <f t="shared" ref="O95" si="209">EOMONTH(N95,0)+1</f>
        <v>45809</v>
      </c>
      <c r="P95" s="189">
        <f t="shared" ref="P95" si="210">EOMONTH(O95,0)+1</f>
        <v>45839</v>
      </c>
      <c r="Q95" s="189">
        <v>45870</v>
      </c>
      <c r="R95" s="189">
        <f t="shared" ref="R95" si="211">EOMONTH(Q95,0)+1</f>
        <v>45901</v>
      </c>
      <c r="S95" s="189">
        <f t="shared" ref="S95" si="212">EOMONTH(R95,0)+1</f>
        <v>45931</v>
      </c>
      <c r="T95" s="189">
        <f t="shared" ref="T95" si="213">EOMONTH(S95,0)+1</f>
        <v>45962</v>
      </c>
      <c r="U95" s="189">
        <f t="shared" ref="U95" si="214">EOMONTH(T95,0)+1</f>
        <v>45992</v>
      </c>
      <c r="V95" s="189">
        <f t="shared" ref="V95" si="215">EOMONTH(U95,0)+1</f>
        <v>46023</v>
      </c>
      <c r="W95" s="189">
        <f t="shared" ref="W95" si="216">EOMONTH(V95,0)+1</f>
        <v>46054</v>
      </c>
      <c r="X95" s="189">
        <f t="shared" ref="X95" si="217">EOMONTH(W95,0)+1</f>
        <v>46082</v>
      </c>
      <c r="Y95" s="189">
        <f t="shared" ref="Y95" si="218">EOMONTH(X95,0)+1</f>
        <v>46113</v>
      </c>
      <c r="Z95" s="189">
        <f t="shared" ref="Z95" si="219">EOMONTH(Y95,0)+1</f>
        <v>46143</v>
      </c>
      <c r="AA95" s="189">
        <f t="shared" ref="AA95" si="220">EOMONTH(Z95,0)+1</f>
        <v>46174</v>
      </c>
      <c r="AB95" s="189">
        <f t="shared" ref="AB95" si="221">EOMONTH(AA95,0)+1</f>
        <v>46204</v>
      </c>
      <c r="AC95" s="189">
        <f t="shared" ref="AC95" si="222">EOMONTH(AB95,0)+1</f>
        <v>46235</v>
      </c>
      <c r="AD95" s="189">
        <f t="shared" ref="AD95" si="223">EOMONTH(AC95,0)+1</f>
        <v>46266</v>
      </c>
      <c r="AE95" s="184"/>
      <c r="AF95" s="240" t="s">
        <v>1303</v>
      </c>
      <c r="AG95" s="184"/>
      <c r="AH95" s="184"/>
    </row>
    <row r="96" spans="2:34">
      <c r="B96" s="183" t="str">
        <f>+AF95</f>
        <v>Tax-Only Client</v>
      </c>
      <c r="C96" s="43"/>
      <c r="D96" s="43"/>
      <c r="E96" s="43"/>
      <c r="F96" s="43"/>
      <c r="G96" s="6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6"/>
      <c r="AF96" s="6"/>
      <c r="AG96" s="6"/>
      <c r="AH96" s="6"/>
    </row>
    <row r="97" spans="2:37">
      <c r="B97" s="173" t="s">
        <v>1313</v>
      </c>
      <c r="C97" s="181"/>
      <c r="D97" s="181"/>
      <c r="E97" s="181">
        <f>+E103-E98-E102</f>
        <v>0</v>
      </c>
      <c r="F97" s="181">
        <f>+F103-F98-F102</f>
        <v>8</v>
      </c>
      <c r="H97" s="181">
        <f t="shared" ref="H97" si="224">+H103-H98-H102</f>
        <v>1</v>
      </c>
      <c r="J97" s="181">
        <f t="shared" ref="J97:Z97" si="225">+J103-J98-J102</f>
        <v>0</v>
      </c>
      <c r="K97" s="181">
        <f t="shared" si="225"/>
        <v>0</v>
      </c>
      <c r="L97" s="181">
        <f t="shared" si="225"/>
        <v>0</v>
      </c>
      <c r="M97" s="181">
        <f t="shared" si="225"/>
        <v>0</v>
      </c>
      <c r="N97" s="181">
        <f t="shared" si="225"/>
        <v>0</v>
      </c>
      <c r="O97" s="181">
        <f t="shared" si="225"/>
        <v>0</v>
      </c>
      <c r="P97" s="181">
        <f t="shared" si="225"/>
        <v>0</v>
      </c>
      <c r="Q97" s="181">
        <f t="shared" si="225"/>
        <v>0</v>
      </c>
      <c r="R97" s="181">
        <f t="shared" si="225"/>
        <v>0</v>
      </c>
      <c r="S97" s="181">
        <f t="shared" si="225"/>
        <v>1</v>
      </c>
      <c r="T97" s="181">
        <f t="shared" si="225"/>
        <v>9</v>
      </c>
      <c r="U97" s="181">
        <f t="shared" si="225"/>
        <v>8</v>
      </c>
      <c r="V97" s="181">
        <f t="shared" si="225"/>
        <v>8</v>
      </c>
      <c r="W97" s="181">
        <f t="shared" si="225"/>
        <v>9</v>
      </c>
      <c r="X97" s="181">
        <f t="shared" si="225"/>
        <v>11</v>
      </c>
      <c r="Y97" s="181">
        <f t="shared" si="225"/>
        <v>11</v>
      </c>
      <c r="Z97" s="181">
        <f t="shared" si="225"/>
        <v>11</v>
      </c>
      <c r="AA97" s="181">
        <f>+AA103-AA98-AA102</f>
        <v>11</v>
      </c>
      <c r="AB97" s="181">
        <f>+AB103-AB98-AB102</f>
        <v>11</v>
      </c>
      <c r="AC97" s="181">
        <f t="shared" ref="AC97:AD97" si="226">+AC103-AC98-AC102</f>
        <v>11</v>
      </c>
      <c r="AD97" s="181">
        <f t="shared" si="226"/>
        <v>11</v>
      </c>
    </row>
    <row r="98" spans="2:37">
      <c r="B98" s="188" t="s">
        <v>1314</v>
      </c>
      <c r="E98" s="194">
        <f>SUM(J98:U98)</f>
        <v>10</v>
      </c>
      <c r="F98" s="194">
        <f>SUM(V98:AD98)</f>
        <v>3</v>
      </c>
      <c r="H98" s="194">
        <f>SUM(S98:AD98)</f>
        <v>11</v>
      </c>
      <c r="J98" s="192">
        <f>COUNTIFS('Full Customer List'!$I:$I,'Client Retention'!J$5,'Full Customer List'!$E:$E,$AF95)</f>
        <v>0</v>
      </c>
      <c r="K98" s="192">
        <f>COUNTIFS('Full Customer List'!$I:$I,'Client Retention'!K$5,'Full Customer List'!$E:$E,$AF95)</f>
        <v>0</v>
      </c>
      <c r="L98" s="192">
        <f>COUNTIFS('Full Customer List'!$I:$I,'Client Retention'!L$5,'Full Customer List'!$E:$E,$AF95)</f>
        <v>0</v>
      </c>
      <c r="M98" s="192">
        <f>COUNTIFS('Full Customer List'!$I:$I,'Client Retention'!M$5,'Full Customer List'!$E:$E,$AF95)</f>
        <v>0</v>
      </c>
      <c r="N98" s="192">
        <f>COUNTIFS('Full Customer List'!$I:$I,'Client Retention'!N$5,'Full Customer List'!$E:$E,$AF95)</f>
        <v>0</v>
      </c>
      <c r="O98" s="192">
        <f>COUNTIFS('Full Customer List'!$I:$I,'Client Retention'!O$5,'Full Customer List'!$E:$E,$AF95)</f>
        <v>0</v>
      </c>
      <c r="P98" s="192">
        <f>COUNTIFS('Full Customer List'!$I:$I,'Client Retention'!P$5,'Full Customer List'!$E:$E,$AF95)</f>
        <v>0</v>
      </c>
      <c r="Q98" s="192">
        <f>COUNTIFS('Full Customer List'!$I:$I,'Client Retention'!Q$5,'Full Customer List'!$E:$E,$AF95)</f>
        <v>0</v>
      </c>
      <c r="R98" s="192">
        <f>COUNTIFS('Full Customer List'!$I:$I,'Client Retention'!R$5,'Full Customer List'!$E:$E,$AF95)</f>
        <v>2</v>
      </c>
      <c r="S98" s="192">
        <f>COUNTIFS('Full Customer List'!$I:$I,'Client Retention'!S$5,'Full Customer List'!$E:$E,$AF95)</f>
        <v>8</v>
      </c>
      <c r="T98" s="192">
        <f>COUNTIFS('Full Customer List'!$I:$I,'Client Retention'!T$5,'Full Customer List'!$E:$E,$AF95)</f>
        <v>0</v>
      </c>
      <c r="U98" s="192">
        <f>COUNTIFS('Full Customer List'!$I:$I,'Client Retention'!U$5,'Full Customer List'!$E:$E,$AF95)</f>
        <v>0</v>
      </c>
      <c r="V98" s="192">
        <f>COUNTIFS('Full Customer List'!$I:$I,'Client Retention'!V$5,'Full Customer List'!$E:$E,$AF95)</f>
        <v>1</v>
      </c>
      <c r="W98" s="192">
        <f>COUNTIFS('Full Customer List'!$I:$I,'Client Retention'!W$5,'Full Customer List'!$E:$E,$AF95)</f>
        <v>2</v>
      </c>
      <c r="X98" s="192">
        <f>COUNTIFS('Full Customer List'!$I:$I,'Client Retention'!X$5,'Full Customer List'!$E:$E,$AF95)</f>
        <v>0</v>
      </c>
      <c r="Y98" s="192">
        <f>COUNTIFS('Full Customer List'!$I:$I,'Client Retention'!Y$5,'Full Customer List'!$E:$E,$AF95)</f>
        <v>0</v>
      </c>
      <c r="Z98" s="192">
        <f>COUNTIFS('Full Customer List'!$I:$I,'Client Retention'!Z$5,'Full Customer List'!$E:$E,$AF95)</f>
        <v>0</v>
      </c>
      <c r="AA98" s="192">
        <f>COUNTIFS('Full Customer List'!$I:$I,'Client Retention'!AA$5,'Full Customer List'!$E:$E,$AF95)</f>
        <v>0</v>
      </c>
      <c r="AB98" s="192">
        <f>COUNTIFS('Full Customer List'!$I:$I,'Client Retention'!AB$5,'Full Customer List'!$E:$E,$AF95)</f>
        <v>0</v>
      </c>
      <c r="AC98" s="192">
        <f>COUNTIFS('Full Customer List'!$I:$I,'Client Retention'!AC$5,'Full Customer List'!$E:$E,$AF95)</f>
        <v>0</v>
      </c>
      <c r="AD98" s="192">
        <f>COUNTIFS('Full Customer List'!$I:$I,'Client Retention'!AD$5,'Full Customer List'!$E:$E,$AF95)</f>
        <v>0</v>
      </c>
    </row>
    <row r="99" spans="2:37">
      <c r="B99" s="262" t="s">
        <v>1528</v>
      </c>
      <c r="E99" s="194">
        <f t="shared" ref="E99:E101" si="227">SUM(J99:U99)</f>
        <v>0</v>
      </c>
      <c r="F99" s="194">
        <f t="shared" ref="F99:F101" si="228">SUM(V99:AD99)</f>
        <v>0</v>
      </c>
      <c r="H99" s="194">
        <f t="shared" ref="H99:H101" si="229">SUM(S99:AD99)</f>
        <v>0</v>
      </c>
      <c r="J99" s="192">
        <f>-COUNTIFS('Full Customer List'!$J:$J,J$1,'Full Customer List'!$E:$E,$AF95,'Full Customer List'!$H:$H,'Client Retention'!$AF99)</f>
        <v>0</v>
      </c>
      <c r="K99" s="192">
        <f>-COUNTIFS('Full Customer List'!$J:$J,K$1,'Full Customer List'!$E:$E,$AF95,'Full Customer List'!$H:$H,'Client Retention'!$AF99)</f>
        <v>0</v>
      </c>
      <c r="L99" s="192">
        <f>-COUNTIFS('Full Customer List'!$J:$J,L$1,'Full Customer List'!$E:$E,$AF95,'Full Customer List'!$H:$H,'Client Retention'!$AF99)</f>
        <v>0</v>
      </c>
      <c r="M99" s="192">
        <f>-COUNTIFS('Full Customer List'!$J:$J,M$1,'Full Customer List'!$E:$E,$AF95,'Full Customer List'!$H:$H,'Client Retention'!$AF99)</f>
        <v>0</v>
      </c>
      <c r="N99" s="192">
        <f>-COUNTIFS('Full Customer List'!$J:$J,N$1,'Full Customer List'!$E:$E,$AF95,'Full Customer List'!$H:$H,'Client Retention'!$AF99)</f>
        <v>0</v>
      </c>
      <c r="O99" s="192">
        <f>-COUNTIFS('Full Customer List'!$J:$J,O$1,'Full Customer List'!$E:$E,$AF95,'Full Customer List'!$H:$H,'Client Retention'!$AF99)</f>
        <v>0</v>
      </c>
      <c r="P99" s="192">
        <f>-COUNTIFS('Full Customer List'!$J:$J,P$1,'Full Customer List'!$E:$E,$AF95,'Full Customer List'!$H:$H,'Client Retention'!$AF99)</f>
        <v>0</v>
      </c>
      <c r="Q99" s="192">
        <f>-COUNTIFS('Full Customer List'!$J:$J,Q$1,'Full Customer List'!$E:$E,$AF95,'Full Customer List'!$H:$H,'Client Retention'!$AF99)</f>
        <v>0</v>
      </c>
      <c r="R99" s="192">
        <f>-COUNTIFS('Full Customer List'!$J:$J,R$1,'Full Customer List'!$E:$E,$AF95,'Full Customer List'!$H:$H,'Client Retention'!$AF99)</f>
        <v>0</v>
      </c>
      <c r="S99" s="192">
        <f>-COUNTIFS('Full Customer List'!$J:$J,S$1,'Full Customer List'!$E:$E,$AF95,'Full Customer List'!$H:$H,'Client Retention'!$AF99)</f>
        <v>0</v>
      </c>
      <c r="T99" s="192">
        <f>-COUNTIFS('Full Customer List'!$J:$J,T$1,'Full Customer List'!$E:$E,$AF95,'Full Customer List'!$H:$H,'Client Retention'!$AF99)</f>
        <v>0</v>
      </c>
      <c r="U99" s="192">
        <f>-COUNTIFS('Full Customer List'!$J:$J,U$1,'Full Customer List'!$E:$E,$AF95,'Full Customer List'!$H:$H,'Client Retention'!$AF99)</f>
        <v>0</v>
      </c>
      <c r="V99" s="192">
        <f>-COUNTIFS('Full Customer List'!$J:$J,V$1,'Full Customer List'!$E:$E,$AF95,'Full Customer List'!$H:$H,'Client Retention'!$AF99)</f>
        <v>0</v>
      </c>
      <c r="W99" s="192">
        <f>-COUNTIFS('Full Customer List'!$J:$J,W$1,'Full Customer List'!$E:$E,$AF95,'Full Customer List'!$H:$H,'Client Retention'!$AF99)</f>
        <v>0</v>
      </c>
      <c r="X99" s="192">
        <f>-COUNTIFS('Full Customer List'!$J:$J,X$1,'Full Customer List'!$E:$E,$AF95,'Full Customer List'!$H:$H,'Client Retention'!$AF99)</f>
        <v>0</v>
      </c>
      <c r="Y99" s="192">
        <f>-COUNTIFS('Full Customer List'!$J:$J,Y$1,'Full Customer List'!$E:$E,$AF95,'Full Customer List'!$H:$H,'Client Retention'!$AF99)</f>
        <v>0</v>
      </c>
      <c r="Z99" s="192">
        <f>-COUNTIFS('Full Customer List'!$J:$J,Z$1,'Full Customer List'!$E:$E,$AF95,'Full Customer List'!$H:$H,'Client Retention'!$AF99)</f>
        <v>0</v>
      </c>
      <c r="AA99" s="192">
        <f>-COUNTIFS('Full Customer List'!$J:$J,AA$1,'Full Customer List'!$E:$E,$AF95,'Full Customer List'!$H:$H,'Client Retention'!$AF99)</f>
        <v>0</v>
      </c>
      <c r="AB99" s="192">
        <f>-COUNTIFS('Full Customer List'!$J:$J,AB$1,'Full Customer List'!$E:$E,$AF95,'Full Customer List'!$H:$H,'Client Retention'!$AF99)</f>
        <v>0</v>
      </c>
      <c r="AC99" s="192">
        <f>-COUNTIFS('Full Customer List'!$J:$J,AC$1,'Full Customer List'!$E:$E,$AF95,'Full Customer List'!$H:$H,'Client Retention'!$AF99)</f>
        <v>0</v>
      </c>
      <c r="AD99" s="192">
        <f>-COUNTIFS('Full Customer List'!$J:$J,AD$1,'Full Customer List'!$E:$E,$AF95,'Full Customer List'!$H:$H,'Client Retention'!$AF99)</f>
        <v>0</v>
      </c>
      <c r="AF99" s="173" t="s">
        <v>504</v>
      </c>
    </row>
    <row r="100" spans="2:37">
      <c r="B100" s="262" t="s">
        <v>1529</v>
      </c>
      <c r="E100" s="194">
        <f t="shared" si="227"/>
        <v>0</v>
      </c>
      <c r="F100" s="194">
        <f t="shared" si="228"/>
        <v>0</v>
      </c>
      <c r="H100" s="194">
        <f t="shared" si="229"/>
        <v>0</v>
      </c>
      <c r="J100" s="192">
        <f>-COUNTIFS('Full Customer List'!$J:$J,J$1,'Full Customer List'!$E:$E,$AF95,'Full Customer List'!$H:$H,'Client Retention'!$AF100)</f>
        <v>0</v>
      </c>
      <c r="K100" s="192">
        <f>-COUNTIFS('Full Customer List'!$J:$J,K$1,'Full Customer List'!$E:$E,$AF95,'Full Customer List'!$H:$H,'Client Retention'!$AF100)</f>
        <v>0</v>
      </c>
      <c r="L100" s="192">
        <f>-COUNTIFS('Full Customer List'!$J:$J,L$1,'Full Customer List'!$E:$E,$AF95,'Full Customer List'!$H:$H,'Client Retention'!$AF100)</f>
        <v>0</v>
      </c>
      <c r="M100" s="192">
        <f>-COUNTIFS('Full Customer List'!$J:$J,M$1,'Full Customer List'!$E:$E,$AF95,'Full Customer List'!$H:$H,'Client Retention'!$AF100)</f>
        <v>0</v>
      </c>
      <c r="N100" s="192">
        <f>-COUNTIFS('Full Customer List'!$J:$J,N$1,'Full Customer List'!$E:$E,$AF95,'Full Customer List'!$H:$H,'Client Retention'!$AF100)</f>
        <v>0</v>
      </c>
      <c r="O100" s="192">
        <f>-COUNTIFS('Full Customer List'!$J:$J,O$1,'Full Customer List'!$E:$E,$AF95,'Full Customer List'!$H:$H,'Client Retention'!$AF100)</f>
        <v>0</v>
      </c>
      <c r="P100" s="192">
        <f>-COUNTIFS('Full Customer List'!$J:$J,P$1,'Full Customer List'!$E:$E,$AF95,'Full Customer List'!$H:$H,'Client Retention'!$AF100)</f>
        <v>0</v>
      </c>
      <c r="Q100" s="192">
        <f>-COUNTIFS('Full Customer List'!$J:$J,Q$1,'Full Customer List'!$E:$E,$AF95,'Full Customer List'!$H:$H,'Client Retention'!$AF100)</f>
        <v>0</v>
      </c>
      <c r="R100" s="192">
        <f>-COUNTIFS('Full Customer List'!$J:$J,R$1,'Full Customer List'!$E:$E,$AF95,'Full Customer List'!$H:$H,'Client Retention'!$AF100)</f>
        <v>0</v>
      </c>
      <c r="S100" s="192">
        <f>-COUNTIFS('Full Customer List'!$J:$J,S$1,'Full Customer List'!$E:$E,$AF95,'Full Customer List'!$H:$H,'Client Retention'!$AF100)</f>
        <v>0</v>
      </c>
      <c r="T100" s="192">
        <f>-COUNTIFS('Full Customer List'!$J:$J,T$1,'Full Customer List'!$E:$E,$AF95,'Full Customer List'!$H:$H,'Client Retention'!$AF100)</f>
        <v>0</v>
      </c>
      <c r="U100" s="192">
        <f>-COUNTIFS('Full Customer List'!$J:$J,U$1,'Full Customer List'!$E:$E,$AF95,'Full Customer List'!$H:$H,'Client Retention'!$AF100)</f>
        <v>0</v>
      </c>
      <c r="V100" s="192">
        <f>-COUNTIFS('Full Customer List'!$J:$J,V$1,'Full Customer List'!$E:$E,$AF95,'Full Customer List'!$H:$H,'Client Retention'!$AF100)</f>
        <v>0</v>
      </c>
      <c r="W100" s="192">
        <f>-COUNTIFS('Full Customer List'!$J:$J,W$1,'Full Customer List'!$E:$E,$AF95,'Full Customer List'!$H:$H,'Client Retention'!$AF100)</f>
        <v>0</v>
      </c>
      <c r="X100" s="192">
        <f>-COUNTIFS('Full Customer List'!$J:$J,X$1,'Full Customer List'!$E:$E,$AF95,'Full Customer List'!$H:$H,'Client Retention'!$AF100)</f>
        <v>0</v>
      </c>
      <c r="Y100" s="192">
        <f>-COUNTIFS('Full Customer List'!$J:$J,Y$1,'Full Customer List'!$E:$E,$AF95,'Full Customer List'!$H:$H,'Client Retention'!$AF100)</f>
        <v>0</v>
      </c>
      <c r="Z100" s="192">
        <f>-COUNTIFS('Full Customer List'!$J:$J,Z$1,'Full Customer List'!$E:$E,$AF95,'Full Customer List'!$H:$H,'Client Retention'!$AF100)</f>
        <v>0</v>
      </c>
      <c r="AA100" s="192">
        <f>-COUNTIFS('Full Customer List'!$J:$J,AA$1,'Full Customer List'!$E:$E,$AF95,'Full Customer List'!$H:$H,'Client Retention'!$AF100)</f>
        <v>0</v>
      </c>
      <c r="AB100" s="192">
        <f>-COUNTIFS('Full Customer List'!$J:$J,AB$1,'Full Customer List'!$E:$E,$AF95,'Full Customer List'!$H:$H,'Client Retention'!$AF100)</f>
        <v>0</v>
      </c>
      <c r="AC100" s="192">
        <f>-COUNTIFS('Full Customer List'!$J:$J,AC$1,'Full Customer List'!$E:$E,$AF95,'Full Customer List'!$H:$H,'Client Retention'!$AF100)</f>
        <v>0</v>
      </c>
      <c r="AD100" s="192">
        <f>-COUNTIFS('Full Customer List'!$J:$J,AD$1,'Full Customer List'!$E:$E,$AF95,'Full Customer List'!$H:$H,'Client Retention'!$AF100)</f>
        <v>0</v>
      </c>
      <c r="AF100" s="173" t="s">
        <v>505</v>
      </c>
    </row>
    <row r="101" spans="2:37">
      <c r="B101" s="262" t="s">
        <v>1530</v>
      </c>
      <c r="E101" s="194">
        <f t="shared" si="227"/>
        <v>-2</v>
      </c>
      <c r="F101" s="194">
        <f t="shared" si="228"/>
        <v>0</v>
      </c>
      <c r="H101" s="194">
        <f t="shared" si="229"/>
        <v>-1</v>
      </c>
      <c r="J101" s="192">
        <f>-COUNTIFS('Full Customer List'!$J:$J,J$1,'Full Customer List'!$E:$E,$AF95,'Full Customer List'!$H:$H,'Client Retention'!$AF101)</f>
        <v>0</v>
      </c>
      <c r="K101" s="192">
        <f>-COUNTIFS('Full Customer List'!$J:$J,K$1,'Full Customer List'!$E:$E,$AF95,'Full Customer List'!$H:$H,'Client Retention'!$AF101)</f>
        <v>0</v>
      </c>
      <c r="L101" s="192">
        <f>-COUNTIFS('Full Customer List'!$J:$J,L$1,'Full Customer List'!$E:$E,$AF95,'Full Customer List'!$H:$H,'Client Retention'!$AF101)</f>
        <v>0</v>
      </c>
      <c r="M101" s="192">
        <f>-COUNTIFS('Full Customer List'!$J:$J,M$1,'Full Customer List'!$E:$E,$AF95,'Full Customer List'!$H:$H,'Client Retention'!$AF101)</f>
        <v>0</v>
      </c>
      <c r="N101" s="192">
        <f>-COUNTIFS('Full Customer List'!$J:$J,N$1,'Full Customer List'!$E:$E,$AF95,'Full Customer List'!$H:$H,'Client Retention'!$AF101)</f>
        <v>0</v>
      </c>
      <c r="O101" s="192">
        <f>-COUNTIFS('Full Customer List'!$J:$J,O$1,'Full Customer List'!$E:$E,$AF95,'Full Customer List'!$H:$H,'Client Retention'!$AF101)</f>
        <v>0</v>
      </c>
      <c r="P101" s="192">
        <f>-COUNTIFS('Full Customer List'!$J:$J,P$1,'Full Customer List'!$E:$E,$AF95,'Full Customer List'!$H:$H,'Client Retention'!$AF101)</f>
        <v>0</v>
      </c>
      <c r="Q101" s="192">
        <f>-COUNTIFS('Full Customer List'!$J:$J,Q$1,'Full Customer List'!$E:$E,$AF95,'Full Customer List'!$H:$H,'Client Retention'!$AF101)</f>
        <v>0</v>
      </c>
      <c r="R101" s="192">
        <f>-COUNTIFS('Full Customer List'!$J:$J,R$1,'Full Customer List'!$E:$E,$AF95,'Full Customer List'!$H:$H,'Client Retention'!$AF101)</f>
        <v>-1</v>
      </c>
      <c r="S101" s="192">
        <f>-COUNTIFS('Full Customer List'!$J:$J,S$1,'Full Customer List'!$E:$E,$AF95,'Full Customer List'!$H:$H,'Client Retention'!$AF101)</f>
        <v>0</v>
      </c>
      <c r="T101" s="192">
        <f>-COUNTIFS('Full Customer List'!$J:$J,T$1,'Full Customer List'!$E:$E,$AF95,'Full Customer List'!$H:$H,'Client Retention'!$AF101)</f>
        <v>-1</v>
      </c>
      <c r="U101" s="192">
        <f>-COUNTIFS('Full Customer List'!$J:$J,U$1,'Full Customer List'!$E:$E,$AF95,'Full Customer List'!$H:$H,'Client Retention'!$AF101)</f>
        <v>0</v>
      </c>
      <c r="V101" s="192">
        <f>-COUNTIFS('Full Customer List'!$J:$J,V$1,'Full Customer List'!$E:$E,$AF95,'Full Customer List'!$H:$H,'Client Retention'!$AF101)</f>
        <v>0</v>
      </c>
      <c r="W101" s="192">
        <f>-COUNTIFS('Full Customer List'!$J:$J,W$1,'Full Customer List'!$E:$E,$AF95,'Full Customer List'!$H:$H,'Client Retention'!$AF101)</f>
        <v>0</v>
      </c>
      <c r="X101" s="192">
        <f>-COUNTIFS('Full Customer List'!$J:$J,X$1,'Full Customer List'!$E:$E,$AF95,'Full Customer List'!$H:$H,'Client Retention'!$AF101)</f>
        <v>0</v>
      </c>
      <c r="Y101" s="192">
        <f>-COUNTIFS('Full Customer List'!$J:$J,Y$1,'Full Customer List'!$E:$E,$AF95,'Full Customer List'!$H:$H,'Client Retention'!$AF101)</f>
        <v>0</v>
      </c>
      <c r="Z101" s="192">
        <f>-COUNTIFS('Full Customer List'!$J:$J,Z$1,'Full Customer List'!$E:$E,$AF95,'Full Customer List'!$H:$H,'Client Retention'!$AF101)</f>
        <v>0</v>
      </c>
      <c r="AA101" s="192">
        <f>-COUNTIFS('Full Customer List'!$J:$J,AA$1,'Full Customer List'!$E:$E,$AF95,'Full Customer List'!$H:$H,'Client Retention'!$AF101)</f>
        <v>0</v>
      </c>
      <c r="AB101" s="192">
        <f>-COUNTIFS('Full Customer List'!$J:$J,AB$1,'Full Customer List'!$E:$E,$AF95,'Full Customer List'!$H:$H,'Client Retention'!$AF101)</f>
        <v>0</v>
      </c>
      <c r="AC101" s="192">
        <f>-COUNTIFS('Full Customer List'!$J:$J,AC$1,'Full Customer List'!$E:$E,$AF95,'Full Customer List'!$H:$H,'Client Retention'!$AF101)</f>
        <v>0</v>
      </c>
      <c r="AD101" s="192">
        <f>-COUNTIFS('Full Customer List'!$J:$J,AD$1,'Full Customer List'!$E:$E,$AF95,'Full Customer List'!$H:$H,'Client Retention'!$AF101)</f>
        <v>0</v>
      </c>
      <c r="AF101" s="173" t="s">
        <v>1531</v>
      </c>
    </row>
    <row r="102" spans="2:37" ht="12" customHeight="1">
      <c r="B102" s="252" t="s">
        <v>1532</v>
      </c>
      <c r="C102" s="255"/>
      <c r="D102" s="255"/>
      <c r="E102" s="253">
        <f>SUM(J102:U102)</f>
        <v>-2</v>
      </c>
      <c r="F102" s="253">
        <f>SUM(V102:AD102)</f>
        <v>0</v>
      </c>
      <c r="G102" s="254"/>
      <c r="H102" s="253">
        <f>SUM(S102:AD102)</f>
        <v>-1</v>
      </c>
      <c r="I102" s="254"/>
      <c r="J102" s="255">
        <f>-COUNTIFS('Full Customer List'!$J:$J,J$1,'Full Customer List'!$E:$E,$AF95)</f>
        <v>0</v>
      </c>
      <c r="K102" s="255">
        <f>-COUNTIFS('Full Customer List'!$J:$J,K$1,'Full Customer List'!$E:$E,$AF95)</f>
        <v>0</v>
      </c>
      <c r="L102" s="255">
        <f>-COUNTIFS('Full Customer List'!$J:$J,L$1,'Full Customer List'!$E:$E,$AF95)</f>
        <v>0</v>
      </c>
      <c r="M102" s="255">
        <f>-COUNTIFS('Full Customer List'!$J:$J,M$1,'Full Customer List'!$E:$E,$AF95)</f>
        <v>0</v>
      </c>
      <c r="N102" s="255">
        <f>-COUNTIFS('Full Customer List'!$J:$J,N$1,'Full Customer List'!$E:$E,$AF95)</f>
        <v>0</v>
      </c>
      <c r="O102" s="255">
        <f>-COUNTIFS('Full Customer List'!$J:$J,O$1,'Full Customer List'!$E:$E,$AF95)</f>
        <v>0</v>
      </c>
      <c r="P102" s="255">
        <f>-COUNTIFS('Full Customer List'!$J:$J,P$1,'Full Customer List'!$E:$E,$AF95)</f>
        <v>0</v>
      </c>
      <c r="Q102" s="255">
        <f>-COUNTIFS('Full Customer List'!$J:$J,Q$1,'Full Customer List'!$E:$E,$AF95)</f>
        <v>0</v>
      </c>
      <c r="R102" s="255">
        <f>-COUNTIFS('Full Customer List'!$J:$J,R$1,'Full Customer List'!$E:$E,$AF95)</f>
        <v>-1</v>
      </c>
      <c r="S102" s="255">
        <f>-COUNTIFS('Full Customer List'!$J:$J,S$1,'Full Customer List'!$E:$E,$AF95)</f>
        <v>0</v>
      </c>
      <c r="T102" s="255">
        <f>-COUNTIFS('Full Customer List'!$J:$J,T$1,'Full Customer List'!$E:$E,$AF95)</f>
        <v>-1</v>
      </c>
      <c r="U102" s="255">
        <f>-COUNTIFS('Full Customer List'!$J:$J,U$1,'Full Customer List'!$E:$E,$AF95)</f>
        <v>0</v>
      </c>
      <c r="V102" s="255">
        <f>-COUNTIFS('Full Customer List'!$J:$J,V$1,'Full Customer List'!$E:$E,$AF95)</f>
        <v>0</v>
      </c>
      <c r="W102" s="255">
        <f>-COUNTIFS('Full Customer List'!$J:$J,W$1,'Full Customer List'!$E:$E,$AF95)</f>
        <v>0</v>
      </c>
      <c r="X102" s="255">
        <f>-COUNTIFS('Full Customer List'!$J:$J,X$1,'Full Customer List'!$E:$E,$AF95)</f>
        <v>0</v>
      </c>
      <c r="Y102" s="255">
        <f>-COUNTIFS('Full Customer List'!$J:$J,Y$1,'Full Customer List'!$E:$E,$AF95)</f>
        <v>0</v>
      </c>
      <c r="Z102" s="255">
        <f>-COUNTIFS('Full Customer List'!$J:$J,Z$1,'Full Customer List'!$E:$E,$AF95)</f>
        <v>0</v>
      </c>
      <c r="AA102" s="255">
        <f>-COUNTIFS('Full Customer List'!$J:$J,AA$1,'Full Customer List'!$E:$E,$AF95)</f>
        <v>0</v>
      </c>
      <c r="AB102" s="255">
        <f>-COUNTIFS('Full Customer List'!$J:$J,AB$1,'Full Customer List'!$E:$E,$AF95)</f>
        <v>0</v>
      </c>
      <c r="AC102" s="255">
        <f>-COUNTIFS('Full Customer List'!$J:$J,AC$1,'Full Customer List'!$E:$E,$AF95)</f>
        <v>0</v>
      </c>
      <c r="AD102" s="255">
        <f>-COUNTIFS('Full Customer List'!$J:$J,AD$1,'Full Customer List'!$E:$E,$AF95)</f>
        <v>0</v>
      </c>
    </row>
    <row r="103" spans="2:37">
      <c r="B103" s="256" t="s">
        <v>1315</v>
      </c>
      <c r="C103" s="257"/>
      <c r="D103" s="257"/>
      <c r="E103" s="257">
        <f>+F97</f>
        <v>8</v>
      </c>
      <c r="F103" s="258">
        <f>+$AD103</f>
        <v>11</v>
      </c>
      <c r="H103" s="261">
        <f>+$AD103</f>
        <v>11</v>
      </c>
      <c r="J103" s="259">
        <f t="shared" ref="J103:AC103" si="230">+K97</f>
        <v>0</v>
      </c>
      <c r="K103" s="257">
        <f t="shared" si="230"/>
        <v>0</v>
      </c>
      <c r="L103" s="257">
        <f t="shared" si="230"/>
        <v>0</v>
      </c>
      <c r="M103" s="257">
        <f t="shared" si="230"/>
        <v>0</v>
      </c>
      <c r="N103" s="257">
        <f t="shared" si="230"/>
        <v>0</v>
      </c>
      <c r="O103" s="257">
        <f t="shared" si="230"/>
        <v>0</v>
      </c>
      <c r="P103" s="257">
        <f t="shared" si="230"/>
        <v>0</v>
      </c>
      <c r="Q103" s="257">
        <f t="shared" si="230"/>
        <v>0</v>
      </c>
      <c r="R103" s="257">
        <f t="shared" si="230"/>
        <v>1</v>
      </c>
      <c r="S103" s="257">
        <f t="shared" si="230"/>
        <v>9</v>
      </c>
      <c r="T103" s="257">
        <f t="shared" si="230"/>
        <v>8</v>
      </c>
      <c r="U103" s="257">
        <f t="shared" si="230"/>
        <v>8</v>
      </c>
      <c r="V103" s="257">
        <f t="shared" si="230"/>
        <v>9</v>
      </c>
      <c r="W103" s="257">
        <f t="shared" si="230"/>
        <v>11</v>
      </c>
      <c r="X103" s="257">
        <f t="shared" si="230"/>
        <v>11</v>
      </c>
      <c r="Y103" s="257">
        <f t="shared" si="230"/>
        <v>11</v>
      </c>
      <c r="Z103" s="257">
        <f t="shared" si="230"/>
        <v>11</v>
      </c>
      <c r="AA103" s="257">
        <f t="shared" si="230"/>
        <v>11</v>
      </c>
      <c r="AB103" s="257">
        <f t="shared" si="230"/>
        <v>11</v>
      </c>
      <c r="AC103" s="257">
        <f t="shared" si="230"/>
        <v>11</v>
      </c>
      <c r="AD103" s="258">
        <f>COUNTIFS('Full Customer List'!$C:$C,"Active",'Full Customer List'!$E:$E,'Client Retention'!$AF95)</f>
        <v>11</v>
      </c>
    </row>
    <row r="104" spans="2:37" ht="3.95" customHeight="1">
      <c r="B104" s="179"/>
      <c r="C104" s="229"/>
      <c r="D104" s="229"/>
      <c r="E104" s="229"/>
      <c r="F104" s="229"/>
      <c r="H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30"/>
      <c r="AC104" s="230"/>
      <c r="AD104" s="230"/>
    </row>
    <row r="105" spans="2:37">
      <c r="B105" s="256" t="s">
        <v>1851</v>
      </c>
      <c r="C105" s="257"/>
      <c r="D105" s="257"/>
      <c r="E105" s="257">
        <f>AVERAGE(E97,E103)</f>
        <v>4</v>
      </c>
      <c r="F105" s="258">
        <f>AVERAGE(F97,F103)</f>
        <v>9.5</v>
      </c>
      <c r="H105" s="261">
        <f>AVERAGE(H97,H103)</f>
        <v>6</v>
      </c>
      <c r="J105" s="259">
        <f>AVERAGE(J97,J103)</f>
        <v>0</v>
      </c>
      <c r="K105" s="257">
        <f t="shared" ref="K105:AD105" si="231">AVERAGE(K97,K103)</f>
        <v>0</v>
      </c>
      <c r="L105" s="257">
        <f t="shared" si="231"/>
        <v>0</v>
      </c>
      <c r="M105" s="257">
        <f t="shared" si="231"/>
        <v>0</v>
      </c>
      <c r="N105" s="257">
        <f t="shared" si="231"/>
        <v>0</v>
      </c>
      <c r="O105" s="257">
        <f t="shared" si="231"/>
        <v>0</v>
      </c>
      <c r="P105" s="257">
        <f t="shared" si="231"/>
        <v>0</v>
      </c>
      <c r="Q105" s="257">
        <f t="shared" si="231"/>
        <v>0</v>
      </c>
      <c r="R105" s="257">
        <f t="shared" si="231"/>
        <v>0.5</v>
      </c>
      <c r="S105" s="259">
        <f t="shared" si="231"/>
        <v>5</v>
      </c>
      <c r="T105" s="257">
        <f t="shared" si="231"/>
        <v>8.5</v>
      </c>
      <c r="U105" s="257">
        <f t="shared" si="231"/>
        <v>8</v>
      </c>
      <c r="V105" s="257">
        <f t="shared" si="231"/>
        <v>8.5</v>
      </c>
      <c r="W105" s="257">
        <f t="shared" si="231"/>
        <v>10</v>
      </c>
      <c r="X105" s="257">
        <f t="shared" si="231"/>
        <v>11</v>
      </c>
      <c r="Y105" s="257">
        <f t="shared" si="231"/>
        <v>11</v>
      </c>
      <c r="Z105" s="257">
        <f t="shared" si="231"/>
        <v>11</v>
      </c>
      <c r="AA105" s="257">
        <f t="shared" si="231"/>
        <v>11</v>
      </c>
      <c r="AB105" s="257">
        <f t="shared" si="231"/>
        <v>11</v>
      </c>
      <c r="AC105" s="257">
        <f t="shared" si="231"/>
        <v>11</v>
      </c>
      <c r="AD105" s="260">
        <f t="shared" si="231"/>
        <v>11</v>
      </c>
    </row>
    <row r="106" spans="2:37" ht="3.95" customHeight="1">
      <c r="B106" s="179"/>
      <c r="C106" s="229"/>
      <c r="D106" s="229"/>
      <c r="E106" s="229"/>
      <c r="F106" s="229"/>
      <c r="H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30"/>
      <c r="AC106" s="230"/>
      <c r="AD106" s="230"/>
    </row>
    <row r="107" spans="2:37">
      <c r="B107" s="231" t="s">
        <v>1518</v>
      </c>
      <c r="C107" s="232"/>
      <c r="D107" s="232"/>
      <c r="E107" s="233">
        <f>IFERROR((E98+E97)/E97-1,0)</f>
        <v>0</v>
      </c>
      <c r="F107" s="244">
        <f>(F98+F97)/F97-1</f>
        <v>0.375</v>
      </c>
      <c r="G107" s="245"/>
      <c r="H107" s="246">
        <f>(H98+H97)/H97-1</f>
        <v>11</v>
      </c>
      <c r="J107" s="243">
        <f t="shared" ref="J107:R107" si="232">IFERROR((J98+J97)/J97-1,0)</f>
        <v>0</v>
      </c>
      <c r="K107" s="233">
        <f t="shared" si="232"/>
        <v>0</v>
      </c>
      <c r="L107" s="233">
        <f t="shared" si="232"/>
        <v>0</v>
      </c>
      <c r="M107" s="233">
        <f t="shared" si="232"/>
        <v>0</v>
      </c>
      <c r="N107" s="233">
        <f t="shared" si="232"/>
        <v>0</v>
      </c>
      <c r="O107" s="233">
        <f t="shared" si="232"/>
        <v>0</v>
      </c>
      <c r="P107" s="233">
        <f t="shared" si="232"/>
        <v>0</v>
      </c>
      <c r="Q107" s="233">
        <f t="shared" si="232"/>
        <v>0</v>
      </c>
      <c r="R107" s="233">
        <f t="shared" si="232"/>
        <v>0</v>
      </c>
      <c r="S107" s="233">
        <f t="shared" ref="S107:T107" si="233">(S98+S97)/S97-1</f>
        <v>8</v>
      </c>
      <c r="T107" s="233">
        <f t="shared" si="233"/>
        <v>0</v>
      </c>
      <c r="U107" s="233">
        <f t="shared" ref="U107:AD107" si="234">IFERROR((U98+U97)/U97-1,0)</f>
        <v>0</v>
      </c>
      <c r="V107" s="233">
        <f t="shared" si="234"/>
        <v>0.125</v>
      </c>
      <c r="W107" s="233">
        <f t="shared" si="234"/>
        <v>0.22222222222222232</v>
      </c>
      <c r="X107" s="233">
        <f t="shared" si="234"/>
        <v>0</v>
      </c>
      <c r="Y107" s="233">
        <f t="shared" si="234"/>
        <v>0</v>
      </c>
      <c r="Z107" s="233">
        <f t="shared" si="234"/>
        <v>0</v>
      </c>
      <c r="AA107" s="233">
        <f t="shared" si="234"/>
        <v>0</v>
      </c>
      <c r="AB107" s="233">
        <f t="shared" si="234"/>
        <v>0</v>
      </c>
      <c r="AC107" s="233">
        <f t="shared" si="234"/>
        <v>0</v>
      </c>
      <c r="AD107" s="244">
        <f t="shared" si="234"/>
        <v>0</v>
      </c>
    </row>
    <row r="108" spans="2:37" ht="12" customHeight="1">
      <c r="B108" s="234" t="s">
        <v>1519</v>
      </c>
      <c r="C108" s="235"/>
      <c r="D108" s="235"/>
      <c r="E108" s="236">
        <f>(E102+E105)/E105-1</f>
        <v>-0.5</v>
      </c>
      <c r="F108" s="237">
        <f>(F102+F105)/F105-1</f>
        <v>0</v>
      </c>
      <c r="G108" s="245"/>
      <c r="H108" s="239">
        <f>(H102+H105)/H105-1</f>
        <v>-0.16666666666666663</v>
      </c>
      <c r="J108" s="238" t="e">
        <f t="shared" ref="J108:AD108" si="235">(J102+J105)/J105-1</f>
        <v>#DIV/0!</v>
      </c>
      <c r="K108" s="236" t="e">
        <f t="shared" si="235"/>
        <v>#DIV/0!</v>
      </c>
      <c r="L108" s="236" t="e">
        <f t="shared" si="235"/>
        <v>#DIV/0!</v>
      </c>
      <c r="M108" s="236" t="e">
        <f t="shared" si="235"/>
        <v>#DIV/0!</v>
      </c>
      <c r="N108" s="236" t="e">
        <f t="shared" si="235"/>
        <v>#DIV/0!</v>
      </c>
      <c r="O108" s="236" t="e">
        <f t="shared" si="235"/>
        <v>#DIV/0!</v>
      </c>
      <c r="P108" s="236" t="e">
        <f t="shared" si="235"/>
        <v>#DIV/0!</v>
      </c>
      <c r="Q108" s="236" t="e">
        <f t="shared" si="235"/>
        <v>#DIV/0!</v>
      </c>
      <c r="R108" s="236">
        <f t="shared" si="235"/>
        <v>-2</v>
      </c>
      <c r="S108" s="236">
        <f t="shared" si="235"/>
        <v>0</v>
      </c>
      <c r="T108" s="236">
        <f t="shared" si="235"/>
        <v>-0.11764705882352944</v>
      </c>
      <c r="U108" s="236">
        <f t="shared" si="235"/>
        <v>0</v>
      </c>
      <c r="V108" s="236">
        <f t="shared" si="235"/>
        <v>0</v>
      </c>
      <c r="W108" s="236">
        <f t="shared" si="235"/>
        <v>0</v>
      </c>
      <c r="X108" s="236">
        <f t="shared" si="235"/>
        <v>0</v>
      </c>
      <c r="Y108" s="236">
        <f t="shared" si="235"/>
        <v>0</v>
      </c>
      <c r="Z108" s="236">
        <f t="shared" si="235"/>
        <v>0</v>
      </c>
      <c r="AA108" s="236">
        <f t="shared" si="235"/>
        <v>0</v>
      </c>
      <c r="AB108" s="236">
        <f t="shared" si="235"/>
        <v>0</v>
      </c>
      <c r="AC108" s="236">
        <f t="shared" si="235"/>
        <v>0</v>
      </c>
      <c r="AD108" s="237">
        <f t="shared" si="235"/>
        <v>0</v>
      </c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C148" s="195">
        <v>44926</v>
      </c>
      <c r="D148" s="197">
        <f>C149</f>
        <v>45291</v>
      </c>
      <c r="E148" s="197">
        <f>D149</f>
        <v>45657</v>
      </c>
      <c r="AK148"/>
    </row>
    <row r="149" spans="3:37" ht="15">
      <c r="C149" s="196">
        <f>EOMONTH(C148,12)</f>
        <v>45291</v>
      </c>
      <c r="D149" s="196">
        <f>EOMONTH(D148,12)</f>
        <v>45657</v>
      </c>
      <c r="E149" s="196">
        <f>EOMONTH(E148,12)</f>
        <v>46022</v>
      </c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AK155"/>
    </row>
    <row r="156" spans="3:37" ht="15"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</sheetData>
  <conditionalFormatting sqref="A6:XFD18 A21:XFD33 A36:XFD48 A51:XFD63 A66:XFD78 A81:XFD93 A96:XFD108">
    <cfRule type="expression" dxfId="73" priority="1">
      <formula>$AG$3=1</formula>
    </cfRule>
  </conditionalFormatting>
  <conditionalFormatting sqref="B6:H6 J6:AH6">
    <cfRule type="expression" dxfId="72" priority="19">
      <formula>$Y$3=1</formula>
    </cfRule>
  </conditionalFormatting>
  <conditionalFormatting sqref="B21:H21 J21:AH21">
    <cfRule type="expression" dxfId="71" priority="7">
      <formula>$Y$3=1</formula>
    </cfRule>
  </conditionalFormatting>
  <conditionalFormatting sqref="B36:H36">
    <cfRule type="expression" dxfId="70" priority="6">
      <formula>$Y$3=1</formula>
    </cfRule>
  </conditionalFormatting>
  <conditionalFormatting sqref="B51:H51">
    <cfRule type="expression" dxfId="69" priority="5">
      <formula>$Y$3=1</formula>
    </cfRule>
  </conditionalFormatting>
  <conditionalFormatting sqref="B66:H66">
    <cfRule type="expression" dxfId="68" priority="4">
      <formula>$Y$3=1</formula>
    </cfRule>
  </conditionalFormatting>
  <conditionalFormatting sqref="B81:H81">
    <cfRule type="expression" dxfId="67" priority="3">
      <formula>$Y$3=1</formula>
    </cfRule>
  </conditionalFormatting>
  <conditionalFormatting sqref="B96:H96">
    <cfRule type="expression" dxfId="66" priority="2">
      <formula>$Y$3=1</formula>
    </cfRule>
  </conditionalFormatting>
  <conditionalFormatting sqref="J36:AH36">
    <cfRule type="expression" dxfId="65" priority="17">
      <formula>$Y$3=1</formula>
    </cfRule>
  </conditionalFormatting>
  <conditionalFormatting sqref="J51:AH51">
    <cfRule type="expression" dxfId="64" priority="13">
      <formula>$Y$3=1</formula>
    </cfRule>
  </conditionalFormatting>
  <conditionalFormatting sqref="J66:AH66">
    <cfRule type="expression" dxfId="63" priority="16">
      <formula>$Y$3=1</formula>
    </cfRule>
  </conditionalFormatting>
  <conditionalFormatting sqref="J81:AH81">
    <cfRule type="expression" dxfId="62" priority="15">
      <formula>$Y$3=1</formula>
    </cfRule>
  </conditionalFormatting>
  <conditionalFormatting sqref="J96:AH96">
    <cfRule type="expression" dxfId="61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">
      <c r="B85" s="214" t="s">
        <v>1540</v>
      </c>
    </row>
    <row r="111" spans="2:23">
      <c r="B111" s="264" t="str">
        <f>+'Client Retention'!B21</f>
        <v>Property Manager, STR Owner &amp; Short-Term Rental</v>
      </c>
      <c r="C111" s="189">
        <v>45658</v>
      </c>
      <c r="D111" s="189">
        <f t="shared" ref="D111:I111" si="0">EOMONTH(C111,0)+1</f>
        <v>45689</v>
      </c>
      <c r="E111" s="189">
        <f t="shared" si="0"/>
        <v>45717</v>
      </c>
      <c r="F111" s="189">
        <f t="shared" si="0"/>
        <v>45748</v>
      </c>
      <c r="G111" s="189">
        <f t="shared" si="0"/>
        <v>45778</v>
      </c>
      <c r="H111" s="189">
        <f t="shared" si="0"/>
        <v>45809</v>
      </c>
      <c r="I111" s="189">
        <f t="shared" si="0"/>
        <v>45839</v>
      </c>
      <c r="J111" s="189">
        <v>45870</v>
      </c>
      <c r="K111" s="189">
        <f t="shared" ref="K111:W111" si="1">EOMONTH(J111,0)+1</f>
        <v>45901</v>
      </c>
      <c r="L111" s="189">
        <f t="shared" si="1"/>
        <v>45931</v>
      </c>
      <c r="M111" s="189">
        <f t="shared" si="1"/>
        <v>45962</v>
      </c>
      <c r="N111" s="189">
        <f t="shared" si="1"/>
        <v>45992</v>
      </c>
      <c r="O111" s="189">
        <f t="shared" si="1"/>
        <v>46023</v>
      </c>
      <c r="P111" s="189">
        <f t="shared" si="1"/>
        <v>46054</v>
      </c>
      <c r="Q111" s="189">
        <f t="shared" si="1"/>
        <v>46082</v>
      </c>
      <c r="R111" s="189">
        <f t="shared" si="1"/>
        <v>46113</v>
      </c>
      <c r="S111" s="189">
        <f t="shared" si="1"/>
        <v>46143</v>
      </c>
      <c r="T111" s="189">
        <f t="shared" si="1"/>
        <v>46174</v>
      </c>
      <c r="U111" s="189">
        <f t="shared" si="1"/>
        <v>46204</v>
      </c>
      <c r="V111" s="189">
        <f t="shared" si="1"/>
        <v>46235</v>
      </c>
      <c r="W111" s="189">
        <f t="shared" si="1"/>
        <v>46266</v>
      </c>
    </row>
    <row r="112" spans="2:23">
      <c r="B112" s="263" t="s">
        <v>1534</v>
      </c>
      <c r="C112" s="53">
        <f>+'Client Retention'!J23</f>
        <v>9</v>
      </c>
      <c r="D112" s="53">
        <f>+'Client Retention'!K23</f>
        <v>5</v>
      </c>
      <c r="E112" s="53">
        <f>+'Client Retention'!L23</f>
        <v>8</v>
      </c>
      <c r="F112" s="53">
        <f>+'Client Retention'!M23</f>
        <v>9</v>
      </c>
      <c r="G112" s="53">
        <f>+'Client Retention'!N23</f>
        <v>9</v>
      </c>
      <c r="H112" s="53">
        <f>+'Client Retention'!O23</f>
        <v>6</v>
      </c>
      <c r="I112" s="53">
        <f>+'Client Retention'!P23</f>
        <v>7</v>
      </c>
      <c r="J112" s="53">
        <f>+'Client Retention'!Q23</f>
        <v>7</v>
      </c>
      <c r="K112" s="53">
        <f>+'Client Retention'!R23</f>
        <v>6</v>
      </c>
      <c r="L112" s="53">
        <f>+'Client Retention'!S23</f>
        <v>6</v>
      </c>
      <c r="M112" s="53">
        <f>+'Client Retention'!T23</f>
        <v>7</v>
      </c>
      <c r="N112" s="53">
        <f>+'Client Retention'!U23</f>
        <v>11</v>
      </c>
      <c r="O112" s="53">
        <f>+'Client Retention'!V23</f>
        <v>10</v>
      </c>
      <c r="P112" s="53">
        <f>+'Client Retention'!W23</f>
        <v>9</v>
      </c>
      <c r="Q112" s="53">
        <f>+'Client Retention'!X23</f>
        <v>6</v>
      </c>
      <c r="R112" s="53">
        <f>+'Client Retention'!Y23</f>
        <v>11</v>
      </c>
      <c r="S112" s="53">
        <f>+'Client Retention'!Z23</f>
        <v>7</v>
      </c>
      <c r="T112" s="53">
        <f>+'Client Retention'!AA23</f>
        <v>4</v>
      </c>
      <c r="U112" s="53">
        <f>+'Client Retention'!AB23</f>
        <v>5</v>
      </c>
      <c r="V112" s="53">
        <f>+'Client Retention'!AC23</f>
        <v>3</v>
      </c>
      <c r="W112" s="53">
        <f>+'Client Retention'!AD23</f>
        <v>4</v>
      </c>
    </row>
    <row r="113" spans="2:23">
      <c r="B113" s="263" t="s">
        <v>1535</v>
      </c>
      <c r="C113" s="53">
        <f>-'Client Retention'!J24</f>
        <v>0</v>
      </c>
      <c r="D113" s="53">
        <f>-'Client Retention'!K24</f>
        <v>2</v>
      </c>
      <c r="E113" s="53">
        <f>-'Client Retention'!L24</f>
        <v>1</v>
      </c>
      <c r="F113" s="53">
        <f>-'Client Retention'!M24</f>
        <v>3</v>
      </c>
      <c r="G113" s="53">
        <f>-'Client Retention'!N24</f>
        <v>0</v>
      </c>
      <c r="H113" s="53">
        <f>-'Client Retention'!O24</f>
        <v>5</v>
      </c>
      <c r="I113" s="53">
        <f>-'Client Retention'!P24</f>
        <v>2</v>
      </c>
      <c r="J113" s="53">
        <f>-'Client Retention'!Q24</f>
        <v>2</v>
      </c>
      <c r="K113" s="53">
        <f>-'Client Retention'!R24</f>
        <v>2</v>
      </c>
      <c r="L113" s="53">
        <f>-'Client Retention'!S24</f>
        <v>1</v>
      </c>
      <c r="M113" s="53">
        <f>-'Client Retention'!T24</f>
        <v>3</v>
      </c>
      <c r="N113" s="53">
        <f>-'Client Retention'!U24</f>
        <v>5</v>
      </c>
      <c r="O113" s="53">
        <f>-'Client Retention'!V24</f>
        <v>1</v>
      </c>
      <c r="P113" s="53">
        <f>-'Client Retention'!W24</f>
        <v>1</v>
      </c>
      <c r="Q113" s="53">
        <f>-'Client Retention'!X24</f>
        <v>2</v>
      </c>
      <c r="R113" s="53">
        <f>-'Client Retention'!Y24</f>
        <v>3</v>
      </c>
      <c r="S113" s="53">
        <f>-'Client Retention'!Z24</f>
        <v>12</v>
      </c>
      <c r="T113" s="53">
        <f>-'Client Retention'!AA24</f>
        <v>4</v>
      </c>
      <c r="U113" s="53">
        <f>-'Client Retention'!AB24</f>
        <v>2</v>
      </c>
      <c r="V113" s="53">
        <f>-'Client Retention'!AC24</f>
        <v>0</v>
      </c>
      <c r="W113" s="53">
        <f>-'Client Retention'!AD24</f>
        <v>0</v>
      </c>
    </row>
    <row r="114" spans="2:23">
      <c r="B114" s="263" t="s">
        <v>1536</v>
      </c>
      <c r="C114" s="53">
        <f>-'Client Retention'!J25</f>
        <v>4</v>
      </c>
      <c r="D114" s="53">
        <f>-'Client Retention'!K25</f>
        <v>1</v>
      </c>
      <c r="E114" s="53">
        <f>-'Client Retention'!L25</f>
        <v>1</v>
      </c>
      <c r="F114" s="53">
        <f>-'Client Retention'!M25</f>
        <v>1</v>
      </c>
      <c r="G114" s="53">
        <f>-'Client Retention'!N25</f>
        <v>2</v>
      </c>
      <c r="H114" s="53">
        <f>-'Client Retention'!O25</f>
        <v>1</v>
      </c>
      <c r="I114" s="53">
        <f>-'Client Retention'!P25</f>
        <v>0</v>
      </c>
      <c r="J114" s="53">
        <f>-'Client Retention'!Q25</f>
        <v>0</v>
      </c>
      <c r="K114" s="53">
        <f>-'Client Retention'!R25</f>
        <v>1</v>
      </c>
      <c r="L114" s="53">
        <f>-'Client Retention'!S25</f>
        <v>0</v>
      </c>
      <c r="M114" s="53">
        <f>-'Client Retention'!T25</f>
        <v>5</v>
      </c>
      <c r="N114" s="53">
        <f>-'Client Retention'!U25</f>
        <v>4</v>
      </c>
      <c r="O114" s="53">
        <f>-'Client Retention'!V25</f>
        <v>2</v>
      </c>
      <c r="P114" s="53">
        <f>-'Client Retention'!W25</f>
        <v>0</v>
      </c>
      <c r="Q114" s="53">
        <f>-'Client Retention'!X25</f>
        <v>0</v>
      </c>
      <c r="R114" s="53">
        <f>-'Client Retention'!Y25</f>
        <v>1</v>
      </c>
      <c r="S114" s="53">
        <f>-'Client Retention'!Z25</f>
        <v>2</v>
      </c>
      <c r="T114" s="53">
        <f>-'Client Retention'!AA25</f>
        <v>0</v>
      </c>
      <c r="U114" s="53">
        <f>-'Client Retention'!AB25</f>
        <v>1</v>
      </c>
      <c r="V114" s="53">
        <f>-'Client Retention'!AC25</f>
        <v>0</v>
      </c>
      <c r="W114" s="53">
        <f>-'Client Retention'!AD25</f>
        <v>0</v>
      </c>
    </row>
    <row r="115" spans="2:23">
      <c r="B115" s="263" t="s">
        <v>1537</v>
      </c>
      <c r="C115" s="53">
        <f>-'Client Retention'!J26</f>
        <v>0</v>
      </c>
      <c r="D115" s="53">
        <f>-'Client Retention'!K26</f>
        <v>0</v>
      </c>
      <c r="E115" s="53">
        <f>-'Client Retention'!L26</f>
        <v>0</v>
      </c>
      <c r="F115" s="53">
        <f>-'Client Retention'!M26</f>
        <v>0</v>
      </c>
      <c r="G115" s="53">
        <f>-'Client Retention'!N26</f>
        <v>0</v>
      </c>
      <c r="H115" s="53">
        <f>-'Client Retention'!O26</f>
        <v>0</v>
      </c>
      <c r="I115" s="53">
        <f>-'Client Retention'!P26</f>
        <v>0</v>
      </c>
      <c r="J115" s="53">
        <f>-'Client Retention'!Q26</f>
        <v>0</v>
      </c>
      <c r="K115" s="53">
        <f>-'Client Retention'!R26</f>
        <v>0</v>
      </c>
      <c r="L115" s="53">
        <f>-'Client Retention'!S26</f>
        <v>0</v>
      </c>
      <c r="M115" s="53">
        <f>-'Client Retention'!T26</f>
        <v>0</v>
      </c>
      <c r="N115" s="53">
        <f>-'Client Retention'!U26</f>
        <v>0</v>
      </c>
      <c r="O115" s="53">
        <f>-'Client Retention'!V26</f>
        <v>0</v>
      </c>
      <c r="P115" s="53">
        <f>-'Client Retention'!W26</f>
        <v>0</v>
      </c>
      <c r="Q115" s="53">
        <f>-'Client Retention'!X26</f>
        <v>3</v>
      </c>
      <c r="R115" s="53">
        <f>-'Client Retention'!Y26</f>
        <v>1</v>
      </c>
      <c r="S115" s="53">
        <f>-'Client Retention'!Z26</f>
        <v>1</v>
      </c>
      <c r="T115" s="53">
        <f>-'Client Retention'!AA26</f>
        <v>0</v>
      </c>
      <c r="U115" s="53">
        <f>-'Client Retention'!AB26</f>
        <v>1</v>
      </c>
      <c r="V115" s="53">
        <f>-'Client Retention'!AC26</f>
        <v>2</v>
      </c>
      <c r="W115" s="53">
        <f>-'Client Retention'!AD26</f>
        <v>0</v>
      </c>
    </row>
    <row r="117" spans="2:23">
      <c r="B117" s="264" t="str">
        <f>+B111</f>
        <v>Property Manager, STR Owner &amp; Short-Term Rental</v>
      </c>
      <c r="C117" s="189">
        <v>45658</v>
      </c>
      <c r="D117" s="189">
        <f t="shared" ref="D117" si="2">EOMONTH(C117,0)+1</f>
        <v>45689</v>
      </c>
      <c r="E117" s="189">
        <f t="shared" ref="E117" si="3">EOMONTH(D117,0)+1</f>
        <v>45717</v>
      </c>
      <c r="F117" s="189">
        <f t="shared" ref="F117" si="4">EOMONTH(E117,0)+1</f>
        <v>45748</v>
      </c>
      <c r="G117" s="189">
        <f t="shared" ref="G117" si="5">EOMONTH(F117,0)+1</f>
        <v>45778</v>
      </c>
      <c r="H117" s="189">
        <f t="shared" ref="H117" si="6">EOMONTH(G117,0)+1</f>
        <v>45809</v>
      </c>
      <c r="I117" s="189">
        <f t="shared" ref="I117" si="7">EOMONTH(H117,0)+1</f>
        <v>45839</v>
      </c>
      <c r="J117" s="189">
        <v>45870</v>
      </c>
      <c r="K117" s="189">
        <f t="shared" ref="K117" si="8">EOMONTH(J117,0)+1</f>
        <v>45901</v>
      </c>
      <c r="L117" s="189">
        <f t="shared" ref="L117" si="9">EOMONTH(K117,0)+1</f>
        <v>45931</v>
      </c>
      <c r="M117" s="189">
        <f t="shared" ref="M117" si="10">EOMONTH(L117,0)+1</f>
        <v>45962</v>
      </c>
      <c r="N117" s="189">
        <f t="shared" ref="N117" si="11">EOMONTH(M117,0)+1</f>
        <v>45992</v>
      </c>
      <c r="O117" s="189">
        <f t="shared" ref="O117" si="12">EOMONTH(N117,0)+1</f>
        <v>46023</v>
      </c>
      <c r="P117" s="189">
        <f t="shared" ref="P117" si="13">EOMONTH(O117,0)+1</f>
        <v>46054</v>
      </c>
      <c r="Q117" s="189">
        <f t="shared" ref="Q117" si="14">EOMONTH(P117,0)+1</f>
        <v>46082</v>
      </c>
      <c r="R117" s="189">
        <f t="shared" ref="R117" si="15">EOMONTH(Q117,0)+1</f>
        <v>46113</v>
      </c>
      <c r="S117" s="189">
        <f t="shared" ref="S117" si="16">EOMONTH(R117,0)+1</f>
        <v>46143</v>
      </c>
      <c r="T117" s="189">
        <f t="shared" ref="T117" si="17">EOMONTH(S117,0)+1</f>
        <v>46174</v>
      </c>
      <c r="U117" s="189">
        <f t="shared" ref="U117" si="18">EOMONTH(T117,0)+1</f>
        <v>46204</v>
      </c>
      <c r="V117" s="189">
        <f t="shared" ref="V117" si="19">EOMONTH(U117,0)+1</f>
        <v>46235</v>
      </c>
      <c r="W117" s="189">
        <f t="shared" ref="W117" si="20">EOMONTH(V117,0)+1</f>
        <v>46266</v>
      </c>
    </row>
    <row r="118" spans="2:23">
      <c r="B118" s="263" t="s">
        <v>1534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3" t="s">
        <v>1538</v>
      </c>
      <c r="C119" s="53">
        <f>-'Client Retention'!J27</f>
        <v>4</v>
      </c>
      <c r="D119" s="53">
        <f>-'Client Retention'!K27</f>
        <v>3</v>
      </c>
      <c r="E119" s="53">
        <f>-'Client Retention'!L27</f>
        <v>2</v>
      </c>
      <c r="F119" s="53">
        <f>-'Client Retention'!M27</f>
        <v>4</v>
      </c>
      <c r="G119" s="53">
        <f>-'Client Retention'!N27</f>
        <v>2</v>
      </c>
      <c r="H119" s="53">
        <f>-'Client Retention'!O27</f>
        <v>6</v>
      </c>
      <c r="I119" s="53">
        <f>-'Client Retention'!P27</f>
        <v>2</v>
      </c>
      <c r="J119" s="53">
        <f>-'Client Retention'!Q27</f>
        <v>2</v>
      </c>
      <c r="K119" s="53">
        <f>-'Client Retention'!R27</f>
        <v>3</v>
      </c>
      <c r="L119" s="53">
        <f>-'Client Retention'!S27</f>
        <v>1</v>
      </c>
      <c r="M119" s="53">
        <f>-'Client Retention'!T27</f>
        <v>8</v>
      </c>
      <c r="N119" s="53">
        <f>-'Client Retention'!U27</f>
        <v>9</v>
      </c>
      <c r="O119" s="53">
        <f>-'Client Retention'!V27</f>
        <v>3</v>
      </c>
      <c r="P119" s="53">
        <f>-'Client Retention'!W27</f>
        <v>1</v>
      </c>
      <c r="Q119" s="53">
        <f>-'Client Retention'!X27</f>
        <v>5</v>
      </c>
      <c r="R119" s="53">
        <f>-'Client Retention'!Y27</f>
        <v>5</v>
      </c>
      <c r="S119" s="53">
        <f>-'Client Retention'!Z27</f>
        <v>15</v>
      </c>
      <c r="T119" s="53">
        <f>-'Client Retention'!AA27</f>
        <v>4</v>
      </c>
      <c r="U119" s="53">
        <f>-'Client Retention'!AB27</f>
        <v>4</v>
      </c>
      <c r="V119" s="53">
        <f>-'Client Retention'!AC27</f>
        <v>2</v>
      </c>
      <c r="W119" s="53">
        <f>-'Client Retention'!AD27</f>
        <v>0</v>
      </c>
    </row>
    <row r="121" spans="2:23">
      <c r="B121" s="264" t="str">
        <f>+'Client Retention'!B36</f>
        <v>Property Manager</v>
      </c>
      <c r="C121" s="189">
        <v>45658</v>
      </c>
      <c r="D121" s="189">
        <f t="shared" ref="D121" si="22">EOMONTH(C121,0)+1</f>
        <v>45689</v>
      </c>
      <c r="E121" s="189">
        <f t="shared" ref="E121" si="23">EOMONTH(D121,0)+1</f>
        <v>45717</v>
      </c>
      <c r="F121" s="189">
        <f t="shared" ref="F121" si="24">EOMONTH(E121,0)+1</f>
        <v>45748</v>
      </c>
      <c r="G121" s="189">
        <f t="shared" ref="G121" si="25">EOMONTH(F121,0)+1</f>
        <v>45778</v>
      </c>
      <c r="H121" s="189">
        <f t="shared" ref="H121" si="26">EOMONTH(G121,0)+1</f>
        <v>45809</v>
      </c>
      <c r="I121" s="189">
        <f t="shared" ref="I121" si="27">EOMONTH(H121,0)+1</f>
        <v>45839</v>
      </c>
      <c r="J121" s="189">
        <v>45870</v>
      </c>
      <c r="K121" s="189">
        <f t="shared" ref="K121" si="28">EOMONTH(J121,0)+1</f>
        <v>45901</v>
      </c>
      <c r="L121" s="189">
        <f t="shared" ref="L121" si="29">EOMONTH(K121,0)+1</f>
        <v>45931</v>
      </c>
      <c r="M121" s="189">
        <f t="shared" ref="M121" si="30">EOMONTH(L121,0)+1</f>
        <v>45962</v>
      </c>
      <c r="N121" s="189">
        <f t="shared" ref="N121" si="31">EOMONTH(M121,0)+1</f>
        <v>45992</v>
      </c>
      <c r="O121" s="189">
        <f t="shared" ref="O121" si="32">EOMONTH(N121,0)+1</f>
        <v>46023</v>
      </c>
      <c r="P121" s="189">
        <f t="shared" ref="P121" si="33">EOMONTH(O121,0)+1</f>
        <v>46054</v>
      </c>
      <c r="Q121" s="189">
        <f t="shared" ref="Q121" si="34">EOMONTH(P121,0)+1</f>
        <v>46082</v>
      </c>
      <c r="R121" s="189">
        <f t="shared" ref="R121" si="35">EOMONTH(Q121,0)+1</f>
        <v>46113</v>
      </c>
      <c r="S121" s="189">
        <f t="shared" ref="S121" si="36">EOMONTH(R121,0)+1</f>
        <v>46143</v>
      </c>
      <c r="T121" s="189">
        <f t="shared" ref="T121" si="37">EOMONTH(S121,0)+1</f>
        <v>46174</v>
      </c>
      <c r="U121" s="189">
        <f t="shared" ref="U121" si="38">EOMONTH(T121,0)+1</f>
        <v>46204</v>
      </c>
      <c r="V121" s="189">
        <f t="shared" ref="V121" si="39">EOMONTH(U121,0)+1</f>
        <v>46235</v>
      </c>
      <c r="W121" s="189">
        <f t="shared" ref="W121" si="40">EOMONTH(V121,0)+1</f>
        <v>46266</v>
      </c>
    </row>
    <row r="122" spans="2:23">
      <c r="B122" s="263" t="s">
        <v>1534</v>
      </c>
      <c r="C122" s="53">
        <f>+'Client Retention'!J38</f>
        <v>7</v>
      </c>
      <c r="D122" s="53">
        <f>+'Client Retention'!K38</f>
        <v>2</v>
      </c>
      <c r="E122" s="53">
        <f>+'Client Retention'!L38</f>
        <v>6</v>
      </c>
      <c r="F122" s="53">
        <f>+'Client Retention'!M38</f>
        <v>7</v>
      </c>
      <c r="G122" s="53">
        <f>+'Client Retention'!N38</f>
        <v>5</v>
      </c>
      <c r="H122" s="53">
        <f>+'Client Retention'!O38</f>
        <v>3</v>
      </c>
      <c r="I122" s="53">
        <f>+'Client Retention'!P38</f>
        <v>5</v>
      </c>
      <c r="J122" s="53">
        <f>+'Client Retention'!Q38</f>
        <v>4</v>
      </c>
      <c r="K122" s="53">
        <f>+'Client Retention'!R38</f>
        <v>4</v>
      </c>
      <c r="L122" s="53">
        <f>+'Client Retention'!S38</f>
        <v>4</v>
      </c>
      <c r="M122" s="53">
        <f>+'Client Retention'!T38</f>
        <v>5</v>
      </c>
      <c r="N122" s="53">
        <f>+'Client Retention'!U38</f>
        <v>7</v>
      </c>
      <c r="O122" s="53">
        <f>+'Client Retention'!V38</f>
        <v>7</v>
      </c>
      <c r="P122" s="53">
        <f>+'Client Retention'!W38</f>
        <v>6</v>
      </c>
      <c r="Q122" s="53">
        <f>+'Client Retention'!X38</f>
        <v>5</v>
      </c>
      <c r="R122" s="53">
        <f>+'Client Retention'!Y38</f>
        <v>8</v>
      </c>
      <c r="S122" s="53">
        <f>+'Client Retention'!Z38</f>
        <v>7</v>
      </c>
      <c r="T122" s="53">
        <f>+'Client Retention'!AA38</f>
        <v>4</v>
      </c>
      <c r="U122" s="53">
        <f>+'Client Retention'!AB38</f>
        <v>4</v>
      </c>
      <c r="V122" s="53">
        <f>+'Client Retention'!AC38</f>
        <v>3</v>
      </c>
      <c r="W122" s="53">
        <f>+'Client Retention'!AD38</f>
        <v>4</v>
      </c>
    </row>
    <row r="123" spans="2:23">
      <c r="B123" s="263" t="s">
        <v>1538</v>
      </c>
      <c r="C123" s="53">
        <f>-'Client Retention'!J42</f>
        <v>0</v>
      </c>
      <c r="D123" s="53">
        <f>-'Client Retention'!K42</f>
        <v>0</v>
      </c>
      <c r="E123" s="53">
        <f>-'Client Retention'!L42</f>
        <v>0</v>
      </c>
      <c r="F123" s="53">
        <f>-'Client Retention'!M42</f>
        <v>0</v>
      </c>
      <c r="G123" s="53">
        <f>-'Client Retention'!N42</f>
        <v>0</v>
      </c>
      <c r="H123" s="53">
        <f>-'Client Retention'!O42</f>
        <v>0</v>
      </c>
      <c r="I123" s="53">
        <f>-'Client Retention'!P42</f>
        <v>2</v>
      </c>
      <c r="J123" s="53">
        <f>-'Client Retention'!Q42</f>
        <v>0</v>
      </c>
      <c r="K123" s="53">
        <f>-'Client Retention'!R42</f>
        <v>0</v>
      </c>
      <c r="L123" s="53">
        <f>-'Client Retention'!S42</f>
        <v>0</v>
      </c>
      <c r="M123" s="53">
        <f>-'Client Retention'!T42</f>
        <v>0</v>
      </c>
      <c r="N123" s="53">
        <f>-'Client Retention'!U42</f>
        <v>1</v>
      </c>
      <c r="O123" s="53">
        <f>-'Client Retention'!V42</f>
        <v>1</v>
      </c>
      <c r="P123" s="53">
        <f>-'Client Retention'!W42</f>
        <v>1</v>
      </c>
      <c r="Q123" s="53">
        <f>-'Client Retention'!X42</f>
        <v>4</v>
      </c>
      <c r="R123" s="53">
        <f>-'Client Retention'!Y42</f>
        <v>4</v>
      </c>
      <c r="S123" s="53">
        <f>-'Client Retention'!Z42</f>
        <v>7</v>
      </c>
      <c r="T123" s="53">
        <f>-'Client Retention'!AA42</f>
        <v>3</v>
      </c>
      <c r="U123" s="53">
        <f>-'Client Retention'!AB42</f>
        <v>3</v>
      </c>
      <c r="V123" s="53">
        <f>-'Client Retention'!AC42</f>
        <v>2</v>
      </c>
      <c r="W123" s="53">
        <f>-'Client Retention'!AD42</f>
        <v>0</v>
      </c>
    </row>
    <row r="125" spans="2:23">
      <c r="B125" s="264" t="str">
        <f>+'Client Retention'!B51</f>
        <v>STR Owner</v>
      </c>
      <c r="C125" s="189">
        <v>45658</v>
      </c>
      <c r="D125" s="189">
        <f t="shared" ref="D125" si="41">EOMONTH(C125,0)+1</f>
        <v>45689</v>
      </c>
      <c r="E125" s="189">
        <f t="shared" ref="E125" si="42">EOMONTH(D125,0)+1</f>
        <v>45717</v>
      </c>
      <c r="F125" s="189">
        <f t="shared" ref="F125" si="43">EOMONTH(E125,0)+1</f>
        <v>45748</v>
      </c>
      <c r="G125" s="189">
        <f t="shared" ref="G125" si="44">EOMONTH(F125,0)+1</f>
        <v>45778</v>
      </c>
      <c r="H125" s="189">
        <f t="shared" ref="H125" si="45">EOMONTH(G125,0)+1</f>
        <v>45809</v>
      </c>
      <c r="I125" s="189">
        <f t="shared" ref="I125" si="46">EOMONTH(H125,0)+1</f>
        <v>45839</v>
      </c>
      <c r="J125" s="189">
        <v>45870</v>
      </c>
      <c r="K125" s="189">
        <f t="shared" ref="K125" si="47">EOMONTH(J125,0)+1</f>
        <v>45901</v>
      </c>
      <c r="L125" s="189">
        <f t="shared" ref="L125" si="48">EOMONTH(K125,0)+1</f>
        <v>45931</v>
      </c>
      <c r="M125" s="189">
        <f t="shared" ref="M125" si="49">EOMONTH(L125,0)+1</f>
        <v>45962</v>
      </c>
      <c r="N125" s="189">
        <f t="shared" ref="N125" si="50">EOMONTH(M125,0)+1</f>
        <v>45992</v>
      </c>
      <c r="O125" s="189">
        <f t="shared" ref="O125" si="51">EOMONTH(N125,0)+1</f>
        <v>46023</v>
      </c>
      <c r="P125" s="189">
        <f t="shared" ref="P125" si="52">EOMONTH(O125,0)+1</f>
        <v>46054</v>
      </c>
      <c r="Q125" s="189">
        <f t="shared" ref="Q125" si="53">EOMONTH(P125,0)+1</f>
        <v>46082</v>
      </c>
      <c r="R125" s="189">
        <f t="shared" ref="R125" si="54">EOMONTH(Q125,0)+1</f>
        <v>46113</v>
      </c>
      <c r="S125" s="189">
        <f t="shared" ref="S125" si="55">EOMONTH(R125,0)+1</f>
        <v>46143</v>
      </c>
      <c r="T125" s="189">
        <f t="shared" ref="T125" si="56">EOMONTH(S125,0)+1</f>
        <v>46174</v>
      </c>
      <c r="U125" s="189">
        <f t="shared" ref="U125" si="57">EOMONTH(T125,0)+1</f>
        <v>46204</v>
      </c>
      <c r="V125" s="189">
        <f t="shared" ref="V125" si="58">EOMONTH(U125,0)+1</f>
        <v>46235</v>
      </c>
      <c r="W125" s="189">
        <f t="shared" ref="W125" si="59">EOMONTH(V125,0)+1</f>
        <v>46266</v>
      </c>
    </row>
    <row r="126" spans="2:23">
      <c r="B126" s="263" t="s">
        <v>1534</v>
      </c>
      <c r="C126" s="53">
        <f>+'Client Retention'!J53</f>
        <v>2</v>
      </c>
      <c r="D126" s="53">
        <f>+'Client Retention'!K53</f>
        <v>0</v>
      </c>
      <c r="E126" s="53">
        <f>+'Client Retention'!L53</f>
        <v>0</v>
      </c>
      <c r="F126" s="53">
        <f>+'Client Retention'!M53</f>
        <v>1</v>
      </c>
      <c r="G126" s="53">
        <f>+'Client Retention'!N53</f>
        <v>2</v>
      </c>
      <c r="H126" s="53">
        <f>+'Client Retention'!O53</f>
        <v>2</v>
      </c>
      <c r="I126" s="53">
        <f>+'Client Retention'!P53</f>
        <v>1</v>
      </c>
      <c r="J126" s="53">
        <f>+'Client Retention'!Q53</f>
        <v>2</v>
      </c>
      <c r="K126" s="53">
        <f>+'Client Retention'!R53</f>
        <v>0</v>
      </c>
      <c r="L126" s="53">
        <f>+'Client Retention'!S53</f>
        <v>1</v>
      </c>
      <c r="M126" s="53">
        <f>+'Client Retention'!T53</f>
        <v>1</v>
      </c>
      <c r="N126" s="53">
        <f>+'Client Retention'!U53</f>
        <v>3</v>
      </c>
      <c r="O126" s="53">
        <f>+'Client Retention'!V53</f>
        <v>3</v>
      </c>
      <c r="P126" s="53">
        <f>+'Client Retention'!W53</f>
        <v>3</v>
      </c>
      <c r="Q126" s="53">
        <f>+'Client Retention'!X53</f>
        <v>1</v>
      </c>
      <c r="R126" s="53">
        <f>+'Client Retention'!Y53</f>
        <v>2</v>
      </c>
      <c r="S126" s="53">
        <f>+'Client Retention'!Z53</f>
        <v>0</v>
      </c>
      <c r="T126" s="53">
        <f>+'Client Retention'!AA53</f>
        <v>0</v>
      </c>
      <c r="U126" s="53">
        <f>+'Client Retention'!AB53</f>
        <v>1</v>
      </c>
      <c r="V126" s="53">
        <f>+'Client Retention'!AC53</f>
        <v>0</v>
      </c>
      <c r="W126" s="53">
        <f>+'Client Retention'!AD53</f>
        <v>0</v>
      </c>
    </row>
    <row r="127" spans="2:23">
      <c r="B127" s="263" t="s">
        <v>1538</v>
      </c>
      <c r="C127" s="53">
        <f>-'Client Retention'!J57</f>
        <v>0</v>
      </c>
      <c r="D127" s="53">
        <f>-'Client Retention'!K57</f>
        <v>0</v>
      </c>
      <c r="E127" s="53">
        <f>-'Client Retention'!L57</f>
        <v>0</v>
      </c>
      <c r="F127" s="53">
        <f>-'Client Retention'!M57</f>
        <v>0</v>
      </c>
      <c r="G127" s="53">
        <f>-'Client Retention'!N57</f>
        <v>0</v>
      </c>
      <c r="H127" s="53">
        <f>-'Client Retention'!O57</f>
        <v>0</v>
      </c>
      <c r="I127" s="53">
        <f>-'Client Retention'!P57</f>
        <v>0</v>
      </c>
      <c r="J127" s="53">
        <f>-'Client Retention'!Q57</f>
        <v>0</v>
      </c>
      <c r="K127" s="53">
        <f>-'Client Retention'!R57</f>
        <v>0</v>
      </c>
      <c r="L127" s="53">
        <f>-'Client Retention'!S57</f>
        <v>0</v>
      </c>
      <c r="M127" s="53">
        <f>-'Client Retention'!T57</f>
        <v>0</v>
      </c>
      <c r="N127" s="53">
        <f>-'Client Retention'!U57</f>
        <v>0</v>
      </c>
      <c r="O127" s="53">
        <f>-'Client Retention'!V57</f>
        <v>0</v>
      </c>
      <c r="P127" s="53">
        <f>-'Client Retention'!W57</f>
        <v>0</v>
      </c>
      <c r="Q127" s="53">
        <f>-'Client Retention'!X57</f>
        <v>1</v>
      </c>
      <c r="R127" s="53">
        <f>-'Client Retention'!Y57</f>
        <v>1</v>
      </c>
      <c r="S127" s="53">
        <f>-'Client Retention'!Z57</f>
        <v>7</v>
      </c>
      <c r="T127" s="53">
        <f>-'Client Retention'!AA57</f>
        <v>1</v>
      </c>
      <c r="U127" s="53">
        <f>-'Client Retention'!AB57</f>
        <v>0</v>
      </c>
      <c r="V127" s="53">
        <f>-'Client Retention'!AC57</f>
        <v>0</v>
      </c>
      <c r="W127" s="53">
        <f>-'Client Retention'!AD57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40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140625" style="173" hidden="1" customWidth="1" outlineLevel="1"/>
    <col min="19" max="19" width="8.140625" style="173" customWidth="1" collapsed="1"/>
    <col min="20" max="30" width="8.140625" style="173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AD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 t="shared" si="0"/>
        <v>45900</v>
      </c>
      <c r="R1" s="193">
        <f t="shared" si="0"/>
        <v>45930</v>
      </c>
      <c r="S1" s="193">
        <f t="shared" si="0"/>
        <v>45961</v>
      </c>
      <c r="T1" s="193">
        <f t="shared" si="0"/>
        <v>45991</v>
      </c>
      <c r="U1" s="193">
        <f t="shared" si="0"/>
        <v>46022</v>
      </c>
      <c r="V1" s="193">
        <f t="shared" si="0"/>
        <v>46053</v>
      </c>
      <c r="W1" s="193">
        <f t="shared" si="0"/>
        <v>46081</v>
      </c>
      <c r="X1" s="193">
        <f t="shared" si="0"/>
        <v>46112</v>
      </c>
      <c r="Y1" s="193">
        <f t="shared" si="0"/>
        <v>46142</v>
      </c>
      <c r="Z1" s="193">
        <f t="shared" si="0"/>
        <v>46173</v>
      </c>
      <c r="AA1" s="193">
        <f t="shared" si="0"/>
        <v>46203</v>
      </c>
      <c r="AB1" s="193">
        <f t="shared" si="0"/>
        <v>46234</v>
      </c>
      <c r="AC1" s="193">
        <f t="shared" si="0"/>
        <v>46265</v>
      </c>
      <c r="AD1" s="193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1307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1">EOMONTH(J5,0)+1</f>
        <v>45689</v>
      </c>
      <c r="L5" s="189">
        <f t="shared" si="1"/>
        <v>45717</v>
      </c>
      <c r="M5" s="189">
        <f t="shared" si="1"/>
        <v>45748</v>
      </c>
      <c r="N5" s="189">
        <f t="shared" si="1"/>
        <v>45778</v>
      </c>
      <c r="O5" s="189">
        <f t="shared" si="1"/>
        <v>45809</v>
      </c>
      <c r="P5" s="189">
        <f t="shared" si="1"/>
        <v>45839</v>
      </c>
      <c r="Q5" s="189">
        <v>45870</v>
      </c>
      <c r="R5" s="189">
        <f t="shared" ref="R5:AD5" si="2">EOMONTH(Q5,0)+1</f>
        <v>45901</v>
      </c>
      <c r="S5" s="189">
        <f t="shared" si="2"/>
        <v>45931</v>
      </c>
      <c r="T5" s="189">
        <f t="shared" si="2"/>
        <v>45962</v>
      </c>
      <c r="U5" s="189">
        <f t="shared" si="2"/>
        <v>45992</v>
      </c>
      <c r="V5" s="189">
        <f t="shared" si="2"/>
        <v>46023</v>
      </c>
      <c r="W5" s="189">
        <f t="shared" si="2"/>
        <v>46054</v>
      </c>
      <c r="X5" s="189">
        <f t="shared" si="2"/>
        <v>46082</v>
      </c>
      <c r="Y5" s="189">
        <f t="shared" si="2"/>
        <v>46113</v>
      </c>
      <c r="Z5" s="189">
        <f t="shared" si="2"/>
        <v>46143</v>
      </c>
      <c r="AA5" s="189">
        <f t="shared" si="2"/>
        <v>46174</v>
      </c>
      <c r="AB5" s="189">
        <f t="shared" si="2"/>
        <v>46204</v>
      </c>
      <c r="AC5" s="189">
        <f t="shared" si="2"/>
        <v>46235</v>
      </c>
      <c r="AD5" s="189">
        <f t="shared" si="2"/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1551</v>
      </c>
      <c r="C7" s="267">
        <f>+C13-C8-C12</f>
        <v>667.09275999999886</v>
      </c>
      <c r="D7" s="267">
        <f>+D13-D8-D12</f>
        <v>981.9607599999988</v>
      </c>
      <c r="E7" s="267">
        <f>+E13-E8-E12</f>
        <v>1680.954099999999</v>
      </c>
      <c r="F7" s="267">
        <f>+F13-F8-F12</f>
        <v>2610.7091199999991</v>
      </c>
      <c r="G7" s="267"/>
      <c r="H7" s="267">
        <f>+H13-H8-H12</f>
        <v>2326.9476799999993</v>
      </c>
      <c r="I7" s="267"/>
      <c r="J7" s="267">
        <f t="shared" ref="J7:AD7" si="3">+J13-J8-J12</f>
        <v>140.07950833333325</v>
      </c>
      <c r="K7" s="267">
        <f t="shared" si="3"/>
        <v>148.61621333333323</v>
      </c>
      <c r="L7" s="267">
        <f t="shared" si="3"/>
        <v>151.85921333333323</v>
      </c>
      <c r="M7" s="267">
        <f t="shared" si="3"/>
        <v>165.57029666666656</v>
      </c>
      <c r="N7" s="267">
        <f t="shared" si="3"/>
        <v>168.41079666666656</v>
      </c>
      <c r="O7" s="267">
        <f t="shared" si="3"/>
        <v>177.29346333333322</v>
      </c>
      <c r="P7" s="267">
        <f t="shared" si="3"/>
        <v>178.42592999999988</v>
      </c>
      <c r="Q7" s="267">
        <f t="shared" si="3"/>
        <v>179.99189666666655</v>
      </c>
      <c r="R7" s="267">
        <f t="shared" si="3"/>
        <v>186.14851666666652</v>
      </c>
      <c r="S7" s="267">
        <f t="shared" si="3"/>
        <v>193.91230666666652</v>
      </c>
      <c r="T7" s="267">
        <f t="shared" si="3"/>
        <v>209.54938999999987</v>
      </c>
      <c r="U7" s="267">
        <f t="shared" si="3"/>
        <v>211.69355666666655</v>
      </c>
      <c r="V7" s="267">
        <f t="shared" si="3"/>
        <v>217.55909333333321</v>
      </c>
      <c r="W7" s="267">
        <f t="shared" si="3"/>
        <v>225.02242666666655</v>
      </c>
      <c r="X7" s="267">
        <f t="shared" si="3"/>
        <v>233.1162599999999</v>
      </c>
      <c r="Y7" s="267">
        <f t="shared" si="3"/>
        <v>236.44089333333324</v>
      </c>
      <c r="Z7" s="267">
        <f t="shared" si="3"/>
        <v>242.12889333333325</v>
      </c>
      <c r="AA7" s="267">
        <f t="shared" si="3"/>
        <v>248.15272666666658</v>
      </c>
      <c r="AB7" s="267">
        <f t="shared" si="3"/>
        <v>251.22864333333325</v>
      </c>
      <c r="AC7" s="267">
        <f t="shared" si="3"/>
        <v>249.67897666666659</v>
      </c>
      <c r="AD7" s="267">
        <f t="shared" si="3"/>
        <v>251.81530999999993</v>
      </c>
    </row>
    <row r="8" spans="2:34">
      <c r="B8" s="188" t="s">
        <v>1314</v>
      </c>
      <c r="C8" s="192">
        <f>SUMIFS('Full Customer List'!$G:$G,'Full Customer List'!$I:$I,"&gt;"&amp;'Client Retention $'!C$155,'Full Customer List'!$I:$I,"&lt;"&amp;'Client Retention $'!C$156)/1000*12</f>
        <v>425.01599999999996</v>
      </c>
      <c r="D8" s="192">
        <f>SUMIFS('Full Customer List'!$G:$G,'Full Customer List'!$I:$I,"&gt;"&amp;'Client Retention $'!D$155,'Full Customer List'!$I:$I,"&lt;"&amp;'Client Retention $'!D$156)/1000*12</f>
        <v>967.92534000000023</v>
      </c>
      <c r="E8" s="194">
        <f>SUM(J8:U8)*12</f>
        <v>1318.2288800000001</v>
      </c>
      <c r="F8" s="194">
        <f>SUM(V8:AD8)*12</f>
        <v>1000.9545999999999</v>
      </c>
      <c r="H8" s="194">
        <f>SUM(S8:AD8)*12</f>
        <v>1445.2814000000001</v>
      </c>
      <c r="J8" s="192">
        <f>SUMIFS('Full Customer List'!$G:$G,'Full Customer List'!$I:$I,'Client Retention $'!J$5)/1000</f>
        <v>11.667329999999998</v>
      </c>
      <c r="K8" s="192">
        <f>SUMIFS('Full Customer List'!$G:$G,'Full Customer List'!$I:$I,'Client Retention $'!K$5)/1000</f>
        <v>4.5530000000000008</v>
      </c>
      <c r="L8" s="192">
        <f>SUMIFS('Full Customer List'!$G:$G,'Full Customer List'!$I:$I,'Client Retention $'!L$5)/1000</f>
        <v>14.481333333333332</v>
      </c>
      <c r="M8" s="192">
        <f>SUMIFS('Full Customer List'!$G:$G,'Full Customer List'!$I:$I,'Client Retention $'!M$5)/1000</f>
        <v>5.1738333333333326</v>
      </c>
      <c r="N8" s="192">
        <f>SUMIFS('Full Customer List'!$G:$G,'Full Customer List'!$I:$I,'Client Retention $'!N$5)/1000</f>
        <v>9.6526666666666667</v>
      </c>
      <c r="O8" s="192">
        <f>SUMIFS('Full Customer List'!$G:$G,'Full Customer List'!$I:$I,'Client Retention $'!O$5)/1000</f>
        <v>4.2576333333333336</v>
      </c>
      <c r="P8" s="192">
        <f>SUMIFS('Full Customer List'!$G:$G,'Full Customer List'!$I:$I,'Client Retention $'!P$5)/1000</f>
        <v>5.5756333333333332</v>
      </c>
      <c r="Q8" s="192">
        <f>SUMIFS('Full Customer List'!$G:$G,'Full Customer List'!$I:$I,'Client Retention $'!Q$5)/1000</f>
        <v>6.7349533333333333</v>
      </c>
      <c r="R8" s="192">
        <f>SUMIFS('Full Customer List'!$G:$G,'Full Customer List'!$I:$I,'Client Retention $'!R$5)/1000</f>
        <v>10.728789999999998</v>
      </c>
      <c r="S8" s="192">
        <f>SUMIFS('Full Customer List'!$G:$G,'Full Customer List'!$I:$I,'Client Retention $'!S$5)/1000</f>
        <v>16.267083333333336</v>
      </c>
      <c r="T8" s="192">
        <f>SUMIFS('Full Customer List'!$G:$G,'Full Customer List'!$I:$I,'Client Retention $'!T$5)/1000</f>
        <v>8.9833333333333343</v>
      </c>
      <c r="U8" s="192">
        <f>SUMIFS('Full Customer List'!$G:$G,'Full Customer List'!$I:$I,'Client Retention $'!U$5)/1000</f>
        <v>11.776816666666665</v>
      </c>
      <c r="V8" s="192">
        <f>SUMIFS('Full Customer List'!$G:$G,'Full Customer List'!$I:$I,'Client Retention $'!V$5)/1000</f>
        <v>11.151666666666666</v>
      </c>
      <c r="W8" s="192">
        <f>SUMIFS('Full Customer List'!$G:$G,'Full Customer List'!$I:$I,'Client Retention $'!W$5)/1000</f>
        <v>8.823833333333333</v>
      </c>
      <c r="X8" s="192">
        <f>SUMIFS('Full Customer List'!$G:$G,'Full Customer List'!$I:$I,'Client Retention $'!X$5)/1000</f>
        <v>7.3784666666666681</v>
      </c>
      <c r="Y8" s="192">
        <f>SUMIFS('Full Customer List'!$G:$G,'Full Customer List'!$I:$I,'Client Retention $'!Y$5)/1000</f>
        <v>12.933333333333334</v>
      </c>
      <c r="Z8" s="192">
        <f>SUMIFS('Full Customer List'!$G:$G,'Full Customer List'!$I:$I,'Client Retention $'!Z$5)/1000</f>
        <v>15.057333333333334</v>
      </c>
      <c r="AA8" s="192">
        <f>SUMIFS('Full Customer List'!$G:$G,'Full Customer List'!$I:$I,'Client Retention $'!AA$5)/1000</f>
        <v>4.86625</v>
      </c>
      <c r="AB8" s="192">
        <f>SUMIFS('Full Customer List'!$G:$G,'Full Customer List'!$I:$I,'Client Retention $'!AB$5)/1000</f>
        <v>12.429</v>
      </c>
      <c r="AC8" s="192">
        <f>SUMIFS('Full Customer List'!$G:$G,'Full Customer List'!$I:$I,'Client Retention $'!AC$5)/1000</f>
        <v>4.8780000000000001</v>
      </c>
      <c r="AD8" s="192">
        <f>SUMIFS('Full Customer List'!$G:$G,'Full Customer List'!$I:$I,'Client Retention $'!AD$5)/1000</f>
        <v>5.8949999999999996</v>
      </c>
    </row>
    <row r="9" spans="2:34">
      <c r="B9" s="262" t="s">
        <v>1528</v>
      </c>
      <c r="E9" s="194">
        <f>SUM(J9:U9)*12</f>
        <v>-247.45336</v>
      </c>
      <c r="F9" s="194">
        <f>SUM(V9:AD9)*12</f>
        <v>-194.12</v>
      </c>
      <c r="H9" s="194">
        <f>SUM(S9:AD9)*12</f>
        <v>-281.25536</v>
      </c>
      <c r="J9" s="192">
        <f>-SUMIFS('Full Customer List'!$G:$G,'Full Customer List'!$J:$J,J$1,'Full Customer List'!$H:$H,'Client Retention $'!$AF9)/1000</f>
        <v>-0.875</v>
      </c>
      <c r="K9" s="192">
        <f>-SUMIFS('Full Customer List'!$G:$G,'Full Customer List'!$J:$J,K$1,'Full Customer List'!$H:$H,'Client Retention $'!$AF9)/1000</f>
        <v>-0.82499999999999996</v>
      </c>
      <c r="L9" s="192">
        <f>-SUMIFS('Full Customer List'!$G:$G,'Full Customer List'!$J:$J,L$1,'Full Customer List'!$H:$H,'Client Retention $'!$AF9)/1000</f>
        <v>-0.39500000000000002</v>
      </c>
      <c r="M9" s="192">
        <f>-SUMIFS('Full Customer List'!$G:$G,'Full Customer List'!$J:$J,M$1,'Full Customer List'!$H:$H,'Client Retention $'!$AF9)/1000</f>
        <v>-1.9383333333333332</v>
      </c>
      <c r="N9" s="192">
        <f>-SUMIFS('Full Customer List'!$G:$G,'Full Customer List'!$J:$J,N$1,'Full Customer List'!$H:$H,'Client Retention $'!$AF9)/1000</f>
        <v>-0.3</v>
      </c>
      <c r="O9" s="192">
        <f>-SUMIFS('Full Customer List'!$G:$G,'Full Customer List'!$J:$J,O$1,'Full Customer List'!$H:$H,'Client Retention $'!$AF9)/1000</f>
        <v>-2.7885</v>
      </c>
      <c r="P9" s="192">
        <f>-SUMIFS('Full Customer List'!$G:$G,'Full Customer List'!$J:$J,P$1,'Full Customer List'!$H:$H,'Client Retention $'!$AF9)/1000</f>
        <v>-4.0096666666666669</v>
      </c>
      <c r="Q9" s="192">
        <f>-SUMIFS('Full Customer List'!$G:$G,'Full Customer List'!$J:$J,Q$1,'Full Customer List'!$H:$H,'Client Retention $'!$AF9)/1000</f>
        <v>-0.57833333333333337</v>
      </c>
      <c r="R9" s="192">
        <f>-SUMIFS('Full Customer List'!$G:$G,'Full Customer List'!$J:$J,R$1,'Full Customer List'!$H:$H,'Client Retention $'!$AF9)/1000</f>
        <v>-1.65</v>
      </c>
      <c r="S9" s="192">
        <f>-SUMIFS('Full Customer List'!$G:$G,'Full Customer List'!$J:$J,S$1,'Full Customer List'!$H:$H,'Client Retention $'!$AF9)/1000</f>
        <v>-0.63</v>
      </c>
      <c r="T9" s="192">
        <f>-SUMIFS('Full Customer List'!$G:$G,'Full Customer List'!$J:$J,T$1,'Full Customer List'!$H:$H,'Client Retention $'!$AF9)/1000</f>
        <v>-2.1783333333333337</v>
      </c>
      <c r="U9" s="192">
        <f>-SUMIFS('Full Customer List'!$G:$G,'Full Customer List'!$J:$J,U$1,'Full Customer List'!$H:$H,'Client Retention $'!$AF9)/1000</f>
        <v>-4.4529466666666657</v>
      </c>
      <c r="V9" s="192">
        <f>-SUMIFS('Full Customer List'!$G:$G,'Full Customer List'!$J:$J,V$1,'Full Customer List'!$H:$H,'Client Retention $'!$AF9)/1000</f>
        <v>-0.46</v>
      </c>
      <c r="W9" s="192">
        <f>-SUMIFS('Full Customer List'!$G:$G,'Full Customer List'!$J:$J,W$1,'Full Customer List'!$H:$H,'Client Retention $'!$AF9)/1000</f>
        <v>-0.73</v>
      </c>
      <c r="X9" s="192">
        <f>-SUMIFS('Full Customer List'!$G:$G,'Full Customer List'!$J:$J,X$1,'Full Customer List'!$H:$H,'Client Retention $'!$AF9)/1000</f>
        <v>-1.2888333333333335</v>
      </c>
      <c r="Y9" s="192">
        <f>-SUMIFS('Full Customer List'!$G:$G,'Full Customer List'!$J:$J,Y$1,'Full Customer List'!$H:$H,'Client Retention $'!$AF9)/1000</f>
        <v>-3.97</v>
      </c>
      <c r="Z9" s="192">
        <f>-SUMIFS('Full Customer List'!$G:$G,'Full Customer List'!$J:$J,Z$1,'Full Customer List'!$H:$H,'Client Retention $'!$AF9)/1000</f>
        <v>-5.0308333333333328</v>
      </c>
      <c r="AA9" s="192">
        <f>-SUMIFS('Full Customer List'!$G:$G,'Full Customer List'!$J:$J,AA$1,'Full Customer List'!$H:$H,'Client Retention $'!$AF9)/1000</f>
        <v>-1.7903333333333336</v>
      </c>
      <c r="AB9" s="192">
        <f>-SUMIFS('Full Customer List'!$G:$G,'Full Customer List'!$J:$J,AB$1,'Full Customer List'!$H:$H,'Client Retention $'!$AF9)/1000</f>
        <v>-2.9066666666666667</v>
      </c>
      <c r="AC9" s="192">
        <f>-SUMIFS('Full Customer List'!$G:$G,'Full Customer List'!$J:$J,AC$1,'Full Customer List'!$H:$H,'Client Retention $'!$AF9)/1000</f>
        <v>0</v>
      </c>
      <c r="AD9" s="192">
        <f>-SUMIFS('Full Customer List'!$G:$G,'Full Customer List'!$J:$J,AD$1,'Full Customer List'!$H:$H,'Client Retention $'!$AF9)/1000</f>
        <v>0</v>
      </c>
      <c r="AF9" s="173" t="s">
        <v>504</v>
      </c>
    </row>
    <row r="10" spans="2:34">
      <c r="B10" s="262" t="s">
        <v>1529</v>
      </c>
      <c r="E10" s="194">
        <f>SUM(J10:U10)*12</f>
        <v>-131.12050000000002</v>
      </c>
      <c r="F10" s="194">
        <f>SUM(V10:AD10)*12</f>
        <v>-179.66399999999999</v>
      </c>
      <c r="H10" s="194">
        <f>SUM(S10:AD10)*12</f>
        <v>-248.29400000000001</v>
      </c>
      <c r="J10" s="192">
        <f>-SUMIFS('Full Customer List'!$G:$G,'Full Customer List'!$J:$J,J$1,'Full Customer List'!$H:$H,'Client Retention $'!$AF10)/1000</f>
        <v>-2.2556250000000002</v>
      </c>
      <c r="K10" s="192">
        <f>-SUMIFS('Full Customer List'!$G:$G,'Full Customer List'!$J:$J,K$1,'Full Customer List'!$H:$H,'Client Retention $'!$AF10)/1000</f>
        <v>-0.48499999999999999</v>
      </c>
      <c r="L10" s="192">
        <f>-SUMIFS('Full Customer List'!$G:$G,'Full Customer List'!$J:$J,L$1,'Full Customer List'!$H:$H,'Client Retention $'!$AF10)/1000</f>
        <v>-0.37524999999999997</v>
      </c>
      <c r="M10" s="192">
        <f>-SUMIFS('Full Customer List'!$G:$G,'Full Customer List'!$J:$J,M$1,'Full Customer List'!$H:$H,'Client Retention $'!$AF10)/1000</f>
        <v>-0.39500000000000002</v>
      </c>
      <c r="N10" s="192">
        <f>-SUMIFS('Full Customer List'!$G:$G,'Full Customer List'!$J:$J,N$1,'Full Customer List'!$H:$H,'Client Retention $'!$AF10)/1000</f>
        <v>-0.47</v>
      </c>
      <c r="O10" s="192">
        <f>-SUMIFS('Full Customer List'!$G:$G,'Full Customer List'!$J:$J,O$1,'Full Customer List'!$H:$H,'Client Retention $'!$AF10)/1000</f>
        <v>-0.33666666666666667</v>
      </c>
      <c r="P10" s="192">
        <f>-SUMIFS('Full Customer List'!$G:$G,'Full Customer List'!$J:$J,P$1,'Full Customer List'!$H:$H,'Client Retention $'!$AF10)/1000</f>
        <v>0</v>
      </c>
      <c r="Q10" s="192">
        <f>-SUMIFS('Full Customer List'!$G:$G,'Full Customer List'!$J:$J,Q$1,'Full Customer List'!$H:$H,'Client Retention $'!$AF10)/1000</f>
        <v>0</v>
      </c>
      <c r="R10" s="192">
        <f>-SUMIFS('Full Customer List'!$G:$G,'Full Customer List'!$J:$J,R$1,'Full Customer List'!$H:$H,'Client Retention $'!$AF10)/1000</f>
        <v>-0.89</v>
      </c>
      <c r="S10" s="192">
        <f>-SUMIFS('Full Customer List'!$G:$G,'Full Customer List'!$J:$J,S$1,'Full Customer List'!$H:$H,'Client Retention $'!$AF10)/1000</f>
        <v>0</v>
      </c>
      <c r="T10" s="192">
        <f>-SUMIFS('Full Customer List'!$G:$G,'Full Customer List'!$J:$J,T$1,'Full Customer List'!$H:$H,'Client Retention $'!$AF10)/1000</f>
        <v>-4.2608333333333341</v>
      </c>
      <c r="U10" s="192">
        <f>-SUMIFS('Full Customer List'!$G:$G,'Full Customer List'!$J:$J,U$1,'Full Customer List'!$H:$H,'Client Retention $'!$AF10)/1000</f>
        <v>-1.4583333333333335</v>
      </c>
      <c r="V10" s="192">
        <f>-SUMIFS('Full Customer List'!$G:$G,'Full Customer List'!$J:$J,V$1,'Full Customer List'!$H:$H,'Client Retention $'!$AF10)/1000</f>
        <v>-3.2283333333333335</v>
      </c>
      <c r="W10" s="192">
        <f>-SUMIFS('Full Customer List'!$G:$G,'Full Customer List'!$J:$J,W$1,'Full Customer List'!$H:$H,'Client Retention $'!$AF10)/1000</f>
        <v>0</v>
      </c>
      <c r="X10" s="192">
        <f>-SUMIFS('Full Customer List'!$G:$G,'Full Customer List'!$J:$J,X$1,'Full Customer List'!$H:$H,'Client Retention $'!$AF10)/1000</f>
        <v>0</v>
      </c>
      <c r="Y10" s="192">
        <f>-SUMIFS('Full Customer List'!$G:$G,'Full Customer List'!$J:$J,Y$1,'Full Customer List'!$H:$H,'Client Retention $'!$AF10)/1000</f>
        <v>-0.54</v>
      </c>
      <c r="Z10" s="192">
        <f>-SUMIFS('Full Customer List'!$G:$G,'Full Customer List'!$J:$J,Z$1,'Full Customer List'!$H:$H,'Client Retention $'!$AF10)/1000</f>
        <v>-1.6836666666666664</v>
      </c>
      <c r="AA10" s="192">
        <f>-SUMIFS('Full Customer List'!$G:$G,'Full Customer List'!$J:$J,AA$1,'Full Customer List'!$H:$H,'Client Retention $'!$AF10)/1000</f>
        <v>0</v>
      </c>
      <c r="AB10" s="192">
        <f>-SUMIFS('Full Customer List'!$G:$G,'Full Customer List'!$J:$J,AB$1,'Full Customer List'!$H:$H,'Client Retention $'!$AF10)/1000</f>
        <v>-9.52</v>
      </c>
      <c r="AC10" s="192">
        <f>-SUMIFS('Full Customer List'!$G:$G,'Full Customer List'!$J:$J,AC$1,'Full Customer List'!$H:$H,'Client Retention $'!$AF10)/1000</f>
        <v>0</v>
      </c>
      <c r="AD10" s="192">
        <f>-SUMIFS('Full Customer List'!$G:$G,'Full Customer List'!$J:$J,AD$1,'Full Customer List'!$H:$H,'Client Retention $'!$AF10)/1000</f>
        <v>0</v>
      </c>
      <c r="AF10" s="173" t="s">
        <v>505</v>
      </c>
    </row>
    <row r="11" spans="2:34">
      <c r="B11" s="262" t="s">
        <v>1530</v>
      </c>
      <c r="E11" s="194">
        <f>SUM(J11:U11)*12</f>
        <v>-9.8999999999999986</v>
      </c>
      <c r="F11" s="194">
        <f>SUM(V11:AD11)*12</f>
        <v>-145.35600000000002</v>
      </c>
      <c r="H11" s="194">
        <f>SUM(S11:AD11)*12</f>
        <v>-150.15600000000001</v>
      </c>
      <c r="J11" s="192">
        <f>-SUMIFS('Full Customer List'!$G:$G,'Full Customer List'!$J:$J,J$1,'Full Customer List'!$H:$H,'Client Retention $'!$AF11)/1000</f>
        <v>0</v>
      </c>
      <c r="K11" s="192">
        <f>-SUMIFS('Full Customer List'!$G:$G,'Full Customer List'!$J:$J,K$1,'Full Customer List'!$H:$H,'Client Retention $'!$AF11)/1000</f>
        <v>0</v>
      </c>
      <c r="L11" s="192">
        <f>-SUMIFS('Full Customer List'!$G:$G,'Full Customer List'!$J:$J,L$1,'Full Customer List'!$H:$H,'Client Retention $'!$AF11)/1000</f>
        <v>0</v>
      </c>
      <c r="M11" s="192">
        <f>-SUMIFS('Full Customer List'!$G:$G,'Full Customer List'!$J:$J,M$1,'Full Customer List'!$H:$H,'Client Retention $'!$AF11)/1000</f>
        <v>0</v>
      </c>
      <c r="N11" s="192">
        <f>-SUMIFS('Full Customer List'!$G:$G,'Full Customer List'!$J:$J,N$1,'Full Customer List'!$H:$H,'Client Retention $'!$AF11)/1000</f>
        <v>0</v>
      </c>
      <c r="O11" s="192">
        <f>-SUMIFS('Full Customer List'!$G:$G,'Full Customer List'!$J:$J,O$1,'Full Customer List'!$H:$H,'Client Retention $'!$AF11)/1000</f>
        <v>0</v>
      </c>
      <c r="P11" s="192">
        <f>-SUMIFS('Full Customer List'!$G:$G,'Full Customer List'!$J:$J,P$1,'Full Customer List'!$H:$H,'Client Retention $'!$AF11)/1000</f>
        <v>0</v>
      </c>
      <c r="Q11" s="192">
        <f>-SUMIFS('Full Customer List'!$G:$G,'Full Customer List'!$J:$J,Q$1,'Full Customer List'!$H:$H,'Client Retention $'!$AF11)/1000</f>
        <v>0</v>
      </c>
      <c r="R11" s="192">
        <f>-SUMIFS('Full Customer List'!$G:$G,'Full Customer List'!$J:$J,R$1,'Full Customer List'!$H:$H,'Client Retention $'!$AF11)/1000</f>
        <v>-0.42499999999999999</v>
      </c>
      <c r="S11" s="192">
        <f>-SUMIFS('Full Customer List'!$G:$G,'Full Customer List'!$J:$J,S$1,'Full Customer List'!$H:$H,'Client Retention $'!$AF11)/1000</f>
        <v>0</v>
      </c>
      <c r="T11" s="192">
        <f>-SUMIFS('Full Customer List'!$G:$G,'Full Customer List'!$J:$J,T$1,'Full Customer List'!$H:$H,'Client Retention $'!$AF11)/1000</f>
        <v>-0.4</v>
      </c>
      <c r="U11" s="192">
        <f>-SUMIFS('Full Customer List'!$G:$G,'Full Customer List'!$J:$J,U$1,'Full Customer List'!$H:$H,'Client Retention $'!$AF11)/1000</f>
        <v>0</v>
      </c>
      <c r="V11" s="192">
        <f>-SUMIFS('Full Customer List'!$G:$G,'Full Customer List'!$J:$J,V$1,'Full Customer List'!$H:$H,'Client Retention $'!$AF11)/1000</f>
        <v>0</v>
      </c>
      <c r="W11" s="192">
        <f>-SUMIFS('Full Customer List'!$G:$G,'Full Customer List'!$J:$J,W$1,'Full Customer List'!$H:$H,'Client Retention $'!$AF11)/1000</f>
        <v>0</v>
      </c>
      <c r="X11" s="192">
        <f>-SUMIFS('Full Customer List'!$G:$G,'Full Customer List'!$J:$J,X$1,'Full Customer List'!$H:$H,'Client Retention $'!$AF11)/1000</f>
        <v>-2.7650000000000001</v>
      </c>
      <c r="Y11" s="192">
        <f>-SUMIFS('Full Customer List'!$G:$G,'Full Customer List'!$J:$J,Y$1,'Full Customer List'!$H:$H,'Client Retention $'!$AF11)/1000</f>
        <v>-2.7353333333333336</v>
      </c>
      <c r="Z11" s="192">
        <f>-SUMIFS('Full Customer List'!$G:$G,'Full Customer List'!$J:$J,Z$1,'Full Customer List'!$H:$H,'Client Retention $'!$AF11)/1000</f>
        <v>-2.319</v>
      </c>
      <c r="AA11" s="192">
        <f>-SUMIFS('Full Customer List'!$G:$G,'Full Customer List'!$J:$J,AA$1,'Full Customer List'!$H:$H,'Client Retention $'!$AF11)/1000</f>
        <v>0</v>
      </c>
      <c r="AB11" s="192">
        <f>-SUMIFS('Full Customer List'!$G:$G,'Full Customer List'!$J:$J,AB$1,'Full Customer List'!$H:$H,'Client Retention $'!$AF11)/1000</f>
        <v>-1.552</v>
      </c>
      <c r="AC11" s="192">
        <f>-SUMIFS('Full Customer List'!$G:$G,'Full Customer List'!$J:$J,AC$1,'Full Customer List'!$H:$H,'Client Retention $'!$AF11)/1000</f>
        <v>-2.7416666666666667</v>
      </c>
      <c r="AD11" s="192">
        <f>-SUMIFS('Full Customer List'!$G:$G,'Full Customer List'!$J:$J,AD$1,'Full Customer List'!$H:$H,'Client Retention $'!$AF11)/1000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Departures'!C13/1000*12</f>
        <v>-110.148</v>
      </c>
      <c r="D12" s="255">
        <f>-'Client Departures'!C14/1000*12</f>
        <v>-268.93200000000002</v>
      </c>
      <c r="E12" s="253">
        <f>SUM(J12:U12)*12</f>
        <v>-388.47386</v>
      </c>
      <c r="F12" s="253">
        <f>SUM(V12:AD12)*12</f>
        <v>-519.14</v>
      </c>
      <c r="G12" s="254"/>
      <c r="H12" s="253">
        <f>SUM(S12:AD12)*12</f>
        <v>-679.70536000000004</v>
      </c>
      <c r="I12" s="254"/>
      <c r="J12" s="255">
        <f>-SUMIFS('Full Customer List'!$G:$G,'Full Customer List'!$J:$J,J$1)/1000</f>
        <v>-3.1306250000000002</v>
      </c>
      <c r="K12" s="255">
        <f>-SUMIFS('Full Customer List'!$G:$G,'Full Customer List'!$J:$J,K$1)/1000</f>
        <v>-1.31</v>
      </c>
      <c r="L12" s="255">
        <f>-SUMIFS('Full Customer List'!$G:$G,'Full Customer List'!$J:$J,L$1)/1000</f>
        <v>-0.77024999999999999</v>
      </c>
      <c r="M12" s="255">
        <f>-SUMIFS('Full Customer List'!$G:$G,'Full Customer List'!$J:$J,M$1)/1000</f>
        <v>-2.333333333333333</v>
      </c>
      <c r="N12" s="255">
        <f>-SUMIFS('Full Customer List'!$G:$G,'Full Customer List'!$J:$J,N$1)/1000</f>
        <v>-0.77</v>
      </c>
      <c r="O12" s="255">
        <f>-SUMIFS('Full Customer List'!$G:$G,'Full Customer List'!$J:$J,O$1)/1000</f>
        <v>-3.1251666666666669</v>
      </c>
      <c r="P12" s="255">
        <f>-SUMIFS('Full Customer List'!$G:$G,'Full Customer List'!$J:$J,P$1)/1000</f>
        <v>-4.0096666666666669</v>
      </c>
      <c r="Q12" s="255">
        <f>-SUMIFS('Full Customer List'!$G:$G,'Full Customer List'!$J:$J,Q$1)/1000</f>
        <v>-0.57833333333333337</v>
      </c>
      <c r="R12" s="255">
        <f>-SUMIFS('Full Customer List'!$G:$G,'Full Customer List'!$J:$J,R$1)/1000</f>
        <v>-2.9649999999999999</v>
      </c>
      <c r="S12" s="255">
        <f>-SUMIFS('Full Customer List'!$G:$G,'Full Customer List'!$J:$J,S$1)/1000</f>
        <v>-0.63</v>
      </c>
      <c r="T12" s="255">
        <f>-SUMIFS('Full Customer List'!$G:$G,'Full Customer List'!$J:$J,T$1)/1000</f>
        <v>-6.8391666666666682</v>
      </c>
      <c r="U12" s="255">
        <f>-SUMIFS('Full Customer List'!$G:$G,'Full Customer List'!$J:$J,U$1)/1000</f>
        <v>-5.9112799999999996</v>
      </c>
      <c r="V12" s="255">
        <f>-SUMIFS('Full Customer List'!$G:$G,'Full Customer List'!$J:$J,V$1)/1000</f>
        <v>-3.6883333333333335</v>
      </c>
      <c r="W12" s="255">
        <f>-SUMIFS('Full Customer List'!$G:$G,'Full Customer List'!$J:$J,W$1)/1000</f>
        <v>-0.73</v>
      </c>
      <c r="X12" s="255">
        <f>-SUMIFS('Full Customer List'!$G:$G,'Full Customer List'!$J:$J,X$1)/1000</f>
        <v>-4.0538333333333334</v>
      </c>
      <c r="Y12" s="255">
        <f>-SUMIFS('Full Customer List'!$G:$G,'Full Customer List'!$J:$J,Y$1)/1000</f>
        <v>-7.245333333333333</v>
      </c>
      <c r="Z12" s="255">
        <f>-SUMIFS('Full Customer List'!$G:$G,'Full Customer List'!$J:$J,Z$1)/1000</f>
        <v>-9.0335000000000001</v>
      </c>
      <c r="AA12" s="255">
        <f>-SUMIFS('Full Customer List'!$G:$G,'Full Customer List'!$J:$J,AA$1)/1000</f>
        <v>-1.7903333333333336</v>
      </c>
      <c r="AB12" s="255">
        <f>-SUMIFS('Full Customer List'!$G:$G,'Full Customer List'!$J:$J,AB$1)/1000</f>
        <v>-13.978666666666665</v>
      </c>
      <c r="AC12" s="255">
        <f>-SUMIFS('Full Customer List'!$G:$G,'Full Customer List'!$J:$J,AC$1)/1000</f>
        <v>-2.7416666666666667</v>
      </c>
      <c r="AD12" s="255">
        <f>-SUMIFS('Full Customer List'!$G:$G,'Full Customer List'!$J:$J,AD$1)/1000</f>
        <v>0</v>
      </c>
    </row>
    <row r="13" spans="2:34">
      <c r="B13" s="256" t="s">
        <v>1550</v>
      </c>
      <c r="C13" s="268">
        <f>+D7</f>
        <v>981.9607599999988</v>
      </c>
      <c r="D13" s="268">
        <f>+E7</f>
        <v>1680.954099999999</v>
      </c>
      <c r="E13" s="268">
        <f>+F7</f>
        <v>2610.7091199999991</v>
      </c>
      <c r="F13" s="269">
        <f>+$AD13*12</f>
        <v>3092.5237199999992</v>
      </c>
      <c r="G13" s="267"/>
      <c r="H13" s="270">
        <f>+$AD13*12</f>
        <v>3092.5237199999992</v>
      </c>
      <c r="I13" s="267"/>
      <c r="J13" s="271">
        <f t="shared" ref="J13:AC13" si="4">+K7</f>
        <v>148.61621333333323</v>
      </c>
      <c r="K13" s="268">
        <f t="shared" si="4"/>
        <v>151.85921333333323</v>
      </c>
      <c r="L13" s="268">
        <f t="shared" si="4"/>
        <v>165.57029666666656</v>
      </c>
      <c r="M13" s="268">
        <f t="shared" si="4"/>
        <v>168.41079666666656</v>
      </c>
      <c r="N13" s="268">
        <f t="shared" si="4"/>
        <v>177.29346333333322</v>
      </c>
      <c r="O13" s="268">
        <f t="shared" si="4"/>
        <v>178.42592999999988</v>
      </c>
      <c r="P13" s="268">
        <f t="shared" si="4"/>
        <v>179.99189666666655</v>
      </c>
      <c r="Q13" s="268">
        <f t="shared" si="4"/>
        <v>186.14851666666652</v>
      </c>
      <c r="R13" s="268">
        <f t="shared" si="4"/>
        <v>193.91230666666652</v>
      </c>
      <c r="S13" s="271">
        <f t="shared" si="4"/>
        <v>209.54938999999987</v>
      </c>
      <c r="T13" s="268">
        <f t="shared" si="4"/>
        <v>211.69355666666655</v>
      </c>
      <c r="U13" s="268">
        <f t="shared" si="4"/>
        <v>217.55909333333321</v>
      </c>
      <c r="V13" s="268">
        <f t="shared" si="4"/>
        <v>225.02242666666655</v>
      </c>
      <c r="W13" s="268">
        <f t="shared" si="4"/>
        <v>233.1162599999999</v>
      </c>
      <c r="X13" s="268">
        <f t="shared" si="4"/>
        <v>236.44089333333324</v>
      </c>
      <c r="Y13" s="268">
        <f t="shared" si="4"/>
        <v>242.12889333333325</v>
      </c>
      <c r="Z13" s="268">
        <f t="shared" si="4"/>
        <v>248.15272666666658</v>
      </c>
      <c r="AA13" s="268">
        <f t="shared" si="4"/>
        <v>251.22864333333325</v>
      </c>
      <c r="AB13" s="268">
        <f t="shared" si="4"/>
        <v>249.67897666666659</v>
      </c>
      <c r="AC13" s="268">
        <f t="shared" si="4"/>
        <v>251.81530999999993</v>
      </c>
      <c r="AD13" s="269">
        <f>SUMIFS('Full Customer List'!$G:$G,'Full Customer List'!$C:$C,"Active")/1000</f>
        <v>257.71030999999994</v>
      </c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31" t="s">
        <v>1852</v>
      </c>
      <c r="C15" s="338">
        <f>AVERAGE(C7,C13)</f>
        <v>824.52675999999883</v>
      </c>
      <c r="D15" s="338">
        <f>AVERAGE(D7,D13)</f>
        <v>1331.457429999999</v>
      </c>
      <c r="E15" s="338">
        <f>AVERAGE(E7,E13)</f>
        <v>2145.8316099999993</v>
      </c>
      <c r="F15" s="339">
        <f>AVERAGE(F7,F13)</f>
        <v>2851.6164199999994</v>
      </c>
      <c r="G15" s="267"/>
      <c r="H15" s="342">
        <f>AVERAGE(H7,H13)</f>
        <v>2709.7356999999993</v>
      </c>
      <c r="I15" s="267"/>
      <c r="J15" s="344">
        <f t="shared" ref="J15:AD15" si="5">AVERAGE(J7,J13)</f>
        <v>144.34786083333324</v>
      </c>
      <c r="K15" s="338">
        <f t="shared" si="5"/>
        <v>150.23771333333323</v>
      </c>
      <c r="L15" s="338">
        <f t="shared" si="5"/>
        <v>158.71475499999991</v>
      </c>
      <c r="M15" s="338">
        <f t="shared" si="5"/>
        <v>166.99054666666655</v>
      </c>
      <c r="N15" s="338">
        <f t="shared" si="5"/>
        <v>172.85212999999987</v>
      </c>
      <c r="O15" s="338">
        <f t="shared" si="5"/>
        <v>177.85969666666654</v>
      </c>
      <c r="P15" s="338">
        <f t="shared" si="5"/>
        <v>179.20891333333321</v>
      </c>
      <c r="Q15" s="338">
        <f t="shared" si="5"/>
        <v>183.07020666666654</v>
      </c>
      <c r="R15" s="338">
        <f t="shared" si="5"/>
        <v>190.03041166666651</v>
      </c>
      <c r="S15" s="344">
        <f t="shared" si="5"/>
        <v>201.7308483333332</v>
      </c>
      <c r="T15" s="338">
        <f t="shared" si="5"/>
        <v>210.6214733333332</v>
      </c>
      <c r="U15" s="338">
        <f t="shared" si="5"/>
        <v>214.62632499999989</v>
      </c>
      <c r="V15" s="338">
        <f t="shared" si="5"/>
        <v>221.29075999999986</v>
      </c>
      <c r="W15" s="338">
        <f t="shared" si="5"/>
        <v>229.06934333333322</v>
      </c>
      <c r="X15" s="338">
        <f t="shared" si="5"/>
        <v>234.77857666666657</v>
      </c>
      <c r="Y15" s="338">
        <f t="shared" si="5"/>
        <v>239.28489333333323</v>
      </c>
      <c r="Z15" s="338">
        <f t="shared" si="5"/>
        <v>245.14080999999993</v>
      </c>
      <c r="AA15" s="338">
        <f t="shared" si="5"/>
        <v>249.69068499999992</v>
      </c>
      <c r="AB15" s="338">
        <f t="shared" si="5"/>
        <v>250.45380999999992</v>
      </c>
      <c r="AC15" s="338">
        <f t="shared" si="5"/>
        <v>250.74714333333327</v>
      </c>
      <c r="AD15" s="339">
        <f t="shared" si="5"/>
        <v>254.76280999999994</v>
      </c>
    </row>
    <row r="16" spans="2:34">
      <c r="B16" s="234" t="s">
        <v>1853</v>
      </c>
      <c r="C16" s="340">
        <f>C15/'Client Retention'!C15</f>
        <v>9.4773190804597558</v>
      </c>
      <c r="D16" s="340">
        <f>D15/'Client Retention'!D15</f>
        <v>11.283537542372873</v>
      </c>
      <c r="E16" s="340">
        <f>E15/'Client Retention'!E15</f>
        <v>12.887877537537532</v>
      </c>
      <c r="F16" s="341">
        <f>F15/'Client Retention'!F15</f>
        <v>15.087917566137563</v>
      </c>
      <c r="G16" s="267"/>
      <c r="H16" s="343">
        <f>H15/'Client Retention'!H15</f>
        <v>14.726824456521735</v>
      </c>
      <c r="I16" s="267"/>
      <c r="J16" s="345">
        <f>J15/'Client Retention'!J15*12</f>
        <v>11.864207739726019</v>
      </c>
      <c r="K16" s="340">
        <f>K15/'Client Retention'!K15*12</f>
        <v>12.222729220338973</v>
      </c>
      <c r="L16" s="340">
        <f>L15/'Client Retention'!L15*12</f>
        <v>12.613093112582774</v>
      </c>
      <c r="M16" s="340">
        <f>M15/'Client Retention'!M15*12</f>
        <v>12.804386964856221</v>
      </c>
      <c r="N16" s="340">
        <f>N15/'Client Retention'!N15*12</f>
        <v>12.803861481481473</v>
      </c>
      <c r="O16" s="340">
        <f>O15/'Client Retention'!O15*12</f>
        <v>12.935250666666658</v>
      </c>
      <c r="P16" s="340">
        <f>P15/'Client Retention'!P15*12</f>
        <v>12.877287185628735</v>
      </c>
      <c r="Q16" s="340">
        <f>Q15/'Client Retention'!Q15*12</f>
        <v>12.772339999999993</v>
      </c>
      <c r="R16" s="340">
        <f>R15/'Client Retention'!R15*12</f>
        <v>12.919914674220951</v>
      </c>
      <c r="S16" s="345">
        <f>S15/'Client Retention'!S15*12</f>
        <v>13.12070558265582</v>
      </c>
      <c r="T16" s="340">
        <f>T15/'Client Retention'!T15*12</f>
        <v>13.302408842105255</v>
      </c>
      <c r="U16" s="340">
        <f>U15/'Client Retention'!U15*12</f>
        <v>13.66321432360742</v>
      </c>
      <c r="V16" s="340">
        <f>V15/'Client Retention'!V15*12</f>
        <v>13.866783916449076</v>
      </c>
      <c r="W16" s="340">
        <f>W15/'Client Retention'!W15*12</f>
        <v>13.778607117794479</v>
      </c>
      <c r="X16" s="340">
        <f>X15/'Client Retention'!X15*12</f>
        <v>13.844436953316947</v>
      </c>
      <c r="Y16" s="340">
        <f>Y15/'Client Retention'!Y15*12</f>
        <v>13.938925825242713</v>
      </c>
      <c r="Z16" s="340">
        <f>Z15/'Client Retention'!Z15*12</f>
        <v>14.38479080684596</v>
      </c>
      <c r="AA16" s="340">
        <f>AA15/'Client Retention'!AA15*12</f>
        <v>14.981441099999996</v>
      </c>
      <c r="AB16" s="340">
        <f>AB15/'Client Retention'!AB15*12</f>
        <v>15.612705038961034</v>
      </c>
      <c r="AC16" s="340">
        <f>AC15/'Client Retention'!AC15*12</f>
        <v>16.220839460916437</v>
      </c>
      <c r="AD16" s="341">
        <f>AD15/'Client Retention'!AD15*12</f>
        <v>16.261455957446806</v>
      </c>
    </row>
    <row r="17" spans="2:34" ht="3.95" customHeight="1">
      <c r="B17" s="179"/>
      <c r="C17" s="229"/>
      <c r="D17" s="229"/>
      <c r="E17" s="229"/>
      <c r="F17" s="229"/>
      <c r="H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30"/>
      <c r="AC17" s="230"/>
      <c r="AD17" s="230"/>
    </row>
    <row r="18" spans="2:34">
      <c r="B18" s="231" t="s">
        <v>1547</v>
      </c>
      <c r="C18" s="233">
        <f>(C8+C7)/C7-1</f>
        <v>0.63711679317281233</v>
      </c>
      <c r="D18" s="233">
        <f>(D8+D7)/D7-1</f>
        <v>0.98570674046079132</v>
      </c>
      <c r="E18" s="233">
        <f>(E8+E7)/E7-1</f>
        <v>0.7842146790325808</v>
      </c>
      <c r="F18" s="244">
        <f>(F8+F7)/F7-1</f>
        <v>0.38340334138795229</v>
      </c>
      <c r="G18" s="245"/>
      <c r="H18" s="246">
        <f>(H8+H7)/H7-1</f>
        <v>0.62110610067519878</v>
      </c>
      <c r="J18" s="243">
        <f t="shared" ref="J18:AD18" si="6">(J8+J7)/J7-1</f>
        <v>8.3290769212556182E-2</v>
      </c>
      <c r="K18" s="233">
        <f t="shared" si="6"/>
        <v>3.0635957530340319E-2</v>
      </c>
      <c r="L18" s="233">
        <f t="shared" si="6"/>
        <v>9.5360255169678831E-2</v>
      </c>
      <c r="M18" s="233">
        <f t="shared" si="6"/>
        <v>3.124855990171671E-2</v>
      </c>
      <c r="N18" s="233">
        <f t="shared" si="6"/>
        <v>5.7316198591305767E-2</v>
      </c>
      <c r="O18" s="233">
        <f t="shared" si="6"/>
        <v>2.4014609750887761E-2</v>
      </c>
      <c r="P18" s="233">
        <f t="shared" si="6"/>
        <v>3.1249008108481524E-2</v>
      </c>
      <c r="Q18" s="233">
        <f t="shared" si="6"/>
        <v>3.7418091914471097E-2</v>
      </c>
      <c r="R18" s="233">
        <f t="shared" si="6"/>
        <v>5.7635645946144676E-2</v>
      </c>
      <c r="S18" s="243">
        <f t="shared" si="6"/>
        <v>8.3888865090426146E-2</v>
      </c>
      <c r="T18" s="233">
        <f t="shared" si="6"/>
        <v>4.2869766088716954E-2</v>
      </c>
      <c r="U18" s="233">
        <f t="shared" si="6"/>
        <v>5.5631436554351543E-2</v>
      </c>
      <c r="V18" s="233">
        <f t="shared" si="6"/>
        <v>5.1258104158306228E-2</v>
      </c>
      <c r="W18" s="233">
        <f t="shared" si="6"/>
        <v>3.9213128504761885E-2</v>
      </c>
      <c r="X18" s="233">
        <f t="shared" si="6"/>
        <v>3.165144579218393E-2</v>
      </c>
      <c r="Y18" s="233">
        <f t="shared" si="6"/>
        <v>5.4700069649542327E-2</v>
      </c>
      <c r="Z18" s="233">
        <f t="shared" si="6"/>
        <v>6.2187263676145577E-2</v>
      </c>
      <c r="AA18" s="233">
        <f t="shared" si="6"/>
        <v>1.9609899376752171E-2</v>
      </c>
      <c r="AB18" s="233">
        <f t="shared" si="6"/>
        <v>4.9472861991731731E-2</v>
      </c>
      <c r="AC18" s="233">
        <f t="shared" si="6"/>
        <v>1.9537087443739276E-2</v>
      </c>
      <c r="AD18" s="244">
        <f t="shared" si="6"/>
        <v>2.3410014267996715E-2</v>
      </c>
    </row>
    <row r="19" spans="2:34">
      <c r="B19" s="234" t="s">
        <v>1548</v>
      </c>
      <c r="C19" s="236">
        <f>(C12+C15)/C15-1</f>
        <v>-0.1335893573666429</v>
      </c>
      <c r="D19" s="236">
        <f>(D12+D15)/D15-1</f>
        <v>-0.20198317568440793</v>
      </c>
      <c r="E19" s="236">
        <f>(E12+E15)/E15-1</f>
        <v>-0.18103650733339705</v>
      </c>
      <c r="F19" s="237">
        <f>(F12+F15)/F15-1</f>
        <v>-0.18205113295006203</v>
      </c>
      <c r="G19" s="245"/>
      <c r="H19" s="239">
        <f>(H12+H15)/H15-1</f>
        <v>-0.25083824964921864</v>
      </c>
      <c r="J19" s="238">
        <f t="shared" ref="J19:AD19" si="7">(J12+J15)/J15-1</f>
        <v>-2.1688059538441551E-2</v>
      </c>
      <c r="K19" s="236">
        <f t="shared" si="7"/>
        <v>-8.719515033442371E-3</v>
      </c>
      <c r="L19" s="236">
        <f t="shared" si="7"/>
        <v>-4.8530459565653272E-3</v>
      </c>
      <c r="M19" s="236">
        <f t="shared" si="7"/>
        <v>-1.3972846846180831E-2</v>
      </c>
      <c r="N19" s="236">
        <f t="shared" si="7"/>
        <v>-4.4546746401100679E-3</v>
      </c>
      <c r="O19" s="236">
        <f t="shared" si="7"/>
        <v>-1.7570965908727865E-2</v>
      </c>
      <c r="P19" s="236">
        <f t="shared" si="7"/>
        <v>-2.2374259137482699E-2</v>
      </c>
      <c r="Q19" s="236">
        <f t="shared" si="7"/>
        <v>-3.1590794802912603E-3</v>
      </c>
      <c r="R19" s="236">
        <f t="shared" si="7"/>
        <v>-1.5602765757309012E-2</v>
      </c>
      <c r="S19" s="238">
        <f t="shared" si="7"/>
        <v>-3.1229730366225672E-3</v>
      </c>
      <c r="T19" s="236">
        <f t="shared" si="7"/>
        <v>-3.2471364663957503E-2</v>
      </c>
      <c r="U19" s="236">
        <f t="shared" si="7"/>
        <v>-2.7542194556050004E-2</v>
      </c>
      <c r="V19" s="236">
        <f t="shared" si="7"/>
        <v>-1.6667362583658418E-2</v>
      </c>
      <c r="W19" s="236">
        <f t="shared" si="7"/>
        <v>-3.1868079306348607E-3</v>
      </c>
      <c r="X19" s="236">
        <f t="shared" si="7"/>
        <v>-1.7266623688109606E-2</v>
      </c>
      <c r="Y19" s="236">
        <f t="shared" si="7"/>
        <v>-3.0279108858076942E-2</v>
      </c>
      <c r="Z19" s="236">
        <f t="shared" si="7"/>
        <v>-3.6850249454589035E-2</v>
      </c>
      <c r="AA19" s="236">
        <f t="shared" si="7"/>
        <v>-7.1702047408510605E-3</v>
      </c>
      <c r="AB19" s="236">
        <f t="shared" si="7"/>
        <v>-5.5813352037514141E-2</v>
      </c>
      <c r="AC19" s="236">
        <f t="shared" si="7"/>
        <v>-1.0933989636811137E-2</v>
      </c>
      <c r="AD19" s="237">
        <f t="shared" si="7"/>
        <v>0</v>
      </c>
    </row>
    <row r="20" spans="2:34" ht="3.95" customHeight="1">
      <c r="B20" s="179"/>
      <c r="C20" s="182"/>
      <c r="D20" s="182"/>
    </row>
    <row r="21" spans="2:34" ht="24">
      <c r="B21" s="159" t="s">
        <v>1308</v>
      </c>
      <c r="C21" s="176" t="s">
        <v>1316</v>
      </c>
      <c r="D21" s="176" t="s">
        <v>3</v>
      </c>
      <c r="E21" s="176" t="s">
        <v>4</v>
      </c>
      <c r="F21" s="176" t="s">
        <v>1317</v>
      </c>
      <c r="G21" s="190"/>
      <c r="H21" s="176" t="s">
        <v>1527</v>
      </c>
      <c r="J21" s="189">
        <v>45658</v>
      </c>
      <c r="K21" s="189">
        <f t="shared" ref="K21:P21" si="8">EOMONTH(J21,0)+1</f>
        <v>45689</v>
      </c>
      <c r="L21" s="189">
        <f t="shared" si="8"/>
        <v>45717</v>
      </c>
      <c r="M21" s="189">
        <f t="shared" si="8"/>
        <v>45748</v>
      </c>
      <c r="N21" s="189">
        <f t="shared" si="8"/>
        <v>45778</v>
      </c>
      <c r="O21" s="189">
        <f t="shared" si="8"/>
        <v>45809</v>
      </c>
      <c r="P21" s="189">
        <f t="shared" si="8"/>
        <v>45839</v>
      </c>
      <c r="Q21" s="189">
        <v>45870</v>
      </c>
      <c r="R21" s="189">
        <f t="shared" ref="R21:AD21" si="9">EOMONTH(Q21,0)+1</f>
        <v>45901</v>
      </c>
      <c r="S21" s="189">
        <f t="shared" si="9"/>
        <v>45931</v>
      </c>
      <c r="T21" s="189">
        <f t="shared" si="9"/>
        <v>45962</v>
      </c>
      <c r="U21" s="189">
        <f t="shared" si="9"/>
        <v>45992</v>
      </c>
      <c r="V21" s="189">
        <f t="shared" si="9"/>
        <v>46023</v>
      </c>
      <c r="W21" s="189">
        <f t="shared" si="9"/>
        <v>46054</v>
      </c>
      <c r="X21" s="189">
        <f t="shared" si="9"/>
        <v>46082</v>
      </c>
      <c r="Y21" s="189">
        <f t="shared" si="9"/>
        <v>46113</v>
      </c>
      <c r="Z21" s="189">
        <f t="shared" si="9"/>
        <v>46143</v>
      </c>
      <c r="AA21" s="189">
        <f t="shared" si="9"/>
        <v>46174</v>
      </c>
      <c r="AB21" s="189">
        <f t="shared" si="9"/>
        <v>46204</v>
      </c>
      <c r="AC21" s="189">
        <f t="shared" si="9"/>
        <v>46235</v>
      </c>
      <c r="AD21" s="189">
        <f t="shared" si="9"/>
        <v>46266</v>
      </c>
      <c r="AE21" s="184"/>
      <c r="AF21" s="184"/>
      <c r="AG21" s="184"/>
      <c r="AH21" s="184"/>
    </row>
    <row r="22" spans="2:34">
      <c r="B22" s="183" t="s">
        <v>1541</v>
      </c>
      <c r="C22" s="43"/>
      <c r="D22" s="43"/>
      <c r="E22" s="43"/>
      <c r="F22" s="43"/>
      <c r="G22" s="6"/>
      <c r="H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6"/>
      <c r="AF22" s="6"/>
      <c r="AG22" s="6"/>
      <c r="AH22" s="6"/>
    </row>
    <row r="23" spans="2:34">
      <c r="B23" s="173" t="s">
        <v>1551</v>
      </c>
      <c r="C23" s="267"/>
      <c r="D23" s="267"/>
      <c r="E23" s="267">
        <f>+E29-E24-E28</f>
        <v>1520.3440999999998</v>
      </c>
      <c r="F23" s="267">
        <f>+F29-F24-F28</f>
        <v>2396.1001199999996</v>
      </c>
      <c r="G23" s="267"/>
      <c r="H23" s="267">
        <f>+H29-H24-H28</f>
        <v>2165.9176799999996</v>
      </c>
      <c r="I23" s="267"/>
      <c r="J23" s="267">
        <f t="shared" ref="J23:AD23" si="10">+J29-J24-J28</f>
        <v>126.69534166666658</v>
      </c>
      <c r="K23" s="267">
        <f t="shared" si="10"/>
        <v>136.83704666666657</v>
      </c>
      <c r="L23" s="267">
        <f t="shared" si="10"/>
        <v>140.48004666666657</v>
      </c>
      <c r="M23" s="267">
        <f t="shared" si="10"/>
        <v>154.1911299999999</v>
      </c>
      <c r="N23" s="267">
        <f t="shared" si="10"/>
        <v>157.03162999999989</v>
      </c>
      <c r="O23" s="267">
        <f t="shared" si="10"/>
        <v>166.21429666666657</v>
      </c>
      <c r="P23" s="267">
        <f t="shared" si="10"/>
        <v>167.31009666666657</v>
      </c>
      <c r="Q23" s="267">
        <f t="shared" si="10"/>
        <v>169.58606333333324</v>
      </c>
      <c r="R23" s="267">
        <f t="shared" si="10"/>
        <v>175.34268333333324</v>
      </c>
      <c r="S23" s="267">
        <f t="shared" si="10"/>
        <v>180.49313999999993</v>
      </c>
      <c r="T23" s="267">
        <f t="shared" si="10"/>
        <v>190.66497333333325</v>
      </c>
      <c r="U23" s="267">
        <f t="shared" si="10"/>
        <v>193.20913999999993</v>
      </c>
      <c r="V23" s="267">
        <f t="shared" si="10"/>
        <v>199.67500999999993</v>
      </c>
      <c r="W23" s="267">
        <f t="shared" si="10"/>
        <v>206.36334333333326</v>
      </c>
      <c r="X23" s="267">
        <f t="shared" si="10"/>
        <v>213.13717666666659</v>
      </c>
      <c r="Y23" s="267">
        <f t="shared" si="10"/>
        <v>216.82730999999993</v>
      </c>
      <c r="Z23" s="267">
        <f t="shared" si="10"/>
        <v>222.51530999999994</v>
      </c>
      <c r="AA23" s="267">
        <f t="shared" si="10"/>
        <v>228.87914333333327</v>
      </c>
      <c r="AB23" s="267">
        <f t="shared" si="10"/>
        <v>231.95505999999995</v>
      </c>
      <c r="AC23" s="267">
        <f t="shared" si="10"/>
        <v>238.8803933333333</v>
      </c>
      <c r="AD23" s="267">
        <f t="shared" si="10"/>
        <v>241.01672666666661</v>
      </c>
    </row>
    <row r="24" spans="2:34">
      <c r="B24" s="188" t="s">
        <v>1314</v>
      </c>
      <c r="C24" s="192"/>
      <c r="D24" s="192"/>
      <c r="E24" s="194">
        <f>SUM(J24:U24)*12</f>
        <v>1202.5058799999999</v>
      </c>
      <c r="F24" s="194">
        <f>SUM(V24:AD24)*12</f>
        <v>967.95459999999991</v>
      </c>
      <c r="H24" s="194">
        <f>SUM(S24:AD24)*12</f>
        <v>1346.6983999999998</v>
      </c>
      <c r="J24" s="192">
        <f t="shared" ref="J24:AD24" si="11">+J40+J56+J88</f>
        <v>11.66733</v>
      </c>
      <c r="K24" s="192">
        <f t="shared" si="11"/>
        <v>4.5529999999999999</v>
      </c>
      <c r="L24" s="192">
        <f t="shared" si="11"/>
        <v>14.481333333333332</v>
      </c>
      <c r="M24" s="192">
        <f t="shared" si="11"/>
        <v>5.1738333333333335</v>
      </c>
      <c r="N24" s="192">
        <f t="shared" si="11"/>
        <v>9.652666666666665</v>
      </c>
      <c r="O24" s="192">
        <f t="shared" si="11"/>
        <v>3.9176333333333337</v>
      </c>
      <c r="P24" s="192">
        <f t="shared" si="11"/>
        <v>5.5756333333333332</v>
      </c>
      <c r="Q24" s="192">
        <f t="shared" si="11"/>
        <v>6.334953333333333</v>
      </c>
      <c r="R24" s="192">
        <f t="shared" si="11"/>
        <v>7.2904566666666666</v>
      </c>
      <c r="S24" s="192">
        <f t="shared" si="11"/>
        <v>10.801833333333335</v>
      </c>
      <c r="T24" s="192">
        <f t="shared" si="11"/>
        <v>8.9833333333333343</v>
      </c>
      <c r="U24" s="192">
        <f t="shared" si="11"/>
        <v>11.776816666666665</v>
      </c>
      <c r="V24" s="192">
        <f t="shared" si="11"/>
        <v>10.026666666666666</v>
      </c>
      <c r="W24" s="192">
        <f t="shared" si="11"/>
        <v>7.198833333333333</v>
      </c>
      <c r="X24" s="192">
        <f t="shared" si="11"/>
        <v>7.3784666666666672</v>
      </c>
      <c r="Y24" s="192">
        <f t="shared" si="11"/>
        <v>12.933333333333334</v>
      </c>
      <c r="Z24" s="192">
        <f t="shared" si="11"/>
        <v>15.057333333333334</v>
      </c>
      <c r="AA24" s="192">
        <f t="shared" si="11"/>
        <v>4.86625</v>
      </c>
      <c r="AB24" s="192">
        <f t="shared" si="11"/>
        <v>12.428999999999998</v>
      </c>
      <c r="AC24" s="192">
        <f t="shared" si="11"/>
        <v>4.8780000000000001</v>
      </c>
      <c r="AD24" s="192">
        <f t="shared" si="11"/>
        <v>5.8949999999999996</v>
      </c>
    </row>
    <row r="25" spans="2:34">
      <c r="B25" s="262" t="s">
        <v>1528</v>
      </c>
      <c r="E25" s="194">
        <f>SUM(J25:U25)*12</f>
        <v>-213.98936000000003</v>
      </c>
      <c r="F25" s="194">
        <f>SUM(V25:AD25)*12</f>
        <v>-177.79399999999998</v>
      </c>
      <c r="H25" s="194">
        <f>SUM(S25:AD25)*12</f>
        <v>-257.72535999999997</v>
      </c>
      <c r="J25" s="192">
        <f t="shared" ref="J25:AD25" si="12">+J41+J57+J89</f>
        <v>0</v>
      </c>
      <c r="K25" s="192">
        <f t="shared" si="12"/>
        <v>-0.82499999999999996</v>
      </c>
      <c r="L25" s="192">
        <f t="shared" si="12"/>
        <v>-0.39500000000000002</v>
      </c>
      <c r="M25" s="192">
        <f t="shared" si="12"/>
        <v>-1.9383333333333332</v>
      </c>
      <c r="N25" s="192">
        <f t="shared" si="12"/>
        <v>0</v>
      </c>
      <c r="O25" s="192">
        <f t="shared" si="12"/>
        <v>-2.4851666666666663</v>
      </c>
      <c r="P25" s="192">
        <f t="shared" si="12"/>
        <v>-3.2996666666666665</v>
      </c>
      <c r="Q25" s="192">
        <f t="shared" si="12"/>
        <v>-0.57833333333333337</v>
      </c>
      <c r="R25" s="192">
        <f t="shared" si="12"/>
        <v>-1.65</v>
      </c>
      <c r="S25" s="192">
        <f t="shared" si="12"/>
        <v>-0.63</v>
      </c>
      <c r="T25" s="192">
        <f t="shared" si="12"/>
        <v>-2.1783333333333337</v>
      </c>
      <c r="U25" s="192">
        <f t="shared" si="12"/>
        <v>-3.8526133333333332</v>
      </c>
      <c r="V25" s="192">
        <f t="shared" si="12"/>
        <v>-0.11</v>
      </c>
      <c r="W25" s="192">
        <f t="shared" si="12"/>
        <v>-0.42499999999999999</v>
      </c>
      <c r="X25" s="192">
        <f t="shared" si="12"/>
        <v>-0.92333333333333334</v>
      </c>
      <c r="Y25" s="192">
        <f t="shared" si="12"/>
        <v>-3.9699999999999998</v>
      </c>
      <c r="Z25" s="192">
        <f t="shared" si="12"/>
        <v>-4.6908333333333339</v>
      </c>
      <c r="AA25" s="192">
        <f t="shared" si="12"/>
        <v>-1.7903333333333333</v>
      </c>
      <c r="AB25" s="192">
        <f t="shared" si="12"/>
        <v>-2.9066666666666667</v>
      </c>
      <c r="AC25" s="192">
        <f t="shared" si="12"/>
        <v>0</v>
      </c>
      <c r="AD25" s="192">
        <f t="shared" si="12"/>
        <v>0</v>
      </c>
    </row>
    <row r="26" spans="2:34">
      <c r="B26" s="262" t="s">
        <v>1529</v>
      </c>
      <c r="E26" s="194">
        <f>SUM(J26:U26)*12</f>
        <v>-112.76050000000001</v>
      </c>
      <c r="F26" s="194">
        <f>SUM(V26:AD26)*12</f>
        <v>-83.424000000000007</v>
      </c>
      <c r="H26" s="194">
        <f>SUM(S26:AD26)*12</f>
        <v>-152.05400000000003</v>
      </c>
      <c r="J26" s="192">
        <f t="shared" ref="J26:AD26" si="13">+J42+J58+J90</f>
        <v>-1.525625</v>
      </c>
      <c r="K26" s="192">
        <f t="shared" si="13"/>
        <v>-8.5000000000000006E-2</v>
      </c>
      <c r="L26" s="192">
        <f t="shared" si="13"/>
        <v>-0.37524999999999997</v>
      </c>
      <c r="M26" s="192">
        <f t="shared" si="13"/>
        <v>-0.39500000000000002</v>
      </c>
      <c r="N26" s="192">
        <f t="shared" si="13"/>
        <v>-0.47</v>
      </c>
      <c r="O26" s="192">
        <f t="shared" si="13"/>
        <v>-0.33666666666666667</v>
      </c>
      <c r="P26" s="192">
        <f t="shared" si="13"/>
        <v>0</v>
      </c>
      <c r="Q26" s="192">
        <f t="shared" si="13"/>
        <v>0</v>
      </c>
      <c r="R26" s="192">
        <f t="shared" si="13"/>
        <v>-0.49</v>
      </c>
      <c r="S26" s="192">
        <f t="shared" si="13"/>
        <v>0</v>
      </c>
      <c r="T26" s="192">
        <f t="shared" si="13"/>
        <v>-4.2608333333333341</v>
      </c>
      <c r="U26" s="192">
        <f t="shared" si="13"/>
        <v>-1.4583333333333335</v>
      </c>
      <c r="V26" s="192">
        <f t="shared" si="13"/>
        <v>-3.2283333333333335</v>
      </c>
      <c r="W26" s="192">
        <f t="shared" si="13"/>
        <v>0</v>
      </c>
      <c r="X26" s="192">
        <f t="shared" si="13"/>
        <v>0</v>
      </c>
      <c r="Y26" s="192">
        <f t="shared" si="13"/>
        <v>-0.54</v>
      </c>
      <c r="Z26" s="192">
        <f t="shared" si="13"/>
        <v>-1.6836666666666664</v>
      </c>
      <c r="AA26" s="192">
        <f t="shared" si="13"/>
        <v>0</v>
      </c>
      <c r="AB26" s="192">
        <f t="shared" si="13"/>
        <v>-1.5</v>
      </c>
      <c r="AC26" s="192">
        <f t="shared" si="13"/>
        <v>0</v>
      </c>
      <c r="AD26" s="192">
        <f t="shared" si="13"/>
        <v>0</v>
      </c>
    </row>
    <row r="27" spans="2:34">
      <c r="B27" s="262" t="s">
        <v>1530</v>
      </c>
      <c r="E27" s="194">
        <f>SUM(J27:U27)*12</f>
        <v>0</v>
      </c>
      <c r="F27" s="194">
        <f>SUM(V27:AD27)*12</f>
        <v>-139.89600000000002</v>
      </c>
      <c r="H27" s="194">
        <f>SUM(S27:AD27)*12</f>
        <v>-139.89600000000002</v>
      </c>
      <c r="J27" s="192">
        <f t="shared" ref="J27:AD27" si="14">+J43+J59+J91</f>
        <v>0</v>
      </c>
      <c r="K27" s="192">
        <f t="shared" si="14"/>
        <v>0</v>
      </c>
      <c r="L27" s="192">
        <f t="shared" si="14"/>
        <v>0</v>
      </c>
      <c r="M27" s="192">
        <f t="shared" si="14"/>
        <v>0</v>
      </c>
      <c r="N27" s="192">
        <f t="shared" si="14"/>
        <v>0</v>
      </c>
      <c r="O27" s="192">
        <f t="shared" si="14"/>
        <v>0</v>
      </c>
      <c r="P27" s="192">
        <f t="shared" si="14"/>
        <v>0</v>
      </c>
      <c r="Q27" s="192">
        <f t="shared" si="14"/>
        <v>0</v>
      </c>
      <c r="R27" s="192">
        <f t="shared" si="14"/>
        <v>0</v>
      </c>
      <c r="S27" s="192">
        <f t="shared" si="14"/>
        <v>0</v>
      </c>
      <c r="T27" s="192">
        <f t="shared" si="14"/>
        <v>0</v>
      </c>
      <c r="U27" s="192">
        <f t="shared" si="14"/>
        <v>0</v>
      </c>
      <c r="V27" s="192">
        <f t="shared" si="14"/>
        <v>0</v>
      </c>
      <c r="W27" s="192">
        <f t="shared" si="14"/>
        <v>0</v>
      </c>
      <c r="X27" s="192">
        <f t="shared" si="14"/>
        <v>-2.7650000000000001</v>
      </c>
      <c r="Y27" s="192">
        <f t="shared" si="14"/>
        <v>-2.7353333333333336</v>
      </c>
      <c r="Z27" s="192">
        <f t="shared" si="14"/>
        <v>-2.319</v>
      </c>
      <c r="AA27" s="192">
        <f t="shared" si="14"/>
        <v>0</v>
      </c>
      <c r="AB27" s="192">
        <f t="shared" si="14"/>
        <v>-1.097</v>
      </c>
      <c r="AC27" s="192">
        <f t="shared" si="14"/>
        <v>-2.7416666666666667</v>
      </c>
      <c r="AD27" s="192">
        <f t="shared" si="14"/>
        <v>0</v>
      </c>
    </row>
    <row r="28" spans="2:34" ht="12" customHeight="1">
      <c r="B28" s="252" t="s">
        <v>1532</v>
      </c>
      <c r="C28" s="255"/>
      <c r="D28" s="255"/>
      <c r="E28" s="253">
        <f>SUM(J28:U28)*12</f>
        <v>-326.74986000000001</v>
      </c>
      <c r="F28" s="253">
        <f>SUM(V28:AD28)*12</f>
        <v>-401.11400000000003</v>
      </c>
      <c r="G28" s="254"/>
      <c r="H28" s="253">
        <f>SUM(S28:AD28)*12</f>
        <v>-549.67535999999996</v>
      </c>
      <c r="I28" s="254"/>
      <c r="J28" s="255">
        <f t="shared" ref="J28:AD28" si="15">+J44+J60+J92</f>
        <v>-1.525625</v>
      </c>
      <c r="K28" s="255">
        <f t="shared" si="15"/>
        <v>-0.91</v>
      </c>
      <c r="L28" s="255">
        <f t="shared" si="15"/>
        <v>-0.77024999999999999</v>
      </c>
      <c r="M28" s="255">
        <f t="shared" si="15"/>
        <v>-2.333333333333333</v>
      </c>
      <c r="N28" s="255">
        <f t="shared" si="15"/>
        <v>-0.47</v>
      </c>
      <c r="O28" s="255">
        <f t="shared" si="15"/>
        <v>-2.8218333333333336</v>
      </c>
      <c r="P28" s="255">
        <f t="shared" si="15"/>
        <v>-3.2996666666666665</v>
      </c>
      <c r="Q28" s="255">
        <f t="shared" si="15"/>
        <v>-0.57833333333333337</v>
      </c>
      <c r="R28" s="255">
        <f t="shared" si="15"/>
        <v>-2.14</v>
      </c>
      <c r="S28" s="255">
        <f t="shared" si="15"/>
        <v>-0.63</v>
      </c>
      <c r="T28" s="255">
        <f t="shared" si="15"/>
        <v>-6.4391666666666678</v>
      </c>
      <c r="U28" s="255">
        <f t="shared" si="15"/>
        <v>-5.3109466666666663</v>
      </c>
      <c r="V28" s="255">
        <f t="shared" si="15"/>
        <v>-3.3383333333333334</v>
      </c>
      <c r="W28" s="255">
        <f t="shared" si="15"/>
        <v>-0.42499999999999999</v>
      </c>
      <c r="X28" s="255">
        <f t="shared" si="15"/>
        <v>-3.6883333333333335</v>
      </c>
      <c r="Y28" s="255">
        <f t="shared" si="15"/>
        <v>-7.245333333333333</v>
      </c>
      <c r="Z28" s="255">
        <f t="shared" si="15"/>
        <v>-8.6935000000000002</v>
      </c>
      <c r="AA28" s="255">
        <f t="shared" si="15"/>
        <v>-1.7903333333333333</v>
      </c>
      <c r="AB28" s="255">
        <f t="shared" si="15"/>
        <v>-5.5036666666666667</v>
      </c>
      <c r="AC28" s="255">
        <f t="shared" si="15"/>
        <v>-2.7416666666666667</v>
      </c>
      <c r="AD28" s="255">
        <f t="shared" si="15"/>
        <v>0</v>
      </c>
    </row>
    <row r="29" spans="2:34" ht="12" customHeight="1">
      <c r="B29" s="256" t="s">
        <v>1550</v>
      </c>
      <c r="C29" s="268"/>
      <c r="D29" s="268"/>
      <c r="E29" s="268">
        <f>+F23</f>
        <v>2396.1001199999996</v>
      </c>
      <c r="F29" s="269">
        <f>+$AD29*12</f>
        <v>2962.9407199999996</v>
      </c>
      <c r="G29" s="267"/>
      <c r="H29" s="270">
        <f>+$AD29*12</f>
        <v>2962.9407199999996</v>
      </c>
      <c r="I29" s="267"/>
      <c r="J29" s="271">
        <f t="shared" ref="J29:AA29" si="16">+K23</f>
        <v>136.83704666666657</v>
      </c>
      <c r="K29" s="268">
        <f t="shared" si="16"/>
        <v>140.48004666666657</v>
      </c>
      <c r="L29" s="268">
        <f t="shared" si="16"/>
        <v>154.1911299999999</v>
      </c>
      <c r="M29" s="268">
        <f t="shared" si="16"/>
        <v>157.03162999999989</v>
      </c>
      <c r="N29" s="268">
        <f t="shared" si="16"/>
        <v>166.21429666666657</v>
      </c>
      <c r="O29" s="268">
        <f t="shared" si="16"/>
        <v>167.31009666666657</v>
      </c>
      <c r="P29" s="268">
        <f t="shared" si="16"/>
        <v>169.58606333333324</v>
      </c>
      <c r="Q29" s="268">
        <f t="shared" si="16"/>
        <v>175.34268333333324</v>
      </c>
      <c r="R29" s="268">
        <f t="shared" si="16"/>
        <v>180.49313999999993</v>
      </c>
      <c r="S29" s="271">
        <f t="shared" si="16"/>
        <v>190.66497333333325</v>
      </c>
      <c r="T29" s="268">
        <f t="shared" si="16"/>
        <v>193.20913999999993</v>
      </c>
      <c r="U29" s="268">
        <f t="shared" si="16"/>
        <v>199.67500999999993</v>
      </c>
      <c r="V29" s="268">
        <f t="shared" si="16"/>
        <v>206.36334333333326</v>
      </c>
      <c r="W29" s="268">
        <f t="shared" si="16"/>
        <v>213.13717666666659</v>
      </c>
      <c r="X29" s="268">
        <f t="shared" si="16"/>
        <v>216.82730999999993</v>
      </c>
      <c r="Y29" s="268">
        <f t="shared" si="16"/>
        <v>222.51530999999994</v>
      </c>
      <c r="Z29" s="268">
        <f t="shared" si="16"/>
        <v>228.87914333333327</v>
      </c>
      <c r="AA29" s="268">
        <f t="shared" si="16"/>
        <v>231.95505999999995</v>
      </c>
      <c r="AB29" s="268">
        <f>+AB45+AB61</f>
        <v>238.88039333333327</v>
      </c>
      <c r="AC29" s="268">
        <f>+AC45+AC61</f>
        <v>241.01672666666661</v>
      </c>
      <c r="AD29" s="269">
        <f>+AD45+AD61+AD93</f>
        <v>246.91172666666662</v>
      </c>
    </row>
    <row r="30" spans="2:34" ht="3.95" customHeight="1">
      <c r="B30" s="179"/>
      <c r="C30" s="229"/>
      <c r="D30" s="229"/>
      <c r="E30" s="229"/>
      <c r="F30" s="229"/>
      <c r="H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30"/>
      <c r="AC30" s="230"/>
      <c r="AD30" s="230"/>
    </row>
    <row r="31" spans="2:34">
      <c r="B31" s="231" t="s">
        <v>1852</v>
      </c>
      <c r="C31" s="338"/>
      <c r="D31" s="338"/>
      <c r="E31" s="338">
        <f>AVERAGE(E23,E29)</f>
        <v>1958.2221099999997</v>
      </c>
      <c r="F31" s="339">
        <f>AVERAGE(F23,F29)</f>
        <v>2679.5204199999998</v>
      </c>
      <c r="G31" s="267"/>
      <c r="H31" s="342">
        <f>AVERAGE(H23,H29)</f>
        <v>2564.4291999999996</v>
      </c>
      <c r="I31" s="267"/>
      <c r="J31" s="344">
        <f t="shared" ref="J31:AD31" si="17">AVERAGE(J23,J29)</f>
        <v>131.76619416666657</v>
      </c>
      <c r="K31" s="338">
        <f t="shared" si="17"/>
        <v>138.65854666666655</v>
      </c>
      <c r="L31" s="338">
        <f t="shared" si="17"/>
        <v>147.33558833333325</v>
      </c>
      <c r="M31" s="338">
        <f t="shared" si="17"/>
        <v>155.61137999999988</v>
      </c>
      <c r="N31" s="338">
        <f t="shared" si="17"/>
        <v>161.62296333333325</v>
      </c>
      <c r="O31" s="338">
        <f t="shared" si="17"/>
        <v>166.76219666666657</v>
      </c>
      <c r="P31" s="338">
        <f t="shared" si="17"/>
        <v>168.44807999999989</v>
      </c>
      <c r="Q31" s="338">
        <f t="shared" si="17"/>
        <v>172.46437333333324</v>
      </c>
      <c r="R31" s="338">
        <f t="shared" si="17"/>
        <v>177.91791166666658</v>
      </c>
      <c r="S31" s="344">
        <f t="shared" si="17"/>
        <v>185.57905666666659</v>
      </c>
      <c r="T31" s="338">
        <f t="shared" si="17"/>
        <v>191.93705666666659</v>
      </c>
      <c r="U31" s="338">
        <f t="shared" si="17"/>
        <v>196.44207499999993</v>
      </c>
      <c r="V31" s="338">
        <f t="shared" si="17"/>
        <v>203.0191766666666</v>
      </c>
      <c r="W31" s="338">
        <f t="shared" si="17"/>
        <v>209.75025999999991</v>
      </c>
      <c r="X31" s="338">
        <f t="shared" si="17"/>
        <v>214.98224333333326</v>
      </c>
      <c r="Y31" s="338">
        <f t="shared" si="17"/>
        <v>219.67130999999995</v>
      </c>
      <c r="Z31" s="338">
        <f t="shared" si="17"/>
        <v>225.69722666666661</v>
      </c>
      <c r="AA31" s="338">
        <f t="shared" si="17"/>
        <v>230.41710166666661</v>
      </c>
      <c r="AB31" s="338">
        <f t="shared" si="17"/>
        <v>235.41772666666662</v>
      </c>
      <c r="AC31" s="338">
        <f t="shared" si="17"/>
        <v>239.94855999999996</v>
      </c>
      <c r="AD31" s="339">
        <f t="shared" si="17"/>
        <v>243.9642266666666</v>
      </c>
    </row>
    <row r="32" spans="2:34">
      <c r="B32" s="234" t="s">
        <v>1853</v>
      </c>
      <c r="C32" s="340"/>
      <c r="D32" s="340"/>
      <c r="E32" s="340">
        <f>IFERROR(E31/'Client Retention'!E30,"")</f>
        <v>14.505348962962961</v>
      </c>
      <c r="F32" s="341">
        <f>IFERROR(F31/'Client Retention'!F30,"")</f>
        <v>16.045032455089821</v>
      </c>
      <c r="G32" s="267"/>
      <c r="H32" s="343">
        <f>IFERROR(H31/'Client Retention'!H30,"")</f>
        <v>15.636763414634144</v>
      </c>
      <c r="I32" s="267"/>
      <c r="J32" s="345">
        <f>IFERROR(J31/'Client Retention'!J30*12,"")</f>
        <v>13.689994199134189</v>
      </c>
      <c r="K32" s="340">
        <f>IFERROR(K31/'Client Retention'!K30*12,"")</f>
        <v>13.982374453781503</v>
      </c>
      <c r="L32" s="340">
        <f>IFERROR(L31/'Client Retention'!L30*12,"")</f>
        <v>14.374203739837391</v>
      </c>
      <c r="M32" s="340">
        <f>IFERROR(M31/'Client Retention'!M30*12,"")</f>
        <v>14.531802023346293</v>
      </c>
      <c r="N32" s="340">
        <f>IFERROR(N31/'Client Retention'!N30*12,"")</f>
        <v>14.419892639405196</v>
      </c>
      <c r="O32" s="340">
        <f>IFERROR(O31/'Client Retention'!O30*12,"")</f>
        <v>14.501060579710137</v>
      </c>
      <c r="P32" s="340">
        <f>IFERROR(P31/'Client Retention'!P30*12,"")</f>
        <v>14.38702462633451</v>
      </c>
      <c r="Q32" s="340">
        <f>IFERROR(Q31/'Client Retention'!Q30*12,"")</f>
        <v>14.223865841924392</v>
      </c>
      <c r="R32" s="340">
        <f>IFERROR(R31/'Client Retention'!R30*12,"")</f>
        <v>14.281036387959858</v>
      </c>
      <c r="S32" s="345">
        <f>IFERROR(S31/'Client Retention'!S30*12,"")</f>
        <v>14.507808990228007</v>
      </c>
      <c r="T32" s="340">
        <f>IFERROR(T31/'Client Retention'!T30*12,"")</f>
        <v>14.81186289389067</v>
      </c>
      <c r="U32" s="340">
        <f>IFERROR(U31/'Client Retention'!U30*12,"")</f>
        <v>15.11092884615384</v>
      </c>
      <c r="V32" s="340">
        <f>IFERROR(V31/'Client Retention'!V30*12,"")</f>
        <v>15.179003862928344</v>
      </c>
      <c r="W32" s="340">
        <f>IFERROR(W31/'Client Retention'!W30*12,"")</f>
        <v>14.982161428571422</v>
      </c>
      <c r="X32" s="340">
        <f>IFERROR(X31/'Client Retention'!X30*12,"")</f>
        <v>14.955286492753618</v>
      </c>
      <c r="Y32" s="340">
        <f>IFERROR(Y31/'Client Retention'!Y30*12,"")</f>
        <v>14.977589318181815</v>
      </c>
      <c r="Z32" s="340">
        <f>IFERROR(Z31/'Client Retention'!Z30*12,"")</f>
        <v>15.476381257142851</v>
      </c>
      <c r="AA32" s="340">
        <f>IFERROR(AA31/'Client Retention'!AA30*12,"")</f>
        <v>16.169621169590641</v>
      </c>
      <c r="AB32" s="340">
        <f>IFERROR(AB31/'Client Retention'!AB30*12,"")</f>
        <v>16.472377376093291</v>
      </c>
      <c r="AC32" s="340">
        <f>IFERROR(AC31/'Client Retention'!AC30*12,"")</f>
        <v>16.692073739130432</v>
      </c>
      <c r="AD32" s="341">
        <f>IFERROR(AD31/'Client Retention'!AD30*12,"")</f>
        <v>16.728975542857139</v>
      </c>
      <c r="AF32" s="245">
        <f>AD32/J32-1</f>
        <v>0.22198558301179916</v>
      </c>
    </row>
    <row r="33" spans="2:33" ht="3.95" customHeight="1">
      <c r="B33" s="179"/>
      <c r="C33" s="229"/>
      <c r="D33" s="229"/>
      <c r="E33" s="229"/>
      <c r="F33" s="229"/>
      <c r="H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30"/>
      <c r="AC33" s="230"/>
      <c r="AD33" s="230"/>
    </row>
    <row r="34" spans="2:33" ht="12" customHeight="1">
      <c r="B34" s="231" t="s">
        <v>1547</v>
      </c>
      <c r="C34" s="232"/>
      <c r="D34" s="232"/>
      <c r="E34" s="233">
        <f>(E24+E23)/E23-1</f>
        <v>0.79094323449540171</v>
      </c>
      <c r="F34" s="244">
        <f>(F24+F23)/F23-1</f>
        <v>0.40397084909790837</v>
      </c>
      <c r="G34" s="245"/>
      <c r="H34" s="246">
        <f>(H24+H23)/H23-1</f>
        <v>0.62176804429612487</v>
      </c>
      <c r="J34" s="243">
        <f t="shared" ref="J34:AD34" si="18">(J24+J23)/J23-1</f>
        <v>9.2089652599040006E-2</v>
      </c>
      <c r="K34" s="233">
        <f t="shared" si="18"/>
        <v>3.3273153074481643E-2</v>
      </c>
      <c r="L34" s="233">
        <f t="shared" si="18"/>
        <v>0.1030846278667239</v>
      </c>
      <c r="M34" s="233">
        <f t="shared" si="18"/>
        <v>3.3554675507815102E-2</v>
      </c>
      <c r="N34" s="233">
        <f t="shared" si="18"/>
        <v>6.146956932604386E-2</v>
      </c>
      <c r="O34" s="233">
        <f t="shared" si="18"/>
        <v>2.3569773550766948E-2</v>
      </c>
      <c r="P34" s="233">
        <f t="shared" si="18"/>
        <v>3.3325145609363505E-2</v>
      </c>
      <c r="Q34" s="233">
        <f t="shared" si="18"/>
        <v>3.7355388814477974E-2</v>
      </c>
      <c r="R34" s="233">
        <f t="shared" si="18"/>
        <v>4.1578334083135049E-2</v>
      </c>
      <c r="S34" s="243">
        <f t="shared" si="18"/>
        <v>5.9846226473390107E-2</v>
      </c>
      <c r="T34" s="233">
        <f t="shared" si="18"/>
        <v>4.7115803056432926E-2</v>
      </c>
      <c r="U34" s="233">
        <f t="shared" si="18"/>
        <v>6.0953724376945351E-2</v>
      </c>
      <c r="V34" s="233">
        <f t="shared" si="18"/>
        <v>5.0214930083973375E-2</v>
      </c>
      <c r="W34" s="233">
        <f t="shared" si="18"/>
        <v>3.4884263925232473E-2</v>
      </c>
      <c r="X34" s="233">
        <f t="shared" si="18"/>
        <v>3.4618393571977046E-2</v>
      </c>
      <c r="Y34" s="233">
        <f t="shared" si="18"/>
        <v>5.9648082768417598E-2</v>
      </c>
      <c r="Z34" s="233">
        <f t="shared" si="18"/>
        <v>6.7668752021302847E-2</v>
      </c>
      <c r="AA34" s="233">
        <f t="shared" si="18"/>
        <v>2.1261220787220925E-2</v>
      </c>
      <c r="AB34" s="233">
        <f t="shared" si="18"/>
        <v>5.3583655385659679E-2</v>
      </c>
      <c r="AC34" s="233">
        <f t="shared" si="18"/>
        <v>2.0420261085191793E-2</v>
      </c>
      <c r="AD34" s="244">
        <f t="shared" si="18"/>
        <v>2.4458883337806547E-2</v>
      </c>
    </row>
    <row r="35" spans="2:33">
      <c r="B35" s="234" t="s">
        <v>1548</v>
      </c>
      <c r="C35" s="235"/>
      <c r="D35" s="235"/>
      <c r="E35" s="236">
        <f>(E28+E31)/E31-1</f>
        <v>-0.16686046916302055</v>
      </c>
      <c r="F35" s="237">
        <f>(F28+F31)/F31-1</f>
        <v>-0.14969619078327456</v>
      </c>
      <c r="G35" s="245"/>
      <c r="H35" s="239">
        <f>(H28+H31)/H31-1</f>
        <v>-0.21434608528088828</v>
      </c>
      <c r="J35" s="238">
        <f t="shared" ref="J35:AD35" si="19">(J28+J31)/J31-1</f>
        <v>-1.157827324108851E-2</v>
      </c>
      <c r="K35" s="236">
        <f t="shared" si="19"/>
        <v>-6.5628843073598508E-3</v>
      </c>
      <c r="L35" s="236">
        <f t="shared" si="19"/>
        <v>-5.2278611618082893E-3</v>
      </c>
      <c r="M35" s="236">
        <f t="shared" si="19"/>
        <v>-1.4994618859708986E-2</v>
      </c>
      <c r="N35" s="236">
        <f t="shared" si="19"/>
        <v>-2.9080026148924354E-3</v>
      </c>
      <c r="O35" s="236">
        <f t="shared" si="19"/>
        <v>-1.6921301048664961E-2</v>
      </c>
      <c r="P35" s="236">
        <f t="shared" si="19"/>
        <v>-1.9588627348359644E-2</v>
      </c>
      <c r="Q35" s="236">
        <f t="shared" si="19"/>
        <v>-3.3533495768169885E-3</v>
      </c>
      <c r="R35" s="236">
        <f t="shared" si="19"/>
        <v>-1.2028018876532931E-2</v>
      </c>
      <c r="S35" s="238">
        <f t="shared" si="19"/>
        <v>-3.394779622851507E-3</v>
      </c>
      <c r="T35" s="236">
        <f t="shared" si="19"/>
        <v>-3.3548324531460505E-2</v>
      </c>
      <c r="U35" s="236">
        <f t="shared" si="19"/>
        <v>-2.7035688086000209E-2</v>
      </c>
      <c r="V35" s="236">
        <f t="shared" si="19"/>
        <v>-1.6443438438401681E-2</v>
      </c>
      <c r="W35" s="236">
        <f t="shared" si="19"/>
        <v>-2.0262191808487762E-3</v>
      </c>
      <c r="X35" s="236">
        <f t="shared" si="19"/>
        <v>-1.7156455696736406E-2</v>
      </c>
      <c r="Y35" s="236">
        <f t="shared" si="19"/>
        <v>-3.2982610853157457E-2</v>
      </c>
      <c r="Z35" s="236">
        <f t="shared" si="19"/>
        <v>-3.8518417476345324E-2</v>
      </c>
      <c r="AA35" s="236">
        <f t="shared" si="19"/>
        <v>-7.7699672480184834E-3</v>
      </c>
      <c r="AB35" s="236">
        <f t="shared" si="19"/>
        <v>-2.3378301815221603E-2</v>
      </c>
      <c r="AC35" s="236">
        <f t="shared" si="19"/>
        <v>-1.1426060096658475E-2</v>
      </c>
      <c r="AD35" s="237">
        <f t="shared" si="19"/>
        <v>0</v>
      </c>
    </row>
    <row r="36" spans="2:33" ht="3.95" customHeight="1">
      <c r="B36" s="179"/>
      <c r="C36" s="182"/>
      <c r="D36" s="182"/>
    </row>
    <row r="37" spans="2:33" ht="24">
      <c r="B37" s="159" t="s">
        <v>1308</v>
      </c>
      <c r="C37" s="176" t="s">
        <v>1316</v>
      </c>
      <c r="D37" s="176" t="s">
        <v>3</v>
      </c>
      <c r="E37" s="176" t="s">
        <v>4</v>
      </c>
      <c r="F37" s="176" t="s">
        <v>1317</v>
      </c>
      <c r="G37" s="190"/>
      <c r="H37" s="176" t="s">
        <v>1527</v>
      </c>
      <c r="J37" s="189">
        <v>45658</v>
      </c>
      <c r="K37" s="189">
        <f t="shared" ref="K37:P37" si="20">EOMONTH(J37,0)+1</f>
        <v>45689</v>
      </c>
      <c r="L37" s="189">
        <f t="shared" si="20"/>
        <v>45717</v>
      </c>
      <c r="M37" s="189">
        <f t="shared" si="20"/>
        <v>45748</v>
      </c>
      <c r="N37" s="189">
        <f t="shared" si="20"/>
        <v>45778</v>
      </c>
      <c r="O37" s="189">
        <f t="shared" si="20"/>
        <v>45809</v>
      </c>
      <c r="P37" s="189">
        <f t="shared" si="20"/>
        <v>45839</v>
      </c>
      <c r="Q37" s="189">
        <v>45870</v>
      </c>
      <c r="R37" s="189">
        <f t="shared" ref="R37:AD37" si="21">EOMONTH(Q37,0)+1</f>
        <v>45901</v>
      </c>
      <c r="S37" s="189">
        <f t="shared" si="21"/>
        <v>45931</v>
      </c>
      <c r="T37" s="189">
        <f t="shared" si="21"/>
        <v>45962</v>
      </c>
      <c r="U37" s="189">
        <f t="shared" si="21"/>
        <v>45992</v>
      </c>
      <c r="V37" s="189">
        <f t="shared" si="21"/>
        <v>46023</v>
      </c>
      <c r="W37" s="189">
        <f t="shared" si="21"/>
        <v>46054</v>
      </c>
      <c r="X37" s="189">
        <f t="shared" si="21"/>
        <v>46082</v>
      </c>
      <c r="Y37" s="189">
        <f t="shared" si="21"/>
        <v>46113</v>
      </c>
      <c r="Z37" s="189">
        <f t="shared" si="21"/>
        <v>46143</v>
      </c>
      <c r="AA37" s="189">
        <f t="shared" si="21"/>
        <v>46174</v>
      </c>
      <c r="AB37" s="189">
        <f t="shared" si="21"/>
        <v>46204</v>
      </c>
      <c r="AC37" s="189">
        <f t="shared" si="21"/>
        <v>46235</v>
      </c>
      <c r="AD37" s="189">
        <f t="shared" si="21"/>
        <v>46266</v>
      </c>
      <c r="AE37" s="184"/>
      <c r="AF37" s="217" t="s">
        <v>1300</v>
      </c>
      <c r="AG37" s="184"/>
    </row>
    <row r="38" spans="2:33">
      <c r="B38" s="183" t="str">
        <f>+AF37</f>
        <v>Property Manager</v>
      </c>
      <c r="C38" s="43"/>
      <c r="D38" s="43"/>
      <c r="E38" s="43"/>
      <c r="F38" s="43"/>
      <c r="G38" s="6"/>
      <c r="H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6"/>
      <c r="AF38" s="6"/>
      <c r="AG38" s="6"/>
    </row>
    <row r="39" spans="2:33">
      <c r="B39" s="173" t="s">
        <v>1551</v>
      </c>
      <c r="C39" s="267"/>
      <c r="D39" s="267"/>
      <c r="E39" s="267">
        <f>+E45-E40-E44</f>
        <v>1259.9982399999994</v>
      </c>
      <c r="F39" s="267">
        <f>+F45-F40-F44</f>
        <v>2229.1241199999995</v>
      </c>
      <c r="G39" s="267"/>
      <c r="H39" s="267">
        <f>+H45-H40-H44</f>
        <v>1892.5903199999996</v>
      </c>
      <c r="I39" s="267"/>
      <c r="J39" s="267">
        <f t="shared" ref="J39:AD39" si="22">+J45-J40-J44</f>
        <v>104.99985333333332</v>
      </c>
      <c r="K39" s="267">
        <f t="shared" si="22"/>
        <v>115.43184999999998</v>
      </c>
      <c r="L39" s="267">
        <f t="shared" si="22"/>
        <v>119.15818333333331</v>
      </c>
      <c r="M39" s="267">
        <f t="shared" si="22"/>
        <v>132.62451666666664</v>
      </c>
      <c r="N39" s="267">
        <f t="shared" si="22"/>
        <v>136.72251666666665</v>
      </c>
      <c r="O39" s="267">
        <f t="shared" si="22"/>
        <v>144.49551666666665</v>
      </c>
      <c r="P39" s="267">
        <f t="shared" si="22"/>
        <v>146.12048333333331</v>
      </c>
      <c r="Q39" s="267">
        <f t="shared" si="22"/>
        <v>147.88044999999997</v>
      </c>
      <c r="R39" s="267">
        <f t="shared" si="22"/>
        <v>152.9154033333333</v>
      </c>
      <c r="S39" s="267">
        <f t="shared" si="22"/>
        <v>157.71585999999996</v>
      </c>
      <c r="T39" s="267">
        <f t="shared" si="22"/>
        <v>167.73519333333329</v>
      </c>
      <c r="U39" s="267">
        <f t="shared" si="22"/>
        <v>175.91852666666662</v>
      </c>
      <c r="V39" s="267">
        <f t="shared" si="22"/>
        <v>185.76034333333328</v>
      </c>
      <c r="W39" s="267">
        <f t="shared" si="22"/>
        <v>192.31367666666662</v>
      </c>
      <c r="X39" s="267">
        <f t="shared" si="22"/>
        <v>197.42434333333327</v>
      </c>
      <c r="Y39" s="267">
        <f t="shared" si="22"/>
        <v>201.36114333333327</v>
      </c>
      <c r="Z39" s="267">
        <f t="shared" si="22"/>
        <v>205.37914333333327</v>
      </c>
      <c r="AA39" s="267">
        <f t="shared" si="22"/>
        <v>214.09980999999993</v>
      </c>
      <c r="AB39" s="267">
        <f t="shared" si="22"/>
        <v>217.57572666666661</v>
      </c>
      <c r="AC39" s="267">
        <f t="shared" si="22"/>
        <v>225.58305999999993</v>
      </c>
      <c r="AD39" s="267">
        <f t="shared" si="22"/>
        <v>227.71939333333327</v>
      </c>
    </row>
    <row r="40" spans="2:33">
      <c r="B40" s="188" t="s">
        <v>1314</v>
      </c>
      <c r="C40" s="192"/>
      <c r="D40" s="192"/>
      <c r="E40" s="194">
        <f>SUM(J40:U40)*12</f>
        <v>1012.32188</v>
      </c>
      <c r="F40" s="194">
        <f>SUM(V40:AD40)*12</f>
        <v>905.88059999999996</v>
      </c>
      <c r="H40" s="194">
        <f>SUM(S40:AD40)*12</f>
        <v>1246.0143999999998</v>
      </c>
      <c r="J40" s="192">
        <f>SUMIFS('Full Customer List'!$G:$G,'Full Customer List'!$I:$I,'Client Retention $'!J$5,'Full Customer List'!$E:$E,'Client Retention $'!$AF$37)/1000</f>
        <v>10.431996666666667</v>
      </c>
      <c r="K40" s="192">
        <f>SUMIFS('Full Customer List'!$G:$G,'Full Customer List'!$I:$I,'Client Retention $'!K$5,'Full Customer List'!$E:$E,'Client Retention $'!$AF$37)/1000</f>
        <v>3.7263333333333333</v>
      </c>
      <c r="L40" s="192">
        <f>SUMIFS('Full Customer List'!$G:$G,'Full Customer List'!$I:$I,'Client Retention $'!L$5,'Full Customer List'!$E:$E,'Client Retention $'!$AF$37)/1000</f>
        <v>13.466333333333331</v>
      </c>
      <c r="M40" s="192">
        <f>SUMIFS('Full Customer List'!$G:$G,'Full Customer List'!$I:$I,'Client Retention $'!M$5,'Full Customer List'!$E:$E,'Client Retention $'!$AF$37)/1000</f>
        <v>4.0979999999999999</v>
      </c>
      <c r="N40" s="192">
        <f>SUMIFS('Full Customer List'!$G:$G,'Full Customer List'!$I:$I,'Client Retention $'!N$5,'Full Customer List'!$E:$E,'Client Retention $'!$AF$37)/1000</f>
        <v>7.7729999999999988</v>
      </c>
      <c r="O40" s="192">
        <f>SUMIFS('Full Customer List'!$G:$G,'Full Customer List'!$I:$I,'Client Retention $'!O$5,'Full Customer List'!$E:$E,'Client Retention $'!$AF$37)/1000</f>
        <v>1.6249666666666667</v>
      </c>
      <c r="P40" s="192">
        <f>SUMIFS('Full Customer List'!$G:$G,'Full Customer List'!$I:$I,'Client Retention $'!P$5,'Full Customer List'!$E:$E,'Client Retention $'!$AF$37)/1000</f>
        <v>5.0596333333333332</v>
      </c>
      <c r="Q40" s="192">
        <f>SUMIFS('Full Customer List'!$G:$G,'Full Customer List'!$I:$I,'Client Retention $'!Q$5,'Full Customer List'!$E:$E,'Client Retention $'!$AF$37)/1000</f>
        <v>5.0349533333333332</v>
      </c>
      <c r="R40" s="192">
        <f>SUMIFS('Full Customer List'!$G:$G,'Full Customer List'!$I:$I,'Client Retention $'!R$5,'Full Customer List'!$E:$E,'Client Retention $'!$AF$37)/1000</f>
        <v>4.8004566666666664</v>
      </c>
      <c r="S40" s="192">
        <f>SUMIFS('Full Customer List'!$G:$G,'Full Customer List'!$I:$I,'Client Retention $'!S$5,'Full Customer List'!$E:$E,'Client Retention $'!$AF$37)/1000</f>
        <v>10.019333333333334</v>
      </c>
      <c r="T40" s="192">
        <f>SUMIFS('Full Customer List'!$G:$G,'Full Customer List'!$I:$I,'Client Retention $'!T$5,'Full Customer List'!$E:$E,'Client Retention $'!$AF$37)/1000</f>
        <v>8.1833333333333336</v>
      </c>
      <c r="U40" s="192">
        <f>SUMIFS('Full Customer List'!$G:$G,'Full Customer List'!$I:$I,'Client Retention $'!U$5,'Full Customer List'!$E:$E,'Client Retention $'!$AF$37)/1000</f>
        <v>10.141816666666665</v>
      </c>
      <c r="V40" s="192">
        <f>SUMIFS('Full Customer List'!$G:$G,'Full Customer List'!$I:$I,'Client Retention $'!V$5,'Full Customer List'!$E:$E,'Client Retention $'!$AF$37)/1000</f>
        <v>9.4066666666666663</v>
      </c>
      <c r="W40" s="192">
        <f>SUMIFS('Full Customer List'!$G:$G,'Full Customer List'!$I:$I,'Client Retention $'!W$5,'Full Customer List'!$E:$E,'Client Retention $'!$AF$37)/1000</f>
        <v>5.5356666666666658</v>
      </c>
      <c r="X40" s="192">
        <f>SUMIFS('Full Customer List'!$G:$G,'Full Customer List'!$I:$I,'Client Retention $'!X$5,'Full Customer List'!$E:$E,'Client Retention $'!$AF$37)/1000</f>
        <v>6.9768000000000008</v>
      </c>
      <c r="Y40" s="192">
        <f>SUMIFS('Full Customer List'!$G:$G,'Full Customer List'!$I:$I,'Client Retention $'!Y$5,'Full Customer List'!$E:$E,'Client Retention $'!$AF$37)/1000</f>
        <v>10.863333333333333</v>
      </c>
      <c r="Z40" s="192">
        <f>SUMIFS('Full Customer List'!$G:$G,'Full Customer List'!$I:$I,'Client Retention $'!Z$5,'Full Customer List'!$E:$E,'Client Retention $'!$AF$37)/1000</f>
        <v>15.057333333333334</v>
      </c>
      <c r="AA40" s="192">
        <f>SUMIFS('Full Customer List'!$G:$G,'Full Customer List'!$I:$I,'Client Retention $'!AA$5,'Full Customer List'!$E:$E,'Client Retention $'!$AF$37)/1000</f>
        <v>4.86625</v>
      </c>
      <c r="AB40" s="192">
        <f>SUMIFS('Full Customer List'!$G:$G,'Full Customer List'!$I:$I,'Client Retention $'!AB$5,'Full Customer List'!$E:$E,'Client Retention $'!$AF$37)/1000</f>
        <v>12.010999999999999</v>
      </c>
      <c r="AC40" s="192">
        <f>SUMIFS('Full Customer List'!$G:$G,'Full Customer List'!$I:$I,'Client Retention $'!AC$5,'Full Customer List'!$E:$E,'Client Retention $'!$AF$37)/1000</f>
        <v>4.8780000000000001</v>
      </c>
      <c r="AD40" s="192">
        <f>SUMIFS('Full Customer List'!$G:$G,'Full Customer List'!$I:$I,'Client Retention $'!AD$5,'Full Customer List'!$E:$E,'Client Retention $'!$AF$37)/1000</f>
        <v>5.8949999999999996</v>
      </c>
    </row>
    <row r="41" spans="2:33">
      <c r="B41" s="262" t="s">
        <v>1528</v>
      </c>
      <c r="E41" s="194">
        <f>SUM(J41:U41)*12</f>
        <v>-39.595999999999997</v>
      </c>
      <c r="F41" s="194">
        <f>SUM(V41:AD41)*12</f>
        <v>-138.59199999999998</v>
      </c>
      <c r="H41" s="194">
        <f>SUM(S41:AD41)*12</f>
        <v>-138.59199999999998</v>
      </c>
      <c r="J41" s="192">
        <f>-SUMIFS('Full Customer List'!$G:$G,'Full Customer List'!$J:$J,J$1,'Full Customer List'!$E:$E,'Client Retention $'!$AF$37,'Full Customer List'!$H:$H,'Client Retention $'!$AF41)/1000</f>
        <v>0</v>
      </c>
      <c r="K41" s="192">
        <f>-SUMIFS('Full Customer List'!$G:$G,'Full Customer List'!$J:$J,K$1,'Full Customer List'!$E:$E,'Client Retention $'!$AF$37,'Full Customer List'!$H:$H,'Client Retention $'!$AF41)/1000</f>
        <v>0</v>
      </c>
      <c r="L41" s="192">
        <f>-SUMIFS('Full Customer List'!$G:$G,'Full Customer List'!$J:$J,L$1,'Full Customer List'!$E:$E,'Client Retention $'!$AF$37,'Full Customer List'!$H:$H,'Client Retention $'!$AF41)/1000</f>
        <v>0</v>
      </c>
      <c r="M41" s="192">
        <f>-SUMIFS('Full Customer List'!$G:$G,'Full Customer List'!$J:$J,M$1,'Full Customer List'!$E:$E,'Client Retention $'!$AF$37,'Full Customer List'!$H:$H,'Client Retention $'!$AF41)/1000</f>
        <v>0</v>
      </c>
      <c r="N41" s="192">
        <f>-SUMIFS('Full Customer List'!$G:$G,'Full Customer List'!$J:$J,N$1,'Full Customer List'!$E:$E,'Client Retention $'!$AF$37,'Full Customer List'!$H:$H,'Client Retention $'!$AF41)/1000</f>
        <v>0</v>
      </c>
      <c r="O41" s="192">
        <f>-SUMIFS('Full Customer List'!$G:$G,'Full Customer List'!$J:$J,O$1,'Full Customer List'!$E:$E,'Client Retention $'!$AF$37,'Full Customer List'!$H:$H,'Client Retention $'!$AF41)/1000</f>
        <v>0</v>
      </c>
      <c r="P41" s="192">
        <f>-SUMIFS('Full Customer List'!$G:$G,'Full Customer List'!$J:$J,P$1,'Full Customer List'!$E:$E,'Client Retention $'!$AF$37,'Full Customer List'!$H:$H,'Client Retention $'!$AF41)/1000</f>
        <v>-3.2996666666666665</v>
      </c>
      <c r="Q41" s="192">
        <f>-SUMIFS('Full Customer List'!$G:$G,'Full Customer List'!$J:$J,Q$1,'Full Customer List'!$E:$E,'Client Retention $'!$AF$37,'Full Customer List'!$H:$H,'Client Retention $'!$AF41)/1000</f>
        <v>0</v>
      </c>
      <c r="R41" s="192">
        <f>-SUMIFS('Full Customer List'!$G:$G,'Full Customer List'!$J:$J,R$1,'Full Customer List'!$E:$E,'Client Retention $'!$AF$37,'Full Customer List'!$H:$H,'Client Retention $'!$AF41)/1000</f>
        <v>0</v>
      </c>
      <c r="S41" s="192">
        <f>-SUMIFS('Full Customer List'!$G:$G,'Full Customer List'!$J:$J,S$1,'Full Customer List'!$E:$E,'Client Retention $'!$AF$37,'Full Customer List'!$H:$H,'Client Retention $'!$AF41)/1000</f>
        <v>0</v>
      </c>
      <c r="T41" s="192">
        <f>-SUMIFS('Full Customer List'!$G:$G,'Full Customer List'!$J:$J,T$1,'Full Customer List'!$E:$E,'Client Retention $'!$AF$37,'Full Customer List'!$H:$H,'Client Retention $'!$AF41)/1000</f>
        <v>0</v>
      </c>
      <c r="U41" s="192">
        <f>-SUMIFS('Full Customer List'!$G:$G,'Full Customer List'!$J:$J,U$1,'Full Customer List'!$E:$E,'Client Retention $'!$AF$37,'Full Customer List'!$H:$H,'Client Retention $'!$AF41)/1000</f>
        <v>0</v>
      </c>
      <c r="V41" s="192">
        <f>-SUMIFS('Full Customer List'!$G:$G,'Full Customer List'!$J:$J,V$1,'Full Customer List'!$E:$E,'Client Retention $'!$AF$37,'Full Customer List'!$H:$H,'Client Retention $'!$AF41)/1000</f>
        <v>0</v>
      </c>
      <c r="W41" s="192">
        <f>-SUMIFS('Full Customer List'!$G:$G,'Full Customer List'!$J:$J,W$1,'Full Customer List'!$E:$E,'Client Retention $'!$AF$37,'Full Customer List'!$H:$H,'Client Retention $'!$AF41)/1000</f>
        <v>-0.42499999999999999</v>
      </c>
      <c r="X41" s="192">
        <f>-SUMIFS('Full Customer List'!$G:$G,'Full Customer List'!$J:$J,X$1,'Full Customer List'!$E:$E,'Client Retention $'!$AF$37,'Full Customer List'!$H:$H,'Client Retention $'!$AF41)/1000</f>
        <v>-0.92333333333333334</v>
      </c>
      <c r="Y41" s="192">
        <f>-SUMIFS('Full Customer List'!$G:$G,'Full Customer List'!$J:$J,Y$1,'Full Customer List'!$E:$E,'Client Retention $'!$AF$37,'Full Customer List'!$H:$H,'Client Retention $'!$AF41)/1000</f>
        <v>-3.57</v>
      </c>
      <c r="Z41" s="192">
        <f>-SUMIFS('Full Customer List'!$G:$G,'Full Customer List'!$J:$J,Z$1,'Full Customer List'!$E:$E,'Client Retention $'!$AF$37,'Full Customer List'!$H:$H,'Client Retention $'!$AF41)/1000</f>
        <v>-2.3340000000000001</v>
      </c>
      <c r="AA41" s="192">
        <f>-SUMIFS('Full Customer List'!$G:$G,'Full Customer List'!$J:$J,AA$1,'Full Customer List'!$E:$E,'Client Retention $'!$AF$37,'Full Customer List'!$H:$H,'Client Retention $'!$AF41)/1000</f>
        <v>-1.3903333333333334</v>
      </c>
      <c r="AB41" s="192">
        <f>-SUMIFS('Full Customer List'!$G:$G,'Full Customer List'!$J:$J,AB$1,'Full Customer List'!$E:$E,'Client Retention $'!$AF$37,'Full Customer List'!$H:$H,'Client Retention $'!$AF41)/1000</f>
        <v>-2.9066666666666667</v>
      </c>
      <c r="AC41" s="192">
        <f>-SUMIFS('Full Customer List'!$G:$G,'Full Customer List'!$J:$J,AC$1,'Full Customer List'!$E:$E,'Client Retention $'!$AF$37,'Full Customer List'!$H:$H,'Client Retention $'!$AF41)/1000</f>
        <v>0</v>
      </c>
      <c r="AD41" s="192">
        <f>-SUMIFS('Full Customer List'!$G:$G,'Full Customer List'!$J:$J,AD$1,'Full Customer List'!$E:$E,'Client Retention $'!$AF$37,'Full Customer List'!$H:$H,'Client Retention $'!$AF41)/1000</f>
        <v>0</v>
      </c>
      <c r="AF41" s="173" t="s">
        <v>504</v>
      </c>
    </row>
    <row r="42" spans="2:33">
      <c r="B42" s="262" t="s">
        <v>1529</v>
      </c>
      <c r="E42" s="194">
        <f>SUM(J42:U42)*12</f>
        <v>-3.5999999999999996</v>
      </c>
      <c r="F42" s="194">
        <f>SUM(V42:AD42)*12</f>
        <v>-60.923999999999999</v>
      </c>
      <c r="H42" s="194">
        <f>SUM(S42:AD42)*12</f>
        <v>-64.524000000000001</v>
      </c>
      <c r="J42" s="192">
        <f>-SUMIFS('Full Customer List'!$G:$G,'Full Customer List'!$J:$J,J$1,'Full Customer List'!$E:$E,'Client Retention $'!$AF$37,'Full Customer List'!$H:$H,'Client Retention $'!$AF42)/1000</f>
        <v>0</v>
      </c>
      <c r="K42" s="192">
        <f>-SUMIFS('Full Customer List'!$G:$G,'Full Customer List'!$J:$J,K$1,'Full Customer List'!$E:$E,'Client Retention $'!$AF$37,'Full Customer List'!$H:$H,'Client Retention $'!$AF42)/1000</f>
        <v>0</v>
      </c>
      <c r="L42" s="192">
        <f>-SUMIFS('Full Customer List'!$G:$G,'Full Customer List'!$J:$J,L$1,'Full Customer List'!$E:$E,'Client Retention $'!$AF$37,'Full Customer List'!$H:$H,'Client Retention $'!$AF42)/1000</f>
        <v>0</v>
      </c>
      <c r="M42" s="192">
        <f>-SUMIFS('Full Customer List'!$G:$G,'Full Customer List'!$J:$J,M$1,'Full Customer List'!$E:$E,'Client Retention $'!$AF$37,'Full Customer List'!$H:$H,'Client Retention $'!$AF42)/1000</f>
        <v>0</v>
      </c>
      <c r="N42" s="192">
        <f>-SUMIFS('Full Customer List'!$G:$G,'Full Customer List'!$J:$J,N$1,'Full Customer List'!$E:$E,'Client Retention $'!$AF$37,'Full Customer List'!$H:$H,'Client Retention $'!$AF42)/1000</f>
        <v>0</v>
      </c>
      <c r="O42" s="192">
        <f>-SUMIFS('Full Customer List'!$G:$G,'Full Customer List'!$J:$J,O$1,'Full Customer List'!$E:$E,'Client Retention $'!$AF$37,'Full Customer List'!$H:$H,'Client Retention $'!$AF42)/1000</f>
        <v>0</v>
      </c>
      <c r="P42" s="192">
        <f>-SUMIFS('Full Customer List'!$G:$G,'Full Customer List'!$J:$J,P$1,'Full Customer List'!$E:$E,'Client Retention $'!$AF$37,'Full Customer List'!$H:$H,'Client Retention $'!$AF42)/1000</f>
        <v>0</v>
      </c>
      <c r="Q42" s="192">
        <f>-SUMIFS('Full Customer List'!$G:$G,'Full Customer List'!$J:$J,Q$1,'Full Customer List'!$E:$E,'Client Retention $'!$AF$37,'Full Customer List'!$H:$H,'Client Retention $'!$AF42)/1000</f>
        <v>0</v>
      </c>
      <c r="R42" s="192">
        <f>-SUMIFS('Full Customer List'!$G:$G,'Full Customer List'!$J:$J,R$1,'Full Customer List'!$E:$E,'Client Retention $'!$AF$37,'Full Customer List'!$H:$H,'Client Retention $'!$AF42)/1000</f>
        <v>0</v>
      </c>
      <c r="S42" s="192">
        <f>-SUMIFS('Full Customer List'!$G:$G,'Full Customer List'!$J:$J,S$1,'Full Customer List'!$E:$E,'Client Retention $'!$AF$37,'Full Customer List'!$H:$H,'Client Retention $'!$AF42)/1000</f>
        <v>0</v>
      </c>
      <c r="T42" s="192">
        <f>-SUMIFS('Full Customer List'!$G:$G,'Full Customer List'!$J:$J,T$1,'Full Customer List'!$E:$E,'Client Retention $'!$AF$37,'Full Customer List'!$H:$H,'Client Retention $'!$AF42)/1000</f>
        <v>0</v>
      </c>
      <c r="U42" s="192">
        <f>-SUMIFS('Full Customer List'!$G:$G,'Full Customer List'!$J:$J,U$1,'Full Customer List'!$E:$E,'Client Retention $'!$AF$37,'Full Customer List'!$H:$H,'Client Retention $'!$AF42)/1000</f>
        <v>-0.3</v>
      </c>
      <c r="V42" s="192">
        <f>-SUMIFS('Full Customer List'!$G:$G,'Full Customer List'!$J:$J,V$1,'Full Customer List'!$E:$E,'Client Retention $'!$AF$37,'Full Customer List'!$H:$H,'Client Retention $'!$AF42)/1000</f>
        <v>-2.8533333333333335</v>
      </c>
      <c r="W42" s="192">
        <f>-SUMIFS('Full Customer List'!$G:$G,'Full Customer List'!$J:$J,W$1,'Full Customer List'!$E:$E,'Client Retention $'!$AF$37,'Full Customer List'!$H:$H,'Client Retention $'!$AF42)/1000</f>
        <v>0</v>
      </c>
      <c r="X42" s="192">
        <f>-SUMIFS('Full Customer List'!$G:$G,'Full Customer List'!$J:$J,X$1,'Full Customer List'!$E:$E,'Client Retention $'!$AF$37,'Full Customer List'!$H:$H,'Client Retention $'!$AF42)/1000</f>
        <v>0</v>
      </c>
      <c r="Y42" s="192">
        <f>-SUMIFS('Full Customer List'!$G:$G,'Full Customer List'!$J:$J,Y$1,'Full Customer List'!$E:$E,'Client Retention $'!$AF$37,'Full Customer List'!$H:$H,'Client Retention $'!$AF42)/1000</f>
        <v>-0.54</v>
      </c>
      <c r="Z42" s="192">
        <f>-SUMIFS('Full Customer List'!$G:$G,'Full Customer List'!$J:$J,Z$1,'Full Customer List'!$E:$E,'Client Retention $'!$AF$37,'Full Customer List'!$H:$H,'Client Retention $'!$AF42)/1000</f>
        <v>-1.6836666666666664</v>
      </c>
      <c r="AA42" s="192">
        <f>-SUMIFS('Full Customer List'!$G:$G,'Full Customer List'!$J:$J,AA$1,'Full Customer List'!$E:$E,'Client Retention $'!$AF$37,'Full Customer List'!$H:$H,'Client Retention $'!$AF42)/1000</f>
        <v>0</v>
      </c>
      <c r="AB42" s="192">
        <f>-SUMIFS('Full Customer List'!$G:$G,'Full Customer List'!$J:$J,AB$1,'Full Customer List'!$E:$E,'Client Retention $'!$AF$37,'Full Customer List'!$H:$H,'Client Retention $'!$AF42)/1000</f>
        <v>0</v>
      </c>
      <c r="AC42" s="192">
        <f>-SUMIFS('Full Customer List'!$G:$G,'Full Customer List'!$J:$J,AC$1,'Full Customer List'!$E:$E,'Client Retention $'!$AF$37,'Full Customer List'!$H:$H,'Client Retention $'!$AF42)/1000</f>
        <v>0</v>
      </c>
      <c r="AD42" s="192">
        <f>-SUMIFS('Full Customer List'!$G:$G,'Full Customer List'!$J:$J,AD$1,'Full Customer List'!$E:$E,'Client Retention $'!$AF$37,'Full Customer List'!$H:$H,'Client Retention $'!$AF42)/1000</f>
        <v>0</v>
      </c>
      <c r="AF42" s="173" t="s">
        <v>505</v>
      </c>
    </row>
    <row r="43" spans="2:33">
      <c r="B43" s="262" t="s">
        <v>1530</v>
      </c>
      <c r="E43" s="194">
        <f>SUM(J43:U43)*12</f>
        <v>0</v>
      </c>
      <c r="F43" s="194">
        <f>SUM(V43:AD43)*12</f>
        <v>-132.11600000000001</v>
      </c>
      <c r="H43" s="194">
        <f>SUM(S43:AD43)*12</f>
        <v>-132.11600000000001</v>
      </c>
      <c r="J43" s="192">
        <f>-SUMIFS('Full Customer List'!$G:$G,'Full Customer List'!$J:$J,J$1,'Full Customer List'!$E:$E,'Client Retention $'!$AF$37,'Full Customer List'!$H:$H,'Client Retention $'!$AF43)/1000</f>
        <v>0</v>
      </c>
      <c r="K43" s="192">
        <f>-SUMIFS('Full Customer List'!$G:$G,'Full Customer List'!$J:$J,K$1,'Full Customer List'!$E:$E,'Client Retention $'!$AF$37,'Full Customer List'!$H:$H,'Client Retention $'!$AF43)/1000</f>
        <v>0</v>
      </c>
      <c r="L43" s="192">
        <f>-SUMIFS('Full Customer List'!$G:$G,'Full Customer List'!$J:$J,L$1,'Full Customer List'!$E:$E,'Client Retention $'!$AF$37,'Full Customer List'!$H:$H,'Client Retention $'!$AF43)/1000</f>
        <v>0</v>
      </c>
      <c r="M43" s="192">
        <f>-SUMIFS('Full Customer List'!$G:$G,'Full Customer List'!$J:$J,M$1,'Full Customer List'!$E:$E,'Client Retention $'!$AF$37,'Full Customer List'!$H:$H,'Client Retention $'!$AF43)/1000</f>
        <v>0</v>
      </c>
      <c r="N43" s="192">
        <f>-SUMIFS('Full Customer List'!$G:$G,'Full Customer List'!$J:$J,N$1,'Full Customer List'!$E:$E,'Client Retention $'!$AF$37,'Full Customer List'!$H:$H,'Client Retention $'!$AF43)/1000</f>
        <v>0</v>
      </c>
      <c r="O43" s="192">
        <f>-SUMIFS('Full Customer List'!$G:$G,'Full Customer List'!$J:$J,O$1,'Full Customer List'!$E:$E,'Client Retention $'!$AF$37,'Full Customer List'!$H:$H,'Client Retention $'!$AF43)/1000</f>
        <v>0</v>
      </c>
      <c r="P43" s="192">
        <f>-SUMIFS('Full Customer List'!$G:$G,'Full Customer List'!$J:$J,P$1,'Full Customer List'!$E:$E,'Client Retention $'!$AF$37,'Full Customer List'!$H:$H,'Client Retention $'!$AF43)/1000</f>
        <v>0</v>
      </c>
      <c r="Q43" s="192">
        <f>-SUMIFS('Full Customer List'!$G:$G,'Full Customer List'!$J:$J,Q$1,'Full Customer List'!$E:$E,'Client Retention $'!$AF$37,'Full Customer List'!$H:$H,'Client Retention $'!$AF43)/1000</f>
        <v>0</v>
      </c>
      <c r="R43" s="192">
        <f>-SUMIFS('Full Customer List'!$G:$G,'Full Customer List'!$J:$J,R$1,'Full Customer List'!$E:$E,'Client Retention $'!$AF$37,'Full Customer List'!$H:$H,'Client Retention $'!$AF43)/1000</f>
        <v>0</v>
      </c>
      <c r="S43" s="192">
        <f>-SUMIFS('Full Customer List'!$G:$G,'Full Customer List'!$J:$J,S$1,'Full Customer List'!$E:$E,'Client Retention $'!$AF$37,'Full Customer List'!$H:$H,'Client Retention $'!$AF43)/1000</f>
        <v>0</v>
      </c>
      <c r="T43" s="192">
        <f>-SUMIFS('Full Customer List'!$G:$G,'Full Customer List'!$J:$J,T$1,'Full Customer List'!$E:$E,'Client Retention $'!$AF$37,'Full Customer List'!$H:$H,'Client Retention $'!$AF43)/1000</f>
        <v>0</v>
      </c>
      <c r="U43" s="192">
        <f>-SUMIFS('Full Customer List'!$G:$G,'Full Customer List'!$J:$J,U$1,'Full Customer List'!$E:$E,'Client Retention $'!$AF$37,'Full Customer List'!$H:$H,'Client Retention $'!$AF43)/1000</f>
        <v>0</v>
      </c>
      <c r="V43" s="192">
        <f>-SUMIFS('Full Customer List'!$G:$G,'Full Customer List'!$J:$J,V$1,'Full Customer List'!$E:$E,'Client Retention $'!$AF$37,'Full Customer List'!$H:$H,'Client Retention $'!$AF43)/1000</f>
        <v>0</v>
      </c>
      <c r="W43" s="192">
        <f>-SUMIFS('Full Customer List'!$G:$G,'Full Customer List'!$J:$J,W$1,'Full Customer List'!$E:$E,'Client Retention $'!$AF$37,'Full Customer List'!$H:$H,'Client Retention $'!$AF43)/1000</f>
        <v>0</v>
      </c>
      <c r="X43" s="192">
        <f>-SUMIFS('Full Customer List'!$G:$G,'Full Customer List'!$J:$J,X$1,'Full Customer List'!$E:$E,'Client Retention $'!$AF$37,'Full Customer List'!$H:$H,'Client Retention $'!$AF43)/1000</f>
        <v>-2.1166666666666667</v>
      </c>
      <c r="Y43" s="192">
        <f>-SUMIFS('Full Customer List'!$G:$G,'Full Customer List'!$J:$J,Y$1,'Full Customer List'!$E:$E,'Client Retention $'!$AF$37,'Full Customer List'!$H:$H,'Client Retention $'!$AF43)/1000</f>
        <v>-2.7353333333333336</v>
      </c>
      <c r="Z43" s="192">
        <f>-SUMIFS('Full Customer List'!$G:$G,'Full Customer List'!$J:$J,Z$1,'Full Customer List'!$E:$E,'Client Retention $'!$AF$37,'Full Customer List'!$H:$H,'Client Retention $'!$AF43)/1000</f>
        <v>-2.319</v>
      </c>
      <c r="AA43" s="192">
        <f>-SUMIFS('Full Customer List'!$G:$G,'Full Customer List'!$J:$J,AA$1,'Full Customer List'!$E:$E,'Client Retention $'!$AF$37,'Full Customer List'!$H:$H,'Client Retention $'!$AF43)/1000</f>
        <v>0</v>
      </c>
      <c r="AB43" s="192">
        <f>-SUMIFS('Full Customer List'!$G:$G,'Full Customer List'!$J:$J,AB$1,'Full Customer List'!$E:$E,'Client Retention $'!$AF$37,'Full Customer List'!$H:$H,'Client Retention $'!$AF43)/1000</f>
        <v>-1.097</v>
      </c>
      <c r="AC43" s="192">
        <f>-SUMIFS('Full Customer List'!$G:$G,'Full Customer List'!$J:$J,AC$1,'Full Customer List'!$E:$E,'Client Retention $'!$AF$37,'Full Customer List'!$H:$H,'Client Retention $'!$AF43)/1000</f>
        <v>-2.7416666666666667</v>
      </c>
      <c r="AD43" s="192">
        <f>-SUMIFS('Full Customer List'!$G:$G,'Full Customer List'!$J:$J,AD$1,'Full Customer List'!$E:$E,'Client Retention $'!$AF$37,'Full Customer List'!$H:$H,'Client Retention $'!$AF43)/1000</f>
        <v>0</v>
      </c>
      <c r="AF43" s="173" t="s">
        <v>1531</v>
      </c>
    </row>
    <row r="44" spans="2:33" ht="12" customHeight="1">
      <c r="B44" s="252" t="s">
        <v>1532</v>
      </c>
      <c r="C44" s="255"/>
      <c r="D44" s="255"/>
      <c r="E44" s="253">
        <f>SUM(J44:U44)*12</f>
        <v>-43.195999999999998</v>
      </c>
      <c r="F44" s="253">
        <f>SUM(V44:AD44)*12</f>
        <v>-331.63200000000006</v>
      </c>
      <c r="G44" s="254"/>
      <c r="H44" s="253">
        <f>SUM(S44:AD44)*12</f>
        <v>-335.23199999999997</v>
      </c>
      <c r="I44" s="254"/>
      <c r="J44" s="255">
        <f>-SUMIFS('Full Customer List'!$G:$G,'Full Customer List'!$J:$J,J$1,'Full Customer List'!$E:$E,'Client Retention $'!$AF$37)/1000</f>
        <v>0</v>
      </c>
      <c r="K44" s="255">
        <f>-SUMIFS('Full Customer List'!$G:$G,'Full Customer List'!$J:$J,K$1,'Full Customer List'!$E:$E,'Client Retention $'!$AF$37)/1000</f>
        <v>0</v>
      </c>
      <c r="L44" s="255">
        <f>-SUMIFS('Full Customer List'!$G:$G,'Full Customer List'!$J:$J,L$1,'Full Customer List'!$E:$E,'Client Retention $'!$AF$37)/1000</f>
        <v>0</v>
      </c>
      <c r="M44" s="255">
        <f>-SUMIFS('Full Customer List'!$G:$G,'Full Customer List'!$J:$J,M$1,'Full Customer List'!$E:$E,'Client Retention $'!$AF$37)/1000</f>
        <v>0</v>
      </c>
      <c r="N44" s="255">
        <f>-SUMIFS('Full Customer List'!$G:$G,'Full Customer List'!$J:$J,N$1,'Full Customer List'!$E:$E,'Client Retention $'!$AF$37)/1000</f>
        <v>0</v>
      </c>
      <c r="O44" s="255">
        <f>-SUMIFS('Full Customer List'!$G:$G,'Full Customer List'!$J:$J,O$1,'Full Customer List'!$E:$E,'Client Retention $'!$AF$37)/1000</f>
        <v>0</v>
      </c>
      <c r="P44" s="255">
        <f>-SUMIFS('Full Customer List'!$G:$G,'Full Customer List'!$J:$J,P$1,'Full Customer List'!$E:$E,'Client Retention $'!$AF$37)/1000</f>
        <v>-3.2996666666666665</v>
      </c>
      <c r="Q44" s="255">
        <f>-SUMIFS('Full Customer List'!$G:$G,'Full Customer List'!$J:$J,Q$1,'Full Customer List'!$E:$E,'Client Retention $'!$AF$37)/1000</f>
        <v>0</v>
      </c>
      <c r="R44" s="255">
        <f>-SUMIFS('Full Customer List'!$G:$G,'Full Customer List'!$J:$J,R$1,'Full Customer List'!$E:$E,'Client Retention $'!$AF$37)/1000</f>
        <v>0</v>
      </c>
      <c r="S44" s="255">
        <f>-SUMIFS('Full Customer List'!$G:$G,'Full Customer List'!$J:$J,S$1,'Full Customer List'!$E:$E,'Client Retention $'!$AF$37)/1000</f>
        <v>0</v>
      </c>
      <c r="T44" s="255">
        <f>-SUMIFS('Full Customer List'!$G:$G,'Full Customer List'!$J:$J,T$1,'Full Customer List'!$E:$E,'Client Retention $'!$AF$37)/1000</f>
        <v>0</v>
      </c>
      <c r="U44" s="255">
        <f>-SUMIFS('Full Customer List'!$G:$G,'Full Customer List'!$J:$J,U$1,'Full Customer List'!$E:$E,'Client Retention $'!$AF$37)/1000</f>
        <v>-0.3</v>
      </c>
      <c r="V44" s="255">
        <f>-SUMIFS('Full Customer List'!$G:$G,'Full Customer List'!$J:$J,V$1,'Full Customer List'!$E:$E,'Client Retention $'!$AF$37)/1000</f>
        <v>-2.8533333333333335</v>
      </c>
      <c r="W44" s="255">
        <f>-SUMIFS('Full Customer List'!$G:$G,'Full Customer List'!$J:$J,W$1,'Full Customer List'!$E:$E,'Client Retention $'!$AF$37)/1000</f>
        <v>-0.42499999999999999</v>
      </c>
      <c r="X44" s="255">
        <f>-SUMIFS('Full Customer List'!$G:$G,'Full Customer List'!$J:$J,X$1,'Full Customer List'!$E:$E,'Client Retention $'!$AF$37)/1000</f>
        <v>-3.04</v>
      </c>
      <c r="Y44" s="255">
        <f>-SUMIFS('Full Customer List'!$G:$G,'Full Customer List'!$J:$J,Y$1,'Full Customer List'!$E:$E,'Client Retention $'!$AF$37)/1000</f>
        <v>-6.8453333333333326</v>
      </c>
      <c r="Z44" s="255">
        <f>-SUMIFS('Full Customer List'!$G:$G,'Full Customer List'!$J:$J,Z$1,'Full Customer List'!$E:$E,'Client Retention $'!$AF$37)/1000</f>
        <v>-6.3366666666666669</v>
      </c>
      <c r="AA44" s="255">
        <f>-SUMIFS('Full Customer List'!$G:$G,'Full Customer List'!$J:$J,AA$1,'Full Customer List'!$E:$E,'Client Retention $'!$AF$37)/1000</f>
        <v>-1.3903333333333334</v>
      </c>
      <c r="AB44" s="255">
        <f>-SUMIFS('Full Customer List'!$G:$G,'Full Customer List'!$J:$J,AB$1,'Full Customer List'!$E:$E,'Client Retention $'!$AF$37)/1000</f>
        <v>-4.0036666666666667</v>
      </c>
      <c r="AC44" s="255">
        <f>-SUMIFS('Full Customer List'!$G:$G,'Full Customer List'!$J:$J,AC$1,'Full Customer List'!$E:$E,'Client Retention $'!$AF$37)/1000</f>
        <v>-2.7416666666666667</v>
      </c>
      <c r="AD44" s="255">
        <f>-SUMIFS('Full Customer List'!$G:$G,'Full Customer List'!$J:$J,AD$1,'Full Customer List'!$E:$E,'Client Retention $'!$AF$37)/1000</f>
        <v>0</v>
      </c>
    </row>
    <row r="45" spans="2:33" ht="12" customHeight="1">
      <c r="B45" s="256" t="s">
        <v>1550</v>
      </c>
      <c r="C45" s="268"/>
      <c r="D45" s="268"/>
      <c r="E45" s="268">
        <f>+F39</f>
        <v>2229.1241199999995</v>
      </c>
      <c r="F45" s="269">
        <f>+$AD45*12</f>
        <v>2803.3727199999994</v>
      </c>
      <c r="G45" s="267"/>
      <c r="H45" s="270">
        <f>+$AD45*12</f>
        <v>2803.3727199999994</v>
      </c>
      <c r="I45" s="267"/>
      <c r="J45" s="271">
        <f t="shared" ref="J45:AC45" si="23">+K39</f>
        <v>115.43184999999998</v>
      </c>
      <c r="K45" s="268">
        <f t="shared" si="23"/>
        <v>119.15818333333331</v>
      </c>
      <c r="L45" s="268">
        <f t="shared" si="23"/>
        <v>132.62451666666664</v>
      </c>
      <c r="M45" s="268">
        <f t="shared" si="23"/>
        <v>136.72251666666665</v>
      </c>
      <c r="N45" s="268">
        <f t="shared" si="23"/>
        <v>144.49551666666665</v>
      </c>
      <c r="O45" s="268">
        <f t="shared" si="23"/>
        <v>146.12048333333331</v>
      </c>
      <c r="P45" s="268">
        <f t="shared" si="23"/>
        <v>147.88044999999997</v>
      </c>
      <c r="Q45" s="268">
        <f t="shared" si="23"/>
        <v>152.9154033333333</v>
      </c>
      <c r="R45" s="268">
        <f t="shared" si="23"/>
        <v>157.71585999999996</v>
      </c>
      <c r="S45" s="271">
        <f t="shared" si="23"/>
        <v>167.73519333333329</v>
      </c>
      <c r="T45" s="268">
        <f t="shared" si="23"/>
        <v>175.91852666666662</v>
      </c>
      <c r="U45" s="268">
        <f t="shared" si="23"/>
        <v>185.76034333333328</v>
      </c>
      <c r="V45" s="268">
        <f t="shared" si="23"/>
        <v>192.31367666666662</v>
      </c>
      <c r="W45" s="268">
        <f t="shared" si="23"/>
        <v>197.42434333333327</v>
      </c>
      <c r="X45" s="268">
        <f t="shared" si="23"/>
        <v>201.36114333333327</v>
      </c>
      <c r="Y45" s="268">
        <f t="shared" si="23"/>
        <v>205.37914333333327</v>
      </c>
      <c r="Z45" s="268">
        <f t="shared" si="23"/>
        <v>214.09980999999993</v>
      </c>
      <c r="AA45" s="268">
        <f t="shared" si="23"/>
        <v>217.57572666666661</v>
      </c>
      <c r="AB45" s="268">
        <f t="shared" si="23"/>
        <v>225.58305999999993</v>
      </c>
      <c r="AC45" s="268">
        <f t="shared" si="23"/>
        <v>227.71939333333327</v>
      </c>
      <c r="AD45" s="269">
        <f>SUMIFS('Full Customer List'!$G:$G,'Full Customer List'!$C:$C,"Active",'Full Customer List'!$E:$E,'Client Retention $'!$AF37)/1000</f>
        <v>233.61439333333328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1852</v>
      </c>
      <c r="C47" s="338"/>
      <c r="D47" s="338"/>
      <c r="E47" s="338">
        <f>AVERAGE(E39,E45)</f>
        <v>1744.5611799999995</v>
      </c>
      <c r="F47" s="339">
        <f>AVERAGE(F39,F45)</f>
        <v>2516.2484199999994</v>
      </c>
      <c r="G47" s="267"/>
      <c r="H47" s="342">
        <f>AVERAGE(H39,H45)</f>
        <v>2347.9815199999994</v>
      </c>
      <c r="I47" s="267"/>
      <c r="J47" s="344">
        <f t="shared" ref="J47:AD47" si="24">AVERAGE(J39,J45)</f>
        <v>110.21585166666665</v>
      </c>
      <c r="K47" s="338">
        <f t="shared" si="24"/>
        <v>117.29501666666664</v>
      </c>
      <c r="L47" s="338">
        <f t="shared" si="24"/>
        <v>125.89134999999997</v>
      </c>
      <c r="M47" s="338">
        <f t="shared" si="24"/>
        <v>134.67351666666664</v>
      </c>
      <c r="N47" s="338">
        <f t="shared" si="24"/>
        <v>140.60901666666666</v>
      </c>
      <c r="O47" s="338">
        <f t="shared" si="24"/>
        <v>145.30799999999999</v>
      </c>
      <c r="P47" s="338">
        <f t="shared" si="24"/>
        <v>147.00046666666663</v>
      </c>
      <c r="Q47" s="338">
        <f t="shared" si="24"/>
        <v>150.39792666666665</v>
      </c>
      <c r="R47" s="338">
        <f t="shared" si="24"/>
        <v>155.31563166666663</v>
      </c>
      <c r="S47" s="344">
        <f t="shared" si="24"/>
        <v>162.72552666666661</v>
      </c>
      <c r="T47" s="338">
        <f t="shared" si="24"/>
        <v>171.82685999999995</v>
      </c>
      <c r="U47" s="338">
        <f t="shared" si="24"/>
        <v>180.83943499999995</v>
      </c>
      <c r="V47" s="338">
        <f t="shared" si="24"/>
        <v>189.03700999999995</v>
      </c>
      <c r="W47" s="338">
        <f t="shared" si="24"/>
        <v>194.86900999999995</v>
      </c>
      <c r="X47" s="338">
        <f t="shared" si="24"/>
        <v>199.39274333333327</v>
      </c>
      <c r="Y47" s="338">
        <f t="shared" si="24"/>
        <v>203.37014333333326</v>
      </c>
      <c r="Z47" s="338">
        <f t="shared" si="24"/>
        <v>209.7394766666666</v>
      </c>
      <c r="AA47" s="338">
        <f t="shared" si="24"/>
        <v>215.83776833333326</v>
      </c>
      <c r="AB47" s="338">
        <f t="shared" si="24"/>
        <v>221.57939333333326</v>
      </c>
      <c r="AC47" s="338">
        <f t="shared" si="24"/>
        <v>226.65122666666662</v>
      </c>
      <c r="AD47" s="339">
        <f t="shared" si="24"/>
        <v>230.66689333333329</v>
      </c>
    </row>
    <row r="48" spans="2:33">
      <c r="B48" s="234" t="s">
        <v>1853</v>
      </c>
      <c r="C48" s="340"/>
      <c r="D48" s="340"/>
      <c r="E48" s="340">
        <f>IFERROR(E47/'Client Retention'!E45,"")</f>
        <v>18.17251229166666</v>
      </c>
      <c r="F48" s="341">
        <f>IFERROR(F47/'Client Retention'!F45,"")</f>
        <v>18.570099040590403</v>
      </c>
      <c r="G48" s="267"/>
      <c r="H48" s="343">
        <f>IFERROR(H47/'Client Retention'!H45,"")</f>
        <v>18.343605624999995</v>
      </c>
      <c r="I48" s="267"/>
      <c r="J48" s="345">
        <f>IFERROR(J47/'Client Retention'!J45*12,"")</f>
        <v>18.497765314685314</v>
      </c>
      <c r="K48" s="340">
        <f>IFERROR(K47/'Client Retention'!K45*12,"")</f>
        <v>18.52026578947368</v>
      </c>
      <c r="L48" s="340">
        <f>IFERROR(L47/'Client Retention'!L45*12,"")</f>
        <v>18.883702499999995</v>
      </c>
      <c r="M48" s="340">
        <f>IFERROR(M47/'Client Retention'!M45*12,"")</f>
        <v>18.68303121387283</v>
      </c>
      <c r="N48" s="340">
        <f>IFERROR(N47/'Client Retention'!N45*12,"")</f>
        <v>18.241169729729727</v>
      </c>
      <c r="O48" s="340">
        <f>IFERROR(O47/'Client Retention'!O45*12,"")</f>
        <v>18.06938860103627</v>
      </c>
      <c r="P48" s="340">
        <f>IFERROR(P47/'Client Retention'!P45*12,"")</f>
        <v>17.728699497487433</v>
      </c>
      <c r="Q48" s="340">
        <f>IFERROR(Q47/'Client Retention'!Q45*12,"")</f>
        <v>17.522088543689318</v>
      </c>
      <c r="R48" s="340">
        <f>IFERROR(R47/'Client Retention'!R45*12,"")</f>
        <v>17.418575514018688</v>
      </c>
      <c r="S48" s="345">
        <f>IFERROR(S47/'Client Retention'!S45*12,"")</f>
        <v>17.591948828828823</v>
      </c>
      <c r="T48" s="340">
        <f>IFERROR(T47/'Client Retention'!T45*12,"")</f>
        <v>17.852141298701294</v>
      </c>
      <c r="U48" s="340">
        <f>IFERROR(U47/'Client Retention'!U45*12,"")</f>
        <v>17.934489421487598</v>
      </c>
      <c r="V48" s="340">
        <f>IFERROR(V47/'Client Retention'!V45*12,"")</f>
        <v>17.861764724409447</v>
      </c>
      <c r="W48" s="340">
        <f>IFERROR(W47/'Client Retention'!W45*12,"")</f>
        <v>17.648514113207543</v>
      </c>
      <c r="X48" s="340">
        <f>IFERROR(X47/'Client Retention'!X45*12,"")</f>
        <v>17.65839793357933</v>
      </c>
      <c r="Y48" s="340">
        <f>IFERROR(Y47/'Client Retention'!Y45*12,"")</f>
        <v>17.684360289855064</v>
      </c>
      <c r="Z48" s="340">
        <f>IFERROR(Z47/'Client Retention'!Z45*12,"")</f>
        <v>17.977669428571424</v>
      </c>
      <c r="AA48" s="340">
        <f>IFERROR(AA47/'Client Retention'!AA45*12,"")</f>
        <v>18.434542491103198</v>
      </c>
      <c r="AB48" s="340">
        <f>IFERROR(AB47/'Client Retention'!AB45*12,"")</f>
        <v>18.791185300353352</v>
      </c>
      <c r="AC48" s="340">
        <f>IFERROR(AC47/'Client Retention'!AC45*12,"")</f>
        <v>19.086419087719293</v>
      </c>
      <c r="AD48" s="341">
        <f>IFERROR(AD47/'Client Retention'!AD45*12,"")</f>
        <v>19.089673931034479</v>
      </c>
    </row>
    <row r="49" spans="2:34" ht="3.95" customHeight="1">
      <c r="B49" s="179"/>
      <c r="C49" s="229"/>
      <c r="D49" s="229"/>
      <c r="E49" s="229"/>
      <c r="F49" s="229"/>
      <c r="H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30"/>
      <c r="AC49" s="230"/>
      <c r="AD49" s="230"/>
    </row>
    <row r="50" spans="2:34" ht="12" customHeight="1">
      <c r="B50" s="231" t="s">
        <v>1547</v>
      </c>
      <c r="C50" s="232"/>
      <c r="D50" s="232"/>
      <c r="E50" s="233">
        <f>(E40+E39)/E39-1</f>
        <v>0.8034311857451486</v>
      </c>
      <c r="F50" s="244">
        <f>(F40+F39)/F39-1</f>
        <v>0.40638410031649563</v>
      </c>
      <c r="G50" s="245"/>
      <c r="H50" s="246">
        <f>(H40+H39)/H39-1</f>
        <v>0.65836456354695927</v>
      </c>
      <c r="J50" s="243">
        <f t="shared" ref="J50:AD50" si="25">(J40+J39)/J39-1</f>
        <v>9.935248798442764E-2</v>
      </c>
      <c r="K50" s="233">
        <f t="shared" si="25"/>
        <v>3.2281673847671444E-2</v>
      </c>
      <c r="L50" s="233">
        <f t="shared" si="25"/>
        <v>0.11301224101128304</v>
      </c>
      <c r="M50" s="233">
        <f t="shared" si="25"/>
        <v>3.0899264351701872E-2</v>
      </c>
      <c r="N50" s="233">
        <f t="shared" si="25"/>
        <v>5.6852376547096295E-2</v>
      </c>
      <c r="O50" s="233">
        <f t="shared" si="25"/>
        <v>1.1245792977890634E-2</v>
      </c>
      <c r="P50" s="233">
        <f t="shared" si="25"/>
        <v>3.4626448105781193E-2</v>
      </c>
      <c r="Q50" s="233">
        <f t="shared" si="25"/>
        <v>3.4047457478884713E-2</v>
      </c>
      <c r="R50" s="233">
        <f t="shared" si="25"/>
        <v>3.1392891507485032E-2</v>
      </c>
      <c r="S50" s="243">
        <f t="shared" si="25"/>
        <v>6.3527747515901956E-2</v>
      </c>
      <c r="T50" s="233">
        <f t="shared" si="25"/>
        <v>4.8787217343654987E-2</v>
      </c>
      <c r="U50" s="233">
        <f t="shared" si="25"/>
        <v>5.7650645778108078E-2</v>
      </c>
      <c r="V50" s="233">
        <f t="shared" si="25"/>
        <v>5.0638723518006801E-2</v>
      </c>
      <c r="W50" s="233">
        <f t="shared" si="25"/>
        <v>2.8784570929198727E-2</v>
      </c>
      <c r="X50" s="233">
        <f t="shared" si="25"/>
        <v>3.5339107033119488E-2</v>
      </c>
      <c r="Y50" s="233">
        <f t="shared" si="25"/>
        <v>5.3949501644168674E-2</v>
      </c>
      <c r="Z50" s="233">
        <f t="shared" si="25"/>
        <v>7.3314812248949091E-2</v>
      </c>
      <c r="AA50" s="233">
        <f t="shared" si="25"/>
        <v>2.2728885186773518E-2</v>
      </c>
      <c r="AB50" s="233">
        <f t="shared" si="25"/>
        <v>5.5203768288000443E-2</v>
      </c>
      <c r="AC50" s="233">
        <f t="shared" si="25"/>
        <v>2.1623964139860341E-2</v>
      </c>
      <c r="AD50" s="244">
        <f t="shared" si="25"/>
        <v>2.5887123242819055E-2</v>
      </c>
    </row>
    <row r="51" spans="2:34">
      <c r="B51" s="234" t="s">
        <v>1548</v>
      </c>
      <c r="C51" s="235"/>
      <c r="D51" s="235"/>
      <c r="E51" s="236">
        <f>(E44+E47)/E47-1</f>
        <v>-2.4760381289694822E-2</v>
      </c>
      <c r="F51" s="237">
        <f>(F44+F47)/F47-1</f>
        <v>-0.13179620794357028</v>
      </c>
      <c r="G51" s="245"/>
      <c r="H51" s="239">
        <f>(H44+H47)/H47-1</f>
        <v>-0.14277454790189326</v>
      </c>
      <c r="J51" s="238">
        <f t="shared" ref="J51:AD51" si="26">(J44+J47)/J47-1</f>
        <v>0</v>
      </c>
      <c r="K51" s="236">
        <f t="shared" si="26"/>
        <v>0</v>
      </c>
      <c r="L51" s="236">
        <f t="shared" si="26"/>
        <v>0</v>
      </c>
      <c r="M51" s="236">
        <f t="shared" si="26"/>
        <v>0</v>
      </c>
      <c r="N51" s="236">
        <f t="shared" si="26"/>
        <v>0</v>
      </c>
      <c r="O51" s="236">
        <f t="shared" si="26"/>
        <v>0</v>
      </c>
      <c r="P51" s="236">
        <f t="shared" si="26"/>
        <v>-2.2446640758963632E-2</v>
      </c>
      <c r="Q51" s="236">
        <f t="shared" si="26"/>
        <v>0</v>
      </c>
      <c r="R51" s="236">
        <f t="shared" si="26"/>
        <v>0</v>
      </c>
      <c r="S51" s="238">
        <f t="shared" si="26"/>
        <v>0</v>
      </c>
      <c r="T51" s="236">
        <f t="shared" si="26"/>
        <v>0</v>
      </c>
      <c r="U51" s="236">
        <f t="shared" si="26"/>
        <v>-1.6589301995995065E-3</v>
      </c>
      <c r="V51" s="236">
        <f t="shared" si="26"/>
        <v>-1.5094046045974419E-2</v>
      </c>
      <c r="W51" s="236">
        <f t="shared" si="26"/>
        <v>-2.1809522201606812E-3</v>
      </c>
      <c r="X51" s="236">
        <f t="shared" si="26"/>
        <v>-1.5246292062484401E-2</v>
      </c>
      <c r="Y51" s="236">
        <f t="shared" si="26"/>
        <v>-3.3659480300967881E-2</v>
      </c>
      <c r="Z51" s="236">
        <f t="shared" si="26"/>
        <v>-3.0212083902246833E-2</v>
      </c>
      <c r="AA51" s="236">
        <f t="shared" si="26"/>
        <v>-6.4415664786996452E-3</v>
      </c>
      <c r="AB51" s="236">
        <f t="shared" si="26"/>
        <v>-1.8068768067451835E-2</v>
      </c>
      <c r="AC51" s="236">
        <f t="shared" si="26"/>
        <v>-1.2096412214432029E-2</v>
      </c>
      <c r="AD51" s="237">
        <f t="shared" si="26"/>
        <v>0</v>
      </c>
    </row>
    <row r="52" spans="2:34" ht="3.95" customHeight="1"/>
    <row r="53" spans="2:34" ht="24">
      <c r="B53" s="159" t="s">
        <v>1308</v>
      </c>
      <c r="C53" s="176" t="s">
        <v>1316</v>
      </c>
      <c r="D53" s="176" t="s">
        <v>3</v>
      </c>
      <c r="E53" s="176" t="s">
        <v>4</v>
      </c>
      <c r="F53" s="176" t="s">
        <v>1317</v>
      </c>
      <c r="G53" s="190"/>
      <c r="H53" s="176" t="s">
        <v>1527</v>
      </c>
      <c r="J53" s="189">
        <v>45658</v>
      </c>
      <c r="K53" s="189">
        <f t="shared" ref="K53:P53" si="27">EOMONTH(J53,0)+1</f>
        <v>45689</v>
      </c>
      <c r="L53" s="189">
        <f t="shared" si="27"/>
        <v>45717</v>
      </c>
      <c r="M53" s="189">
        <f t="shared" si="27"/>
        <v>45748</v>
      </c>
      <c r="N53" s="189">
        <f t="shared" si="27"/>
        <v>45778</v>
      </c>
      <c r="O53" s="189">
        <f t="shared" si="27"/>
        <v>45809</v>
      </c>
      <c r="P53" s="189">
        <f t="shared" si="27"/>
        <v>45839</v>
      </c>
      <c r="Q53" s="189">
        <v>45870</v>
      </c>
      <c r="R53" s="189">
        <f t="shared" ref="R53:AD53" si="28">EOMONTH(Q53,0)+1</f>
        <v>45901</v>
      </c>
      <c r="S53" s="189">
        <f t="shared" si="28"/>
        <v>45931</v>
      </c>
      <c r="T53" s="189">
        <f t="shared" si="28"/>
        <v>45962</v>
      </c>
      <c r="U53" s="189">
        <f t="shared" si="28"/>
        <v>45992</v>
      </c>
      <c r="V53" s="189">
        <f t="shared" si="28"/>
        <v>46023</v>
      </c>
      <c r="W53" s="189">
        <f t="shared" si="28"/>
        <v>46054</v>
      </c>
      <c r="X53" s="189">
        <f t="shared" si="28"/>
        <v>46082</v>
      </c>
      <c r="Y53" s="189">
        <f t="shared" si="28"/>
        <v>46113</v>
      </c>
      <c r="Z53" s="189">
        <f t="shared" si="28"/>
        <v>46143</v>
      </c>
      <c r="AA53" s="189">
        <f t="shared" si="28"/>
        <v>46174</v>
      </c>
      <c r="AB53" s="189">
        <f t="shared" si="28"/>
        <v>46204</v>
      </c>
      <c r="AC53" s="189">
        <f t="shared" si="28"/>
        <v>46235</v>
      </c>
      <c r="AD53" s="189">
        <f t="shared" si="28"/>
        <v>46266</v>
      </c>
      <c r="AE53" s="184"/>
      <c r="AF53" s="217" t="s">
        <v>1178</v>
      </c>
      <c r="AG53" s="184"/>
      <c r="AH53" s="184"/>
    </row>
    <row r="54" spans="2:34">
      <c r="B54" s="183" t="str">
        <f>+AF53</f>
        <v>STR Owner</v>
      </c>
      <c r="C54" s="43"/>
      <c r="D54" s="43"/>
      <c r="E54" s="43"/>
      <c r="F54" s="43"/>
      <c r="G54" s="6"/>
      <c r="H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6"/>
      <c r="AF54" s="6"/>
      <c r="AG54" s="6"/>
      <c r="AH54" s="6"/>
    </row>
    <row r="55" spans="2:34">
      <c r="B55" s="173" t="s">
        <v>1551</v>
      </c>
      <c r="C55" s="267"/>
      <c r="D55" s="267"/>
      <c r="E55" s="267">
        <f>+E61-E56-E60</f>
        <v>74.919999999999959</v>
      </c>
      <c r="F55" s="267">
        <f>+F61-F56-F60</f>
        <v>158.75599999999997</v>
      </c>
      <c r="G55" s="267"/>
      <c r="H55" s="267">
        <f>+H61-H56-H60</f>
        <v>131.69599999999997</v>
      </c>
      <c r="I55" s="267"/>
      <c r="J55" s="267">
        <f t="shared" ref="J55:AD55" si="29">+J61-J56-J60</f>
        <v>6.2433333333333305</v>
      </c>
      <c r="K55" s="267">
        <f t="shared" si="29"/>
        <v>7.4786666666666637</v>
      </c>
      <c r="L55" s="267">
        <f t="shared" si="29"/>
        <v>7.4786666666666637</v>
      </c>
      <c r="M55" s="267">
        <f t="shared" si="29"/>
        <v>7.4786666666666637</v>
      </c>
      <c r="N55" s="267">
        <f t="shared" si="29"/>
        <v>8.1269999999999971</v>
      </c>
      <c r="O55" s="267">
        <f t="shared" si="29"/>
        <v>9.0399999999999974</v>
      </c>
      <c r="P55" s="267">
        <f t="shared" si="29"/>
        <v>9.7586666666666648</v>
      </c>
      <c r="Q55" s="267">
        <f t="shared" si="29"/>
        <v>10.164666666666665</v>
      </c>
      <c r="R55" s="267">
        <f t="shared" si="29"/>
        <v>10.974666666666666</v>
      </c>
      <c r="S55" s="267">
        <f t="shared" si="29"/>
        <v>10.974666666666666</v>
      </c>
      <c r="T55" s="267">
        <f t="shared" si="29"/>
        <v>11.394666666666666</v>
      </c>
      <c r="U55" s="267">
        <f t="shared" si="29"/>
        <v>11.794666666666666</v>
      </c>
      <c r="V55" s="267">
        <f t="shared" si="29"/>
        <v>13.229666666666667</v>
      </c>
      <c r="W55" s="267">
        <f t="shared" si="29"/>
        <v>13.849666666666666</v>
      </c>
      <c r="X55" s="267">
        <f t="shared" si="29"/>
        <v>15.512833333333333</v>
      </c>
      <c r="Y55" s="267">
        <f t="shared" si="29"/>
        <v>15.266166666666667</v>
      </c>
      <c r="Z55" s="267">
        <f t="shared" si="29"/>
        <v>15.436166666666667</v>
      </c>
      <c r="AA55" s="267">
        <f t="shared" si="29"/>
        <v>13.279333333333334</v>
      </c>
      <c r="AB55" s="267">
        <f t="shared" si="29"/>
        <v>12.879333333333333</v>
      </c>
      <c r="AC55" s="267">
        <f t="shared" si="29"/>
        <v>13.297333333333333</v>
      </c>
      <c r="AD55" s="267">
        <f t="shared" si="29"/>
        <v>13.297333333333333</v>
      </c>
    </row>
    <row r="56" spans="2:34">
      <c r="B56" s="188" t="s">
        <v>1314</v>
      </c>
      <c r="C56" s="192"/>
      <c r="D56" s="192"/>
      <c r="E56" s="194">
        <f>SUM(J56:U56)*12</f>
        <v>83.836000000000013</v>
      </c>
      <c r="F56" s="194">
        <f>SUM(V56:AD56)*12</f>
        <v>44.074000000000005</v>
      </c>
      <c r="H56" s="194">
        <f>SUM(S56:AD56)*12</f>
        <v>71.134000000000015</v>
      </c>
      <c r="J56" s="192">
        <f>SUMIFS('Full Customer List'!$G:$G,'Full Customer List'!$I:$I,'Client Retention $'!J$5,'Full Customer List'!$E:$E,$AF53)/1000</f>
        <v>1.2353333333333332</v>
      </c>
      <c r="K56" s="192">
        <f>SUMIFS('Full Customer List'!$G:$G,'Full Customer List'!$I:$I,'Client Retention $'!K$5,'Full Customer List'!$E:$E,$AF53)/1000</f>
        <v>0</v>
      </c>
      <c r="L56" s="192">
        <f>SUMIFS('Full Customer List'!$G:$G,'Full Customer List'!$I:$I,'Client Retention $'!L$5,'Full Customer List'!$E:$E,$AF53)/1000</f>
        <v>0</v>
      </c>
      <c r="M56" s="192">
        <f>SUMIFS('Full Customer List'!$G:$G,'Full Customer List'!$I:$I,'Client Retention $'!M$5,'Full Customer List'!$E:$E,$AF53)/1000</f>
        <v>0.64833333333333332</v>
      </c>
      <c r="N56" s="192">
        <f>SUMIFS('Full Customer List'!$G:$G,'Full Customer List'!$I:$I,'Client Retention $'!N$5,'Full Customer List'!$E:$E,$AF53)/1000</f>
        <v>0.91300000000000003</v>
      </c>
      <c r="O56" s="192">
        <f>SUMIFS('Full Customer List'!$G:$G,'Full Customer List'!$I:$I,'Client Retention $'!O$5,'Full Customer List'!$E:$E,$AF53)/1000</f>
        <v>0.71866666666666679</v>
      </c>
      <c r="P56" s="192">
        <f>SUMIFS('Full Customer List'!$G:$G,'Full Customer List'!$I:$I,'Client Retention $'!P$5,'Full Customer List'!$E:$E,$AF53)/1000</f>
        <v>0.40600000000000003</v>
      </c>
      <c r="Q56" s="192">
        <f>SUMIFS('Full Customer List'!$G:$G,'Full Customer List'!$I:$I,'Client Retention $'!Q$5,'Full Customer List'!$E:$E,$AF53)/1000</f>
        <v>0.81</v>
      </c>
      <c r="R56" s="192">
        <f>SUMIFS('Full Customer List'!$G:$G,'Full Customer List'!$I:$I,'Client Retention $'!R$5,'Full Customer List'!$E:$E,$AF53)/1000</f>
        <v>0</v>
      </c>
      <c r="S56" s="192">
        <f>SUMIFS('Full Customer List'!$G:$G,'Full Customer List'!$I:$I,'Client Retention $'!S$5,'Full Customer List'!$E:$E,$AF53)/1000</f>
        <v>0.42</v>
      </c>
      <c r="T56" s="192">
        <f>SUMIFS('Full Customer List'!$G:$G,'Full Customer List'!$I:$I,'Client Retention $'!T$5,'Full Customer List'!$E:$E,$AF53)/1000</f>
        <v>0.4</v>
      </c>
      <c r="U56" s="192">
        <f>SUMIFS('Full Customer List'!$G:$G,'Full Customer List'!$I:$I,'Client Retention $'!U$5,'Full Customer List'!$E:$E,$AF53)/1000</f>
        <v>1.4350000000000001</v>
      </c>
      <c r="V56" s="192">
        <f>SUMIFS('Full Customer List'!$G:$G,'Full Customer List'!$I:$I,'Client Retention $'!V$5,'Full Customer List'!$E:$E,$AF53)/1000</f>
        <v>0.62</v>
      </c>
      <c r="W56" s="192">
        <f>SUMIFS('Full Customer List'!$G:$G,'Full Customer List'!$I:$I,'Client Retention $'!W$5,'Full Customer List'!$E:$E,$AF53)/1000</f>
        <v>1.6631666666666667</v>
      </c>
      <c r="X56" s="192">
        <f>SUMIFS('Full Customer List'!$G:$G,'Full Customer List'!$I:$I,'Client Retention $'!X$5,'Full Customer List'!$E:$E,$AF53)/1000</f>
        <v>0.40166666666666667</v>
      </c>
      <c r="Y56" s="192">
        <f>SUMIFS('Full Customer List'!$G:$G,'Full Customer List'!$I:$I,'Client Retention $'!Y$5,'Full Customer List'!$E:$E,$AF53)/1000</f>
        <v>0.56999999999999995</v>
      </c>
      <c r="Z56" s="192">
        <f>SUMIFS('Full Customer List'!$G:$G,'Full Customer List'!$I:$I,'Client Retention $'!Z$5,'Full Customer List'!$E:$E,$AF53)/1000</f>
        <v>0</v>
      </c>
      <c r="AA56" s="192">
        <f>SUMIFS('Full Customer List'!$G:$G,'Full Customer List'!$I:$I,'Client Retention $'!AA$5,'Full Customer List'!$E:$E,$AF53)/1000</f>
        <v>0</v>
      </c>
      <c r="AB56" s="192">
        <f>SUMIFS('Full Customer List'!$G:$G,'Full Customer List'!$I:$I,'Client Retention $'!AB$5,'Full Customer List'!$E:$E,$AF53)/1000</f>
        <v>0.41799999999999998</v>
      </c>
      <c r="AC56" s="192">
        <f>SUMIFS('Full Customer List'!$G:$G,'Full Customer List'!$I:$I,'Client Retention $'!AC$5,'Full Customer List'!$E:$E,$AF53)/1000</f>
        <v>0</v>
      </c>
      <c r="AD56" s="192">
        <f>SUMIFS('Full Customer List'!$G:$G,'Full Customer List'!$I:$I,'Client Retention $'!AD$5,'Full Customer List'!$E:$E,$AF53)/1000</f>
        <v>0</v>
      </c>
    </row>
    <row r="57" spans="2:34">
      <c r="B57" s="262" t="s">
        <v>1528</v>
      </c>
      <c r="E57" s="194">
        <f>SUM(J57:U57)*12</f>
        <v>0</v>
      </c>
      <c r="F57" s="194">
        <f>SUM(V57:AD57)*12</f>
        <v>-35.481999999999999</v>
      </c>
      <c r="H57" s="194">
        <f>SUM(S57:AD57)*12</f>
        <v>-35.481999999999999</v>
      </c>
      <c r="J57" s="192">
        <f>-SUMIFS('Full Customer List'!$G:$G,'Full Customer List'!$J:$J,J$1,'Full Customer List'!$E:$E,$AF53,'Full Customer List'!$H:$H,'Client Retention $'!$AF57)/1000</f>
        <v>0</v>
      </c>
      <c r="K57" s="192">
        <f>-SUMIFS('Full Customer List'!$G:$G,'Full Customer List'!$J:$J,K$1,'Full Customer List'!$E:$E,$AF53,'Full Customer List'!$H:$H,'Client Retention $'!$AF57)/1000</f>
        <v>0</v>
      </c>
      <c r="L57" s="192">
        <f>-SUMIFS('Full Customer List'!$G:$G,'Full Customer List'!$J:$J,L$1,'Full Customer List'!$E:$E,$AF53,'Full Customer List'!$H:$H,'Client Retention $'!$AF57)/1000</f>
        <v>0</v>
      </c>
      <c r="M57" s="192">
        <f>-SUMIFS('Full Customer List'!$G:$G,'Full Customer List'!$J:$J,M$1,'Full Customer List'!$E:$E,$AF53,'Full Customer List'!$H:$H,'Client Retention $'!$AF57)/1000</f>
        <v>0</v>
      </c>
      <c r="N57" s="192">
        <f>-SUMIFS('Full Customer List'!$G:$G,'Full Customer List'!$J:$J,N$1,'Full Customer List'!$E:$E,$AF53,'Full Customer List'!$H:$H,'Client Retention $'!$AF57)/1000</f>
        <v>0</v>
      </c>
      <c r="O57" s="192">
        <f>-SUMIFS('Full Customer List'!$G:$G,'Full Customer List'!$J:$J,O$1,'Full Customer List'!$E:$E,$AF53,'Full Customer List'!$H:$H,'Client Retention $'!$AF57)/1000</f>
        <v>0</v>
      </c>
      <c r="P57" s="192">
        <f>-SUMIFS('Full Customer List'!$G:$G,'Full Customer List'!$J:$J,P$1,'Full Customer List'!$E:$E,$AF53,'Full Customer List'!$H:$H,'Client Retention $'!$AF57)/1000</f>
        <v>0</v>
      </c>
      <c r="Q57" s="192">
        <f>-SUMIFS('Full Customer List'!$G:$G,'Full Customer List'!$J:$J,Q$1,'Full Customer List'!$E:$E,$AF53,'Full Customer List'!$H:$H,'Client Retention $'!$AF57)/1000</f>
        <v>0</v>
      </c>
      <c r="R57" s="192">
        <f>-SUMIFS('Full Customer List'!$G:$G,'Full Customer List'!$J:$J,R$1,'Full Customer List'!$E:$E,$AF53,'Full Customer List'!$H:$H,'Client Retention $'!$AF57)/1000</f>
        <v>0</v>
      </c>
      <c r="S57" s="192">
        <f>-SUMIFS('Full Customer List'!$G:$G,'Full Customer List'!$J:$J,S$1,'Full Customer List'!$E:$E,$AF53,'Full Customer List'!$H:$H,'Client Retention $'!$AF57)/1000</f>
        <v>0</v>
      </c>
      <c r="T57" s="192">
        <f>-SUMIFS('Full Customer List'!$G:$G,'Full Customer List'!$J:$J,T$1,'Full Customer List'!$E:$E,$AF53,'Full Customer List'!$H:$H,'Client Retention $'!$AF57)/1000</f>
        <v>0</v>
      </c>
      <c r="U57" s="192">
        <f>-SUMIFS('Full Customer List'!$G:$G,'Full Customer List'!$J:$J,U$1,'Full Customer List'!$E:$E,$AF53,'Full Customer List'!$H:$H,'Client Retention $'!$AF57)/1000</f>
        <v>0</v>
      </c>
      <c r="V57" s="192">
        <f>-SUMIFS('Full Customer List'!$G:$G,'Full Customer List'!$J:$J,V$1,'Full Customer List'!$E:$E,$AF53,'Full Customer List'!$H:$H,'Client Retention $'!$AF57)/1000</f>
        <v>0</v>
      </c>
      <c r="W57" s="192">
        <f>-SUMIFS('Full Customer List'!$G:$G,'Full Customer List'!$J:$J,W$1,'Full Customer List'!$E:$E,$AF53,'Full Customer List'!$H:$H,'Client Retention $'!$AF57)/1000</f>
        <v>0</v>
      </c>
      <c r="X57" s="192">
        <f>-SUMIFS('Full Customer List'!$G:$G,'Full Customer List'!$J:$J,X$1,'Full Customer List'!$E:$E,$AF53,'Full Customer List'!$H:$H,'Client Retention $'!$AF57)/1000</f>
        <v>0</v>
      </c>
      <c r="Y57" s="192">
        <f>-SUMIFS('Full Customer List'!$G:$G,'Full Customer List'!$J:$J,Y$1,'Full Customer List'!$E:$E,$AF53,'Full Customer List'!$H:$H,'Client Retention $'!$AF57)/1000</f>
        <v>-0.4</v>
      </c>
      <c r="Z57" s="192">
        <f>-SUMIFS('Full Customer List'!$G:$G,'Full Customer List'!$J:$J,Z$1,'Full Customer List'!$E:$E,$AF53,'Full Customer List'!$H:$H,'Client Retention $'!$AF57)/1000</f>
        <v>-2.1568333333333336</v>
      </c>
      <c r="AA57" s="192">
        <f>-SUMIFS('Full Customer List'!$G:$G,'Full Customer List'!$J:$J,AA$1,'Full Customer List'!$E:$E,$AF53,'Full Customer List'!$H:$H,'Client Retention $'!$AF57)/1000</f>
        <v>-0.4</v>
      </c>
      <c r="AB57" s="192">
        <f>-SUMIFS('Full Customer List'!$G:$G,'Full Customer List'!$J:$J,AB$1,'Full Customer List'!$E:$E,$AF53,'Full Customer List'!$H:$H,'Client Retention $'!$AF57)/1000</f>
        <v>0</v>
      </c>
      <c r="AC57" s="192">
        <f>-SUMIFS('Full Customer List'!$G:$G,'Full Customer List'!$J:$J,AC$1,'Full Customer List'!$E:$E,$AF53,'Full Customer List'!$H:$H,'Client Retention $'!$AF57)/1000</f>
        <v>0</v>
      </c>
      <c r="AD57" s="192">
        <f>-SUMIFS('Full Customer List'!$G:$G,'Full Customer List'!$J:$J,AD$1,'Full Customer List'!$E:$E,$AF53,'Full Customer List'!$H:$H,'Client Retention $'!$AF57)/1000</f>
        <v>0</v>
      </c>
      <c r="AF57" s="173" t="s">
        <v>504</v>
      </c>
    </row>
    <row r="58" spans="2:34">
      <c r="B58" s="262" t="s">
        <v>1529</v>
      </c>
      <c r="E58" s="194">
        <f>SUM(J58:U58)*12</f>
        <v>0</v>
      </c>
      <c r="F58" s="194">
        <f>SUM(V58:AD58)*12</f>
        <v>0</v>
      </c>
      <c r="H58" s="194">
        <f>SUM(S58:AD58)*12</f>
        <v>0</v>
      </c>
      <c r="J58" s="192">
        <f>-SUMIFS('Full Customer List'!$G:$G,'Full Customer List'!$J:$J,J$1,'Full Customer List'!$E:$E,$AF53,'Full Customer List'!$H:$H,'Client Retention $'!$AF58)/1000</f>
        <v>0</v>
      </c>
      <c r="K58" s="192">
        <f>-SUMIFS('Full Customer List'!$G:$G,'Full Customer List'!$J:$J,K$1,'Full Customer List'!$E:$E,$AF53,'Full Customer List'!$H:$H,'Client Retention $'!$AF58)/1000</f>
        <v>0</v>
      </c>
      <c r="L58" s="192">
        <f>-SUMIFS('Full Customer List'!$G:$G,'Full Customer List'!$J:$J,L$1,'Full Customer List'!$E:$E,$AF53,'Full Customer List'!$H:$H,'Client Retention $'!$AF58)/1000</f>
        <v>0</v>
      </c>
      <c r="M58" s="192">
        <f>-SUMIFS('Full Customer List'!$G:$G,'Full Customer List'!$J:$J,M$1,'Full Customer List'!$E:$E,$AF53,'Full Customer List'!$H:$H,'Client Retention $'!$AF58)/1000</f>
        <v>0</v>
      </c>
      <c r="N58" s="192">
        <f>-SUMIFS('Full Customer List'!$G:$G,'Full Customer List'!$J:$J,N$1,'Full Customer List'!$E:$E,$AF53,'Full Customer List'!$H:$H,'Client Retention $'!$AF58)/1000</f>
        <v>0</v>
      </c>
      <c r="O58" s="192">
        <f>-SUMIFS('Full Customer List'!$G:$G,'Full Customer List'!$J:$J,O$1,'Full Customer List'!$E:$E,$AF53,'Full Customer List'!$H:$H,'Client Retention $'!$AF58)/1000</f>
        <v>0</v>
      </c>
      <c r="P58" s="192">
        <f>-SUMIFS('Full Customer List'!$G:$G,'Full Customer List'!$J:$J,P$1,'Full Customer List'!$E:$E,$AF53,'Full Customer List'!$H:$H,'Client Retention $'!$AF58)/1000</f>
        <v>0</v>
      </c>
      <c r="Q58" s="192">
        <f>-SUMIFS('Full Customer List'!$G:$G,'Full Customer List'!$J:$J,Q$1,'Full Customer List'!$E:$E,$AF53,'Full Customer List'!$H:$H,'Client Retention $'!$AF58)/1000</f>
        <v>0</v>
      </c>
      <c r="R58" s="192">
        <f>-SUMIFS('Full Customer List'!$G:$G,'Full Customer List'!$J:$J,R$1,'Full Customer List'!$E:$E,$AF53,'Full Customer List'!$H:$H,'Client Retention $'!$AF58)/1000</f>
        <v>0</v>
      </c>
      <c r="S58" s="192">
        <f>-SUMIFS('Full Customer List'!$G:$G,'Full Customer List'!$J:$J,S$1,'Full Customer List'!$E:$E,$AF53,'Full Customer List'!$H:$H,'Client Retention $'!$AF58)/1000</f>
        <v>0</v>
      </c>
      <c r="T58" s="192">
        <f>-SUMIFS('Full Customer List'!$G:$G,'Full Customer List'!$J:$J,T$1,'Full Customer List'!$E:$E,$AF53,'Full Customer List'!$H:$H,'Client Retention $'!$AF58)/1000</f>
        <v>0</v>
      </c>
      <c r="U58" s="192">
        <f>-SUMIFS('Full Customer List'!$G:$G,'Full Customer List'!$J:$J,U$1,'Full Customer List'!$E:$E,$AF53,'Full Customer List'!$H:$H,'Client Retention $'!$AF58)/1000</f>
        <v>0</v>
      </c>
      <c r="V58" s="192">
        <f>-SUMIFS('Full Customer List'!$G:$G,'Full Customer List'!$J:$J,V$1,'Full Customer List'!$E:$E,$AF53,'Full Customer List'!$H:$H,'Client Retention $'!$AF58)/1000</f>
        <v>0</v>
      </c>
      <c r="W58" s="192">
        <f>-SUMIFS('Full Customer List'!$G:$G,'Full Customer List'!$J:$J,W$1,'Full Customer List'!$E:$E,$AF53,'Full Customer List'!$H:$H,'Client Retention $'!$AF58)/1000</f>
        <v>0</v>
      </c>
      <c r="X58" s="192">
        <f>-SUMIFS('Full Customer List'!$G:$G,'Full Customer List'!$J:$J,X$1,'Full Customer List'!$E:$E,$AF53,'Full Customer List'!$H:$H,'Client Retention $'!$AF58)/1000</f>
        <v>0</v>
      </c>
      <c r="Y58" s="192">
        <f>-SUMIFS('Full Customer List'!$G:$G,'Full Customer List'!$J:$J,Y$1,'Full Customer List'!$E:$E,$AF53,'Full Customer List'!$H:$H,'Client Retention $'!$AF58)/1000</f>
        <v>0</v>
      </c>
      <c r="Z58" s="192">
        <f>-SUMIFS('Full Customer List'!$G:$G,'Full Customer List'!$J:$J,Z$1,'Full Customer List'!$E:$E,$AF53,'Full Customer List'!$H:$H,'Client Retention $'!$AF58)/1000</f>
        <v>0</v>
      </c>
      <c r="AA58" s="192">
        <f>-SUMIFS('Full Customer List'!$G:$G,'Full Customer List'!$J:$J,AA$1,'Full Customer List'!$E:$E,$AF53,'Full Customer List'!$H:$H,'Client Retention $'!$AF58)/1000</f>
        <v>0</v>
      </c>
      <c r="AB58" s="192">
        <f>-SUMIFS('Full Customer List'!$G:$G,'Full Customer List'!$J:$J,AB$1,'Full Customer List'!$E:$E,$AF53,'Full Customer List'!$H:$H,'Client Retention $'!$AF58)/1000</f>
        <v>0</v>
      </c>
      <c r="AC58" s="192">
        <f>-SUMIFS('Full Customer List'!$G:$G,'Full Customer List'!$J:$J,AC$1,'Full Customer List'!$E:$E,$AF53,'Full Customer List'!$H:$H,'Client Retention $'!$AF58)/1000</f>
        <v>0</v>
      </c>
      <c r="AD58" s="192">
        <f>-SUMIFS('Full Customer List'!$G:$G,'Full Customer List'!$J:$J,AD$1,'Full Customer List'!$E:$E,$AF53,'Full Customer List'!$H:$H,'Client Retention $'!$AF58)/1000</f>
        <v>0</v>
      </c>
      <c r="AF58" s="173" t="s">
        <v>505</v>
      </c>
    </row>
    <row r="59" spans="2:34">
      <c r="B59" s="262" t="s">
        <v>1530</v>
      </c>
      <c r="E59" s="194">
        <f>SUM(J59:U59)*12</f>
        <v>0</v>
      </c>
      <c r="F59" s="194">
        <f>SUM(V59:AD59)*12</f>
        <v>-7.7799999999999994</v>
      </c>
      <c r="H59" s="194">
        <f>SUM(S59:AD59)*12</f>
        <v>-7.7799999999999994</v>
      </c>
      <c r="J59" s="192">
        <f>-SUMIFS('Full Customer List'!$G:$G,'Full Customer List'!$J:$J,J$1,'Full Customer List'!$E:$E,$AF53,'Full Customer List'!$H:$H,'Client Retention $'!$AF59)/1000</f>
        <v>0</v>
      </c>
      <c r="K59" s="192">
        <f>-SUMIFS('Full Customer List'!$G:$G,'Full Customer List'!$J:$J,K$1,'Full Customer List'!$E:$E,$AF53,'Full Customer List'!$H:$H,'Client Retention $'!$AF59)/1000</f>
        <v>0</v>
      </c>
      <c r="L59" s="192">
        <f>-SUMIFS('Full Customer List'!$G:$G,'Full Customer List'!$J:$J,L$1,'Full Customer List'!$E:$E,$AF53,'Full Customer List'!$H:$H,'Client Retention $'!$AF59)/1000</f>
        <v>0</v>
      </c>
      <c r="M59" s="192">
        <f>-SUMIFS('Full Customer List'!$G:$G,'Full Customer List'!$J:$J,M$1,'Full Customer List'!$E:$E,$AF53,'Full Customer List'!$H:$H,'Client Retention $'!$AF59)/1000</f>
        <v>0</v>
      </c>
      <c r="N59" s="192">
        <f>-SUMIFS('Full Customer List'!$G:$G,'Full Customer List'!$J:$J,N$1,'Full Customer List'!$E:$E,$AF53,'Full Customer List'!$H:$H,'Client Retention $'!$AF59)/1000</f>
        <v>0</v>
      </c>
      <c r="O59" s="192">
        <f>-SUMIFS('Full Customer List'!$G:$G,'Full Customer List'!$J:$J,O$1,'Full Customer List'!$E:$E,$AF53,'Full Customer List'!$H:$H,'Client Retention $'!$AF59)/1000</f>
        <v>0</v>
      </c>
      <c r="P59" s="192">
        <f>-SUMIFS('Full Customer List'!$G:$G,'Full Customer List'!$J:$J,P$1,'Full Customer List'!$E:$E,$AF53,'Full Customer List'!$H:$H,'Client Retention $'!$AF59)/1000</f>
        <v>0</v>
      </c>
      <c r="Q59" s="192">
        <f>-SUMIFS('Full Customer List'!$G:$G,'Full Customer List'!$J:$J,Q$1,'Full Customer List'!$E:$E,$AF53,'Full Customer List'!$H:$H,'Client Retention $'!$AF59)/1000</f>
        <v>0</v>
      </c>
      <c r="R59" s="192">
        <f>-SUMIFS('Full Customer List'!$G:$G,'Full Customer List'!$J:$J,R$1,'Full Customer List'!$E:$E,$AF53,'Full Customer List'!$H:$H,'Client Retention $'!$AF59)/1000</f>
        <v>0</v>
      </c>
      <c r="S59" s="192">
        <f>-SUMIFS('Full Customer List'!$G:$G,'Full Customer List'!$J:$J,S$1,'Full Customer List'!$E:$E,$AF53,'Full Customer List'!$H:$H,'Client Retention $'!$AF59)/1000</f>
        <v>0</v>
      </c>
      <c r="T59" s="192">
        <f>-SUMIFS('Full Customer List'!$G:$G,'Full Customer List'!$J:$J,T$1,'Full Customer List'!$E:$E,$AF53,'Full Customer List'!$H:$H,'Client Retention $'!$AF59)/1000</f>
        <v>0</v>
      </c>
      <c r="U59" s="192">
        <f>-SUMIFS('Full Customer List'!$G:$G,'Full Customer List'!$J:$J,U$1,'Full Customer List'!$E:$E,$AF53,'Full Customer List'!$H:$H,'Client Retention $'!$AF59)/1000</f>
        <v>0</v>
      </c>
      <c r="V59" s="192">
        <f>-SUMIFS('Full Customer List'!$G:$G,'Full Customer List'!$J:$J,V$1,'Full Customer List'!$E:$E,$AF53,'Full Customer List'!$H:$H,'Client Retention $'!$AF59)/1000</f>
        <v>0</v>
      </c>
      <c r="W59" s="192">
        <f>-SUMIFS('Full Customer List'!$G:$G,'Full Customer List'!$J:$J,W$1,'Full Customer List'!$E:$E,$AF53,'Full Customer List'!$H:$H,'Client Retention $'!$AF59)/1000</f>
        <v>0</v>
      </c>
      <c r="X59" s="192">
        <f>-SUMIFS('Full Customer List'!$G:$G,'Full Customer List'!$J:$J,X$1,'Full Customer List'!$E:$E,$AF53,'Full Customer List'!$H:$H,'Client Retention $'!$AF59)/1000</f>
        <v>-0.64833333333333332</v>
      </c>
      <c r="Y59" s="192">
        <f>-SUMIFS('Full Customer List'!$G:$G,'Full Customer List'!$J:$J,Y$1,'Full Customer List'!$E:$E,$AF53,'Full Customer List'!$H:$H,'Client Retention $'!$AF59)/1000</f>
        <v>0</v>
      </c>
      <c r="Z59" s="192">
        <f>-SUMIFS('Full Customer List'!$G:$G,'Full Customer List'!$J:$J,Z$1,'Full Customer List'!$E:$E,$AF53,'Full Customer List'!$H:$H,'Client Retention $'!$AF59)/1000</f>
        <v>0</v>
      </c>
      <c r="AA59" s="192">
        <f>-SUMIFS('Full Customer List'!$G:$G,'Full Customer List'!$J:$J,AA$1,'Full Customer List'!$E:$E,$AF53,'Full Customer List'!$H:$H,'Client Retention $'!$AF59)/1000</f>
        <v>0</v>
      </c>
      <c r="AB59" s="192">
        <f>-SUMIFS('Full Customer List'!$G:$G,'Full Customer List'!$J:$J,AB$1,'Full Customer List'!$E:$E,$AF53,'Full Customer List'!$H:$H,'Client Retention $'!$AF59)/1000</f>
        <v>0</v>
      </c>
      <c r="AC59" s="192">
        <f>-SUMIFS('Full Customer List'!$G:$G,'Full Customer List'!$J:$J,AC$1,'Full Customer List'!$E:$E,$AF53,'Full Customer List'!$H:$H,'Client Retention $'!$AF59)/1000</f>
        <v>0</v>
      </c>
      <c r="AD59" s="192">
        <f>-SUMIFS('Full Customer List'!$G:$G,'Full Customer List'!$J:$J,AD$1,'Full Customer List'!$E:$E,$AF53,'Full Customer List'!$H:$H,'Client Retention $'!$AF59)/1000</f>
        <v>0</v>
      </c>
      <c r="AF59" s="173" t="s">
        <v>1531</v>
      </c>
    </row>
    <row r="60" spans="2:34" ht="12" customHeight="1">
      <c r="B60" s="252" t="s">
        <v>1532</v>
      </c>
      <c r="C60" s="255"/>
      <c r="D60" s="255"/>
      <c r="E60" s="253">
        <f>SUM(J60:U60)*12</f>
        <v>0</v>
      </c>
      <c r="F60" s="253">
        <f>SUM(V60:AD60)*12</f>
        <v>-43.262</v>
      </c>
      <c r="G60" s="254"/>
      <c r="H60" s="253">
        <f>SUM(S60:AD60)*12</f>
        <v>-43.262</v>
      </c>
      <c r="I60" s="254"/>
      <c r="J60" s="255">
        <f>-SUMIFS('Full Customer List'!$G:$G,'Full Customer List'!$J:$J,J$1,'Full Customer List'!$E:$E,$AF53)/1000</f>
        <v>0</v>
      </c>
      <c r="K60" s="255">
        <f>-SUMIFS('Full Customer List'!$G:$G,'Full Customer List'!$J:$J,K$1,'Full Customer List'!$E:$E,$AF53)/1000</f>
        <v>0</v>
      </c>
      <c r="L60" s="255">
        <f>-SUMIFS('Full Customer List'!$G:$G,'Full Customer List'!$J:$J,L$1,'Full Customer List'!$E:$E,$AF53)/1000</f>
        <v>0</v>
      </c>
      <c r="M60" s="255">
        <f>-SUMIFS('Full Customer List'!$G:$G,'Full Customer List'!$J:$J,M$1,'Full Customer List'!$E:$E,$AF53)/1000</f>
        <v>0</v>
      </c>
      <c r="N60" s="255">
        <f>-SUMIFS('Full Customer List'!$G:$G,'Full Customer List'!$J:$J,N$1,'Full Customer List'!$E:$E,$AF53)/1000</f>
        <v>0</v>
      </c>
      <c r="O60" s="255">
        <f>-SUMIFS('Full Customer List'!$G:$G,'Full Customer List'!$J:$J,O$1,'Full Customer List'!$E:$E,$AF53)/1000</f>
        <v>0</v>
      </c>
      <c r="P60" s="255">
        <f>-SUMIFS('Full Customer List'!$G:$G,'Full Customer List'!$J:$J,P$1,'Full Customer List'!$E:$E,$AF53)/1000</f>
        <v>0</v>
      </c>
      <c r="Q60" s="255">
        <f>-SUMIFS('Full Customer List'!$G:$G,'Full Customer List'!$J:$J,Q$1,'Full Customer List'!$E:$E,$AF53)/1000</f>
        <v>0</v>
      </c>
      <c r="R60" s="255">
        <f>-SUMIFS('Full Customer List'!$G:$G,'Full Customer List'!$J:$J,R$1,'Full Customer List'!$E:$E,$AF53)/1000</f>
        <v>0</v>
      </c>
      <c r="S60" s="255">
        <f>-SUMIFS('Full Customer List'!$G:$G,'Full Customer List'!$J:$J,S$1,'Full Customer List'!$E:$E,$AF53)/1000</f>
        <v>0</v>
      </c>
      <c r="T60" s="255">
        <f>-SUMIFS('Full Customer List'!$G:$G,'Full Customer List'!$J:$J,T$1,'Full Customer List'!$E:$E,$AF53)/1000</f>
        <v>0</v>
      </c>
      <c r="U60" s="255">
        <f>-SUMIFS('Full Customer List'!$G:$G,'Full Customer List'!$J:$J,U$1,'Full Customer List'!$E:$E,$AF53)/1000</f>
        <v>0</v>
      </c>
      <c r="V60" s="255">
        <f>-SUMIFS('Full Customer List'!$G:$G,'Full Customer List'!$J:$J,V$1,'Full Customer List'!$E:$E,$AF53)/1000</f>
        <v>0</v>
      </c>
      <c r="W60" s="255">
        <f>-SUMIFS('Full Customer List'!$G:$G,'Full Customer List'!$J:$J,W$1,'Full Customer List'!$E:$E,$AF53)/1000</f>
        <v>0</v>
      </c>
      <c r="X60" s="255">
        <f>-SUMIFS('Full Customer List'!$G:$G,'Full Customer List'!$J:$J,X$1,'Full Customer List'!$E:$E,$AF53)/1000</f>
        <v>-0.64833333333333332</v>
      </c>
      <c r="Y60" s="255">
        <f>-SUMIFS('Full Customer List'!$G:$G,'Full Customer List'!$J:$J,Y$1,'Full Customer List'!$E:$E,$AF53)/1000</f>
        <v>-0.4</v>
      </c>
      <c r="Z60" s="255">
        <f>-SUMIFS('Full Customer List'!$G:$G,'Full Customer List'!$J:$J,Z$1,'Full Customer List'!$E:$E,$AF53)/1000</f>
        <v>-2.1568333333333336</v>
      </c>
      <c r="AA60" s="255">
        <f>-SUMIFS('Full Customer List'!$G:$G,'Full Customer List'!$J:$J,AA$1,'Full Customer List'!$E:$E,$AF53)/1000</f>
        <v>-0.4</v>
      </c>
      <c r="AB60" s="255">
        <f>-SUMIFS('Full Customer List'!$G:$G,'Full Customer List'!$J:$J,AB$1,'Full Customer List'!$E:$E,$AF53)/1000</f>
        <v>0</v>
      </c>
      <c r="AC60" s="255">
        <f>-SUMIFS('Full Customer List'!$G:$G,'Full Customer List'!$J:$J,AC$1,'Full Customer List'!$E:$E,$AF53)/1000</f>
        <v>0</v>
      </c>
      <c r="AD60" s="255">
        <f>-SUMIFS('Full Customer List'!$G:$G,'Full Customer List'!$J:$J,AD$1,'Full Customer List'!$E:$E,$AF53)/1000</f>
        <v>0</v>
      </c>
    </row>
    <row r="61" spans="2:34" ht="12" customHeight="1">
      <c r="B61" s="256" t="s">
        <v>1550</v>
      </c>
      <c r="C61" s="268"/>
      <c r="D61" s="268"/>
      <c r="E61" s="268">
        <f>+F55</f>
        <v>158.75599999999997</v>
      </c>
      <c r="F61" s="269">
        <f>+$AD61*12</f>
        <v>159.56799999999998</v>
      </c>
      <c r="G61" s="267"/>
      <c r="H61" s="270">
        <f>+$AD61*12</f>
        <v>159.56799999999998</v>
      </c>
      <c r="I61" s="267"/>
      <c r="J61" s="271">
        <f t="shared" ref="J61:AC61" si="30">+K55</f>
        <v>7.4786666666666637</v>
      </c>
      <c r="K61" s="268">
        <f t="shared" si="30"/>
        <v>7.4786666666666637</v>
      </c>
      <c r="L61" s="268">
        <f t="shared" si="30"/>
        <v>7.4786666666666637</v>
      </c>
      <c r="M61" s="268">
        <f t="shared" si="30"/>
        <v>8.1269999999999971</v>
      </c>
      <c r="N61" s="268">
        <f t="shared" si="30"/>
        <v>9.0399999999999974</v>
      </c>
      <c r="O61" s="268">
        <f t="shared" si="30"/>
        <v>9.7586666666666648</v>
      </c>
      <c r="P61" s="268">
        <f t="shared" si="30"/>
        <v>10.164666666666665</v>
      </c>
      <c r="Q61" s="268">
        <f t="shared" si="30"/>
        <v>10.974666666666666</v>
      </c>
      <c r="R61" s="268">
        <f t="shared" si="30"/>
        <v>10.974666666666666</v>
      </c>
      <c r="S61" s="271">
        <f t="shared" si="30"/>
        <v>11.394666666666666</v>
      </c>
      <c r="T61" s="268">
        <f t="shared" si="30"/>
        <v>11.794666666666666</v>
      </c>
      <c r="U61" s="268">
        <f t="shared" si="30"/>
        <v>13.229666666666667</v>
      </c>
      <c r="V61" s="268">
        <f t="shared" si="30"/>
        <v>13.849666666666666</v>
      </c>
      <c r="W61" s="268">
        <f t="shared" si="30"/>
        <v>15.512833333333333</v>
      </c>
      <c r="X61" s="268">
        <f t="shared" si="30"/>
        <v>15.266166666666667</v>
      </c>
      <c r="Y61" s="268">
        <f t="shared" si="30"/>
        <v>15.436166666666667</v>
      </c>
      <c r="Z61" s="268">
        <f t="shared" si="30"/>
        <v>13.279333333333334</v>
      </c>
      <c r="AA61" s="268">
        <f t="shared" si="30"/>
        <v>12.879333333333333</v>
      </c>
      <c r="AB61" s="268">
        <f t="shared" si="30"/>
        <v>13.297333333333333</v>
      </c>
      <c r="AC61" s="268">
        <f t="shared" si="30"/>
        <v>13.297333333333333</v>
      </c>
      <c r="AD61" s="269">
        <f>SUMIFS('Full Customer List'!$G:$G,'Full Customer List'!$C:$C,"Active",'Full Customer List'!$E:$E,'Client Retention $'!$AF53)/1000</f>
        <v>13.297333333333333</v>
      </c>
    </row>
    <row r="62" spans="2:34" ht="3.95" customHeight="1">
      <c r="B62" s="179"/>
      <c r="C62" s="229"/>
      <c r="D62" s="229"/>
      <c r="E62" s="229"/>
      <c r="F62" s="229"/>
      <c r="H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30"/>
      <c r="AC62" s="230"/>
      <c r="AD62" s="230"/>
    </row>
    <row r="63" spans="2:34">
      <c r="B63" s="231" t="s">
        <v>1852</v>
      </c>
      <c r="C63" s="338"/>
      <c r="D63" s="338"/>
      <c r="E63" s="338">
        <f>AVERAGE(E55,E61)</f>
        <v>116.83799999999997</v>
      </c>
      <c r="F63" s="339">
        <f>AVERAGE(F55,F61)</f>
        <v>159.16199999999998</v>
      </c>
      <c r="G63" s="267"/>
      <c r="H63" s="342">
        <f>AVERAGE(H55,H61)</f>
        <v>145.63199999999998</v>
      </c>
      <c r="I63" s="267"/>
      <c r="J63" s="344">
        <f t="shared" ref="J63:AD63" si="31">AVERAGE(J55,J61)</f>
        <v>6.8609999999999971</v>
      </c>
      <c r="K63" s="338">
        <f t="shared" si="31"/>
        <v>7.4786666666666637</v>
      </c>
      <c r="L63" s="338">
        <f t="shared" si="31"/>
        <v>7.4786666666666637</v>
      </c>
      <c r="M63" s="338">
        <f t="shared" si="31"/>
        <v>7.8028333333333304</v>
      </c>
      <c r="N63" s="338">
        <f t="shared" si="31"/>
        <v>8.5834999999999972</v>
      </c>
      <c r="O63" s="338">
        <f t="shared" si="31"/>
        <v>9.3993333333333311</v>
      </c>
      <c r="P63" s="338">
        <f t="shared" si="31"/>
        <v>9.961666666666666</v>
      </c>
      <c r="Q63" s="338">
        <f t="shared" si="31"/>
        <v>10.569666666666667</v>
      </c>
      <c r="R63" s="338">
        <f t="shared" si="31"/>
        <v>10.974666666666666</v>
      </c>
      <c r="S63" s="344">
        <f t="shared" si="31"/>
        <v>11.184666666666665</v>
      </c>
      <c r="T63" s="338">
        <f t="shared" si="31"/>
        <v>11.594666666666665</v>
      </c>
      <c r="U63" s="338">
        <f t="shared" si="31"/>
        <v>12.512166666666666</v>
      </c>
      <c r="V63" s="338">
        <f t="shared" si="31"/>
        <v>13.539666666666665</v>
      </c>
      <c r="W63" s="338">
        <f t="shared" si="31"/>
        <v>14.681249999999999</v>
      </c>
      <c r="X63" s="338">
        <f t="shared" si="31"/>
        <v>15.3895</v>
      </c>
      <c r="Y63" s="338">
        <f t="shared" si="31"/>
        <v>15.351166666666668</v>
      </c>
      <c r="Z63" s="338">
        <f t="shared" si="31"/>
        <v>14.357749999999999</v>
      </c>
      <c r="AA63" s="338">
        <f t="shared" si="31"/>
        <v>13.079333333333334</v>
      </c>
      <c r="AB63" s="338">
        <f t="shared" si="31"/>
        <v>13.088333333333333</v>
      </c>
      <c r="AC63" s="338">
        <f t="shared" si="31"/>
        <v>13.297333333333333</v>
      </c>
      <c r="AD63" s="339">
        <f t="shared" si="31"/>
        <v>13.297333333333333</v>
      </c>
    </row>
    <row r="64" spans="2:34">
      <c r="B64" s="234" t="s">
        <v>1853</v>
      </c>
      <c r="C64" s="340"/>
      <c r="D64" s="340"/>
      <c r="E64" s="340">
        <f>IFERROR(E63/'Client Retention'!E60,"")</f>
        <v>5.1927999999999983</v>
      </c>
      <c r="F64" s="341">
        <f>IFERROR(F63/'Client Retention'!F60,"")</f>
        <v>5.3053999999999997</v>
      </c>
      <c r="G64" s="267"/>
      <c r="H64" s="343">
        <f>IFERROR(H63/'Client Retention'!H60,"")</f>
        <v>5.2957090909090905</v>
      </c>
      <c r="I64" s="267"/>
      <c r="J64" s="345">
        <f>IFERROR(J63/'Client Retention'!J60*12,"")</f>
        <v>5.1457499999999978</v>
      </c>
      <c r="K64" s="340">
        <f>IFERROR(K63/'Client Retention'!K60*12,"")</f>
        <v>5.2790588235294091</v>
      </c>
      <c r="L64" s="340">
        <f>IFERROR(L63/'Client Retention'!L60*12,"")</f>
        <v>5.2790588235294091</v>
      </c>
      <c r="M64" s="340">
        <f>IFERROR(M63/'Client Retention'!M60*12,"")</f>
        <v>5.3505142857142838</v>
      </c>
      <c r="N64" s="340">
        <f>IFERROR(N63/'Client Retention'!N60*12,"")</f>
        <v>5.4211578947368402</v>
      </c>
      <c r="O64" s="340">
        <f>IFERROR(O63/'Client Retention'!O60*12,"")</f>
        <v>5.3710476190476175</v>
      </c>
      <c r="P64" s="340">
        <f>IFERROR(P63/'Client Retention'!P60*12,"")</f>
        <v>5.3128888888888888</v>
      </c>
      <c r="Q64" s="340">
        <f>IFERROR(Q63/'Client Retention'!Q60*12,"")</f>
        <v>5.2848333333333333</v>
      </c>
      <c r="R64" s="340">
        <f>IFERROR(R63/'Client Retention'!R60*12,"")</f>
        <v>5.2678399999999996</v>
      </c>
      <c r="S64" s="345">
        <f>IFERROR(S63/'Client Retention'!S60*12,"")</f>
        <v>5.263372549019607</v>
      </c>
      <c r="T64" s="340">
        <f>IFERROR(T63/'Client Retention'!T60*12,"")</f>
        <v>5.2504150943396226</v>
      </c>
      <c r="U64" s="340">
        <f>IFERROR(U63/'Client Retention'!U60*12,"")</f>
        <v>5.268280701754386</v>
      </c>
      <c r="V64" s="340">
        <f>IFERROR(V63/'Client Retention'!V60*12,"")</f>
        <v>5.157968253968253</v>
      </c>
      <c r="W64" s="340">
        <f>IFERROR(W63/'Client Retention'!W60*12,"")</f>
        <v>5.1065217391304341</v>
      </c>
      <c r="X64" s="340">
        <f>IFERROR(X63/'Client Retention'!X60*12,"")</f>
        <v>5.1298333333333339</v>
      </c>
      <c r="Y64" s="340">
        <f>IFERROR(Y63/'Client Retention'!Y60*12,"")</f>
        <v>5.0469589041095899</v>
      </c>
      <c r="Z64" s="340">
        <f>IFERROR(Z63/'Client Retention'!Z60*12,"")</f>
        <v>5.1430746268656717</v>
      </c>
      <c r="AA64" s="340">
        <f>IFERROR(AA63/'Client Retention'!AA60*12,"")</f>
        <v>5.3204067796610177</v>
      </c>
      <c r="AB64" s="340">
        <f>IFERROR(AB63/'Client Retention'!AB60*12,"")</f>
        <v>5.3240677966101693</v>
      </c>
      <c r="AC64" s="340">
        <f>IFERROR(AC63/'Client Retention'!AC60*12,"")</f>
        <v>5.3189333333333337</v>
      </c>
      <c r="AD64" s="341">
        <f>IFERROR(AD63/'Client Retention'!AD60*12,"")</f>
        <v>5.3189333333333337</v>
      </c>
    </row>
    <row r="65" spans="2:34" ht="3.95" customHeight="1">
      <c r="B65" s="179"/>
      <c r="C65" s="229"/>
      <c r="D65" s="229"/>
      <c r="E65" s="229"/>
      <c r="F65" s="229"/>
      <c r="H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30"/>
      <c r="AC65" s="230"/>
      <c r="AD65" s="230"/>
    </row>
    <row r="66" spans="2:34" ht="12" customHeight="1">
      <c r="B66" s="231" t="s">
        <v>1547</v>
      </c>
      <c r="C66" s="232"/>
      <c r="D66" s="232"/>
      <c r="E66" s="233">
        <f>(E56+E55)/E55-1</f>
        <v>1.1190069407367869</v>
      </c>
      <c r="F66" s="244">
        <f>(F56+F55)/F55-1</f>
        <v>0.27762100330066275</v>
      </c>
      <c r="G66" s="245"/>
      <c r="H66" s="246">
        <f>(H56+H55)/H55-1</f>
        <v>0.54013789333009377</v>
      </c>
      <c r="J66" s="243">
        <f t="shared" ref="J66:AD66" si="32">(J56+J55)/J55-1</f>
        <v>0.19786438868126011</v>
      </c>
      <c r="K66" s="233">
        <f t="shared" si="32"/>
        <v>0</v>
      </c>
      <c r="L66" s="233">
        <f t="shared" si="32"/>
        <v>0</v>
      </c>
      <c r="M66" s="233">
        <f t="shared" si="32"/>
        <v>8.669103226956687E-2</v>
      </c>
      <c r="N66" s="233">
        <f t="shared" si="32"/>
        <v>0.11234157745785667</v>
      </c>
      <c r="O66" s="233">
        <f t="shared" si="32"/>
        <v>7.9498525073746329E-2</v>
      </c>
      <c r="P66" s="233">
        <f t="shared" si="32"/>
        <v>4.1604044268342744E-2</v>
      </c>
      <c r="Q66" s="233">
        <f t="shared" si="32"/>
        <v>7.9687807437528679E-2</v>
      </c>
      <c r="R66" s="233">
        <f t="shared" si="32"/>
        <v>0</v>
      </c>
      <c r="S66" s="243">
        <f t="shared" si="32"/>
        <v>3.8269955047989246E-2</v>
      </c>
      <c r="T66" s="233">
        <f t="shared" si="32"/>
        <v>3.5104142288790108E-2</v>
      </c>
      <c r="U66" s="233">
        <f t="shared" si="32"/>
        <v>0.12166515939407652</v>
      </c>
      <c r="V66" s="233">
        <f t="shared" si="32"/>
        <v>4.686437048048564E-2</v>
      </c>
      <c r="W66" s="233">
        <f t="shared" si="32"/>
        <v>0.12008712604394822</v>
      </c>
      <c r="X66" s="233">
        <f t="shared" si="32"/>
        <v>2.589254058467727E-2</v>
      </c>
      <c r="Y66" s="233">
        <f t="shared" si="32"/>
        <v>3.7337467384302991E-2</v>
      </c>
      <c r="Z66" s="233">
        <f t="shared" si="32"/>
        <v>0</v>
      </c>
      <c r="AA66" s="233">
        <f t="shared" si="32"/>
        <v>0</v>
      </c>
      <c r="AB66" s="233">
        <f t="shared" si="32"/>
        <v>3.2455096019462726E-2</v>
      </c>
      <c r="AC66" s="233">
        <f t="shared" si="32"/>
        <v>0</v>
      </c>
      <c r="AD66" s="244">
        <f t="shared" si="32"/>
        <v>0</v>
      </c>
    </row>
    <row r="67" spans="2:34" ht="12" customHeight="1">
      <c r="B67" s="234" t="s">
        <v>1548</v>
      </c>
      <c r="C67" s="235"/>
      <c r="D67" s="235"/>
      <c r="E67" s="236">
        <f>(E60+E63)/E63-1</f>
        <v>0</v>
      </c>
      <c r="F67" s="237">
        <f>(F60+F63)/F63-1</f>
        <v>-0.27181111069225072</v>
      </c>
      <c r="G67" s="245"/>
      <c r="H67" s="239">
        <f>(H60+H63)/H63-1</f>
        <v>-0.2970638321248078</v>
      </c>
      <c r="J67" s="238">
        <f t="shared" ref="J67:AD67" si="33">(J60+J63)/J63-1</f>
        <v>0</v>
      </c>
      <c r="K67" s="236">
        <f t="shared" si="33"/>
        <v>0</v>
      </c>
      <c r="L67" s="236">
        <f t="shared" si="33"/>
        <v>0</v>
      </c>
      <c r="M67" s="236">
        <f t="shared" si="33"/>
        <v>0</v>
      </c>
      <c r="N67" s="236">
        <f t="shared" si="33"/>
        <v>0</v>
      </c>
      <c r="O67" s="236">
        <f t="shared" si="33"/>
        <v>0</v>
      </c>
      <c r="P67" s="236">
        <f t="shared" si="33"/>
        <v>0</v>
      </c>
      <c r="Q67" s="236">
        <f t="shared" si="33"/>
        <v>0</v>
      </c>
      <c r="R67" s="236">
        <f t="shared" si="33"/>
        <v>0</v>
      </c>
      <c r="S67" s="238">
        <f t="shared" si="33"/>
        <v>0</v>
      </c>
      <c r="T67" s="236">
        <f t="shared" si="33"/>
        <v>0</v>
      </c>
      <c r="U67" s="236">
        <f t="shared" si="33"/>
        <v>0</v>
      </c>
      <c r="V67" s="236">
        <f t="shared" si="33"/>
        <v>0</v>
      </c>
      <c r="W67" s="236">
        <f t="shared" si="33"/>
        <v>0</v>
      </c>
      <c r="X67" s="236">
        <f t="shared" si="33"/>
        <v>-4.2128290934295043E-2</v>
      </c>
      <c r="Y67" s="236">
        <f t="shared" si="33"/>
        <v>-2.6056651503143069E-2</v>
      </c>
      <c r="Z67" s="236">
        <f t="shared" si="33"/>
        <v>-0.15022084472381347</v>
      </c>
      <c r="AA67" s="236">
        <f t="shared" si="33"/>
        <v>-3.0582598501452729E-2</v>
      </c>
      <c r="AB67" s="236">
        <f t="shared" si="33"/>
        <v>0</v>
      </c>
      <c r="AC67" s="236">
        <f t="shared" si="33"/>
        <v>0</v>
      </c>
      <c r="AD67" s="237">
        <f t="shared" si="33"/>
        <v>0</v>
      </c>
    </row>
    <row r="68" spans="2:34" ht="3.95" customHeight="1">
      <c r="AF68" s="217"/>
    </row>
    <row r="69" spans="2:34" ht="24">
      <c r="B69" s="159" t="s">
        <v>1308</v>
      </c>
      <c r="C69" s="176" t="s">
        <v>1316</v>
      </c>
      <c r="D69" s="176" t="s">
        <v>3</v>
      </c>
      <c r="E69" s="176" t="s">
        <v>4</v>
      </c>
      <c r="F69" s="176" t="s">
        <v>1317</v>
      </c>
      <c r="G69" s="190"/>
      <c r="H69" s="176" t="s">
        <v>1527</v>
      </c>
      <c r="J69" s="189">
        <v>45658</v>
      </c>
      <c r="K69" s="189">
        <f t="shared" ref="K69:P69" si="34">EOMONTH(J69,0)+1</f>
        <v>45689</v>
      </c>
      <c r="L69" s="189">
        <f t="shared" si="34"/>
        <v>45717</v>
      </c>
      <c r="M69" s="189">
        <f t="shared" si="34"/>
        <v>45748</v>
      </c>
      <c r="N69" s="189">
        <f t="shared" si="34"/>
        <v>45778</v>
      </c>
      <c r="O69" s="189">
        <f t="shared" si="34"/>
        <v>45809</v>
      </c>
      <c r="P69" s="189">
        <f t="shared" si="34"/>
        <v>45839</v>
      </c>
      <c r="Q69" s="189">
        <v>45870</v>
      </c>
      <c r="R69" s="189">
        <f t="shared" ref="R69:AD69" si="35">EOMONTH(Q69,0)+1</f>
        <v>45901</v>
      </c>
      <c r="S69" s="189">
        <f t="shared" si="35"/>
        <v>45931</v>
      </c>
      <c r="T69" s="189">
        <f t="shared" si="35"/>
        <v>45962</v>
      </c>
      <c r="U69" s="189">
        <f t="shared" si="35"/>
        <v>45992</v>
      </c>
      <c r="V69" s="189">
        <f t="shared" si="35"/>
        <v>46023</v>
      </c>
      <c r="W69" s="189">
        <f t="shared" si="35"/>
        <v>46054</v>
      </c>
      <c r="X69" s="189">
        <f t="shared" si="35"/>
        <v>46082</v>
      </c>
      <c r="Y69" s="189">
        <f t="shared" si="35"/>
        <v>46113</v>
      </c>
      <c r="Z69" s="189">
        <f t="shared" si="35"/>
        <v>46143</v>
      </c>
      <c r="AA69" s="189">
        <f t="shared" si="35"/>
        <v>46174</v>
      </c>
      <c r="AB69" s="189">
        <f t="shared" si="35"/>
        <v>46204</v>
      </c>
      <c r="AC69" s="189">
        <f t="shared" si="35"/>
        <v>46235</v>
      </c>
      <c r="AD69" s="189">
        <f t="shared" si="35"/>
        <v>46266</v>
      </c>
      <c r="AE69" s="184"/>
      <c r="AF69" s="217" t="s">
        <v>1301</v>
      </c>
      <c r="AG69" s="184"/>
      <c r="AH69" s="184"/>
    </row>
    <row r="70" spans="2:34">
      <c r="B70" s="183" t="str">
        <f>+AF69</f>
        <v>Small Business</v>
      </c>
      <c r="C70" s="43"/>
      <c r="D70" s="43"/>
      <c r="E70" s="43"/>
      <c r="F70" s="43"/>
      <c r="G70" s="6"/>
      <c r="H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6"/>
      <c r="AF70" s="217"/>
      <c r="AG70" s="6"/>
      <c r="AH70" s="6"/>
    </row>
    <row r="71" spans="2:34">
      <c r="B71" s="173" t="s">
        <v>1551</v>
      </c>
      <c r="C71" s="267"/>
      <c r="D71" s="267"/>
      <c r="E71" s="267">
        <f>+E77-E72-E76</f>
        <v>177.17000000000002</v>
      </c>
      <c r="F71" s="267">
        <f>+F77-F72-F76</f>
        <v>134.226</v>
      </c>
      <c r="G71" s="267"/>
      <c r="H71" s="267">
        <f>+H77-H72-H76</f>
        <v>141.43</v>
      </c>
      <c r="I71" s="267"/>
      <c r="J71" s="267">
        <f t="shared" ref="J71:AD71" si="36">+J77-J72-J76</f>
        <v>14.764166666666668</v>
      </c>
      <c r="K71" s="267">
        <f t="shared" si="36"/>
        <v>13.159166666666668</v>
      </c>
      <c r="L71" s="267">
        <f t="shared" si="36"/>
        <v>12.759166666666667</v>
      </c>
      <c r="M71" s="267">
        <f t="shared" si="36"/>
        <v>12.759166666666667</v>
      </c>
      <c r="N71" s="267">
        <f t="shared" si="36"/>
        <v>12.759166666666667</v>
      </c>
      <c r="O71" s="267">
        <f t="shared" si="36"/>
        <v>12.459166666666667</v>
      </c>
      <c r="P71" s="267">
        <f t="shared" si="36"/>
        <v>12.495833333333334</v>
      </c>
      <c r="Q71" s="267">
        <f t="shared" si="36"/>
        <v>11.785833333333333</v>
      </c>
      <c r="R71" s="267">
        <f t="shared" si="36"/>
        <v>12.185833333333333</v>
      </c>
      <c r="S71" s="267">
        <f t="shared" si="36"/>
        <v>11.785833333333333</v>
      </c>
      <c r="T71" s="267">
        <f t="shared" si="36"/>
        <v>11.785833333333333</v>
      </c>
      <c r="U71" s="267">
        <f t="shared" si="36"/>
        <v>11.785833333333333</v>
      </c>
      <c r="V71" s="267">
        <f t="shared" si="36"/>
        <v>11.185499999999999</v>
      </c>
      <c r="W71" s="267">
        <f t="shared" si="36"/>
        <v>10.8355</v>
      </c>
      <c r="X71" s="267">
        <f t="shared" si="36"/>
        <v>10.5305</v>
      </c>
      <c r="Y71" s="267">
        <f t="shared" si="36"/>
        <v>10.164999999999999</v>
      </c>
      <c r="Z71" s="267">
        <f t="shared" si="36"/>
        <v>10.164999999999999</v>
      </c>
      <c r="AA71" s="267">
        <f t="shared" si="36"/>
        <v>9.8249999999999993</v>
      </c>
      <c r="AB71" s="267">
        <f t="shared" si="36"/>
        <v>9.8249999999999993</v>
      </c>
      <c r="AC71" s="267">
        <f t="shared" si="36"/>
        <v>1.35</v>
      </c>
      <c r="AD71" s="267">
        <f t="shared" si="36"/>
        <v>1.35</v>
      </c>
    </row>
    <row r="72" spans="2:34">
      <c r="B72" s="188" t="s">
        <v>1314</v>
      </c>
      <c r="C72" s="192"/>
      <c r="D72" s="192"/>
      <c r="E72" s="194">
        <f>SUM(J72:U72)*12</f>
        <v>8.879999999999999</v>
      </c>
      <c r="F72" s="194">
        <f>SUM(V72:AD72)*12</f>
        <v>0</v>
      </c>
      <c r="H72" s="194">
        <f>SUM(S72:AD72)*12</f>
        <v>0</v>
      </c>
      <c r="J72" s="192">
        <f>SUMIFS('Full Customer List'!$G:$G,'Full Customer List'!$I:$I,'Client Retention $'!J$5,'Full Customer List'!$E:$E,$AF69)/1000</f>
        <v>0</v>
      </c>
      <c r="K72" s="192">
        <f>SUMIFS('Full Customer List'!$G:$G,'Full Customer List'!$I:$I,'Client Retention $'!K$5,'Full Customer List'!$E:$E,$AF69)/1000</f>
        <v>0</v>
      </c>
      <c r="L72" s="192">
        <f>SUMIFS('Full Customer List'!$G:$G,'Full Customer List'!$I:$I,'Client Retention $'!L$5,'Full Customer List'!$E:$E,$AF69)/1000</f>
        <v>0</v>
      </c>
      <c r="M72" s="192">
        <f>SUMIFS('Full Customer List'!$G:$G,'Full Customer List'!$I:$I,'Client Retention $'!M$5,'Full Customer List'!$E:$E,$AF69)/1000</f>
        <v>0</v>
      </c>
      <c r="N72" s="192">
        <f>SUMIFS('Full Customer List'!$G:$G,'Full Customer List'!$I:$I,'Client Retention $'!N$5,'Full Customer List'!$E:$E,$AF69)/1000</f>
        <v>0</v>
      </c>
      <c r="O72" s="192">
        <f>SUMIFS('Full Customer List'!$G:$G,'Full Customer List'!$I:$I,'Client Retention $'!O$5,'Full Customer List'!$E:$E,$AF69)/1000</f>
        <v>0.34</v>
      </c>
      <c r="P72" s="192">
        <f>SUMIFS('Full Customer List'!$G:$G,'Full Customer List'!$I:$I,'Client Retention $'!P$5,'Full Customer List'!$E:$E,$AF69)/1000</f>
        <v>0</v>
      </c>
      <c r="Q72" s="192">
        <f>SUMIFS('Full Customer List'!$G:$G,'Full Customer List'!$I:$I,'Client Retention $'!Q$5,'Full Customer List'!$E:$E,$AF69)/1000</f>
        <v>0.4</v>
      </c>
      <c r="R72" s="192">
        <f>SUMIFS('Full Customer List'!$G:$G,'Full Customer List'!$I:$I,'Client Retention $'!R$5,'Full Customer List'!$E:$E,$AF69)/1000</f>
        <v>0</v>
      </c>
      <c r="S72" s="192">
        <f>SUMIFS('Full Customer List'!$G:$G,'Full Customer List'!$I:$I,'Client Retention $'!S$5,'Full Customer List'!$E:$E,$AF69)/1000</f>
        <v>0</v>
      </c>
      <c r="T72" s="192">
        <f>SUMIFS('Full Customer List'!$G:$G,'Full Customer List'!$I:$I,'Client Retention $'!T$5,'Full Customer List'!$E:$E,$AF69)/1000</f>
        <v>0</v>
      </c>
      <c r="U72" s="192">
        <f>SUMIFS('Full Customer List'!$G:$G,'Full Customer List'!$I:$I,'Client Retention $'!U$5,'Full Customer List'!$E:$E,$AF69)/1000</f>
        <v>0</v>
      </c>
      <c r="V72" s="192">
        <f>SUMIFS('Full Customer List'!$G:$G,'Full Customer List'!$I:$I,'Client Retention $'!V$5,'Full Customer List'!$E:$E,$AF69)/1000</f>
        <v>0</v>
      </c>
      <c r="W72" s="192">
        <f>SUMIFS('Full Customer List'!$G:$G,'Full Customer List'!$I:$I,'Client Retention $'!W$5,'Full Customer List'!$E:$E,$AF69)/1000</f>
        <v>0</v>
      </c>
      <c r="X72" s="192">
        <f>SUMIFS('Full Customer List'!$G:$G,'Full Customer List'!$I:$I,'Client Retention $'!X$5,'Full Customer List'!$E:$E,$AF69)/1000</f>
        <v>0</v>
      </c>
      <c r="Y72" s="192">
        <f>SUMIFS('Full Customer List'!$G:$G,'Full Customer List'!$I:$I,'Client Retention $'!Y$5,'Full Customer List'!$E:$E,$AF69)/1000</f>
        <v>0</v>
      </c>
      <c r="Z72" s="192">
        <f>SUMIFS('Full Customer List'!$G:$G,'Full Customer List'!$I:$I,'Client Retention $'!Z$5,'Full Customer List'!$E:$E,$AF69)/1000</f>
        <v>0</v>
      </c>
      <c r="AA72" s="192">
        <f>SUMIFS('Full Customer List'!$G:$G,'Full Customer List'!$I:$I,'Client Retention $'!AA$5,'Full Customer List'!$E:$E,$AF69)/1000</f>
        <v>0</v>
      </c>
      <c r="AB72" s="192">
        <f>SUMIFS('Full Customer List'!$G:$G,'Full Customer List'!$I:$I,'Client Retention $'!AB$5,'Full Customer List'!$E:$E,$AF69)/1000</f>
        <v>0</v>
      </c>
      <c r="AC72" s="192">
        <f>SUMIFS('Full Customer List'!$G:$G,'Full Customer List'!$I:$I,'Client Retention $'!AC$5,'Full Customer List'!$E:$E,$AF69)/1000</f>
        <v>0</v>
      </c>
      <c r="AD72" s="192">
        <f>SUMIFS('Full Customer List'!$G:$G,'Full Customer List'!$I:$I,'Client Retention $'!AD$5,'Full Customer List'!$E:$E,$AF69)/1000</f>
        <v>0</v>
      </c>
    </row>
    <row r="73" spans="2:34">
      <c r="B73" s="262" t="s">
        <v>1528</v>
      </c>
      <c r="E73" s="194">
        <f>SUM(J73:U73)*12</f>
        <v>-33.463999999999999</v>
      </c>
      <c r="F73" s="194">
        <f>SUM(V73:AD73)*12</f>
        <v>-16.326000000000001</v>
      </c>
      <c r="H73" s="194">
        <f>SUM(S73:AD73)*12</f>
        <v>-23.53</v>
      </c>
      <c r="J73" s="192">
        <f>-SUMIFS('Full Customer List'!$G:$G,'Full Customer List'!$J:$J,J$1,'Full Customer List'!$E:$E,$AF69,'Full Customer List'!$H:$H,'Client Retention $'!$AF73)/1000</f>
        <v>-0.875</v>
      </c>
      <c r="K73" s="192">
        <f>-SUMIFS('Full Customer List'!$G:$G,'Full Customer List'!$J:$J,K$1,'Full Customer List'!$E:$E,$AF69,'Full Customer List'!$H:$H,'Client Retention $'!$AF73)/1000</f>
        <v>0</v>
      </c>
      <c r="L73" s="192">
        <f>-SUMIFS('Full Customer List'!$G:$G,'Full Customer List'!$J:$J,L$1,'Full Customer List'!$E:$E,$AF69,'Full Customer List'!$H:$H,'Client Retention $'!$AF73)/1000</f>
        <v>0</v>
      </c>
      <c r="M73" s="192">
        <f>-SUMIFS('Full Customer List'!$G:$G,'Full Customer List'!$J:$J,M$1,'Full Customer List'!$E:$E,$AF69,'Full Customer List'!$H:$H,'Client Retention $'!$AF73)/1000</f>
        <v>0</v>
      </c>
      <c r="N73" s="192">
        <f>-SUMIFS('Full Customer List'!$G:$G,'Full Customer List'!$J:$J,N$1,'Full Customer List'!$E:$E,$AF69,'Full Customer List'!$H:$H,'Client Retention $'!$AF73)/1000</f>
        <v>-0.3</v>
      </c>
      <c r="O73" s="192">
        <f>-SUMIFS('Full Customer List'!$G:$G,'Full Customer List'!$J:$J,O$1,'Full Customer List'!$E:$E,$AF69,'Full Customer List'!$H:$H,'Client Retention $'!$AF73)/1000</f>
        <v>-0.30333333333333329</v>
      </c>
      <c r="P73" s="192">
        <f>-SUMIFS('Full Customer List'!$G:$G,'Full Customer List'!$J:$J,P$1,'Full Customer List'!$E:$E,$AF69,'Full Customer List'!$H:$H,'Client Retention $'!$AF73)/1000</f>
        <v>-0.71</v>
      </c>
      <c r="Q73" s="192">
        <f>-SUMIFS('Full Customer List'!$G:$G,'Full Customer List'!$J:$J,Q$1,'Full Customer List'!$E:$E,$AF69,'Full Customer List'!$H:$H,'Client Retention $'!$AF73)/1000</f>
        <v>0</v>
      </c>
      <c r="R73" s="192">
        <f>-SUMIFS('Full Customer List'!$G:$G,'Full Customer List'!$J:$J,R$1,'Full Customer List'!$E:$E,$AF69,'Full Customer List'!$H:$H,'Client Retention $'!$AF73)/1000</f>
        <v>0</v>
      </c>
      <c r="S73" s="192">
        <f>-SUMIFS('Full Customer List'!$G:$G,'Full Customer List'!$J:$J,S$1,'Full Customer List'!$E:$E,$AF69,'Full Customer List'!$H:$H,'Client Retention $'!$AF73)/1000</f>
        <v>0</v>
      </c>
      <c r="T73" s="192">
        <f>-SUMIFS('Full Customer List'!$G:$G,'Full Customer List'!$J:$J,T$1,'Full Customer List'!$E:$E,$AF69,'Full Customer List'!$H:$H,'Client Retention $'!$AF73)/1000</f>
        <v>0</v>
      </c>
      <c r="U73" s="192">
        <f>-SUMIFS('Full Customer List'!$G:$G,'Full Customer List'!$J:$J,U$1,'Full Customer List'!$E:$E,$AF69,'Full Customer List'!$H:$H,'Client Retention $'!$AF73)/1000</f>
        <v>-0.60033333333333339</v>
      </c>
      <c r="V73" s="192">
        <f>-SUMIFS('Full Customer List'!$G:$G,'Full Customer List'!$J:$J,V$1,'Full Customer List'!$E:$E,$AF69,'Full Customer List'!$H:$H,'Client Retention $'!$AF73)/1000</f>
        <v>-0.35</v>
      </c>
      <c r="W73" s="192">
        <f>-SUMIFS('Full Customer List'!$G:$G,'Full Customer List'!$J:$J,W$1,'Full Customer List'!$E:$E,$AF69,'Full Customer List'!$H:$H,'Client Retention $'!$AF73)/1000</f>
        <v>-0.30499999999999999</v>
      </c>
      <c r="X73" s="192">
        <f>-SUMIFS('Full Customer List'!$G:$G,'Full Customer List'!$J:$J,X$1,'Full Customer List'!$E:$E,$AF69,'Full Customer List'!$H:$H,'Client Retention $'!$AF73)/1000</f>
        <v>-0.36549999999999999</v>
      </c>
      <c r="Y73" s="192">
        <f>-SUMIFS('Full Customer List'!$G:$G,'Full Customer List'!$J:$J,Y$1,'Full Customer List'!$E:$E,$AF69,'Full Customer List'!$H:$H,'Client Retention $'!$AF73)/1000</f>
        <v>0</v>
      </c>
      <c r="Z73" s="192">
        <f>-SUMIFS('Full Customer List'!$G:$G,'Full Customer List'!$J:$J,Z$1,'Full Customer List'!$E:$E,$AF69,'Full Customer List'!$H:$H,'Client Retention $'!$AF73)/1000</f>
        <v>-0.34</v>
      </c>
      <c r="AA73" s="192">
        <f>-SUMIFS('Full Customer List'!$G:$G,'Full Customer List'!$J:$J,AA$1,'Full Customer List'!$E:$E,$AF69,'Full Customer List'!$H:$H,'Client Retention $'!$AF73)/1000</f>
        <v>0</v>
      </c>
      <c r="AB73" s="192">
        <f>-SUMIFS('Full Customer List'!$G:$G,'Full Customer List'!$J:$J,AB$1,'Full Customer List'!$E:$E,$AF69,'Full Customer List'!$H:$H,'Client Retention $'!$AF73)/1000</f>
        <v>0</v>
      </c>
      <c r="AC73" s="192">
        <f>-SUMIFS('Full Customer List'!$G:$G,'Full Customer List'!$J:$J,AC$1,'Full Customer List'!$E:$E,$AF69,'Full Customer List'!$H:$H,'Client Retention $'!$AF73)/1000</f>
        <v>0</v>
      </c>
      <c r="AD73" s="192">
        <f>-SUMIFS('Full Customer List'!$G:$G,'Full Customer List'!$J:$J,AD$1,'Full Customer List'!$E:$E,$AF69,'Full Customer List'!$H:$H,'Client Retention $'!$AF73)/1000</f>
        <v>0</v>
      </c>
      <c r="AF73" s="173" t="s">
        <v>504</v>
      </c>
    </row>
    <row r="74" spans="2:34">
      <c r="B74" s="262" t="s">
        <v>1529</v>
      </c>
      <c r="E74" s="194">
        <f>SUM(J74:U74)*12</f>
        <v>-18.36</v>
      </c>
      <c r="F74" s="194">
        <f>SUM(V74:AD74)*12</f>
        <v>-96.24</v>
      </c>
      <c r="H74" s="194">
        <f>SUM(S74:AD74)*12</f>
        <v>-96.24</v>
      </c>
      <c r="J74" s="192">
        <f>-SUMIFS('Full Customer List'!$G:$G,'Full Customer List'!$J:$J,J$1,'Full Customer List'!$E:$E,$AF69,'Full Customer List'!$H:$H,'Client Retention $'!$AF74)/1000</f>
        <v>-0.73</v>
      </c>
      <c r="K74" s="192">
        <f>-SUMIFS('Full Customer List'!$G:$G,'Full Customer List'!$J:$J,K$1,'Full Customer List'!$E:$E,$AF69,'Full Customer List'!$H:$H,'Client Retention $'!$AF74)/1000</f>
        <v>-0.4</v>
      </c>
      <c r="L74" s="192">
        <f>-SUMIFS('Full Customer List'!$G:$G,'Full Customer List'!$J:$J,L$1,'Full Customer List'!$E:$E,$AF69,'Full Customer List'!$H:$H,'Client Retention $'!$AF74)/1000</f>
        <v>0</v>
      </c>
      <c r="M74" s="192">
        <f>-SUMIFS('Full Customer List'!$G:$G,'Full Customer List'!$J:$J,M$1,'Full Customer List'!$E:$E,$AF69,'Full Customer List'!$H:$H,'Client Retention $'!$AF74)/1000</f>
        <v>0</v>
      </c>
      <c r="N74" s="192">
        <f>-SUMIFS('Full Customer List'!$G:$G,'Full Customer List'!$J:$J,N$1,'Full Customer List'!$E:$E,$AF69,'Full Customer List'!$H:$H,'Client Retention $'!$AF74)/1000</f>
        <v>0</v>
      </c>
      <c r="O74" s="192">
        <f>-SUMIFS('Full Customer List'!$G:$G,'Full Customer List'!$J:$J,O$1,'Full Customer List'!$E:$E,$AF69,'Full Customer List'!$H:$H,'Client Retention $'!$AF74)/1000</f>
        <v>0</v>
      </c>
      <c r="P74" s="192">
        <f>-SUMIFS('Full Customer List'!$G:$G,'Full Customer List'!$J:$J,P$1,'Full Customer List'!$E:$E,$AF69,'Full Customer List'!$H:$H,'Client Retention $'!$AF74)/1000</f>
        <v>0</v>
      </c>
      <c r="Q74" s="192">
        <f>-SUMIFS('Full Customer List'!$G:$G,'Full Customer List'!$J:$J,Q$1,'Full Customer List'!$E:$E,$AF69,'Full Customer List'!$H:$H,'Client Retention $'!$AF74)/1000</f>
        <v>0</v>
      </c>
      <c r="R74" s="192">
        <f>-SUMIFS('Full Customer List'!$G:$G,'Full Customer List'!$J:$J,R$1,'Full Customer List'!$E:$E,$AF69,'Full Customer List'!$H:$H,'Client Retention $'!$AF74)/1000</f>
        <v>-0.4</v>
      </c>
      <c r="S74" s="192">
        <f>-SUMIFS('Full Customer List'!$G:$G,'Full Customer List'!$J:$J,S$1,'Full Customer List'!$E:$E,$AF69,'Full Customer List'!$H:$H,'Client Retention $'!$AF74)/1000</f>
        <v>0</v>
      </c>
      <c r="T74" s="192">
        <f>-SUMIFS('Full Customer List'!$G:$G,'Full Customer List'!$J:$J,T$1,'Full Customer List'!$E:$E,$AF69,'Full Customer List'!$H:$H,'Client Retention $'!$AF74)/1000</f>
        <v>0</v>
      </c>
      <c r="U74" s="192">
        <f>-SUMIFS('Full Customer List'!$G:$G,'Full Customer List'!$J:$J,U$1,'Full Customer List'!$E:$E,$AF69,'Full Customer List'!$H:$H,'Client Retention $'!$AF74)/1000</f>
        <v>0</v>
      </c>
      <c r="V74" s="192">
        <f>-SUMIFS('Full Customer List'!$G:$G,'Full Customer List'!$J:$J,V$1,'Full Customer List'!$E:$E,$AF69,'Full Customer List'!$H:$H,'Client Retention $'!$AF74)/1000</f>
        <v>0</v>
      </c>
      <c r="W74" s="192">
        <f>-SUMIFS('Full Customer List'!$G:$G,'Full Customer List'!$J:$J,W$1,'Full Customer List'!$E:$E,$AF69,'Full Customer List'!$H:$H,'Client Retention $'!$AF74)/1000</f>
        <v>0</v>
      </c>
      <c r="X74" s="192">
        <f>-SUMIFS('Full Customer List'!$G:$G,'Full Customer List'!$J:$J,X$1,'Full Customer List'!$E:$E,$AF69,'Full Customer List'!$H:$H,'Client Retention $'!$AF74)/1000</f>
        <v>0</v>
      </c>
      <c r="Y74" s="192">
        <f>-SUMIFS('Full Customer List'!$G:$G,'Full Customer List'!$J:$J,Y$1,'Full Customer List'!$E:$E,$AF69,'Full Customer List'!$H:$H,'Client Retention $'!$AF74)/1000</f>
        <v>0</v>
      </c>
      <c r="Z74" s="192">
        <f>-SUMIFS('Full Customer List'!$G:$G,'Full Customer List'!$J:$J,Z$1,'Full Customer List'!$E:$E,$AF69,'Full Customer List'!$H:$H,'Client Retention $'!$AF74)/1000</f>
        <v>0</v>
      </c>
      <c r="AA74" s="192">
        <f>-SUMIFS('Full Customer List'!$G:$G,'Full Customer List'!$J:$J,AA$1,'Full Customer List'!$E:$E,$AF69,'Full Customer List'!$H:$H,'Client Retention $'!$AF74)/1000</f>
        <v>0</v>
      </c>
      <c r="AB74" s="192">
        <f>-SUMIFS('Full Customer List'!$G:$G,'Full Customer List'!$J:$J,AB$1,'Full Customer List'!$E:$E,$AF69,'Full Customer List'!$H:$H,'Client Retention $'!$AF74)/1000</f>
        <v>-8.02</v>
      </c>
      <c r="AC74" s="192">
        <f>-SUMIFS('Full Customer List'!$G:$G,'Full Customer List'!$J:$J,AC$1,'Full Customer List'!$E:$E,$AF69,'Full Customer List'!$H:$H,'Client Retention $'!$AF74)/1000</f>
        <v>0</v>
      </c>
      <c r="AD74" s="192">
        <f>-SUMIFS('Full Customer List'!$G:$G,'Full Customer List'!$J:$J,AD$1,'Full Customer List'!$E:$E,$AF69,'Full Customer List'!$H:$H,'Client Retention $'!$AF74)/1000</f>
        <v>0</v>
      </c>
      <c r="AF74" s="173" t="s">
        <v>505</v>
      </c>
    </row>
    <row r="75" spans="2:34">
      <c r="B75" s="262" t="s">
        <v>1530</v>
      </c>
      <c r="E75" s="194">
        <f>SUM(J75:U75)*12</f>
        <v>0</v>
      </c>
      <c r="F75" s="194">
        <f>SUM(V75:AD75)*12</f>
        <v>-5.46</v>
      </c>
      <c r="H75" s="194">
        <f>SUM(S75:AD75)*12</f>
        <v>-5.46</v>
      </c>
      <c r="J75" s="192">
        <f>-SUMIFS('Full Customer List'!$G:$G,'Full Customer List'!$J:$J,J$1,'Full Customer List'!$E:$E,$AF69,'Full Customer List'!$H:$H,'Client Retention $'!$AF75)/1000</f>
        <v>0</v>
      </c>
      <c r="K75" s="192">
        <f>-SUMIFS('Full Customer List'!$G:$G,'Full Customer List'!$J:$J,K$1,'Full Customer List'!$E:$E,$AF69,'Full Customer List'!$H:$H,'Client Retention $'!$AF75)/1000</f>
        <v>0</v>
      </c>
      <c r="L75" s="192">
        <f>-SUMIFS('Full Customer List'!$G:$G,'Full Customer List'!$J:$J,L$1,'Full Customer List'!$E:$E,$AF69,'Full Customer List'!$H:$H,'Client Retention $'!$AF75)/1000</f>
        <v>0</v>
      </c>
      <c r="M75" s="192">
        <f>-SUMIFS('Full Customer List'!$G:$G,'Full Customer List'!$J:$J,M$1,'Full Customer List'!$E:$E,$AF69,'Full Customer List'!$H:$H,'Client Retention $'!$AF75)/1000</f>
        <v>0</v>
      </c>
      <c r="N75" s="192">
        <f>-SUMIFS('Full Customer List'!$G:$G,'Full Customer List'!$J:$J,N$1,'Full Customer List'!$E:$E,$AF69,'Full Customer List'!$H:$H,'Client Retention $'!$AF75)/1000</f>
        <v>0</v>
      </c>
      <c r="O75" s="192">
        <f>-SUMIFS('Full Customer List'!$G:$G,'Full Customer List'!$J:$J,O$1,'Full Customer List'!$E:$E,$AF69,'Full Customer List'!$H:$H,'Client Retention $'!$AF75)/1000</f>
        <v>0</v>
      </c>
      <c r="P75" s="192">
        <f>-SUMIFS('Full Customer List'!$G:$G,'Full Customer List'!$J:$J,P$1,'Full Customer List'!$E:$E,$AF69,'Full Customer List'!$H:$H,'Client Retention $'!$AF75)/1000</f>
        <v>0</v>
      </c>
      <c r="Q75" s="192">
        <f>-SUMIFS('Full Customer List'!$G:$G,'Full Customer List'!$J:$J,Q$1,'Full Customer List'!$E:$E,$AF69,'Full Customer List'!$H:$H,'Client Retention $'!$AF75)/1000</f>
        <v>0</v>
      </c>
      <c r="R75" s="192">
        <f>-SUMIFS('Full Customer List'!$G:$G,'Full Customer List'!$J:$J,R$1,'Full Customer List'!$E:$E,$AF69,'Full Customer List'!$H:$H,'Client Retention $'!$AF75)/1000</f>
        <v>0</v>
      </c>
      <c r="S75" s="192">
        <f>-SUMIFS('Full Customer List'!$G:$G,'Full Customer List'!$J:$J,S$1,'Full Customer List'!$E:$E,$AF69,'Full Customer List'!$H:$H,'Client Retention $'!$AF75)/1000</f>
        <v>0</v>
      </c>
      <c r="T75" s="192">
        <f>-SUMIFS('Full Customer List'!$G:$G,'Full Customer List'!$J:$J,T$1,'Full Customer List'!$E:$E,$AF69,'Full Customer List'!$H:$H,'Client Retention $'!$AF75)/1000</f>
        <v>0</v>
      </c>
      <c r="U75" s="192">
        <f>-SUMIFS('Full Customer List'!$G:$G,'Full Customer List'!$J:$J,U$1,'Full Customer List'!$E:$E,$AF69,'Full Customer List'!$H:$H,'Client Retention $'!$AF75)/1000</f>
        <v>0</v>
      </c>
      <c r="V75" s="192">
        <f>-SUMIFS('Full Customer List'!$G:$G,'Full Customer List'!$J:$J,V$1,'Full Customer List'!$E:$E,$AF69,'Full Customer List'!$H:$H,'Client Retention $'!$AF75)/1000</f>
        <v>0</v>
      </c>
      <c r="W75" s="192">
        <f>-SUMIFS('Full Customer List'!$G:$G,'Full Customer List'!$J:$J,W$1,'Full Customer List'!$E:$E,$AF69,'Full Customer List'!$H:$H,'Client Retention $'!$AF75)/1000</f>
        <v>0</v>
      </c>
      <c r="X75" s="192">
        <f>-SUMIFS('Full Customer List'!$G:$G,'Full Customer List'!$J:$J,X$1,'Full Customer List'!$E:$E,$AF69,'Full Customer List'!$H:$H,'Client Retention $'!$AF75)/1000</f>
        <v>0</v>
      </c>
      <c r="Y75" s="192">
        <f>-SUMIFS('Full Customer List'!$G:$G,'Full Customer List'!$J:$J,Y$1,'Full Customer List'!$E:$E,$AF69,'Full Customer List'!$H:$H,'Client Retention $'!$AF75)/1000</f>
        <v>0</v>
      </c>
      <c r="Z75" s="192">
        <f>-SUMIFS('Full Customer List'!$G:$G,'Full Customer List'!$J:$J,Z$1,'Full Customer List'!$E:$E,$AF69,'Full Customer List'!$H:$H,'Client Retention $'!$AF75)/1000</f>
        <v>0</v>
      </c>
      <c r="AA75" s="192">
        <f>-SUMIFS('Full Customer List'!$G:$G,'Full Customer List'!$J:$J,AA$1,'Full Customer List'!$E:$E,$AF69,'Full Customer List'!$H:$H,'Client Retention $'!$AF75)/1000</f>
        <v>0</v>
      </c>
      <c r="AB75" s="192">
        <f>-SUMIFS('Full Customer List'!$G:$G,'Full Customer List'!$J:$J,AB$1,'Full Customer List'!$E:$E,$AF69,'Full Customer List'!$H:$H,'Client Retention $'!$AF75)/1000</f>
        <v>-0.45500000000000002</v>
      </c>
      <c r="AC75" s="192">
        <f>-SUMIFS('Full Customer List'!$G:$G,'Full Customer List'!$J:$J,AC$1,'Full Customer List'!$E:$E,$AF69,'Full Customer List'!$H:$H,'Client Retention $'!$AF75)/1000</f>
        <v>0</v>
      </c>
      <c r="AD75" s="192">
        <f>-SUMIFS('Full Customer List'!$G:$G,'Full Customer List'!$J:$J,AD$1,'Full Customer List'!$E:$E,$AF69,'Full Customer List'!$H:$H,'Client Retention $'!$AF75)/1000</f>
        <v>0</v>
      </c>
      <c r="AF75" s="173" t="s">
        <v>1531</v>
      </c>
    </row>
    <row r="76" spans="2:34" ht="12" customHeight="1">
      <c r="B76" s="252" t="s">
        <v>1532</v>
      </c>
      <c r="C76" s="255"/>
      <c r="D76" s="255"/>
      <c r="E76" s="253">
        <f>SUM(J76:U76)*12</f>
        <v>-51.823999999999998</v>
      </c>
      <c r="F76" s="253">
        <f>SUM(V76:AD76)*12</f>
        <v>-118.026</v>
      </c>
      <c r="G76" s="254"/>
      <c r="H76" s="253">
        <f>SUM(S76:AD76)*12</f>
        <v>-125.22999999999999</v>
      </c>
      <c r="I76" s="254"/>
      <c r="J76" s="255">
        <f>-SUMIFS('Full Customer List'!$G:$G,'Full Customer List'!$J:$J,J$1,'Full Customer List'!$E:$E,$AF69)/1000</f>
        <v>-1.605</v>
      </c>
      <c r="K76" s="255">
        <f>-SUMIFS('Full Customer List'!$G:$G,'Full Customer List'!$J:$J,K$1,'Full Customer List'!$E:$E,$AF69)/1000</f>
        <v>-0.4</v>
      </c>
      <c r="L76" s="255">
        <f>-SUMIFS('Full Customer List'!$G:$G,'Full Customer List'!$J:$J,L$1,'Full Customer List'!$E:$E,$AF69)/1000</f>
        <v>0</v>
      </c>
      <c r="M76" s="255">
        <f>-SUMIFS('Full Customer List'!$G:$G,'Full Customer List'!$J:$J,M$1,'Full Customer List'!$E:$E,$AF69)/1000</f>
        <v>0</v>
      </c>
      <c r="N76" s="255">
        <f>-SUMIFS('Full Customer List'!$G:$G,'Full Customer List'!$J:$J,N$1,'Full Customer List'!$E:$E,$AF69)/1000</f>
        <v>-0.3</v>
      </c>
      <c r="O76" s="255">
        <f>-SUMIFS('Full Customer List'!$G:$G,'Full Customer List'!$J:$J,O$1,'Full Customer List'!$E:$E,$AF69)/1000</f>
        <v>-0.30333333333333329</v>
      </c>
      <c r="P76" s="255">
        <f>-SUMIFS('Full Customer List'!$G:$G,'Full Customer List'!$J:$J,P$1,'Full Customer List'!$E:$E,$AF69)/1000</f>
        <v>-0.71</v>
      </c>
      <c r="Q76" s="255">
        <f>-SUMIFS('Full Customer List'!$G:$G,'Full Customer List'!$J:$J,Q$1,'Full Customer List'!$E:$E,$AF69)/1000</f>
        <v>0</v>
      </c>
      <c r="R76" s="255">
        <f>-SUMIFS('Full Customer List'!$G:$G,'Full Customer List'!$J:$J,R$1,'Full Customer List'!$E:$E,$AF69)/1000</f>
        <v>-0.4</v>
      </c>
      <c r="S76" s="255">
        <f>-SUMIFS('Full Customer List'!$G:$G,'Full Customer List'!$J:$J,S$1,'Full Customer List'!$E:$E,$AF69)/1000</f>
        <v>0</v>
      </c>
      <c r="T76" s="255">
        <f>-SUMIFS('Full Customer List'!$G:$G,'Full Customer List'!$J:$J,T$1,'Full Customer List'!$E:$E,$AF69)/1000</f>
        <v>0</v>
      </c>
      <c r="U76" s="255">
        <f>-SUMIFS('Full Customer List'!$G:$G,'Full Customer List'!$J:$J,U$1,'Full Customer List'!$E:$E,$AF69)/1000</f>
        <v>-0.60033333333333339</v>
      </c>
      <c r="V76" s="255">
        <f>-SUMIFS('Full Customer List'!$G:$G,'Full Customer List'!$J:$J,V$1,'Full Customer List'!$E:$E,$AF69)/1000</f>
        <v>-0.35</v>
      </c>
      <c r="W76" s="255">
        <f>-SUMIFS('Full Customer List'!$G:$G,'Full Customer List'!$J:$J,W$1,'Full Customer List'!$E:$E,$AF69)/1000</f>
        <v>-0.30499999999999999</v>
      </c>
      <c r="X76" s="255">
        <f>-SUMIFS('Full Customer List'!$G:$G,'Full Customer List'!$J:$J,X$1,'Full Customer List'!$E:$E,$AF69)/1000</f>
        <v>-0.36549999999999999</v>
      </c>
      <c r="Y76" s="255">
        <f>-SUMIFS('Full Customer List'!$G:$G,'Full Customer List'!$J:$J,Y$1,'Full Customer List'!$E:$E,$AF69)/1000</f>
        <v>0</v>
      </c>
      <c r="Z76" s="255">
        <f>-SUMIFS('Full Customer List'!$G:$G,'Full Customer List'!$J:$J,Z$1,'Full Customer List'!$E:$E,$AF69)/1000</f>
        <v>-0.34</v>
      </c>
      <c r="AA76" s="255">
        <f>-SUMIFS('Full Customer List'!$G:$G,'Full Customer List'!$J:$J,AA$1,'Full Customer List'!$E:$E,$AF69)/1000</f>
        <v>0</v>
      </c>
      <c r="AB76" s="255">
        <f>-SUMIFS('Full Customer List'!$G:$G,'Full Customer List'!$J:$J,AB$1,'Full Customer List'!$E:$E,$AF69)/1000</f>
        <v>-8.4749999999999996</v>
      </c>
      <c r="AC76" s="255">
        <f>-SUMIFS('Full Customer List'!$G:$G,'Full Customer List'!$J:$J,AC$1,'Full Customer List'!$E:$E,$AF69)/1000</f>
        <v>0</v>
      </c>
      <c r="AD76" s="255">
        <f>-SUMIFS('Full Customer List'!$G:$G,'Full Customer List'!$J:$J,AD$1,'Full Customer List'!$E:$E,$AF69)/1000</f>
        <v>0</v>
      </c>
    </row>
    <row r="77" spans="2:34" ht="12" customHeight="1">
      <c r="B77" s="256" t="s">
        <v>1550</v>
      </c>
      <c r="C77" s="268"/>
      <c r="D77" s="268"/>
      <c r="E77" s="268">
        <f>+F71</f>
        <v>134.226</v>
      </c>
      <c r="F77" s="269">
        <f>+$AD77*12</f>
        <v>16.200000000000003</v>
      </c>
      <c r="G77" s="267"/>
      <c r="H77" s="270">
        <f>+$AD77*12</f>
        <v>16.200000000000003</v>
      </c>
      <c r="I77" s="267"/>
      <c r="J77" s="271">
        <f t="shared" ref="J77:AC77" si="37">+K71</f>
        <v>13.159166666666668</v>
      </c>
      <c r="K77" s="268">
        <f t="shared" si="37"/>
        <v>12.759166666666667</v>
      </c>
      <c r="L77" s="268">
        <f t="shared" si="37"/>
        <v>12.759166666666667</v>
      </c>
      <c r="M77" s="268">
        <f t="shared" si="37"/>
        <v>12.759166666666667</v>
      </c>
      <c r="N77" s="268">
        <f t="shared" si="37"/>
        <v>12.459166666666667</v>
      </c>
      <c r="O77" s="268">
        <f t="shared" si="37"/>
        <v>12.495833333333334</v>
      </c>
      <c r="P77" s="268">
        <f t="shared" si="37"/>
        <v>11.785833333333333</v>
      </c>
      <c r="Q77" s="268">
        <f t="shared" si="37"/>
        <v>12.185833333333333</v>
      </c>
      <c r="R77" s="268">
        <f t="shared" si="37"/>
        <v>11.785833333333333</v>
      </c>
      <c r="S77" s="271">
        <f t="shared" si="37"/>
        <v>11.785833333333333</v>
      </c>
      <c r="T77" s="268">
        <f t="shared" si="37"/>
        <v>11.785833333333333</v>
      </c>
      <c r="U77" s="268">
        <f t="shared" si="37"/>
        <v>11.185499999999999</v>
      </c>
      <c r="V77" s="268">
        <f t="shared" si="37"/>
        <v>10.8355</v>
      </c>
      <c r="W77" s="268">
        <f t="shared" si="37"/>
        <v>10.5305</v>
      </c>
      <c r="X77" s="268">
        <f t="shared" si="37"/>
        <v>10.164999999999999</v>
      </c>
      <c r="Y77" s="268">
        <f t="shared" si="37"/>
        <v>10.164999999999999</v>
      </c>
      <c r="Z77" s="268">
        <f t="shared" si="37"/>
        <v>9.8249999999999993</v>
      </c>
      <c r="AA77" s="268">
        <f t="shared" si="37"/>
        <v>9.8249999999999993</v>
      </c>
      <c r="AB77" s="268">
        <f t="shared" si="37"/>
        <v>1.35</v>
      </c>
      <c r="AC77" s="268">
        <f t="shared" si="37"/>
        <v>1.35</v>
      </c>
      <c r="AD77" s="269">
        <f>SUMIFS('Full Customer List'!$G:$G,'Full Customer List'!$C:$C,"Active",'Full Customer List'!$E:$E,'Client Retention $'!$AF69)/1000</f>
        <v>1.35</v>
      </c>
    </row>
    <row r="78" spans="2:34" ht="3.95" customHeight="1">
      <c r="B78" s="179"/>
      <c r="C78" s="229"/>
      <c r="D78" s="229"/>
      <c r="E78" s="229"/>
      <c r="F78" s="229"/>
      <c r="H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30"/>
      <c r="AC78" s="230"/>
      <c r="AD78" s="230"/>
      <c r="AF78" s="217"/>
    </row>
    <row r="79" spans="2:34">
      <c r="B79" s="231" t="s">
        <v>1852</v>
      </c>
      <c r="C79" s="338"/>
      <c r="D79" s="338"/>
      <c r="E79" s="338">
        <f>AVERAGE(E71,E77)</f>
        <v>155.69800000000001</v>
      </c>
      <c r="F79" s="339">
        <f>AVERAGE(F71,F77)</f>
        <v>75.212999999999994</v>
      </c>
      <c r="G79" s="267"/>
      <c r="H79" s="342">
        <f>AVERAGE(H71,H77)</f>
        <v>78.814999999999998</v>
      </c>
      <c r="I79" s="267"/>
      <c r="J79" s="344">
        <f t="shared" ref="J79:AD79" si="38">AVERAGE(J71,J77)</f>
        <v>13.961666666666668</v>
      </c>
      <c r="K79" s="338">
        <f t="shared" si="38"/>
        <v>12.959166666666668</v>
      </c>
      <c r="L79" s="338">
        <f t="shared" si="38"/>
        <v>12.759166666666667</v>
      </c>
      <c r="M79" s="338">
        <f t="shared" si="38"/>
        <v>12.759166666666667</v>
      </c>
      <c r="N79" s="338">
        <f t="shared" si="38"/>
        <v>12.609166666666667</v>
      </c>
      <c r="O79" s="338">
        <f t="shared" si="38"/>
        <v>12.477499999999999</v>
      </c>
      <c r="P79" s="338">
        <f t="shared" si="38"/>
        <v>12.140833333333333</v>
      </c>
      <c r="Q79" s="338">
        <f t="shared" si="38"/>
        <v>11.985833333333332</v>
      </c>
      <c r="R79" s="338">
        <f t="shared" si="38"/>
        <v>11.985833333333332</v>
      </c>
      <c r="S79" s="344">
        <f t="shared" si="38"/>
        <v>11.785833333333333</v>
      </c>
      <c r="T79" s="338">
        <f t="shared" si="38"/>
        <v>11.785833333333333</v>
      </c>
      <c r="U79" s="338">
        <f t="shared" si="38"/>
        <v>11.485666666666667</v>
      </c>
      <c r="V79" s="338">
        <f t="shared" si="38"/>
        <v>11.0105</v>
      </c>
      <c r="W79" s="338">
        <f t="shared" si="38"/>
        <v>10.683</v>
      </c>
      <c r="X79" s="338">
        <f t="shared" si="38"/>
        <v>10.34775</v>
      </c>
      <c r="Y79" s="338">
        <f t="shared" si="38"/>
        <v>10.164999999999999</v>
      </c>
      <c r="Z79" s="338">
        <f t="shared" si="38"/>
        <v>9.9949999999999992</v>
      </c>
      <c r="AA79" s="338">
        <f t="shared" si="38"/>
        <v>9.8249999999999993</v>
      </c>
      <c r="AB79" s="338">
        <f t="shared" si="38"/>
        <v>5.5874999999999995</v>
      </c>
      <c r="AC79" s="338">
        <f t="shared" si="38"/>
        <v>1.35</v>
      </c>
      <c r="AD79" s="339">
        <f t="shared" si="38"/>
        <v>1.35</v>
      </c>
    </row>
    <row r="80" spans="2:34">
      <c r="B80" s="234" t="s">
        <v>1853</v>
      </c>
      <c r="C80" s="340"/>
      <c r="D80" s="340"/>
      <c r="E80" s="340">
        <f>IFERROR(E79/'Client Retention'!E75,"")</f>
        <v>5.6617454545454544</v>
      </c>
      <c r="F80" s="341">
        <f>IFERROR(F79/'Client Retention'!F75,"")</f>
        <v>6.0170399999999997</v>
      </c>
      <c r="G80" s="267"/>
      <c r="H80" s="343">
        <f>IFERROR(H79/'Client Retention'!H75,"")</f>
        <v>5.6296428571428567</v>
      </c>
      <c r="I80" s="267"/>
      <c r="J80" s="345">
        <f>IFERROR(J79/'Client Retention'!J75*12,"")</f>
        <v>5.4931147540983609</v>
      </c>
      <c r="K80" s="340">
        <f>IFERROR(K79/'Client Retention'!K75*12,"")</f>
        <v>5.4564912280701758</v>
      </c>
      <c r="L80" s="340">
        <f>IFERROR(L79/'Client Retention'!L75*12,"")</f>
        <v>5.4682142857142857</v>
      </c>
      <c r="M80" s="340">
        <f>IFERROR(M79/'Client Retention'!M75*12,"")</f>
        <v>5.4682142857142857</v>
      </c>
      <c r="N80" s="340">
        <f>IFERROR(N79/'Client Retention'!N75*12,"")</f>
        <v>5.5021818181818185</v>
      </c>
      <c r="O80" s="340">
        <f>IFERROR(O79/'Client Retention'!O75*12,"")</f>
        <v>5.5455555555555556</v>
      </c>
      <c r="P80" s="340">
        <f>IFERROR(P79/'Client Retention'!P75*12,"")</f>
        <v>5.4977358490566042</v>
      </c>
      <c r="Q80" s="340">
        <f>IFERROR(Q79/'Client Retention'!Q75*12,"")</f>
        <v>5.4275471698113202</v>
      </c>
      <c r="R80" s="340">
        <f>IFERROR(R79/'Client Retention'!R75*12,"")</f>
        <v>5.4275471698113202</v>
      </c>
      <c r="S80" s="345">
        <f>IFERROR(S79/'Client Retention'!S75*12,"")</f>
        <v>5.4396153846153839</v>
      </c>
      <c r="T80" s="340">
        <f>IFERROR(T79/'Client Retention'!T75*12,"")</f>
        <v>5.4396153846153839</v>
      </c>
      <c r="U80" s="340">
        <f>IFERROR(U79/'Client Retention'!U75*12,"")</f>
        <v>5.6256326530612251</v>
      </c>
      <c r="V80" s="340">
        <f>IFERROR(V79/'Client Retention'!V75*12,"")</f>
        <v>5.8722666666666674</v>
      </c>
      <c r="W80" s="340">
        <f>IFERROR(W79/'Client Retention'!W75*12,"")</f>
        <v>5.9626046511627901</v>
      </c>
      <c r="X80" s="340">
        <f>IFERROR(X79/'Client Retention'!X75*12,"")</f>
        <v>6.2086500000000004</v>
      </c>
      <c r="Y80" s="340">
        <f>IFERROR(Y79/'Client Retention'!Y75*12,"")</f>
        <v>6.419999999999999</v>
      </c>
      <c r="Z80" s="340">
        <f>IFERROR(Z79/'Client Retention'!Z75*12,"")</f>
        <v>6.4832432432432423</v>
      </c>
      <c r="AA80" s="340">
        <f>IFERROR(AA79/'Client Retention'!AA75*12,"")</f>
        <v>6.5499999999999989</v>
      </c>
      <c r="AB80" s="340">
        <f>IFERROR(AB79/'Client Retention'!AB75*12,"")</f>
        <v>6.7050000000000001</v>
      </c>
      <c r="AC80" s="340">
        <f>IFERROR(AC79/'Client Retention'!AC75*12,"")</f>
        <v>8.1000000000000014</v>
      </c>
      <c r="AD80" s="341">
        <f>IFERROR(AD79/'Client Retention'!AD75*12,"")</f>
        <v>8.1000000000000014</v>
      </c>
    </row>
    <row r="81" spans="2:34" ht="3.95" customHeight="1">
      <c r="B81" s="179"/>
      <c r="C81" s="229"/>
      <c r="D81" s="229"/>
      <c r="E81" s="229"/>
      <c r="F81" s="229"/>
      <c r="H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30"/>
      <c r="AC81" s="230"/>
      <c r="AD81" s="230"/>
    </row>
    <row r="82" spans="2:34" ht="12" customHeight="1">
      <c r="B82" s="231" t="s">
        <v>1547</v>
      </c>
      <c r="C82" s="232"/>
      <c r="D82" s="232"/>
      <c r="E82" s="233">
        <f>(E72+E71)/E71-1</f>
        <v>5.012135237342652E-2</v>
      </c>
      <c r="F82" s="244">
        <f>(F72+F71)/F71-1</f>
        <v>0</v>
      </c>
      <c r="G82" s="245"/>
      <c r="H82" s="246">
        <f>(H72+H71)/H71-1</f>
        <v>0</v>
      </c>
      <c r="J82" s="243">
        <f t="shared" ref="J82:AD82" si="39">(J72+J71)/J71-1</f>
        <v>0</v>
      </c>
      <c r="K82" s="233">
        <f t="shared" si="39"/>
        <v>0</v>
      </c>
      <c r="L82" s="233">
        <f t="shared" si="39"/>
        <v>0</v>
      </c>
      <c r="M82" s="233">
        <f t="shared" si="39"/>
        <v>0</v>
      </c>
      <c r="N82" s="233">
        <f t="shared" si="39"/>
        <v>0</v>
      </c>
      <c r="O82" s="233">
        <f t="shared" si="39"/>
        <v>2.7289144538826804E-2</v>
      </c>
      <c r="P82" s="233">
        <f t="shared" si="39"/>
        <v>0</v>
      </c>
      <c r="Q82" s="233">
        <f t="shared" si="39"/>
        <v>3.393905112069584E-2</v>
      </c>
      <c r="R82" s="233">
        <f t="shared" si="39"/>
        <v>0</v>
      </c>
      <c r="S82" s="243">
        <f t="shared" si="39"/>
        <v>0</v>
      </c>
      <c r="T82" s="233">
        <f t="shared" si="39"/>
        <v>0</v>
      </c>
      <c r="U82" s="233">
        <f t="shared" si="39"/>
        <v>0</v>
      </c>
      <c r="V82" s="233">
        <f t="shared" si="39"/>
        <v>0</v>
      </c>
      <c r="W82" s="233">
        <f t="shared" si="39"/>
        <v>0</v>
      </c>
      <c r="X82" s="233">
        <f t="shared" si="39"/>
        <v>0</v>
      </c>
      <c r="Y82" s="233">
        <f t="shared" si="39"/>
        <v>0</v>
      </c>
      <c r="Z82" s="233">
        <f t="shared" si="39"/>
        <v>0</v>
      </c>
      <c r="AA82" s="233">
        <f t="shared" si="39"/>
        <v>0</v>
      </c>
      <c r="AB82" s="233">
        <f t="shared" si="39"/>
        <v>0</v>
      </c>
      <c r="AC82" s="233">
        <f t="shared" si="39"/>
        <v>0</v>
      </c>
      <c r="AD82" s="244">
        <f t="shared" si="39"/>
        <v>0</v>
      </c>
      <c r="AF82" s="217"/>
    </row>
    <row r="83" spans="2:34" ht="12" customHeight="1">
      <c r="B83" s="234" t="s">
        <v>1548</v>
      </c>
      <c r="C83" s="235"/>
      <c r="D83" s="235"/>
      <c r="E83" s="236">
        <f>(E76+E79)/E79-1</f>
        <v>-0.33284949068067671</v>
      </c>
      <c r="F83" s="237">
        <f>(F76+F79)/F79-1</f>
        <v>-1.5692234055282999</v>
      </c>
      <c r="G83" s="245"/>
      <c r="H83" s="239">
        <f>(H76+H79)/H79-1</f>
        <v>-1.5889107403413054</v>
      </c>
      <c r="J83" s="238">
        <f t="shared" ref="J83:AD83" si="40">(J76+J79)/J79-1</f>
        <v>-0.1149576220604035</v>
      </c>
      <c r="K83" s="236">
        <f t="shared" si="40"/>
        <v>-3.0866182239084328E-2</v>
      </c>
      <c r="L83" s="236">
        <f t="shared" si="40"/>
        <v>0</v>
      </c>
      <c r="M83" s="236">
        <f t="shared" si="40"/>
        <v>0</v>
      </c>
      <c r="N83" s="236">
        <f t="shared" si="40"/>
        <v>-2.3792214658647892E-2</v>
      </c>
      <c r="O83" s="236">
        <f t="shared" si="40"/>
        <v>-2.4310425432444993E-2</v>
      </c>
      <c r="P83" s="236">
        <f t="shared" si="40"/>
        <v>-5.848033495778715E-2</v>
      </c>
      <c r="Q83" s="236">
        <f t="shared" si="40"/>
        <v>0</v>
      </c>
      <c r="R83" s="236">
        <f t="shared" si="40"/>
        <v>-3.3372731697142499E-2</v>
      </c>
      <c r="S83" s="238">
        <f t="shared" si="40"/>
        <v>0</v>
      </c>
      <c r="T83" s="236">
        <f t="shared" si="40"/>
        <v>0</v>
      </c>
      <c r="U83" s="236">
        <f t="shared" si="40"/>
        <v>-5.2268044229039079E-2</v>
      </c>
      <c r="V83" s="236">
        <f t="shared" si="40"/>
        <v>-3.1787838881068065E-2</v>
      </c>
      <c r="W83" s="236">
        <f t="shared" si="40"/>
        <v>-2.85500327623327E-2</v>
      </c>
      <c r="X83" s="236">
        <f t="shared" si="40"/>
        <v>-3.5321688289724928E-2</v>
      </c>
      <c r="Y83" s="236">
        <f t="shared" si="40"/>
        <v>0</v>
      </c>
      <c r="Z83" s="236">
        <f t="shared" si="40"/>
        <v>-3.4017008504252155E-2</v>
      </c>
      <c r="AA83" s="236">
        <f t="shared" si="40"/>
        <v>0</v>
      </c>
      <c r="AB83" s="236">
        <f t="shared" si="40"/>
        <v>-1.5167785234899329</v>
      </c>
      <c r="AC83" s="236">
        <f t="shared" si="40"/>
        <v>0</v>
      </c>
      <c r="AD83" s="237">
        <f t="shared" si="40"/>
        <v>0</v>
      </c>
      <c r="AF83" s="217"/>
    </row>
    <row r="84" spans="2:34" ht="3.95" customHeight="1">
      <c r="AF84" s="217"/>
    </row>
    <row r="85" spans="2:34" ht="24">
      <c r="B85" s="159" t="s">
        <v>1308</v>
      </c>
      <c r="C85" s="176" t="s">
        <v>1316</v>
      </c>
      <c r="D85" s="176" t="s">
        <v>3</v>
      </c>
      <c r="E85" s="176" t="s">
        <v>4</v>
      </c>
      <c r="F85" s="176" t="s">
        <v>1317</v>
      </c>
      <c r="G85" s="190"/>
      <c r="H85" s="176" t="s">
        <v>1527</v>
      </c>
      <c r="J85" s="189">
        <v>45658</v>
      </c>
      <c r="K85" s="189">
        <f t="shared" ref="K85:P85" si="41">EOMONTH(J85,0)+1</f>
        <v>45689</v>
      </c>
      <c r="L85" s="189">
        <f t="shared" si="41"/>
        <v>45717</v>
      </c>
      <c r="M85" s="189">
        <f t="shared" si="41"/>
        <v>45748</v>
      </c>
      <c r="N85" s="189">
        <f t="shared" si="41"/>
        <v>45778</v>
      </c>
      <c r="O85" s="189">
        <f t="shared" si="41"/>
        <v>45809</v>
      </c>
      <c r="P85" s="189">
        <f t="shared" si="41"/>
        <v>45839</v>
      </c>
      <c r="Q85" s="189">
        <v>45870</v>
      </c>
      <c r="R85" s="189">
        <f t="shared" ref="R85:AD85" si="42">EOMONTH(Q85,0)+1</f>
        <v>45901</v>
      </c>
      <c r="S85" s="189">
        <f t="shared" si="42"/>
        <v>45931</v>
      </c>
      <c r="T85" s="189">
        <f t="shared" si="42"/>
        <v>45962</v>
      </c>
      <c r="U85" s="189">
        <f t="shared" si="42"/>
        <v>45992</v>
      </c>
      <c r="V85" s="189">
        <f t="shared" si="42"/>
        <v>46023</v>
      </c>
      <c r="W85" s="189">
        <f t="shared" si="42"/>
        <v>46054</v>
      </c>
      <c r="X85" s="189">
        <f t="shared" si="42"/>
        <v>46082</v>
      </c>
      <c r="Y85" s="189">
        <f t="shared" si="42"/>
        <v>46113</v>
      </c>
      <c r="Z85" s="189">
        <f t="shared" si="42"/>
        <v>46143</v>
      </c>
      <c r="AA85" s="189">
        <f t="shared" si="42"/>
        <v>46174</v>
      </c>
      <c r="AB85" s="189">
        <f t="shared" si="42"/>
        <v>46204</v>
      </c>
      <c r="AC85" s="189">
        <f t="shared" si="42"/>
        <v>46235</v>
      </c>
      <c r="AD85" s="189">
        <f t="shared" si="42"/>
        <v>46266</v>
      </c>
      <c r="AE85" s="184"/>
      <c r="AF85" s="217" t="s">
        <v>1302</v>
      </c>
      <c r="AG85" s="184"/>
      <c r="AH85" s="184"/>
    </row>
    <row r="86" spans="2:34">
      <c r="B86" s="183" t="str">
        <f>+AF85</f>
        <v>Short-Term Rental</v>
      </c>
      <c r="C86" s="43"/>
      <c r="D86" s="43"/>
      <c r="E86" s="43"/>
      <c r="F86" s="43"/>
      <c r="G86" s="6"/>
      <c r="H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6"/>
      <c r="AF86" s="6"/>
      <c r="AG86" s="6"/>
      <c r="AH86" s="6"/>
    </row>
    <row r="87" spans="2:34">
      <c r="B87" s="173" t="s">
        <v>1551</v>
      </c>
      <c r="C87" s="267"/>
      <c r="D87" s="267"/>
      <c r="E87" s="267">
        <f>+E93-E88-E92</f>
        <v>185.42585999999997</v>
      </c>
      <c r="F87" s="267">
        <f>+F93-F88-F92</f>
        <v>8.2199999999999989</v>
      </c>
      <c r="G87" s="267"/>
      <c r="H87" s="267">
        <f>+H93-H88-H92</f>
        <v>141.63135999999997</v>
      </c>
      <c r="I87" s="267"/>
      <c r="J87" s="267">
        <f t="shared" ref="J87:AD87" si="43">+J93-J88-J92</f>
        <v>15.452155000000005</v>
      </c>
      <c r="K87" s="267">
        <f t="shared" si="43"/>
        <v>13.926530000000005</v>
      </c>
      <c r="L87" s="267">
        <f t="shared" si="43"/>
        <v>13.843196666666671</v>
      </c>
      <c r="M87" s="267">
        <f t="shared" si="43"/>
        <v>14.087946666666671</v>
      </c>
      <c r="N87" s="267">
        <f t="shared" si="43"/>
        <v>12.182113333333337</v>
      </c>
      <c r="O87" s="267">
        <f t="shared" si="43"/>
        <v>12.678780000000003</v>
      </c>
      <c r="P87" s="267">
        <f t="shared" si="43"/>
        <v>11.430946666666669</v>
      </c>
      <c r="Q87" s="267">
        <f t="shared" si="43"/>
        <v>11.540946666666668</v>
      </c>
      <c r="R87" s="267">
        <f t="shared" si="43"/>
        <v>11.452613333333336</v>
      </c>
      <c r="S87" s="267">
        <f t="shared" si="43"/>
        <v>11.802613333333335</v>
      </c>
      <c r="T87" s="267">
        <f t="shared" si="43"/>
        <v>11.535113333333335</v>
      </c>
      <c r="U87" s="267">
        <f t="shared" si="43"/>
        <v>5.4959466666666668</v>
      </c>
      <c r="V87" s="267">
        <f t="shared" si="43"/>
        <v>0.68499999999999994</v>
      </c>
      <c r="W87" s="267">
        <f t="shared" si="43"/>
        <v>0.19999999999999996</v>
      </c>
      <c r="X87" s="267">
        <f t="shared" si="43"/>
        <v>0.19999999999999996</v>
      </c>
      <c r="Y87" s="267">
        <f t="shared" si="43"/>
        <v>0.19999999999999996</v>
      </c>
      <c r="Z87" s="267">
        <f t="shared" si="43"/>
        <v>1.7</v>
      </c>
      <c r="AA87" s="267">
        <f t="shared" si="43"/>
        <v>1.5</v>
      </c>
      <c r="AB87" s="267">
        <f t="shared" si="43"/>
        <v>1.5</v>
      </c>
      <c r="AC87" s="267">
        <f t="shared" si="43"/>
        <v>0</v>
      </c>
      <c r="AD87" s="267">
        <f t="shared" si="43"/>
        <v>0</v>
      </c>
    </row>
    <row r="88" spans="2:34">
      <c r="B88" s="188" t="s">
        <v>1314</v>
      </c>
      <c r="C88" s="192"/>
      <c r="D88" s="192"/>
      <c r="E88" s="194">
        <f>SUM(J88:U88)*12</f>
        <v>106.34800000000001</v>
      </c>
      <c r="F88" s="194">
        <f>SUM(V88:AD88)*12</f>
        <v>18</v>
      </c>
      <c r="H88" s="194">
        <f>SUM(S88:AD88)*12</f>
        <v>29.549999999999997</v>
      </c>
      <c r="J88" s="192">
        <f>SUMIFS('Full Customer List'!$G:$G,'Full Customer List'!$I:$I,'Client Retention $'!J$5,'Full Customer List'!$E:$E,$AF85)/1000</f>
        <v>0</v>
      </c>
      <c r="K88" s="192">
        <f>SUMIFS('Full Customer List'!$G:$G,'Full Customer List'!$I:$I,'Client Retention $'!K$5,'Full Customer List'!$E:$E,$AF85)/1000</f>
        <v>0.82666666666666677</v>
      </c>
      <c r="L88" s="192">
        <f>SUMIFS('Full Customer List'!$G:$G,'Full Customer List'!$I:$I,'Client Retention $'!L$5,'Full Customer List'!$E:$E,$AF85)/1000</f>
        <v>1.0149999999999999</v>
      </c>
      <c r="M88" s="192">
        <f>SUMIFS('Full Customer List'!$G:$G,'Full Customer List'!$I:$I,'Client Retention $'!M$5,'Full Customer List'!$E:$E,$AF85)/1000</f>
        <v>0.42749999999999999</v>
      </c>
      <c r="N88" s="192">
        <f>SUMIFS('Full Customer List'!$G:$G,'Full Customer List'!$I:$I,'Client Retention $'!N$5,'Full Customer List'!$E:$E,$AF85)/1000</f>
        <v>0.96666666666666679</v>
      </c>
      <c r="O88" s="192">
        <f>SUMIFS('Full Customer List'!$G:$G,'Full Customer List'!$I:$I,'Client Retention $'!O$5,'Full Customer List'!$E:$E,$AF85)/1000</f>
        <v>1.5740000000000001</v>
      </c>
      <c r="P88" s="192">
        <f>SUMIFS('Full Customer List'!$G:$G,'Full Customer List'!$I:$I,'Client Retention $'!P$5,'Full Customer List'!$E:$E,$AF85)/1000</f>
        <v>0.11</v>
      </c>
      <c r="Q88" s="192">
        <f>SUMIFS('Full Customer List'!$G:$G,'Full Customer List'!$I:$I,'Client Retention $'!Q$5,'Full Customer List'!$E:$E,$AF85)/1000</f>
        <v>0.49</v>
      </c>
      <c r="R88" s="192">
        <f>SUMIFS('Full Customer List'!$G:$G,'Full Customer List'!$I:$I,'Client Retention $'!R$5,'Full Customer List'!$E:$E,$AF85)/1000</f>
        <v>2.4900000000000002</v>
      </c>
      <c r="S88" s="192">
        <f>SUMIFS('Full Customer List'!$G:$G,'Full Customer List'!$I:$I,'Client Retention $'!S$5,'Full Customer List'!$E:$E,$AF85)/1000</f>
        <v>0.36249999999999999</v>
      </c>
      <c r="T88" s="192">
        <f>SUMIFS('Full Customer List'!$G:$G,'Full Customer List'!$I:$I,'Client Retention $'!T$5,'Full Customer List'!$E:$E,$AF85)/1000</f>
        <v>0.4</v>
      </c>
      <c r="U88" s="192">
        <f>SUMIFS('Full Customer List'!$G:$G,'Full Customer List'!$I:$I,'Client Retention $'!U$5,'Full Customer List'!$E:$E,$AF85)/1000</f>
        <v>0.2</v>
      </c>
      <c r="V88" s="192">
        <f>SUMIFS('Full Customer List'!$G:$G,'Full Customer List'!$I:$I,'Client Retention $'!V$5,'Full Customer List'!$E:$E,$AF85)/1000</f>
        <v>0</v>
      </c>
      <c r="W88" s="192">
        <f>SUMIFS('Full Customer List'!$G:$G,'Full Customer List'!$I:$I,'Client Retention $'!W$5,'Full Customer List'!$E:$E,$AF85)/1000</f>
        <v>0</v>
      </c>
      <c r="X88" s="192">
        <f>SUMIFS('Full Customer List'!$G:$G,'Full Customer List'!$I:$I,'Client Retention $'!X$5,'Full Customer List'!$E:$E,$AF85)/1000</f>
        <v>0</v>
      </c>
      <c r="Y88" s="192">
        <f>SUMIFS('Full Customer List'!$G:$G,'Full Customer List'!$I:$I,'Client Retention $'!Y$5,'Full Customer List'!$E:$E,$AF85)/1000</f>
        <v>1.5</v>
      </c>
      <c r="Z88" s="192">
        <f>SUMIFS('Full Customer List'!$G:$G,'Full Customer List'!$I:$I,'Client Retention $'!Z$5,'Full Customer List'!$E:$E,$AF85)/1000</f>
        <v>0</v>
      </c>
      <c r="AA88" s="192">
        <f>SUMIFS('Full Customer List'!$G:$G,'Full Customer List'!$I:$I,'Client Retention $'!AA$5,'Full Customer List'!$E:$E,$AF85)/1000</f>
        <v>0</v>
      </c>
      <c r="AB88" s="192">
        <f>SUMIFS('Full Customer List'!$G:$G,'Full Customer List'!$I:$I,'Client Retention $'!AB$5,'Full Customer List'!$E:$E,$AF85)/1000</f>
        <v>0</v>
      </c>
      <c r="AC88" s="192">
        <f>SUMIFS('Full Customer List'!$G:$G,'Full Customer List'!$I:$I,'Client Retention $'!AC$5,'Full Customer List'!$E:$E,$AF85)/1000</f>
        <v>0</v>
      </c>
      <c r="AD88" s="192">
        <f>SUMIFS('Full Customer List'!$G:$G,'Full Customer List'!$I:$I,'Client Retention $'!AD$5,'Full Customer List'!$E:$E,$AF85)/1000</f>
        <v>0</v>
      </c>
    </row>
    <row r="89" spans="2:34">
      <c r="B89" s="262" t="s">
        <v>1528</v>
      </c>
      <c r="E89" s="194">
        <f>SUM(J89:U89)*12</f>
        <v>-174.39336000000003</v>
      </c>
      <c r="F89" s="194">
        <f>SUM(V89:AD89)*12</f>
        <v>-3.7199999999999998</v>
      </c>
      <c r="H89" s="194">
        <f>SUM(S89:AD89)*12</f>
        <v>-83.651360000000011</v>
      </c>
      <c r="J89" s="192">
        <f>-SUMIFS('Full Customer List'!$G:$G,'Full Customer List'!$J:$J,J$1,'Full Customer List'!$E:$E,$AF85,'Full Customer List'!$H:$H,'Client Retention $'!$AF89)/1000</f>
        <v>0</v>
      </c>
      <c r="K89" s="192">
        <f>-SUMIFS('Full Customer List'!$G:$G,'Full Customer List'!$J:$J,K$1,'Full Customer List'!$E:$E,$AF85,'Full Customer List'!$H:$H,'Client Retention $'!$AF89)/1000</f>
        <v>-0.82499999999999996</v>
      </c>
      <c r="L89" s="192">
        <f>-SUMIFS('Full Customer List'!$G:$G,'Full Customer List'!$J:$J,L$1,'Full Customer List'!$E:$E,$AF85,'Full Customer List'!$H:$H,'Client Retention $'!$AF89)/1000</f>
        <v>-0.39500000000000002</v>
      </c>
      <c r="M89" s="192">
        <f>-SUMIFS('Full Customer List'!$G:$G,'Full Customer List'!$J:$J,M$1,'Full Customer List'!$E:$E,$AF85,'Full Customer List'!$H:$H,'Client Retention $'!$AF89)/1000</f>
        <v>-1.9383333333333332</v>
      </c>
      <c r="N89" s="192">
        <f>-SUMIFS('Full Customer List'!$G:$G,'Full Customer List'!$J:$J,N$1,'Full Customer List'!$E:$E,$AF85,'Full Customer List'!$H:$H,'Client Retention $'!$AF89)/1000</f>
        <v>0</v>
      </c>
      <c r="O89" s="192">
        <f>-SUMIFS('Full Customer List'!$G:$G,'Full Customer List'!$J:$J,O$1,'Full Customer List'!$E:$E,$AF85,'Full Customer List'!$H:$H,'Client Retention $'!$AF89)/1000</f>
        <v>-2.4851666666666663</v>
      </c>
      <c r="P89" s="192">
        <f>-SUMIFS('Full Customer List'!$G:$G,'Full Customer List'!$J:$J,P$1,'Full Customer List'!$E:$E,$AF85,'Full Customer List'!$H:$H,'Client Retention $'!$AF89)/1000</f>
        <v>0</v>
      </c>
      <c r="Q89" s="192">
        <f>-SUMIFS('Full Customer List'!$G:$G,'Full Customer List'!$J:$J,Q$1,'Full Customer List'!$E:$E,$AF85,'Full Customer List'!$H:$H,'Client Retention $'!$AF89)/1000</f>
        <v>-0.57833333333333337</v>
      </c>
      <c r="R89" s="192">
        <f>-SUMIFS('Full Customer List'!$G:$G,'Full Customer List'!$J:$J,R$1,'Full Customer List'!$E:$E,$AF85,'Full Customer List'!$H:$H,'Client Retention $'!$AF89)/1000</f>
        <v>-1.65</v>
      </c>
      <c r="S89" s="192">
        <f>-SUMIFS('Full Customer List'!$G:$G,'Full Customer List'!$J:$J,S$1,'Full Customer List'!$E:$E,$AF85,'Full Customer List'!$H:$H,'Client Retention $'!$AF89)/1000</f>
        <v>-0.63</v>
      </c>
      <c r="T89" s="192">
        <f>-SUMIFS('Full Customer List'!$G:$G,'Full Customer List'!$J:$J,T$1,'Full Customer List'!$E:$E,$AF85,'Full Customer List'!$H:$H,'Client Retention $'!$AF89)/1000</f>
        <v>-2.1783333333333337</v>
      </c>
      <c r="U89" s="192">
        <f>-SUMIFS('Full Customer List'!$G:$G,'Full Customer List'!$J:$J,U$1,'Full Customer List'!$E:$E,$AF85,'Full Customer List'!$H:$H,'Client Retention $'!$AF89)/1000</f>
        <v>-3.8526133333333332</v>
      </c>
      <c r="V89" s="192">
        <f>-SUMIFS('Full Customer List'!$G:$G,'Full Customer List'!$J:$J,V$1,'Full Customer List'!$E:$E,$AF85,'Full Customer List'!$H:$H,'Client Retention $'!$AF89)/1000</f>
        <v>-0.11</v>
      </c>
      <c r="W89" s="192">
        <f>-SUMIFS('Full Customer List'!$G:$G,'Full Customer List'!$J:$J,W$1,'Full Customer List'!$E:$E,$AF85,'Full Customer List'!$H:$H,'Client Retention $'!$AF89)/1000</f>
        <v>0</v>
      </c>
      <c r="X89" s="192">
        <f>-SUMIFS('Full Customer List'!$G:$G,'Full Customer List'!$J:$J,X$1,'Full Customer List'!$E:$E,$AF85,'Full Customer List'!$H:$H,'Client Retention $'!$AF89)/1000</f>
        <v>0</v>
      </c>
      <c r="Y89" s="192">
        <f>-SUMIFS('Full Customer List'!$G:$G,'Full Customer List'!$J:$J,Y$1,'Full Customer List'!$E:$E,$AF85,'Full Customer List'!$H:$H,'Client Retention $'!$AF89)/1000</f>
        <v>0</v>
      </c>
      <c r="Z89" s="192">
        <f>-SUMIFS('Full Customer List'!$G:$G,'Full Customer List'!$J:$J,Z$1,'Full Customer List'!$E:$E,$AF85,'Full Customer List'!$H:$H,'Client Retention $'!$AF89)/1000</f>
        <v>-0.2</v>
      </c>
      <c r="AA89" s="192">
        <f>-SUMIFS('Full Customer List'!$G:$G,'Full Customer List'!$J:$J,AA$1,'Full Customer List'!$E:$E,$AF85,'Full Customer List'!$H:$H,'Client Retention $'!$AF89)/1000</f>
        <v>0</v>
      </c>
      <c r="AB89" s="192">
        <f>-SUMIFS('Full Customer List'!$G:$G,'Full Customer List'!$J:$J,AB$1,'Full Customer List'!$E:$E,$AF85,'Full Customer List'!$H:$H,'Client Retention $'!$AF89)/1000</f>
        <v>0</v>
      </c>
      <c r="AC89" s="192">
        <f>-SUMIFS('Full Customer List'!$G:$G,'Full Customer List'!$J:$J,AC$1,'Full Customer List'!$E:$E,$AF85,'Full Customer List'!$H:$H,'Client Retention $'!$AF89)/1000</f>
        <v>0</v>
      </c>
      <c r="AD89" s="192">
        <f>-SUMIFS('Full Customer List'!$G:$G,'Full Customer List'!$J:$J,AD$1,'Full Customer List'!$E:$E,$AF85,'Full Customer List'!$H:$H,'Client Retention $'!$AF89)/1000</f>
        <v>0</v>
      </c>
      <c r="AF89" s="173" t="s">
        <v>504</v>
      </c>
    </row>
    <row r="90" spans="2:34">
      <c r="B90" s="262" t="s">
        <v>1529</v>
      </c>
      <c r="E90" s="194">
        <f>SUM(J90:U90)*12</f>
        <v>-109.16050000000003</v>
      </c>
      <c r="F90" s="194">
        <f>SUM(V90:AD90)*12</f>
        <v>-22.5</v>
      </c>
      <c r="H90" s="194">
        <f>SUM(S90:AD90)*12</f>
        <v>-87.53</v>
      </c>
      <c r="J90" s="192">
        <f>-SUMIFS('Full Customer List'!$G:$G,'Full Customer List'!$J:$J,J$1,'Full Customer List'!$E:$E,$AF85,'Full Customer List'!$H:$H,'Client Retention $'!$AF90)/1000</f>
        <v>-1.525625</v>
      </c>
      <c r="K90" s="192">
        <f>-SUMIFS('Full Customer List'!$G:$G,'Full Customer List'!$J:$J,K$1,'Full Customer List'!$E:$E,$AF85,'Full Customer List'!$H:$H,'Client Retention $'!$AF90)/1000</f>
        <v>-8.5000000000000006E-2</v>
      </c>
      <c r="L90" s="192">
        <f>-SUMIFS('Full Customer List'!$G:$G,'Full Customer List'!$J:$J,L$1,'Full Customer List'!$E:$E,$AF85,'Full Customer List'!$H:$H,'Client Retention $'!$AF90)/1000</f>
        <v>-0.37524999999999997</v>
      </c>
      <c r="M90" s="192">
        <f>-SUMIFS('Full Customer List'!$G:$G,'Full Customer List'!$J:$J,M$1,'Full Customer List'!$E:$E,$AF85,'Full Customer List'!$H:$H,'Client Retention $'!$AF90)/1000</f>
        <v>-0.39500000000000002</v>
      </c>
      <c r="N90" s="192">
        <f>-SUMIFS('Full Customer List'!$G:$G,'Full Customer List'!$J:$J,N$1,'Full Customer List'!$E:$E,$AF85,'Full Customer List'!$H:$H,'Client Retention $'!$AF90)/1000</f>
        <v>-0.47</v>
      </c>
      <c r="O90" s="192">
        <f>-SUMIFS('Full Customer List'!$G:$G,'Full Customer List'!$J:$J,O$1,'Full Customer List'!$E:$E,$AF85,'Full Customer List'!$H:$H,'Client Retention $'!$AF90)/1000</f>
        <v>-0.33666666666666667</v>
      </c>
      <c r="P90" s="192">
        <f>-SUMIFS('Full Customer List'!$G:$G,'Full Customer List'!$J:$J,P$1,'Full Customer List'!$E:$E,$AF85,'Full Customer List'!$H:$H,'Client Retention $'!$AF90)/1000</f>
        <v>0</v>
      </c>
      <c r="Q90" s="192">
        <f>-SUMIFS('Full Customer List'!$G:$G,'Full Customer List'!$J:$J,Q$1,'Full Customer List'!$E:$E,$AF85,'Full Customer List'!$H:$H,'Client Retention $'!$AF90)/1000</f>
        <v>0</v>
      </c>
      <c r="R90" s="192">
        <f>-SUMIFS('Full Customer List'!$G:$G,'Full Customer List'!$J:$J,R$1,'Full Customer List'!$E:$E,$AF85,'Full Customer List'!$H:$H,'Client Retention $'!$AF90)/1000</f>
        <v>-0.49</v>
      </c>
      <c r="S90" s="192">
        <f>-SUMIFS('Full Customer List'!$G:$G,'Full Customer List'!$J:$J,S$1,'Full Customer List'!$E:$E,$AF85,'Full Customer List'!$H:$H,'Client Retention $'!$AF90)/1000</f>
        <v>0</v>
      </c>
      <c r="T90" s="192">
        <f>-SUMIFS('Full Customer List'!$G:$G,'Full Customer List'!$J:$J,T$1,'Full Customer List'!$E:$E,$AF85,'Full Customer List'!$H:$H,'Client Retention $'!$AF90)/1000</f>
        <v>-4.2608333333333341</v>
      </c>
      <c r="U90" s="192">
        <f>-SUMIFS('Full Customer List'!$G:$G,'Full Customer List'!$J:$J,U$1,'Full Customer List'!$E:$E,$AF85,'Full Customer List'!$H:$H,'Client Retention $'!$AF90)/1000</f>
        <v>-1.1583333333333334</v>
      </c>
      <c r="V90" s="192">
        <f>-SUMIFS('Full Customer List'!$G:$G,'Full Customer List'!$J:$J,V$1,'Full Customer List'!$E:$E,$AF85,'Full Customer List'!$H:$H,'Client Retention $'!$AF90)/1000</f>
        <v>-0.375</v>
      </c>
      <c r="W90" s="192">
        <f>-SUMIFS('Full Customer List'!$G:$G,'Full Customer List'!$J:$J,W$1,'Full Customer List'!$E:$E,$AF85,'Full Customer List'!$H:$H,'Client Retention $'!$AF90)/1000</f>
        <v>0</v>
      </c>
      <c r="X90" s="192">
        <f>-SUMIFS('Full Customer List'!$G:$G,'Full Customer List'!$J:$J,X$1,'Full Customer List'!$E:$E,$AF85,'Full Customer List'!$H:$H,'Client Retention $'!$AF90)/1000</f>
        <v>0</v>
      </c>
      <c r="Y90" s="192">
        <f>-SUMIFS('Full Customer List'!$G:$G,'Full Customer List'!$J:$J,Y$1,'Full Customer List'!$E:$E,$AF85,'Full Customer List'!$H:$H,'Client Retention $'!$AF90)/1000</f>
        <v>0</v>
      </c>
      <c r="Z90" s="192">
        <f>-SUMIFS('Full Customer List'!$G:$G,'Full Customer List'!$J:$J,Z$1,'Full Customer List'!$E:$E,$AF85,'Full Customer List'!$H:$H,'Client Retention $'!$AF90)/1000</f>
        <v>0</v>
      </c>
      <c r="AA90" s="192">
        <f>-SUMIFS('Full Customer List'!$G:$G,'Full Customer List'!$J:$J,AA$1,'Full Customer List'!$E:$E,$AF85,'Full Customer List'!$H:$H,'Client Retention $'!$AF90)/1000</f>
        <v>0</v>
      </c>
      <c r="AB90" s="192">
        <f>-SUMIFS('Full Customer List'!$G:$G,'Full Customer List'!$J:$J,AB$1,'Full Customer List'!$E:$E,$AF85,'Full Customer List'!$H:$H,'Client Retention $'!$AF90)/1000</f>
        <v>-1.5</v>
      </c>
      <c r="AC90" s="192">
        <f>-SUMIFS('Full Customer List'!$G:$G,'Full Customer List'!$J:$J,AC$1,'Full Customer List'!$E:$E,$AF85,'Full Customer List'!$H:$H,'Client Retention $'!$AF90)/1000</f>
        <v>0</v>
      </c>
      <c r="AD90" s="192">
        <f>-SUMIFS('Full Customer List'!$G:$G,'Full Customer List'!$J:$J,AD$1,'Full Customer List'!$E:$E,$AF85,'Full Customer List'!$H:$H,'Client Retention $'!$AF90)/1000</f>
        <v>0</v>
      </c>
      <c r="AF90" s="173" t="s">
        <v>505</v>
      </c>
    </row>
    <row r="91" spans="2:34">
      <c r="B91" s="262" t="s">
        <v>1530</v>
      </c>
      <c r="E91" s="194">
        <f>SUM(J91:U91)*12</f>
        <v>0</v>
      </c>
      <c r="F91" s="194">
        <f>SUM(V91:AD91)*12</f>
        <v>0</v>
      </c>
      <c r="H91" s="194">
        <f>SUM(S91:AD91)*12</f>
        <v>0</v>
      </c>
      <c r="J91" s="192">
        <f>-SUMIFS('Full Customer List'!$G:$G,'Full Customer List'!$J:$J,J$1,'Full Customer List'!$E:$E,$AF85,'Full Customer List'!$H:$H,'Client Retention $'!$AF91)/1000</f>
        <v>0</v>
      </c>
      <c r="K91" s="192">
        <f>-SUMIFS('Full Customer List'!$G:$G,'Full Customer List'!$J:$J,K$1,'Full Customer List'!$E:$E,$AF85,'Full Customer List'!$H:$H,'Client Retention $'!$AF91)/1000</f>
        <v>0</v>
      </c>
      <c r="L91" s="192">
        <f>-SUMIFS('Full Customer List'!$G:$G,'Full Customer List'!$J:$J,L$1,'Full Customer List'!$E:$E,$AF85,'Full Customer List'!$H:$H,'Client Retention $'!$AF91)/1000</f>
        <v>0</v>
      </c>
      <c r="M91" s="192">
        <f>-SUMIFS('Full Customer List'!$G:$G,'Full Customer List'!$J:$J,M$1,'Full Customer List'!$E:$E,$AF85,'Full Customer List'!$H:$H,'Client Retention $'!$AF91)/1000</f>
        <v>0</v>
      </c>
      <c r="N91" s="192">
        <f>-SUMIFS('Full Customer List'!$G:$G,'Full Customer List'!$J:$J,N$1,'Full Customer List'!$E:$E,$AF85,'Full Customer List'!$H:$H,'Client Retention $'!$AF91)/1000</f>
        <v>0</v>
      </c>
      <c r="O91" s="192">
        <f>-SUMIFS('Full Customer List'!$G:$G,'Full Customer List'!$J:$J,O$1,'Full Customer List'!$E:$E,$AF85,'Full Customer List'!$H:$H,'Client Retention $'!$AF91)/1000</f>
        <v>0</v>
      </c>
      <c r="P91" s="192">
        <f>-SUMIFS('Full Customer List'!$G:$G,'Full Customer List'!$J:$J,P$1,'Full Customer List'!$E:$E,$AF85,'Full Customer List'!$H:$H,'Client Retention $'!$AF91)/1000</f>
        <v>0</v>
      </c>
      <c r="Q91" s="192">
        <f>-SUMIFS('Full Customer List'!$G:$G,'Full Customer List'!$J:$J,Q$1,'Full Customer List'!$E:$E,$AF85,'Full Customer List'!$H:$H,'Client Retention $'!$AF91)/1000</f>
        <v>0</v>
      </c>
      <c r="R91" s="192">
        <f>-SUMIFS('Full Customer List'!$G:$G,'Full Customer List'!$J:$J,R$1,'Full Customer List'!$E:$E,$AF85,'Full Customer List'!$H:$H,'Client Retention $'!$AF91)/1000</f>
        <v>0</v>
      </c>
      <c r="S91" s="192">
        <f>-SUMIFS('Full Customer List'!$G:$G,'Full Customer List'!$J:$J,S$1,'Full Customer List'!$E:$E,$AF85,'Full Customer List'!$H:$H,'Client Retention $'!$AF91)/1000</f>
        <v>0</v>
      </c>
      <c r="T91" s="192">
        <f>-SUMIFS('Full Customer List'!$G:$G,'Full Customer List'!$J:$J,T$1,'Full Customer List'!$E:$E,$AF85,'Full Customer List'!$H:$H,'Client Retention $'!$AF91)/1000</f>
        <v>0</v>
      </c>
      <c r="U91" s="192">
        <f>-SUMIFS('Full Customer List'!$G:$G,'Full Customer List'!$J:$J,U$1,'Full Customer List'!$E:$E,$AF85,'Full Customer List'!$H:$H,'Client Retention $'!$AF91)/1000</f>
        <v>0</v>
      </c>
      <c r="V91" s="192">
        <f>-SUMIFS('Full Customer List'!$G:$G,'Full Customer List'!$J:$J,V$1,'Full Customer List'!$E:$E,$AF85,'Full Customer List'!$H:$H,'Client Retention $'!$AF91)/1000</f>
        <v>0</v>
      </c>
      <c r="W91" s="192">
        <f>-SUMIFS('Full Customer List'!$G:$G,'Full Customer List'!$J:$J,W$1,'Full Customer List'!$E:$E,$AF85,'Full Customer List'!$H:$H,'Client Retention $'!$AF91)/1000</f>
        <v>0</v>
      </c>
      <c r="X91" s="192">
        <f>-SUMIFS('Full Customer List'!$G:$G,'Full Customer List'!$J:$J,X$1,'Full Customer List'!$E:$E,$AF85,'Full Customer List'!$H:$H,'Client Retention $'!$AF91)/1000</f>
        <v>0</v>
      </c>
      <c r="Y91" s="192">
        <f>-SUMIFS('Full Customer List'!$G:$G,'Full Customer List'!$J:$J,Y$1,'Full Customer List'!$E:$E,$AF85,'Full Customer List'!$H:$H,'Client Retention $'!$AF91)/1000</f>
        <v>0</v>
      </c>
      <c r="Z91" s="192">
        <f>-SUMIFS('Full Customer List'!$G:$G,'Full Customer List'!$J:$J,Z$1,'Full Customer List'!$E:$E,$AF85,'Full Customer List'!$H:$H,'Client Retention $'!$AF91)/1000</f>
        <v>0</v>
      </c>
      <c r="AA91" s="192">
        <f>-SUMIFS('Full Customer List'!$G:$G,'Full Customer List'!$J:$J,AA$1,'Full Customer List'!$E:$E,$AF85,'Full Customer List'!$H:$H,'Client Retention $'!$AF91)/1000</f>
        <v>0</v>
      </c>
      <c r="AB91" s="192">
        <f>-SUMIFS('Full Customer List'!$G:$G,'Full Customer List'!$J:$J,AB$1,'Full Customer List'!$E:$E,$AF85,'Full Customer List'!$H:$H,'Client Retention $'!$AF91)/1000</f>
        <v>0</v>
      </c>
      <c r="AC91" s="192">
        <f>-SUMIFS('Full Customer List'!$G:$G,'Full Customer List'!$J:$J,AC$1,'Full Customer List'!$E:$E,$AF85,'Full Customer List'!$H:$H,'Client Retention $'!$AF91)/1000</f>
        <v>0</v>
      </c>
      <c r="AD91" s="192">
        <f>-SUMIFS('Full Customer List'!$G:$G,'Full Customer List'!$J:$J,AD$1,'Full Customer List'!$E:$E,$AF85,'Full Customer List'!$H:$H,'Client Retention $'!$AF91)/1000</f>
        <v>0</v>
      </c>
      <c r="AF91" s="173" t="s">
        <v>1531</v>
      </c>
    </row>
    <row r="92" spans="2:34" ht="12" customHeight="1">
      <c r="B92" s="252" t="s">
        <v>1532</v>
      </c>
      <c r="C92" s="255"/>
      <c r="D92" s="255"/>
      <c r="E92" s="253">
        <f>SUM(J92:U92)*12</f>
        <v>-283.55385999999999</v>
      </c>
      <c r="F92" s="253">
        <f>SUM(V92:AD92)*12</f>
        <v>-26.22</v>
      </c>
      <c r="G92" s="254"/>
      <c r="H92" s="253">
        <f>SUM(S92:AD92)*12</f>
        <v>-171.18135999999998</v>
      </c>
      <c r="I92" s="254"/>
      <c r="J92" s="255">
        <f>-SUMIFS('Full Customer List'!$G:$G,'Full Customer List'!$J:$J,J$1,'Full Customer List'!$E:$E,$AF85)/1000</f>
        <v>-1.525625</v>
      </c>
      <c r="K92" s="255">
        <f>-SUMIFS('Full Customer List'!$G:$G,'Full Customer List'!$J:$J,K$1,'Full Customer List'!$E:$E,$AF85)/1000</f>
        <v>-0.91</v>
      </c>
      <c r="L92" s="255">
        <f>-SUMIFS('Full Customer List'!$G:$G,'Full Customer List'!$J:$J,L$1,'Full Customer List'!$E:$E,$AF85)/1000</f>
        <v>-0.77024999999999999</v>
      </c>
      <c r="M92" s="255">
        <f>-SUMIFS('Full Customer List'!$G:$G,'Full Customer List'!$J:$J,M$1,'Full Customer List'!$E:$E,$AF85)/1000</f>
        <v>-2.333333333333333</v>
      </c>
      <c r="N92" s="255">
        <f>-SUMIFS('Full Customer List'!$G:$G,'Full Customer List'!$J:$J,N$1,'Full Customer List'!$E:$E,$AF85)/1000</f>
        <v>-0.47</v>
      </c>
      <c r="O92" s="255">
        <f>-SUMIFS('Full Customer List'!$G:$G,'Full Customer List'!$J:$J,O$1,'Full Customer List'!$E:$E,$AF85)/1000</f>
        <v>-2.8218333333333336</v>
      </c>
      <c r="P92" s="255">
        <f>-SUMIFS('Full Customer List'!$G:$G,'Full Customer List'!$J:$J,P$1,'Full Customer List'!$E:$E,$AF85)/1000</f>
        <v>0</v>
      </c>
      <c r="Q92" s="255">
        <f>-SUMIFS('Full Customer List'!$G:$G,'Full Customer List'!$J:$J,Q$1,'Full Customer List'!$E:$E,$AF85)/1000</f>
        <v>-0.57833333333333337</v>
      </c>
      <c r="R92" s="255">
        <f>-SUMIFS('Full Customer List'!$G:$G,'Full Customer List'!$J:$J,R$1,'Full Customer List'!$E:$E,$AF85)/1000</f>
        <v>-2.14</v>
      </c>
      <c r="S92" s="255">
        <f>-SUMIFS('Full Customer List'!$G:$G,'Full Customer List'!$J:$J,S$1,'Full Customer List'!$E:$E,$AF85)/1000</f>
        <v>-0.63</v>
      </c>
      <c r="T92" s="255">
        <f>-SUMIFS('Full Customer List'!$G:$G,'Full Customer List'!$J:$J,T$1,'Full Customer List'!$E:$E,$AF85)/1000</f>
        <v>-6.4391666666666678</v>
      </c>
      <c r="U92" s="255">
        <f>-SUMIFS('Full Customer List'!$G:$G,'Full Customer List'!$J:$J,U$1,'Full Customer List'!$E:$E,$AF85)/1000</f>
        <v>-5.0109466666666664</v>
      </c>
      <c r="V92" s="255">
        <f>-SUMIFS('Full Customer List'!$G:$G,'Full Customer List'!$J:$J,V$1,'Full Customer List'!$E:$E,$AF85)/1000</f>
        <v>-0.48499999999999999</v>
      </c>
      <c r="W92" s="255">
        <f>-SUMIFS('Full Customer List'!$G:$G,'Full Customer List'!$J:$J,W$1,'Full Customer List'!$E:$E,$AF85)/1000</f>
        <v>0</v>
      </c>
      <c r="X92" s="255">
        <f>-SUMIFS('Full Customer List'!$G:$G,'Full Customer List'!$J:$J,X$1,'Full Customer List'!$E:$E,$AF85)/1000</f>
        <v>0</v>
      </c>
      <c r="Y92" s="255">
        <f>-SUMIFS('Full Customer List'!$G:$G,'Full Customer List'!$J:$J,Y$1,'Full Customer List'!$E:$E,$AF85)/1000</f>
        <v>0</v>
      </c>
      <c r="Z92" s="255">
        <f>-SUMIFS('Full Customer List'!$G:$G,'Full Customer List'!$J:$J,Z$1,'Full Customer List'!$E:$E,$AF85)/1000</f>
        <v>-0.2</v>
      </c>
      <c r="AA92" s="255">
        <f>-SUMIFS('Full Customer List'!$G:$G,'Full Customer List'!$J:$J,AA$1,'Full Customer List'!$E:$E,$AF85)/1000</f>
        <v>0</v>
      </c>
      <c r="AB92" s="255">
        <f>-SUMIFS('Full Customer List'!$G:$G,'Full Customer List'!$J:$J,AB$1,'Full Customer List'!$E:$E,$AF85)/1000</f>
        <v>-1.5</v>
      </c>
      <c r="AC92" s="255">
        <f>-SUMIFS('Full Customer List'!$G:$G,'Full Customer List'!$J:$J,AC$1,'Full Customer List'!$E:$E,$AF85)/1000</f>
        <v>0</v>
      </c>
      <c r="AD92" s="255">
        <f>-SUMIFS('Full Customer List'!$G:$G,'Full Customer List'!$J:$J,AD$1,'Full Customer List'!$E:$E,$AF85)/1000</f>
        <v>0</v>
      </c>
    </row>
    <row r="93" spans="2:34" ht="12" customHeight="1">
      <c r="B93" s="256" t="s">
        <v>1550</v>
      </c>
      <c r="C93" s="268"/>
      <c r="D93" s="268"/>
      <c r="E93" s="268">
        <f>+F87</f>
        <v>8.2199999999999989</v>
      </c>
      <c r="F93" s="269">
        <f>+$AD93*12</f>
        <v>0</v>
      </c>
      <c r="G93" s="267"/>
      <c r="H93" s="270">
        <f>+$AD93*12</f>
        <v>0</v>
      </c>
      <c r="I93" s="267"/>
      <c r="J93" s="271">
        <f t="shared" ref="J93:AC93" si="44">+K87</f>
        <v>13.926530000000005</v>
      </c>
      <c r="K93" s="268">
        <f t="shared" si="44"/>
        <v>13.843196666666671</v>
      </c>
      <c r="L93" s="268">
        <f t="shared" si="44"/>
        <v>14.087946666666671</v>
      </c>
      <c r="M93" s="268">
        <f t="shared" si="44"/>
        <v>12.182113333333337</v>
      </c>
      <c r="N93" s="268">
        <f t="shared" si="44"/>
        <v>12.678780000000003</v>
      </c>
      <c r="O93" s="268">
        <f t="shared" si="44"/>
        <v>11.430946666666669</v>
      </c>
      <c r="P93" s="268">
        <f t="shared" si="44"/>
        <v>11.540946666666668</v>
      </c>
      <c r="Q93" s="268">
        <f t="shared" si="44"/>
        <v>11.452613333333336</v>
      </c>
      <c r="R93" s="268">
        <f t="shared" si="44"/>
        <v>11.802613333333335</v>
      </c>
      <c r="S93" s="271">
        <f t="shared" si="44"/>
        <v>11.535113333333335</v>
      </c>
      <c r="T93" s="268">
        <f t="shared" si="44"/>
        <v>5.4959466666666668</v>
      </c>
      <c r="U93" s="268">
        <f t="shared" si="44"/>
        <v>0.68499999999999994</v>
      </c>
      <c r="V93" s="268">
        <f t="shared" si="44"/>
        <v>0.19999999999999996</v>
      </c>
      <c r="W93" s="268">
        <f t="shared" si="44"/>
        <v>0.19999999999999996</v>
      </c>
      <c r="X93" s="268">
        <f t="shared" si="44"/>
        <v>0.19999999999999996</v>
      </c>
      <c r="Y93" s="268">
        <f t="shared" si="44"/>
        <v>1.7</v>
      </c>
      <c r="Z93" s="268">
        <f t="shared" si="44"/>
        <v>1.5</v>
      </c>
      <c r="AA93" s="268">
        <f t="shared" si="44"/>
        <v>1.5</v>
      </c>
      <c r="AB93" s="268">
        <f t="shared" si="44"/>
        <v>0</v>
      </c>
      <c r="AC93" s="268">
        <f t="shared" si="44"/>
        <v>0</v>
      </c>
      <c r="AD93" s="269">
        <f>SUMIFS('Full Customer List'!$G:$G,'Full Customer List'!$C:$C,"Active",'Full Customer List'!$E:$E,'Client Retention $'!$AF85)/1000</f>
        <v>0</v>
      </c>
    </row>
    <row r="94" spans="2:34" ht="3.95" customHeight="1">
      <c r="B94" s="179"/>
      <c r="C94" s="229"/>
      <c r="D94" s="229"/>
      <c r="E94" s="229"/>
      <c r="F94" s="229"/>
      <c r="H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30"/>
      <c r="AC94" s="230"/>
      <c r="AD94" s="230"/>
    </row>
    <row r="95" spans="2:34">
      <c r="B95" s="231" t="s">
        <v>1852</v>
      </c>
      <c r="C95" s="338"/>
      <c r="D95" s="338"/>
      <c r="E95" s="338">
        <f>AVERAGE(E87,E93)</f>
        <v>96.822929999999985</v>
      </c>
      <c r="F95" s="339">
        <f>AVERAGE(F87,F93)</f>
        <v>4.1099999999999994</v>
      </c>
      <c r="G95" s="267"/>
      <c r="H95" s="342">
        <f>AVERAGE(H87,H93)</f>
        <v>70.815679999999986</v>
      </c>
      <c r="I95" s="267"/>
      <c r="J95" s="344">
        <f t="shared" ref="J95:AD95" si="45">AVERAGE(J87,J93)</f>
        <v>14.689342500000006</v>
      </c>
      <c r="K95" s="338">
        <f t="shared" si="45"/>
        <v>13.884863333333339</v>
      </c>
      <c r="L95" s="338">
        <f t="shared" si="45"/>
        <v>13.965571666666671</v>
      </c>
      <c r="M95" s="338">
        <f t="shared" si="45"/>
        <v>13.135030000000004</v>
      </c>
      <c r="N95" s="338">
        <f t="shared" si="45"/>
        <v>12.43044666666667</v>
      </c>
      <c r="O95" s="338">
        <f t="shared" si="45"/>
        <v>12.054863333333337</v>
      </c>
      <c r="P95" s="338">
        <f t="shared" si="45"/>
        <v>11.485946666666669</v>
      </c>
      <c r="Q95" s="338">
        <f t="shared" si="45"/>
        <v>11.496780000000001</v>
      </c>
      <c r="R95" s="338">
        <f t="shared" si="45"/>
        <v>11.627613333333336</v>
      </c>
      <c r="S95" s="344">
        <f t="shared" si="45"/>
        <v>11.668863333333334</v>
      </c>
      <c r="T95" s="338">
        <f t="shared" si="45"/>
        <v>8.5155300000000018</v>
      </c>
      <c r="U95" s="338">
        <f t="shared" si="45"/>
        <v>3.0904733333333332</v>
      </c>
      <c r="V95" s="338">
        <f t="shared" si="45"/>
        <v>0.44249999999999995</v>
      </c>
      <c r="W95" s="338">
        <f t="shared" si="45"/>
        <v>0.19999999999999996</v>
      </c>
      <c r="X95" s="338">
        <f t="shared" si="45"/>
        <v>0.19999999999999996</v>
      </c>
      <c r="Y95" s="338">
        <f t="shared" si="45"/>
        <v>0.95</v>
      </c>
      <c r="Z95" s="338">
        <f t="shared" si="45"/>
        <v>1.6</v>
      </c>
      <c r="AA95" s="338">
        <f t="shared" si="45"/>
        <v>1.5</v>
      </c>
      <c r="AB95" s="338">
        <f t="shared" si="45"/>
        <v>0.75</v>
      </c>
      <c r="AC95" s="338">
        <f t="shared" si="45"/>
        <v>0</v>
      </c>
      <c r="AD95" s="339">
        <f t="shared" si="45"/>
        <v>0</v>
      </c>
    </row>
    <row r="96" spans="2:34">
      <c r="B96" s="234" t="s">
        <v>1853</v>
      </c>
      <c r="C96" s="340"/>
      <c r="D96" s="340"/>
      <c r="E96" s="340">
        <f>IFERROR(E95/'Client Retention'!E90,"")</f>
        <v>5.868056363636363</v>
      </c>
      <c r="F96" s="341">
        <f>IFERROR(F95/'Client Retention'!F90,"")</f>
        <v>2.7399999999999998</v>
      </c>
      <c r="G96" s="267"/>
      <c r="H96" s="343">
        <f>IFERROR(H95/'Client Retention'!H90,"")</f>
        <v>8.331256470588233</v>
      </c>
      <c r="I96" s="267"/>
      <c r="J96" s="345">
        <f>IFERROR(J95/'Client Retention'!J90*12,"")</f>
        <v>6.2954325000000022</v>
      </c>
      <c r="K96" s="340">
        <f>IFERROR(K95/'Client Retention'!K90*12,"")</f>
        <v>6.4083984615384635</v>
      </c>
      <c r="L96" s="340">
        <f>IFERROR(L95/'Client Retention'!L90*12,"")</f>
        <v>6.4456484615384637</v>
      </c>
      <c r="M96" s="340">
        <f>IFERROR(M95/'Client Retention'!M90*12,"")</f>
        <v>6.4334840816326553</v>
      </c>
      <c r="N96" s="340">
        <f>IFERROR(N95/'Client Retention'!N90*12,"")</f>
        <v>6.4854504347826101</v>
      </c>
      <c r="O96" s="340">
        <f>IFERROR(O95/'Client Retention'!O90*12,"")</f>
        <v>7.0565053658536598</v>
      </c>
      <c r="P96" s="340">
        <f>IFERROR(P95/'Client Retention'!P90*12,"")</f>
        <v>7.4503437837837847</v>
      </c>
      <c r="Q96" s="340">
        <f>IFERROR(Q95/'Client Retention'!Q90*12,"")</f>
        <v>7.4573708108108114</v>
      </c>
      <c r="R96" s="340">
        <f>IFERROR(R95/'Client Retention'!R90*12,"")</f>
        <v>7.9732205714285733</v>
      </c>
      <c r="S96" s="345">
        <f>IFERROR(S95/'Client Retention'!S90*12,"")</f>
        <v>8.2368447058823531</v>
      </c>
      <c r="T96" s="340">
        <f>IFERROR(T95/'Client Retention'!T90*12,"")</f>
        <v>7.5693600000000014</v>
      </c>
      <c r="U96" s="340">
        <f>IFERROR(U95/'Client Retention'!U90*12,"")</f>
        <v>5.7054892307692304</v>
      </c>
      <c r="V96" s="340">
        <f>IFERROR(V95/'Client Retention'!V90*12,"")</f>
        <v>2.6549999999999998</v>
      </c>
      <c r="W96" s="340">
        <f>IFERROR(W95/'Client Retention'!W90*12,"")</f>
        <v>2.3999999999999995</v>
      </c>
      <c r="X96" s="340">
        <f>IFERROR(X95/'Client Retention'!X90*12,"")</f>
        <v>2.3999999999999995</v>
      </c>
      <c r="Y96" s="340">
        <f>IFERROR(Y95/'Client Retention'!Y90*12,"")</f>
        <v>7.6</v>
      </c>
      <c r="Z96" s="340">
        <f>IFERROR(Z95/'Client Retention'!Z90*12,"")</f>
        <v>12.8</v>
      </c>
      <c r="AA96" s="340">
        <f>IFERROR(AA95/'Client Retention'!AA90*12,"")</f>
        <v>18</v>
      </c>
      <c r="AB96" s="340">
        <f>IFERROR(AB95/'Client Retention'!AB90*12,"")</f>
        <v>18</v>
      </c>
      <c r="AC96" s="340" t="str">
        <f>IFERROR(AC95/'Client Retention'!AC90*12,"")</f>
        <v/>
      </c>
      <c r="AD96" s="341" t="str">
        <f>IFERROR(AD95/'Client Retention'!AD90*12,"")</f>
        <v/>
      </c>
    </row>
    <row r="97" spans="2:34" ht="3.95" customHeight="1">
      <c r="B97" s="179"/>
      <c r="C97" s="229"/>
      <c r="D97" s="229"/>
      <c r="E97" s="229"/>
      <c r="F97" s="229"/>
      <c r="H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30"/>
      <c r="AC97" s="230"/>
      <c r="AD97" s="230"/>
    </row>
    <row r="98" spans="2:34" ht="12" customHeight="1">
      <c r="B98" s="231" t="s">
        <v>1547</v>
      </c>
      <c r="C98" s="232"/>
      <c r="D98" s="232"/>
      <c r="E98" s="233">
        <f>(E88+E87)/E87-1</f>
        <v>0.57353381022474448</v>
      </c>
      <c r="F98" s="244">
        <f>(F88+F87)/F87-1</f>
        <v>2.1897810218978107</v>
      </c>
      <c r="G98" s="245"/>
      <c r="H98" s="246">
        <f>(H88+H87)/H87-1</f>
        <v>0.20864023334945037</v>
      </c>
      <c r="J98" s="243">
        <f t="shared" ref="J98:AB98" si="46">(J88+J87)/J87-1</f>
        <v>0</v>
      </c>
      <c r="K98" s="233">
        <f t="shared" si="46"/>
        <v>5.9359127267644363E-2</v>
      </c>
      <c r="L98" s="233">
        <f t="shared" si="46"/>
        <v>7.3321215066173284E-2</v>
      </c>
      <c r="M98" s="233">
        <f t="shared" si="46"/>
        <v>3.0345089324585794E-2</v>
      </c>
      <c r="N98" s="233">
        <f t="shared" si="46"/>
        <v>7.9351311239374445E-2</v>
      </c>
      <c r="O98" s="233">
        <f t="shared" si="46"/>
        <v>0.12414443660983143</v>
      </c>
      <c r="P98" s="233">
        <f t="shared" si="46"/>
        <v>9.6230000198291865E-3</v>
      </c>
      <c r="Q98" s="233">
        <f t="shared" si="46"/>
        <v>4.2457522259872427E-2</v>
      </c>
      <c r="R98" s="233">
        <f t="shared" si="46"/>
        <v>0.21741762578788415</v>
      </c>
      <c r="S98" s="243">
        <f t="shared" si="46"/>
        <v>3.0713536889005466E-2</v>
      </c>
      <c r="T98" s="233">
        <f t="shared" si="46"/>
        <v>3.4676729082852464E-2</v>
      </c>
      <c r="U98" s="233">
        <f t="shared" si="46"/>
        <v>3.6390455026249713E-2</v>
      </c>
      <c r="V98" s="233">
        <f t="shared" si="46"/>
        <v>0</v>
      </c>
      <c r="W98" s="233">
        <f t="shared" si="46"/>
        <v>0</v>
      </c>
      <c r="X98" s="233">
        <f t="shared" si="46"/>
        <v>0</v>
      </c>
      <c r="Y98" s="233">
        <f t="shared" si="46"/>
        <v>7.5000000000000018</v>
      </c>
      <c r="Z98" s="233">
        <f t="shared" si="46"/>
        <v>0</v>
      </c>
      <c r="AA98" s="233">
        <f t="shared" si="46"/>
        <v>0</v>
      </c>
      <c r="AB98" s="233">
        <f t="shared" si="46"/>
        <v>0</v>
      </c>
      <c r="AC98" s="233">
        <f>IFERROR((AC88+AC87)/AC87-1,0)</f>
        <v>0</v>
      </c>
      <c r="AD98" s="244">
        <f>IFERROR((AD88+AD87)/AD87-1,0)</f>
        <v>0</v>
      </c>
    </row>
    <row r="99" spans="2:34" ht="12" customHeight="1">
      <c r="B99" s="234" t="s">
        <v>1548</v>
      </c>
      <c r="C99" s="235"/>
      <c r="D99" s="235"/>
      <c r="E99" s="236">
        <f>(E92+E95)/E95-1</f>
        <v>-2.9285816903082775</v>
      </c>
      <c r="F99" s="237">
        <f>(F92+F95)/F95-1</f>
        <v>-6.3795620437956213</v>
      </c>
      <c r="G99" s="245"/>
      <c r="H99" s="239">
        <f>(H92+H95)/H95-1</f>
        <v>-2.4172804666989007</v>
      </c>
      <c r="J99" s="238">
        <f t="shared" ref="J99:AB99" si="47">(J92+J95)/J95-1</f>
        <v>-0.10385931160635675</v>
      </c>
      <c r="K99" s="236">
        <f t="shared" si="47"/>
        <v>-6.5538995822549184E-2</v>
      </c>
      <c r="L99" s="236">
        <f t="shared" si="47"/>
        <v>-5.5153488763975966E-2</v>
      </c>
      <c r="M99" s="236">
        <f t="shared" si="47"/>
        <v>-0.17764202543376995</v>
      </c>
      <c r="N99" s="236">
        <f t="shared" si="47"/>
        <v>-3.7810387076463337E-2</v>
      </c>
      <c r="O99" s="236">
        <f t="shared" si="47"/>
        <v>-0.2340825652938413</v>
      </c>
      <c r="P99" s="236">
        <f t="shared" si="47"/>
        <v>0</v>
      </c>
      <c r="Q99" s="236">
        <f t="shared" si="47"/>
        <v>-5.0303940175712936E-2</v>
      </c>
      <c r="R99" s="236">
        <f t="shared" si="47"/>
        <v>-0.18404464774083762</v>
      </c>
      <c r="S99" s="238">
        <f t="shared" si="47"/>
        <v>-5.3989834485449806E-2</v>
      </c>
      <c r="T99" s="236">
        <f t="shared" si="47"/>
        <v>-0.75616745718313083</v>
      </c>
      <c r="U99" s="236">
        <f t="shared" si="47"/>
        <v>-1.6214172154858695</v>
      </c>
      <c r="V99" s="236">
        <f t="shared" si="47"/>
        <v>-1.0960451977401131</v>
      </c>
      <c r="W99" s="236">
        <f t="shared" si="47"/>
        <v>0</v>
      </c>
      <c r="X99" s="236">
        <f t="shared" si="47"/>
        <v>0</v>
      </c>
      <c r="Y99" s="236">
        <f t="shared" si="47"/>
        <v>0</v>
      </c>
      <c r="Z99" s="236">
        <f t="shared" si="47"/>
        <v>-0.125</v>
      </c>
      <c r="AA99" s="236">
        <f t="shared" si="47"/>
        <v>0</v>
      </c>
      <c r="AB99" s="236">
        <f t="shared" si="47"/>
        <v>-2</v>
      </c>
      <c r="AC99" s="236">
        <f>IFERROR((AC92+AC95)/AC95-1,0)</f>
        <v>0</v>
      </c>
      <c r="AD99" s="237">
        <f>IFERROR((AD92+AD95)/AD95-1,0)</f>
        <v>0</v>
      </c>
    </row>
    <row r="100" spans="2:34" ht="3.95" customHeight="1">
      <c r="AF100" s="217"/>
    </row>
    <row r="101" spans="2:34" ht="24">
      <c r="B101" s="159" t="s">
        <v>1308</v>
      </c>
      <c r="C101" s="176" t="s">
        <v>1316</v>
      </c>
      <c r="D101" s="176" t="s">
        <v>3</v>
      </c>
      <c r="E101" s="176" t="s">
        <v>4</v>
      </c>
      <c r="F101" s="176" t="s">
        <v>1317</v>
      </c>
      <c r="G101" s="190"/>
      <c r="H101" s="176" t="s">
        <v>1527</v>
      </c>
      <c r="J101" s="189">
        <v>45658</v>
      </c>
      <c r="K101" s="189">
        <f t="shared" ref="K101:P101" si="48">EOMONTH(J101,0)+1</f>
        <v>45689</v>
      </c>
      <c r="L101" s="189">
        <f t="shared" si="48"/>
        <v>45717</v>
      </c>
      <c r="M101" s="189">
        <f t="shared" si="48"/>
        <v>45748</v>
      </c>
      <c r="N101" s="189">
        <f t="shared" si="48"/>
        <v>45778</v>
      </c>
      <c r="O101" s="189">
        <f t="shared" si="48"/>
        <v>45809</v>
      </c>
      <c r="P101" s="189">
        <f t="shared" si="48"/>
        <v>45839</v>
      </c>
      <c r="Q101" s="189">
        <v>45870</v>
      </c>
      <c r="R101" s="189">
        <f t="shared" ref="R101:AD101" si="49">EOMONTH(Q101,0)+1</f>
        <v>45901</v>
      </c>
      <c r="S101" s="189">
        <f t="shared" si="49"/>
        <v>45931</v>
      </c>
      <c r="T101" s="189">
        <f t="shared" si="49"/>
        <v>45962</v>
      </c>
      <c r="U101" s="189">
        <f t="shared" si="49"/>
        <v>45992</v>
      </c>
      <c r="V101" s="189">
        <f t="shared" si="49"/>
        <v>46023</v>
      </c>
      <c r="W101" s="189">
        <f t="shared" si="49"/>
        <v>46054</v>
      </c>
      <c r="X101" s="189">
        <f t="shared" si="49"/>
        <v>46082</v>
      </c>
      <c r="Y101" s="189">
        <f t="shared" si="49"/>
        <v>46113</v>
      </c>
      <c r="Z101" s="189">
        <f t="shared" si="49"/>
        <v>46143</v>
      </c>
      <c r="AA101" s="189">
        <f t="shared" si="49"/>
        <v>46174</v>
      </c>
      <c r="AB101" s="189">
        <f t="shared" si="49"/>
        <v>46204</v>
      </c>
      <c r="AC101" s="189">
        <f t="shared" si="49"/>
        <v>46235</v>
      </c>
      <c r="AD101" s="189">
        <f t="shared" si="49"/>
        <v>46266</v>
      </c>
      <c r="AE101" s="184"/>
      <c r="AF101" s="240" t="s">
        <v>1303</v>
      </c>
      <c r="AG101" s="184"/>
      <c r="AH101" s="184"/>
    </row>
    <row r="102" spans="2:34">
      <c r="B102" s="183" t="str">
        <f>+AF101</f>
        <v>Tax-Only Client</v>
      </c>
      <c r="C102" s="43"/>
      <c r="D102" s="43"/>
      <c r="E102" s="43"/>
      <c r="F102" s="43"/>
      <c r="G102" s="6"/>
      <c r="H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6"/>
      <c r="AF102" s="6"/>
      <c r="AG102" s="6"/>
      <c r="AH102" s="6"/>
    </row>
    <row r="103" spans="2:34">
      <c r="B103" s="173" t="s">
        <v>1545</v>
      </c>
      <c r="C103" s="181"/>
      <c r="D103" s="181"/>
      <c r="E103" s="181">
        <f>+E109-E104-E108</f>
        <v>-1.3800000000000001</v>
      </c>
      <c r="F103" s="181">
        <f>+F109-F104-F108</f>
        <v>6.6985833333333336</v>
      </c>
      <c r="H103" s="181">
        <f>+H109-H104-H108</f>
        <v>1.6333333333333324</v>
      </c>
      <c r="J103" s="181">
        <f t="shared" ref="J103:AD103" si="50">+J109-J104-J108</f>
        <v>-1.3799999999999997</v>
      </c>
      <c r="K103" s="181">
        <f t="shared" si="50"/>
        <v>-1.3799999999999997</v>
      </c>
      <c r="L103" s="181">
        <f t="shared" si="50"/>
        <v>-1.3799999999999997</v>
      </c>
      <c r="M103" s="181">
        <f t="shared" si="50"/>
        <v>-1.3799999999999997</v>
      </c>
      <c r="N103" s="181">
        <f t="shared" si="50"/>
        <v>-1.3799999999999997</v>
      </c>
      <c r="O103" s="181">
        <f t="shared" si="50"/>
        <v>-1.3799999999999997</v>
      </c>
      <c r="P103" s="181">
        <f t="shared" si="50"/>
        <v>-1.3799999999999997</v>
      </c>
      <c r="Q103" s="181">
        <f t="shared" si="50"/>
        <v>-1.3799999999999997</v>
      </c>
      <c r="R103" s="181">
        <f t="shared" si="50"/>
        <v>-1.3799999999999997</v>
      </c>
      <c r="S103" s="181">
        <f t="shared" si="50"/>
        <v>1.6333333333333337</v>
      </c>
      <c r="T103" s="181">
        <f t="shared" si="50"/>
        <v>7.0985833333333339</v>
      </c>
      <c r="U103" s="181">
        <f t="shared" si="50"/>
        <v>6.6985833333333336</v>
      </c>
      <c r="V103" s="181">
        <f t="shared" si="50"/>
        <v>6.6985833333333336</v>
      </c>
      <c r="W103" s="181">
        <f t="shared" si="50"/>
        <v>7.8235833333333336</v>
      </c>
      <c r="X103" s="181">
        <f t="shared" si="50"/>
        <v>9.4485833333333336</v>
      </c>
      <c r="Y103" s="181">
        <f t="shared" si="50"/>
        <v>9.4485833333333336</v>
      </c>
      <c r="Z103" s="181">
        <f t="shared" si="50"/>
        <v>9.4485833333333336</v>
      </c>
      <c r="AA103" s="181">
        <f t="shared" si="50"/>
        <v>9.4485833333333336</v>
      </c>
      <c r="AB103" s="181">
        <f t="shared" si="50"/>
        <v>9.4485833333333336</v>
      </c>
      <c r="AC103" s="181">
        <f t="shared" si="50"/>
        <v>9.4485833333333336</v>
      </c>
      <c r="AD103" s="181">
        <f t="shared" si="50"/>
        <v>9.4485833333333336</v>
      </c>
    </row>
    <row r="104" spans="2:34">
      <c r="B104" s="188" t="s">
        <v>1314</v>
      </c>
      <c r="E104" s="194">
        <f>SUM(J104:U104)</f>
        <v>8.9035833333333336</v>
      </c>
      <c r="F104" s="194">
        <f>SUM(V104:AD104)</f>
        <v>2.75</v>
      </c>
      <c r="H104" s="194">
        <f>SUM(S104:AD104)</f>
        <v>8.2152500000000011</v>
      </c>
      <c r="J104" s="192">
        <f>SUMIFS('Full Customer List'!$G:$G,'Full Customer List'!$I:$I,'Client Retention $'!J$5,'Full Customer List'!$E:$E,$AF101)/1000</f>
        <v>0</v>
      </c>
      <c r="K104" s="192">
        <f>SUMIFS('Full Customer List'!$G:$G,'Full Customer List'!$I:$I,'Client Retention $'!K$5,'Full Customer List'!$E:$E,$AF101)/1000</f>
        <v>0</v>
      </c>
      <c r="L104" s="192">
        <f>SUMIFS('Full Customer List'!$G:$G,'Full Customer List'!$I:$I,'Client Retention $'!L$5,'Full Customer List'!$E:$E,$AF101)/1000</f>
        <v>0</v>
      </c>
      <c r="M104" s="192">
        <f>SUMIFS('Full Customer List'!$G:$G,'Full Customer List'!$I:$I,'Client Retention $'!M$5,'Full Customer List'!$E:$E,$AF101)/1000</f>
        <v>0</v>
      </c>
      <c r="N104" s="192">
        <f>SUMIFS('Full Customer List'!$G:$G,'Full Customer List'!$I:$I,'Client Retention $'!N$5,'Full Customer List'!$E:$E,$AF101)/1000</f>
        <v>0</v>
      </c>
      <c r="O104" s="192">
        <f>SUMIFS('Full Customer List'!$G:$G,'Full Customer List'!$I:$I,'Client Retention $'!O$5,'Full Customer List'!$E:$E,$AF101)/1000</f>
        <v>0</v>
      </c>
      <c r="P104" s="192">
        <f>SUMIFS('Full Customer List'!$G:$G,'Full Customer List'!$I:$I,'Client Retention $'!P$5,'Full Customer List'!$E:$E,$AF101)/1000</f>
        <v>0</v>
      </c>
      <c r="Q104" s="192">
        <f>SUMIFS('Full Customer List'!$G:$G,'Full Customer List'!$I:$I,'Client Retention $'!Q$5,'Full Customer List'!$E:$E,$AF101)/1000</f>
        <v>0</v>
      </c>
      <c r="R104" s="192">
        <f>SUMIFS('Full Customer List'!$G:$G,'Full Customer List'!$I:$I,'Client Retention $'!R$5,'Full Customer List'!$E:$E,$AF101)/1000</f>
        <v>3.4383333333333335</v>
      </c>
      <c r="S104" s="192">
        <f>SUMIFS('Full Customer List'!$G:$G,'Full Customer List'!$I:$I,'Client Retention $'!S$5,'Full Customer List'!$E:$E,$AF101)/1000</f>
        <v>5.4652500000000002</v>
      </c>
      <c r="T104" s="192">
        <f>SUMIFS('Full Customer List'!$G:$G,'Full Customer List'!$I:$I,'Client Retention $'!T$5,'Full Customer List'!$E:$E,$AF101)/1000</f>
        <v>0</v>
      </c>
      <c r="U104" s="192">
        <f>SUMIFS('Full Customer List'!$G:$G,'Full Customer List'!$I:$I,'Client Retention $'!U$5,'Full Customer List'!$E:$E,$AF101)/1000</f>
        <v>0</v>
      </c>
      <c r="V104" s="192">
        <f>SUMIFS('Full Customer List'!$G:$G,'Full Customer List'!$I:$I,'Client Retention $'!V$5,'Full Customer List'!$E:$E,$AF101)/1000</f>
        <v>1.125</v>
      </c>
      <c r="W104" s="192">
        <f>SUMIFS('Full Customer List'!$G:$G,'Full Customer List'!$I:$I,'Client Retention $'!W$5,'Full Customer List'!$E:$E,$AF101)/1000</f>
        <v>1.625</v>
      </c>
      <c r="X104" s="192">
        <f>SUMIFS('Full Customer List'!$G:$G,'Full Customer List'!$I:$I,'Client Retention $'!X$5,'Full Customer List'!$E:$E,$AF101)/1000</f>
        <v>0</v>
      </c>
      <c r="Y104" s="192">
        <f>SUMIFS('Full Customer List'!$G:$G,'Full Customer List'!$I:$I,'Client Retention $'!Y$5,'Full Customer List'!$E:$E,$AF101)/1000</f>
        <v>0</v>
      </c>
      <c r="Z104" s="192">
        <f>SUMIFS('Full Customer List'!$G:$G,'Full Customer List'!$I:$I,'Client Retention $'!Z$5,'Full Customer List'!$E:$E,$AF101)/1000</f>
        <v>0</v>
      </c>
      <c r="AA104" s="192">
        <f>SUMIFS('Full Customer List'!$G:$G,'Full Customer List'!$I:$I,'Client Retention $'!AA$5,'Full Customer List'!$E:$E,$AF101)/1000</f>
        <v>0</v>
      </c>
      <c r="AB104" s="192">
        <f>SUMIFS('Full Customer List'!$G:$G,'Full Customer List'!$I:$I,'Client Retention $'!AB$5,'Full Customer List'!$E:$E,$AF101)/1000</f>
        <v>0</v>
      </c>
      <c r="AC104" s="192">
        <f>SUMIFS('Full Customer List'!$G:$G,'Full Customer List'!$I:$I,'Client Retention $'!AC$5,'Full Customer List'!$E:$E,$AF101)/1000</f>
        <v>0</v>
      </c>
      <c r="AD104" s="192">
        <f>SUMIFS('Full Customer List'!$G:$G,'Full Customer List'!$I:$I,'Client Retention $'!AD$5,'Full Customer List'!$E:$E,$AF101)/1000</f>
        <v>0</v>
      </c>
    </row>
    <row r="105" spans="2:34">
      <c r="B105" s="262" t="s">
        <v>1528</v>
      </c>
      <c r="E105" s="194">
        <f>SUM(J105:U105)</f>
        <v>0</v>
      </c>
      <c r="F105" s="194">
        <f>SUM(V105:AD105)</f>
        <v>0</v>
      </c>
      <c r="H105" s="194">
        <f>SUM(S105:AD105)</f>
        <v>0</v>
      </c>
      <c r="J105" s="192">
        <f>-SUMIFS('Full Customer List'!$G:$G,'Full Customer List'!$J:$J,J$1,'Full Customer List'!$E:$E,$AF101,'Full Customer List'!$H:$H,'Client Retention $'!$AF105)/1000</f>
        <v>0</v>
      </c>
      <c r="K105" s="192">
        <f>-SUMIFS('Full Customer List'!$G:$G,'Full Customer List'!$J:$J,K$1,'Full Customer List'!$E:$E,$AF101,'Full Customer List'!$H:$H,'Client Retention $'!$AF105)/1000</f>
        <v>0</v>
      </c>
      <c r="L105" s="192">
        <f>-SUMIFS('Full Customer List'!$G:$G,'Full Customer List'!$J:$J,L$1,'Full Customer List'!$E:$E,$AF101,'Full Customer List'!$H:$H,'Client Retention $'!$AF105)/1000</f>
        <v>0</v>
      </c>
      <c r="M105" s="192">
        <f>-SUMIFS('Full Customer List'!$G:$G,'Full Customer List'!$J:$J,M$1,'Full Customer List'!$E:$E,$AF101,'Full Customer List'!$H:$H,'Client Retention $'!$AF105)/1000</f>
        <v>0</v>
      </c>
      <c r="N105" s="192">
        <f>-SUMIFS('Full Customer List'!$G:$G,'Full Customer List'!$J:$J,N$1,'Full Customer List'!$E:$E,$AF101,'Full Customer List'!$H:$H,'Client Retention $'!$AF105)/1000</f>
        <v>0</v>
      </c>
      <c r="O105" s="192">
        <f>-SUMIFS('Full Customer List'!$G:$G,'Full Customer List'!$J:$J,O$1,'Full Customer List'!$E:$E,$AF101,'Full Customer List'!$H:$H,'Client Retention $'!$AF105)/1000</f>
        <v>0</v>
      </c>
      <c r="P105" s="192">
        <f>-SUMIFS('Full Customer List'!$G:$G,'Full Customer List'!$J:$J,P$1,'Full Customer List'!$E:$E,$AF101,'Full Customer List'!$H:$H,'Client Retention $'!$AF105)/1000</f>
        <v>0</v>
      </c>
      <c r="Q105" s="192">
        <f>-SUMIFS('Full Customer List'!$G:$G,'Full Customer List'!$J:$J,Q$1,'Full Customer List'!$E:$E,$AF101,'Full Customer List'!$H:$H,'Client Retention $'!$AF105)/1000</f>
        <v>0</v>
      </c>
      <c r="R105" s="192">
        <f>-SUMIFS('Full Customer List'!$G:$G,'Full Customer List'!$J:$J,R$1,'Full Customer List'!$E:$E,$AF101,'Full Customer List'!$H:$H,'Client Retention $'!$AF105)/1000</f>
        <v>0</v>
      </c>
      <c r="S105" s="192">
        <f>-SUMIFS('Full Customer List'!$G:$G,'Full Customer List'!$J:$J,S$1,'Full Customer List'!$E:$E,$AF101,'Full Customer List'!$H:$H,'Client Retention $'!$AF105)/1000</f>
        <v>0</v>
      </c>
      <c r="T105" s="192">
        <f>-SUMIFS('Full Customer List'!$G:$G,'Full Customer List'!$J:$J,T$1,'Full Customer List'!$E:$E,$AF101,'Full Customer List'!$H:$H,'Client Retention $'!$AF105)/1000</f>
        <v>0</v>
      </c>
      <c r="U105" s="192">
        <f>-SUMIFS('Full Customer List'!$G:$G,'Full Customer List'!$J:$J,U$1,'Full Customer List'!$E:$E,$AF101,'Full Customer List'!$H:$H,'Client Retention $'!$AF105)/1000</f>
        <v>0</v>
      </c>
      <c r="V105" s="192">
        <f>-SUMIFS('Full Customer List'!$G:$G,'Full Customer List'!$J:$J,V$1,'Full Customer List'!$E:$E,$AF101,'Full Customer List'!$H:$H,'Client Retention $'!$AF105)/1000</f>
        <v>0</v>
      </c>
      <c r="W105" s="192">
        <f>-SUMIFS('Full Customer List'!$G:$G,'Full Customer List'!$J:$J,W$1,'Full Customer List'!$E:$E,$AF101,'Full Customer List'!$H:$H,'Client Retention $'!$AF105)/1000</f>
        <v>0</v>
      </c>
      <c r="X105" s="192">
        <f>-SUMIFS('Full Customer List'!$G:$G,'Full Customer List'!$J:$J,X$1,'Full Customer List'!$E:$E,$AF101,'Full Customer List'!$H:$H,'Client Retention $'!$AF105)/1000</f>
        <v>0</v>
      </c>
      <c r="Y105" s="192">
        <f>-SUMIFS('Full Customer List'!$G:$G,'Full Customer List'!$J:$J,Y$1,'Full Customer List'!$E:$E,$AF101,'Full Customer List'!$H:$H,'Client Retention $'!$AF105)/1000</f>
        <v>0</v>
      </c>
      <c r="Z105" s="192">
        <f>-SUMIFS('Full Customer List'!$G:$G,'Full Customer List'!$J:$J,Z$1,'Full Customer List'!$E:$E,$AF101,'Full Customer List'!$H:$H,'Client Retention $'!$AF105)/1000</f>
        <v>0</v>
      </c>
      <c r="AA105" s="192">
        <f>-SUMIFS('Full Customer List'!$G:$G,'Full Customer List'!$J:$J,AA$1,'Full Customer List'!$E:$E,$AF101,'Full Customer List'!$H:$H,'Client Retention $'!$AF105)/1000</f>
        <v>0</v>
      </c>
      <c r="AB105" s="192">
        <f>-SUMIFS('Full Customer List'!$G:$G,'Full Customer List'!$J:$J,AB$1,'Full Customer List'!$E:$E,$AF101,'Full Customer List'!$H:$H,'Client Retention $'!$AF105)/1000</f>
        <v>0</v>
      </c>
      <c r="AC105" s="192">
        <f>-SUMIFS('Full Customer List'!$G:$G,'Full Customer List'!$J:$J,AC$1,'Full Customer List'!$E:$E,$AF101,'Full Customer List'!$H:$H,'Client Retention $'!$AF105)/1000</f>
        <v>0</v>
      </c>
      <c r="AD105" s="192">
        <f>-SUMIFS('Full Customer List'!$G:$G,'Full Customer List'!$J:$J,AD$1,'Full Customer List'!$E:$E,$AF101,'Full Customer List'!$H:$H,'Client Retention $'!$AF105)/1000</f>
        <v>0</v>
      </c>
      <c r="AF105" s="173" t="s">
        <v>504</v>
      </c>
    </row>
    <row r="106" spans="2:34">
      <c r="B106" s="262" t="s">
        <v>1529</v>
      </c>
      <c r="E106" s="194">
        <f>SUM(J106:U106)</f>
        <v>0</v>
      </c>
      <c r="F106" s="194">
        <f>SUM(V106:AD106)</f>
        <v>0</v>
      </c>
      <c r="H106" s="194">
        <f>SUM(S106:AD106)</f>
        <v>0</v>
      </c>
      <c r="J106" s="192">
        <f>-SUMIFS('Full Customer List'!$G:$G,'Full Customer List'!$J:$J,J$1,'Full Customer List'!$E:$E,$AF101,'Full Customer List'!$H:$H,'Client Retention $'!$AF106)/1000</f>
        <v>0</v>
      </c>
      <c r="K106" s="192">
        <f>-SUMIFS('Full Customer List'!$G:$G,'Full Customer List'!$J:$J,K$1,'Full Customer List'!$E:$E,$AF101,'Full Customer List'!$H:$H,'Client Retention $'!$AF106)/1000</f>
        <v>0</v>
      </c>
      <c r="L106" s="192">
        <f>-SUMIFS('Full Customer List'!$G:$G,'Full Customer List'!$J:$J,L$1,'Full Customer List'!$E:$E,$AF101,'Full Customer List'!$H:$H,'Client Retention $'!$AF106)/1000</f>
        <v>0</v>
      </c>
      <c r="M106" s="192">
        <f>-SUMIFS('Full Customer List'!$G:$G,'Full Customer List'!$J:$J,M$1,'Full Customer List'!$E:$E,$AF101,'Full Customer List'!$H:$H,'Client Retention $'!$AF106)/1000</f>
        <v>0</v>
      </c>
      <c r="N106" s="192">
        <f>-SUMIFS('Full Customer List'!$G:$G,'Full Customer List'!$J:$J,N$1,'Full Customer List'!$E:$E,$AF101,'Full Customer List'!$H:$H,'Client Retention $'!$AF106)/1000</f>
        <v>0</v>
      </c>
      <c r="O106" s="192">
        <f>-SUMIFS('Full Customer List'!$G:$G,'Full Customer List'!$J:$J,O$1,'Full Customer List'!$E:$E,$AF101,'Full Customer List'!$H:$H,'Client Retention $'!$AF106)/1000</f>
        <v>0</v>
      </c>
      <c r="P106" s="192">
        <f>-SUMIFS('Full Customer List'!$G:$G,'Full Customer List'!$J:$J,P$1,'Full Customer List'!$E:$E,$AF101,'Full Customer List'!$H:$H,'Client Retention $'!$AF106)/1000</f>
        <v>0</v>
      </c>
      <c r="Q106" s="192">
        <f>-SUMIFS('Full Customer List'!$G:$G,'Full Customer List'!$J:$J,Q$1,'Full Customer List'!$E:$E,$AF101,'Full Customer List'!$H:$H,'Client Retention $'!$AF106)/1000</f>
        <v>0</v>
      </c>
      <c r="R106" s="192">
        <f>-SUMIFS('Full Customer List'!$G:$G,'Full Customer List'!$J:$J,R$1,'Full Customer List'!$E:$E,$AF101,'Full Customer List'!$H:$H,'Client Retention $'!$AF106)/1000</f>
        <v>0</v>
      </c>
      <c r="S106" s="192">
        <f>-SUMIFS('Full Customer List'!$G:$G,'Full Customer List'!$J:$J,S$1,'Full Customer List'!$E:$E,$AF101,'Full Customer List'!$H:$H,'Client Retention $'!$AF106)/1000</f>
        <v>0</v>
      </c>
      <c r="T106" s="192">
        <f>-SUMIFS('Full Customer List'!$G:$G,'Full Customer List'!$J:$J,T$1,'Full Customer List'!$E:$E,$AF101,'Full Customer List'!$H:$H,'Client Retention $'!$AF106)/1000</f>
        <v>0</v>
      </c>
      <c r="U106" s="192">
        <f>-SUMIFS('Full Customer List'!$G:$G,'Full Customer List'!$J:$J,U$1,'Full Customer List'!$E:$E,$AF101,'Full Customer List'!$H:$H,'Client Retention $'!$AF106)/1000</f>
        <v>0</v>
      </c>
      <c r="V106" s="192">
        <f>-SUMIFS('Full Customer List'!$G:$G,'Full Customer List'!$J:$J,V$1,'Full Customer List'!$E:$E,$AF101,'Full Customer List'!$H:$H,'Client Retention $'!$AF106)/1000</f>
        <v>0</v>
      </c>
      <c r="W106" s="192">
        <f>-SUMIFS('Full Customer List'!$G:$G,'Full Customer List'!$J:$J,W$1,'Full Customer List'!$E:$E,$AF101,'Full Customer List'!$H:$H,'Client Retention $'!$AF106)/1000</f>
        <v>0</v>
      </c>
      <c r="X106" s="192">
        <f>-SUMIFS('Full Customer List'!$G:$G,'Full Customer List'!$J:$J,X$1,'Full Customer List'!$E:$E,$AF101,'Full Customer List'!$H:$H,'Client Retention $'!$AF106)/1000</f>
        <v>0</v>
      </c>
      <c r="Y106" s="192">
        <f>-SUMIFS('Full Customer List'!$G:$G,'Full Customer List'!$J:$J,Y$1,'Full Customer List'!$E:$E,$AF101,'Full Customer List'!$H:$H,'Client Retention $'!$AF106)/1000</f>
        <v>0</v>
      </c>
      <c r="Z106" s="192">
        <f>-SUMIFS('Full Customer List'!$G:$G,'Full Customer List'!$J:$J,Z$1,'Full Customer List'!$E:$E,$AF101,'Full Customer List'!$H:$H,'Client Retention $'!$AF106)/1000</f>
        <v>0</v>
      </c>
      <c r="AA106" s="192">
        <f>-SUMIFS('Full Customer List'!$G:$G,'Full Customer List'!$J:$J,AA$1,'Full Customer List'!$E:$E,$AF101,'Full Customer List'!$H:$H,'Client Retention $'!$AF106)/1000</f>
        <v>0</v>
      </c>
      <c r="AB106" s="192">
        <f>-SUMIFS('Full Customer List'!$G:$G,'Full Customer List'!$J:$J,AB$1,'Full Customer List'!$E:$E,$AF101,'Full Customer List'!$H:$H,'Client Retention $'!$AF106)/1000</f>
        <v>0</v>
      </c>
      <c r="AC106" s="192">
        <f>-SUMIFS('Full Customer List'!$G:$G,'Full Customer List'!$J:$J,AC$1,'Full Customer List'!$E:$E,$AF101,'Full Customer List'!$H:$H,'Client Retention $'!$AF106)/1000</f>
        <v>0</v>
      </c>
      <c r="AD106" s="192">
        <f>-SUMIFS('Full Customer List'!$G:$G,'Full Customer List'!$J:$J,AD$1,'Full Customer List'!$E:$E,$AF101,'Full Customer List'!$H:$H,'Client Retention $'!$AF106)/1000</f>
        <v>0</v>
      </c>
      <c r="AF106" s="173" t="s">
        <v>505</v>
      </c>
    </row>
    <row r="107" spans="2:34">
      <c r="B107" s="262" t="s">
        <v>1530</v>
      </c>
      <c r="E107" s="194">
        <f>SUM(J107:U107)</f>
        <v>-0.82499999999999996</v>
      </c>
      <c r="F107" s="194">
        <f>SUM(V107:AD107)</f>
        <v>0</v>
      </c>
      <c r="H107" s="194">
        <f>SUM(S107:AD107)</f>
        <v>-0.4</v>
      </c>
      <c r="J107" s="192">
        <f>-SUMIFS('Full Customer List'!$G:$G,'Full Customer List'!$J:$J,J$1,'Full Customer List'!$E:$E,$AF101,'Full Customer List'!$H:$H,'Client Retention $'!$AF107)/1000</f>
        <v>0</v>
      </c>
      <c r="K107" s="192">
        <f>-SUMIFS('Full Customer List'!$G:$G,'Full Customer List'!$J:$J,K$1,'Full Customer List'!$E:$E,$AF101,'Full Customer List'!$H:$H,'Client Retention $'!$AF107)/1000</f>
        <v>0</v>
      </c>
      <c r="L107" s="192">
        <f>-SUMIFS('Full Customer List'!$G:$G,'Full Customer List'!$J:$J,L$1,'Full Customer List'!$E:$E,$AF101,'Full Customer List'!$H:$H,'Client Retention $'!$AF107)/1000</f>
        <v>0</v>
      </c>
      <c r="M107" s="192">
        <f>-SUMIFS('Full Customer List'!$G:$G,'Full Customer List'!$J:$J,M$1,'Full Customer List'!$E:$E,$AF101,'Full Customer List'!$H:$H,'Client Retention $'!$AF107)/1000</f>
        <v>0</v>
      </c>
      <c r="N107" s="192">
        <f>-SUMIFS('Full Customer List'!$G:$G,'Full Customer List'!$J:$J,N$1,'Full Customer List'!$E:$E,$AF101,'Full Customer List'!$H:$H,'Client Retention $'!$AF107)/1000</f>
        <v>0</v>
      </c>
      <c r="O107" s="192">
        <f>-SUMIFS('Full Customer List'!$G:$G,'Full Customer List'!$J:$J,O$1,'Full Customer List'!$E:$E,$AF101,'Full Customer List'!$H:$H,'Client Retention $'!$AF107)/1000</f>
        <v>0</v>
      </c>
      <c r="P107" s="192">
        <f>-SUMIFS('Full Customer List'!$G:$G,'Full Customer List'!$J:$J,P$1,'Full Customer List'!$E:$E,$AF101,'Full Customer List'!$H:$H,'Client Retention $'!$AF107)/1000</f>
        <v>0</v>
      </c>
      <c r="Q107" s="192">
        <f>-SUMIFS('Full Customer List'!$G:$G,'Full Customer List'!$J:$J,Q$1,'Full Customer List'!$E:$E,$AF101,'Full Customer List'!$H:$H,'Client Retention $'!$AF107)/1000</f>
        <v>0</v>
      </c>
      <c r="R107" s="192">
        <f>-SUMIFS('Full Customer List'!$G:$G,'Full Customer List'!$J:$J,R$1,'Full Customer List'!$E:$E,$AF101,'Full Customer List'!$H:$H,'Client Retention $'!$AF107)/1000</f>
        <v>-0.42499999999999999</v>
      </c>
      <c r="S107" s="192">
        <f>-SUMIFS('Full Customer List'!$G:$G,'Full Customer List'!$J:$J,S$1,'Full Customer List'!$E:$E,$AF101,'Full Customer List'!$H:$H,'Client Retention $'!$AF107)/1000</f>
        <v>0</v>
      </c>
      <c r="T107" s="192">
        <f>-SUMIFS('Full Customer List'!$G:$G,'Full Customer List'!$J:$J,T$1,'Full Customer List'!$E:$E,$AF101,'Full Customer List'!$H:$H,'Client Retention $'!$AF107)/1000</f>
        <v>-0.4</v>
      </c>
      <c r="U107" s="192">
        <f>-SUMIFS('Full Customer List'!$G:$G,'Full Customer List'!$J:$J,U$1,'Full Customer List'!$E:$E,$AF101,'Full Customer List'!$H:$H,'Client Retention $'!$AF107)/1000</f>
        <v>0</v>
      </c>
      <c r="V107" s="192">
        <f>-SUMIFS('Full Customer List'!$G:$G,'Full Customer List'!$J:$J,V$1,'Full Customer List'!$E:$E,$AF101,'Full Customer List'!$H:$H,'Client Retention $'!$AF107)/1000</f>
        <v>0</v>
      </c>
      <c r="W107" s="192">
        <f>-SUMIFS('Full Customer List'!$G:$G,'Full Customer List'!$J:$J,W$1,'Full Customer List'!$E:$E,$AF101,'Full Customer List'!$H:$H,'Client Retention $'!$AF107)/1000</f>
        <v>0</v>
      </c>
      <c r="X107" s="192">
        <f>-SUMIFS('Full Customer List'!$G:$G,'Full Customer List'!$J:$J,X$1,'Full Customer List'!$E:$E,$AF101,'Full Customer List'!$H:$H,'Client Retention $'!$AF107)/1000</f>
        <v>0</v>
      </c>
      <c r="Y107" s="192">
        <f>-SUMIFS('Full Customer List'!$G:$G,'Full Customer List'!$J:$J,Y$1,'Full Customer List'!$E:$E,$AF101,'Full Customer List'!$H:$H,'Client Retention $'!$AF107)/1000</f>
        <v>0</v>
      </c>
      <c r="Z107" s="192">
        <f>-SUMIFS('Full Customer List'!$G:$G,'Full Customer List'!$J:$J,Z$1,'Full Customer List'!$E:$E,$AF101,'Full Customer List'!$H:$H,'Client Retention $'!$AF107)/1000</f>
        <v>0</v>
      </c>
      <c r="AA107" s="192">
        <f>-SUMIFS('Full Customer List'!$G:$G,'Full Customer List'!$J:$J,AA$1,'Full Customer List'!$E:$E,$AF101,'Full Customer List'!$H:$H,'Client Retention $'!$AF107)/1000</f>
        <v>0</v>
      </c>
      <c r="AB107" s="192">
        <f>-SUMIFS('Full Customer List'!$G:$G,'Full Customer List'!$J:$J,AB$1,'Full Customer List'!$E:$E,$AF101,'Full Customer List'!$H:$H,'Client Retention $'!$AF107)/1000</f>
        <v>0</v>
      </c>
      <c r="AC107" s="192">
        <f>-SUMIFS('Full Customer List'!$G:$G,'Full Customer List'!$J:$J,AC$1,'Full Customer List'!$E:$E,$AF101,'Full Customer List'!$H:$H,'Client Retention $'!$AF107)/1000</f>
        <v>0</v>
      </c>
      <c r="AD107" s="192">
        <f>-SUMIFS('Full Customer List'!$G:$G,'Full Customer List'!$J:$J,AD$1,'Full Customer List'!$E:$E,$AF101,'Full Customer List'!$H:$H,'Client Retention $'!$AF107)/1000</f>
        <v>0</v>
      </c>
      <c r="AF107" s="173" t="s">
        <v>1531</v>
      </c>
    </row>
    <row r="108" spans="2:34" ht="12" customHeight="1">
      <c r="B108" s="252" t="s">
        <v>1532</v>
      </c>
      <c r="C108" s="255"/>
      <c r="D108" s="255"/>
      <c r="E108" s="253">
        <f>SUM(J108:U108)</f>
        <v>-0.82499999999999996</v>
      </c>
      <c r="F108" s="253">
        <f>SUM(V108:AD108)</f>
        <v>0</v>
      </c>
      <c r="G108" s="254"/>
      <c r="H108" s="253">
        <f>SUM(S108:AD108)</f>
        <v>-0.4</v>
      </c>
      <c r="I108" s="254"/>
      <c r="J108" s="255">
        <f>-SUMIFS('Full Customer List'!$G:$G,'Full Customer List'!$J:$J,J$1,'Full Customer List'!$E:$E,$AF101)/1000</f>
        <v>0</v>
      </c>
      <c r="K108" s="255">
        <f>-SUMIFS('Full Customer List'!$G:$G,'Full Customer List'!$J:$J,K$1,'Full Customer List'!$E:$E,$AF101)/1000</f>
        <v>0</v>
      </c>
      <c r="L108" s="255">
        <f>-SUMIFS('Full Customer List'!$G:$G,'Full Customer List'!$J:$J,L$1,'Full Customer List'!$E:$E,$AF101)/1000</f>
        <v>0</v>
      </c>
      <c r="M108" s="255">
        <f>-SUMIFS('Full Customer List'!$G:$G,'Full Customer List'!$J:$J,M$1,'Full Customer List'!$E:$E,$AF101)/1000</f>
        <v>0</v>
      </c>
      <c r="N108" s="255">
        <f>-SUMIFS('Full Customer List'!$G:$G,'Full Customer List'!$J:$J,N$1,'Full Customer List'!$E:$E,$AF101)/1000</f>
        <v>0</v>
      </c>
      <c r="O108" s="255">
        <f>-SUMIFS('Full Customer List'!$G:$G,'Full Customer List'!$J:$J,O$1,'Full Customer List'!$E:$E,$AF101)/1000</f>
        <v>0</v>
      </c>
      <c r="P108" s="255">
        <f>-SUMIFS('Full Customer List'!$G:$G,'Full Customer List'!$J:$J,P$1,'Full Customer List'!$E:$E,$AF101)/1000</f>
        <v>0</v>
      </c>
      <c r="Q108" s="255">
        <f>-SUMIFS('Full Customer List'!$G:$G,'Full Customer List'!$J:$J,Q$1,'Full Customer List'!$E:$E,$AF101)/1000</f>
        <v>0</v>
      </c>
      <c r="R108" s="255">
        <f>-SUMIFS('Full Customer List'!$G:$G,'Full Customer List'!$J:$J,R$1,'Full Customer List'!$E:$E,$AF101)/1000</f>
        <v>-0.42499999999999999</v>
      </c>
      <c r="S108" s="255">
        <f>-SUMIFS('Full Customer List'!$G:$G,'Full Customer List'!$J:$J,S$1,'Full Customer List'!$E:$E,$AF101)/1000</f>
        <v>0</v>
      </c>
      <c r="T108" s="255">
        <f>-SUMIFS('Full Customer List'!$G:$G,'Full Customer List'!$J:$J,T$1,'Full Customer List'!$E:$E,$AF101)/1000</f>
        <v>-0.4</v>
      </c>
      <c r="U108" s="255">
        <f>-SUMIFS('Full Customer List'!$G:$G,'Full Customer List'!$J:$J,U$1,'Full Customer List'!$E:$E,$AF101)/1000</f>
        <v>0</v>
      </c>
      <c r="V108" s="255">
        <f>-SUMIFS('Full Customer List'!$G:$G,'Full Customer List'!$J:$J,V$1,'Full Customer List'!$E:$E,$AF101)/1000</f>
        <v>0</v>
      </c>
      <c r="W108" s="255">
        <f>-SUMIFS('Full Customer List'!$G:$G,'Full Customer List'!$J:$J,W$1,'Full Customer List'!$E:$E,$AF101)/1000</f>
        <v>0</v>
      </c>
      <c r="X108" s="255">
        <f>-SUMIFS('Full Customer List'!$G:$G,'Full Customer List'!$J:$J,X$1,'Full Customer List'!$E:$E,$AF101)/1000</f>
        <v>0</v>
      </c>
      <c r="Y108" s="255">
        <f>-SUMIFS('Full Customer List'!$G:$G,'Full Customer List'!$J:$J,Y$1,'Full Customer List'!$E:$E,$AF101)/1000</f>
        <v>0</v>
      </c>
      <c r="Z108" s="255">
        <f>-SUMIFS('Full Customer List'!$G:$G,'Full Customer List'!$J:$J,Z$1,'Full Customer List'!$E:$E,$AF101)/1000</f>
        <v>0</v>
      </c>
      <c r="AA108" s="255">
        <f>-SUMIFS('Full Customer List'!$G:$G,'Full Customer List'!$J:$J,AA$1,'Full Customer List'!$E:$E,$AF101)/1000</f>
        <v>0</v>
      </c>
      <c r="AB108" s="255">
        <f>-SUMIFS('Full Customer List'!$G:$G,'Full Customer List'!$J:$J,AB$1,'Full Customer List'!$E:$E,$AF101)/1000</f>
        <v>0</v>
      </c>
      <c r="AC108" s="255">
        <f>-SUMIFS('Full Customer List'!$G:$G,'Full Customer List'!$J:$J,AC$1,'Full Customer List'!$E:$E,$AF101)/1000</f>
        <v>0</v>
      </c>
      <c r="AD108" s="255">
        <f>-SUMIFS('Full Customer List'!$G:$G,'Full Customer List'!$J:$J,AD$1,'Full Customer List'!$E:$E,$AF101)/1000</f>
        <v>0</v>
      </c>
    </row>
    <row r="109" spans="2:34" ht="12" customHeight="1">
      <c r="B109" s="256" t="s">
        <v>1546</v>
      </c>
      <c r="C109" s="257"/>
      <c r="D109" s="257"/>
      <c r="E109" s="257">
        <f>+F103</f>
        <v>6.6985833333333336</v>
      </c>
      <c r="F109" s="258">
        <f>+$AD109</f>
        <v>9.4485833333333336</v>
      </c>
      <c r="H109" s="261">
        <f>+$AD109</f>
        <v>9.4485833333333336</v>
      </c>
      <c r="J109" s="259">
        <f t="shared" ref="J109:AC109" si="51">+K103</f>
        <v>-1.3799999999999997</v>
      </c>
      <c r="K109" s="257">
        <f t="shared" si="51"/>
        <v>-1.3799999999999997</v>
      </c>
      <c r="L109" s="257">
        <f t="shared" si="51"/>
        <v>-1.3799999999999997</v>
      </c>
      <c r="M109" s="257">
        <f t="shared" si="51"/>
        <v>-1.3799999999999997</v>
      </c>
      <c r="N109" s="257">
        <f t="shared" si="51"/>
        <v>-1.3799999999999997</v>
      </c>
      <c r="O109" s="257">
        <f t="shared" si="51"/>
        <v>-1.3799999999999997</v>
      </c>
      <c r="P109" s="257">
        <f t="shared" si="51"/>
        <v>-1.3799999999999997</v>
      </c>
      <c r="Q109" s="257">
        <f t="shared" si="51"/>
        <v>-1.3799999999999997</v>
      </c>
      <c r="R109" s="257">
        <f t="shared" si="51"/>
        <v>1.6333333333333337</v>
      </c>
      <c r="S109" s="257">
        <f t="shared" si="51"/>
        <v>7.0985833333333339</v>
      </c>
      <c r="T109" s="257">
        <f t="shared" si="51"/>
        <v>6.6985833333333336</v>
      </c>
      <c r="U109" s="257">
        <f t="shared" si="51"/>
        <v>6.6985833333333336</v>
      </c>
      <c r="V109" s="257">
        <f t="shared" si="51"/>
        <v>7.8235833333333336</v>
      </c>
      <c r="W109" s="257">
        <f t="shared" si="51"/>
        <v>9.4485833333333336</v>
      </c>
      <c r="X109" s="257">
        <f t="shared" si="51"/>
        <v>9.4485833333333336</v>
      </c>
      <c r="Y109" s="257">
        <f t="shared" si="51"/>
        <v>9.4485833333333336</v>
      </c>
      <c r="Z109" s="257">
        <f t="shared" si="51"/>
        <v>9.4485833333333336</v>
      </c>
      <c r="AA109" s="257">
        <f t="shared" si="51"/>
        <v>9.4485833333333336</v>
      </c>
      <c r="AB109" s="257">
        <f t="shared" si="51"/>
        <v>9.4485833333333336</v>
      </c>
      <c r="AC109" s="257">
        <f t="shared" si="51"/>
        <v>9.4485833333333336</v>
      </c>
      <c r="AD109" s="258">
        <f>SUMIFS('Full Customer List'!$G:$G,'Full Customer List'!$C:$C,"Active",'Full Customer List'!$E:$E,'Client Retention $'!$AF101)/1000</f>
        <v>9.4485833333333336</v>
      </c>
    </row>
    <row r="110" spans="2:34" ht="3.95" customHeight="1">
      <c r="B110" s="179"/>
      <c r="C110" s="229"/>
      <c r="D110" s="229"/>
      <c r="E110" s="229"/>
      <c r="F110" s="229"/>
      <c r="H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30"/>
      <c r="AC110" s="230"/>
      <c r="AD110" s="230"/>
    </row>
    <row r="111" spans="2:34">
      <c r="B111" s="231" t="s">
        <v>1854</v>
      </c>
      <c r="C111" s="338"/>
      <c r="D111" s="338"/>
      <c r="E111" s="338">
        <f>AVERAGE(E103,E109)</f>
        <v>2.6592916666666668</v>
      </c>
      <c r="F111" s="339">
        <f>AVERAGE(F103,F109)</f>
        <v>8.0735833333333336</v>
      </c>
      <c r="G111" s="267"/>
      <c r="H111" s="342">
        <f>AVERAGE(H103,H109)</f>
        <v>5.5409583333333332</v>
      </c>
      <c r="I111" s="267"/>
      <c r="J111" s="344">
        <f t="shared" ref="J111:AD111" si="52">AVERAGE(J103,J109)</f>
        <v>-1.3799999999999997</v>
      </c>
      <c r="K111" s="338">
        <f t="shared" si="52"/>
        <v>-1.3799999999999997</v>
      </c>
      <c r="L111" s="338">
        <f t="shared" si="52"/>
        <v>-1.3799999999999997</v>
      </c>
      <c r="M111" s="338">
        <f t="shared" si="52"/>
        <v>-1.3799999999999997</v>
      </c>
      <c r="N111" s="338">
        <f t="shared" si="52"/>
        <v>-1.3799999999999997</v>
      </c>
      <c r="O111" s="338">
        <f t="shared" si="52"/>
        <v>-1.3799999999999997</v>
      </c>
      <c r="P111" s="338">
        <f t="shared" si="52"/>
        <v>-1.3799999999999997</v>
      </c>
      <c r="Q111" s="338">
        <f t="shared" si="52"/>
        <v>-1.3799999999999997</v>
      </c>
      <c r="R111" s="338">
        <f t="shared" si="52"/>
        <v>0.12666666666666704</v>
      </c>
      <c r="S111" s="338">
        <f t="shared" si="52"/>
        <v>4.3659583333333334</v>
      </c>
      <c r="T111" s="338">
        <f t="shared" si="52"/>
        <v>6.8985833333333337</v>
      </c>
      <c r="U111" s="338">
        <f t="shared" si="52"/>
        <v>6.6985833333333336</v>
      </c>
      <c r="V111" s="338">
        <f t="shared" si="52"/>
        <v>7.2610833333333336</v>
      </c>
      <c r="W111" s="338">
        <f t="shared" si="52"/>
        <v>8.6360833333333336</v>
      </c>
      <c r="X111" s="338">
        <f t="shared" si="52"/>
        <v>9.4485833333333336</v>
      </c>
      <c r="Y111" s="338">
        <f t="shared" si="52"/>
        <v>9.4485833333333336</v>
      </c>
      <c r="Z111" s="338">
        <f t="shared" si="52"/>
        <v>9.4485833333333336</v>
      </c>
      <c r="AA111" s="338">
        <f t="shared" si="52"/>
        <v>9.4485833333333336</v>
      </c>
      <c r="AB111" s="338">
        <f t="shared" si="52"/>
        <v>9.4485833333333336</v>
      </c>
      <c r="AC111" s="338">
        <f t="shared" si="52"/>
        <v>9.4485833333333336</v>
      </c>
      <c r="AD111" s="339">
        <f t="shared" si="52"/>
        <v>9.4485833333333336</v>
      </c>
    </row>
    <row r="112" spans="2:34">
      <c r="B112" s="234" t="s">
        <v>1853</v>
      </c>
      <c r="C112" s="340"/>
      <c r="D112" s="340"/>
      <c r="E112" s="340">
        <f>IFERROR(E111/'Client Retention'!E105*12,"")</f>
        <v>7.9778750000000009</v>
      </c>
      <c r="F112" s="341">
        <f>IFERROR(F111/'Client Retention'!F105*12,"")</f>
        <v>10.198210526315791</v>
      </c>
      <c r="G112" s="267"/>
      <c r="H112" s="343">
        <f>IFERROR(H111/'Client Retention'!H105*12,"")</f>
        <v>11.081916666666666</v>
      </c>
      <c r="I112" s="267"/>
      <c r="J112" s="345" t="str">
        <f>IFERROR(J111/'Client Retention'!J105*12,"")</f>
        <v/>
      </c>
      <c r="K112" s="340" t="str">
        <f>IFERROR(K111/'Client Retention'!K105*12,"")</f>
        <v/>
      </c>
      <c r="L112" s="340" t="str">
        <f>IFERROR(L111/'Client Retention'!L105*12,"")</f>
        <v/>
      </c>
      <c r="M112" s="340" t="str">
        <f>IFERROR(M111/'Client Retention'!M105*12,"")</f>
        <v/>
      </c>
      <c r="N112" s="340" t="str">
        <f>IFERROR(N111/'Client Retention'!N105*12,"")</f>
        <v/>
      </c>
      <c r="O112" s="340" t="str">
        <f>IFERROR(O111/'Client Retention'!O105*12,"")</f>
        <v/>
      </c>
      <c r="P112" s="340" t="str">
        <f>IFERROR(P111/'Client Retention'!P105*12,"")</f>
        <v/>
      </c>
      <c r="Q112" s="340" t="str">
        <f>IFERROR(Q111/'Client Retention'!Q105*12,"")</f>
        <v/>
      </c>
      <c r="R112" s="340">
        <f>IFERROR(R111/'Client Retention'!R105*12,"")</f>
        <v>3.0400000000000089</v>
      </c>
      <c r="S112" s="340">
        <f>IFERROR(S111/'Client Retention'!S105*12,"")</f>
        <v>10.478300000000001</v>
      </c>
      <c r="T112" s="340">
        <f>IFERROR(T111/'Client Retention'!T105*12,"")</f>
        <v>9.7391764705882355</v>
      </c>
      <c r="U112" s="340">
        <f>IFERROR(U111/'Client Retention'!U105*12,"")</f>
        <v>10.047875000000001</v>
      </c>
      <c r="V112" s="340">
        <f>IFERROR(V111/'Client Retention'!V105*12,"")</f>
        <v>10.250941176470588</v>
      </c>
      <c r="W112" s="340">
        <f>IFERROR(W111/'Client Retention'!W105*12,"")</f>
        <v>10.363299999999999</v>
      </c>
      <c r="X112" s="340">
        <f>IFERROR(X111/'Client Retention'!X105*12,"")</f>
        <v>10.307545454545455</v>
      </c>
      <c r="Y112" s="340">
        <f>IFERROR(Y111/'Client Retention'!Y105*12,"")</f>
        <v>10.307545454545455</v>
      </c>
      <c r="Z112" s="340">
        <f>IFERROR(Z111/'Client Retention'!Z105*12,"")</f>
        <v>10.307545454545455</v>
      </c>
      <c r="AA112" s="340">
        <f>IFERROR(AA111/'Client Retention'!AA105*12,"")</f>
        <v>10.307545454545455</v>
      </c>
      <c r="AB112" s="340">
        <f>IFERROR(AB111/'Client Retention'!AB105*12,"")</f>
        <v>10.307545454545455</v>
      </c>
      <c r="AC112" s="340">
        <f>IFERROR(AC111/'Client Retention'!AC105*12,"")</f>
        <v>10.307545454545455</v>
      </c>
      <c r="AD112" s="341">
        <f>IFERROR(AD111/'Client Retention'!AD105*12,"")</f>
        <v>10.307545454545455</v>
      </c>
    </row>
    <row r="113" spans="2:37" ht="3.95" customHeight="1">
      <c r="B113" s="179"/>
      <c r="C113" s="229"/>
      <c r="D113" s="229"/>
      <c r="E113" s="229"/>
      <c r="F113" s="229"/>
      <c r="H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30"/>
      <c r="AC113" s="230"/>
      <c r="AD113" s="230"/>
    </row>
    <row r="114" spans="2:37" ht="12" customHeight="1">
      <c r="B114" s="231" t="s">
        <v>1547</v>
      </c>
      <c r="C114" s="232"/>
      <c r="D114" s="232"/>
      <c r="E114" s="233">
        <f>(E104+E103)/E103-1</f>
        <v>-6.4518719806763283</v>
      </c>
      <c r="F114" s="244">
        <f>(F104+F103)/F103-1</f>
        <v>0.41053456576639347</v>
      </c>
      <c r="G114" s="245"/>
      <c r="H114" s="246">
        <f>(H104+H103)/H103-1</f>
        <v>5.029744897959187</v>
      </c>
      <c r="J114" s="243">
        <f t="shared" ref="J114:T114" si="53">(J104+J103)/J103-1</f>
        <v>0</v>
      </c>
      <c r="K114" s="233">
        <f t="shared" si="53"/>
        <v>0</v>
      </c>
      <c r="L114" s="233">
        <f t="shared" si="53"/>
        <v>0</v>
      </c>
      <c r="M114" s="233">
        <f t="shared" si="53"/>
        <v>0</v>
      </c>
      <c r="N114" s="233">
        <f t="shared" si="53"/>
        <v>0</v>
      </c>
      <c r="O114" s="233">
        <f t="shared" si="53"/>
        <v>0</v>
      </c>
      <c r="P114" s="233">
        <f t="shared" si="53"/>
        <v>0</v>
      </c>
      <c r="Q114" s="233">
        <f t="shared" si="53"/>
        <v>0</v>
      </c>
      <c r="R114" s="233">
        <f t="shared" si="53"/>
        <v>-2.4915458937198074</v>
      </c>
      <c r="S114" s="233">
        <f t="shared" si="53"/>
        <v>3.3460714285714275</v>
      </c>
      <c r="T114" s="233">
        <f t="shared" si="53"/>
        <v>0</v>
      </c>
      <c r="U114" s="233">
        <f t="shared" ref="U114:AD114" si="54">IFERROR((U104+U103)/U103-1,0)</f>
        <v>0</v>
      </c>
      <c r="V114" s="233">
        <f t="shared" si="54"/>
        <v>0.16794595872261553</v>
      </c>
      <c r="W114" s="233">
        <f t="shared" si="54"/>
        <v>0.20770533536422997</v>
      </c>
      <c r="X114" s="233">
        <f t="shared" si="54"/>
        <v>0</v>
      </c>
      <c r="Y114" s="233">
        <f t="shared" si="54"/>
        <v>0</v>
      </c>
      <c r="Z114" s="233">
        <f t="shared" si="54"/>
        <v>0</v>
      </c>
      <c r="AA114" s="233">
        <f t="shared" si="54"/>
        <v>0</v>
      </c>
      <c r="AB114" s="233">
        <f t="shared" si="54"/>
        <v>0</v>
      </c>
      <c r="AC114" s="233">
        <f t="shared" si="54"/>
        <v>0</v>
      </c>
      <c r="AD114" s="244">
        <f t="shared" si="54"/>
        <v>0</v>
      </c>
    </row>
    <row r="115" spans="2:37" ht="12" customHeight="1">
      <c r="B115" s="234" t="s">
        <v>1548</v>
      </c>
      <c r="C115" s="235"/>
      <c r="D115" s="235"/>
      <c r="E115" s="236">
        <f>(E108+E111)/E111-1</f>
        <v>-0.31023298810773547</v>
      </c>
      <c r="F115" s="237">
        <f>(F108+F111)/F111-1</f>
        <v>0</v>
      </c>
      <c r="G115" s="245"/>
      <c r="H115" s="239">
        <f>(H108+H111)/H111-1</f>
        <v>-7.2189678379943389E-2</v>
      </c>
      <c r="J115" s="238">
        <f t="shared" ref="J115:AD115" si="55">(J108+J111)/J111-1</f>
        <v>0</v>
      </c>
      <c r="K115" s="236">
        <f t="shared" si="55"/>
        <v>0</v>
      </c>
      <c r="L115" s="236">
        <f t="shared" si="55"/>
        <v>0</v>
      </c>
      <c r="M115" s="236">
        <f t="shared" si="55"/>
        <v>0</v>
      </c>
      <c r="N115" s="236">
        <f t="shared" si="55"/>
        <v>0</v>
      </c>
      <c r="O115" s="236">
        <f t="shared" si="55"/>
        <v>0</v>
      </c>
      <c r="P115" s="236">
        <f t="shared" si="55"/>
        <v>0</v>
      </c>
      <c r="Q115" s="236">
        <f t="shared" si="55"/>
        <v>0</v>
      </c>
      <c r="R115" s="236">
        <f t="shared" si="55"/>
        <v>-3.355263157894727</v>
      </c>
      <c r="S115" s="236">
        <f t="shared" si="55"/>
        <v>0</v>
      </c>
      <c r="T115" s="236">
        <f t="shared" si="55"/>
        <v>-5.7982919198386162E-2</v>
      </c>
      <c r="U115" s="236">
        <f t="shared" si="55"/>
        <v>0</v>
      </c>
      <c r="V115" s="236">
        <f t="shared" si="55"/>
        <v>0</v>
      </c>
      <c r="W115" s="236">
        <f t="shared" si="55"/>
        <v>0</v>
      </c>
      <c r="X115" s="236">
        <f t="shared" si="55"/>
        <v>0</v>
      </c>
      <c r="Y115" s="236">
        <f t="shared" si="55"/>
        <v>0</v>
      </c>
      <c r="Z115" s="236">
        <f t="shared" si="55"/>
        <v>0</v>
      </c>
      <c r="AA115" s="236">
        <f t="shared" si="55"/>
        <v>0</v>
      </c>
      <c r="AB115" s="236">
        <f t="shared" si="55"/>
        <v>0</v>
      </c>
      <c r="AC115" s="236">
        <f t="shared" si="55"/>
        <v>0</v>
      </c>
      <c r="AD115" s="237">
        <f t="shared" si="55"/>
        <v>0</v>
      </c>
    </row>
    <row r="116" spans="2:37" ht="15">
      <c r="AK116"/>
    </row>
    <row r="117" spans="2:37" ht="15">
      <c r="AK117"/>
    </row>
    <row r="118" spans="2:37" ht="15">
      <c r="AK118"/>
    </row>
    <row r="119" spans="2:37" ht="15">
      <c r="AK119"/>
    </row>
    <row r="120" spans="2:37" ht="15">
      <c r="AK120"/>
    </row>
    <row r="121" spans="2:37" ht="15">
      <c r="AK121"/>
    </row>
    <row r="122" spans="2:37" ht="15">
      <c r="AK122"/>
    </row>
    <row r="123" spans="2:37" ht="15">
      <c r="AK123"/>
    </row>
    <row r="124" spans="2:37" ht="15">
      <c r="AK124"/>
    </row>
    <row r="125" spans="2:37" ht="15">
      <c r="AK125"/>
    </row>
    <row r="126" spans="2:37" ht="15">
      <c r="AK126"/>
    </row>
    <row r="127" spans="2:37" ht="15">
      <c r="AK127"/>
    </row>
    <row r="128" spans="2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AK148"/>
    </row>
    <row r="149" spans="3:37" ht="15"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C155" s="195">
        <v>44926</v>
      </c>
      <c r="D155" s="197">
        <f>C156</f>
        <v>45291</v>
      </c>
      <c r="E155" s="197">
        <f>D156</f>
        <v>45657</v>
      </c>
      <c r="AK155"/>
    </row>
    <row r="156" spans="3:37" ht="15">
      <c r="C156" s="196">
        <f>EOMONTH(C155,12)</f>
        <v>45291</v>
      </c>
      <c r="D156" s="196">
        <f>EOMONTH(D155,12)</f>
        <v>45657</v>
      </c>
      <c r="E156" s="196">
        <f>EOMONTH(E155,12)</f>
        <v>46022</v>
      </c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  <row r="397" spans="37:37" ht="15">
      <c r="AK397"/>
    </row>
    <row r="398" spans="37:37" ht="15">
      <c r="AK398"/>
    </row>
    <row r="399" spans="37:37" ht="15">
      <c r="AK399"/>
    </row>
    <row r="400" spans="37:37" ht="15">
      <c r="AK400"/>
    </row>
    <row r="401" spans="37:37" ht="15">
      <c r="AK401"/>
    </row>
    <row r="402" spans="37:37" ht="15">
      <c r="AK402"/>
    </row>
    <row r="403" spans="37:37" ht="15">
      <c r="AK403"/>
    </row>
  </sheetData>
  <conditionalFormatting sqref="A6:XFD19 A22:XFD35 A38:XFD51 A54:XFD67 A70:XFD83 A86:XFD99 A102:XFD115">
    <cfRule type="expression" dxfId="60" priority="1">
      <formula>$AG$3=1</formula>
    </cfRule>
  </conditionalFormatting>
  <conditionalFormatting sqref="B6:H6 J6:AH6">
    <cfRule type="expression" dxfId="59" priority="19">
      <formula>$Y$3=1</formula>
    </cfRule>
  </conditionalFormatting>
  <conditionalFormatting sqref="B22:H22 J22:AH22">
    <cfRule type="expression" dxfId="58" priority="7">
      <formula>$Y$3=1</formula>
    </cfRule>
  </conditionalFormatting>
  <conditionalFormatting sqref="B38:H38">
    <cfRule type="expression" dxfId="57" priority="6">
      <formula>$Y$3=1</formula>
    </cfRule>
  </conditionalFormatting>
  <conditionalFormatting sqref="B54:H54">
    <cfRule type="expression" dxfId="56" priority="5">
      <formula>$Y$3=1</formula>
    </cfRule>
  </conditionalFormatting>
  <conditionalFormatting sqref="B70:H70">
    <cfRule type="expression" dxfId="55" priority="4">
      <formula>$Y$3=1</formula>
    </cfRule>
  </conditionalFormatting>
  <conditionalFormatting sqref="B86:H86">
    <cfRule type="expression" dxfId="54" priority="3">
      <formula>$Y$3=1</formula>
    </cfRule>
  </conditionalFormatting>
  <conditionalFormatting sqref="B102:H102">
    <cfRule type="expression" dxfId="53" priority="2">
      <formula>$Y$3=1</formula>
    </cfRule>
  </conditionalFormatting>
  <conditionalFormatting sqref="J38:AH38">
    <cfRule type="expression" dxfId="52" priority="17">
      <formula>$Y$3=1</formula>
    </cfRule>
  </conditionalFormatting>
  <conditionalFormatting sqref="J54:AH54">
    <cfRule type="expression" dxfId="51" priority="13">
      <formula>$Y$3=1</formula>
    </cfRule>
  </conditionalFormatting>
  <conditionalFormatting sqref="J70:AH70">
    <cfRule type="expression" dxfId="50" priority="16">
      <formula>$Y$3=1</formula>
    </cfRule>
  </conditionalFormatting>
  <conditionalFormatting sqref="J86:AH86">
    <cfRule type="expression" dxfId="49" priority="15">
      <formula>$Y$3=1</formula>
    </cfRule>
  </conditionalFormatting>
  <conditionalFormatting sqref="J102:AH102">
    <cfRule type="expression" dxfId="48" priority="10">
      <formula>$Y$3=1</formula>
    </cfRule>
  </conditionalFormatting>
  <pageMargins left="0.7" right="0.7" top="0.75" bottom="0.75" header="0.3" footer="0.3"/>
  <pageSetup scale="71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 $'!B2</f>
        <v>Keystone Bookkeepers</v>
      </c>
    </row>
    <row r="3" spans="2:12">
      <c r="B3" s="38" t="s">
        <v>1549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3">
      <c r="B85" s="264" t="str">
        <f>+'Client Retention $'!B22</f>
        <v>Property Manager, STR Owner &amp; Short-Term Rental</v>
      </c>
      <c r="C85" s="189">
        <v>45658</v>
      </c>
      <c r="D85" s="189">
        <f t="shared" ref="D85:I85" si="0">EOMONTH(C85,0)+1</f>
        <v>45689</v>
      </c>
      <c r="E85" s="189">
        <f t="shared" si="0"/>
        <v>45717</v>
      </c>
      <c r="F85" s="189">
        <f t="shared" si="0"/>
        <v>45748</v>
      </c>
      <c r="G85" s="189">
        <f t="shared" si="0"/>
        <v>45778</v>
      </c>
      <c r="H85" s="189">
        <f t="shared" si="0"/>
        <v>45809</v>
      </c>
      <c r="I85" s="189">
        <f t="shared" si="0"/>
        <v>45839</v>
      </c>
      <c r="J85" s="189">
        <v>45870</v>
      </c>
      <c r="K85" s="189">
        <f t="shared" ref="K85:W85" si="1">EOMONTH(J85,0)+1</f>
        <v>45901</v>
      </c>
      <c r="L85" s="189">
        <f t="shared" si="1"/>
        <v>45931</v>
      </c>
      <c r="M85" s="189">
        <f t="shared" si="1"/>
        <v>45962</v>
      </c>
      <c r="N85" s="189">
        <f t="shared" si="1"/>
        <v>45992</v>
      </c>
      <c r="O85" s="189">
        <f t="shared" si="1"/>
        <v>46023</v>
      </c>
      <c r="P85" s="189">
        <f t="shared" si="1"/>
        <v>46054</v>
      </c>
      <c r="Q85" s="189">
        <f t="shared" si="1"/>
        <v>46082</v>
      </c>
      <c r="R85" s="189">
        <f t="shared" si="1"/>
        <v>46113</v>
      </c>
      <c r="S85" s="189">
        <f t="shared" si="1"/>
        <v>46143</v>
      </c>
      <c r="T85" s="189">
        <f t="shared" si="1"/>
        <v>46174</v>
      </c>
      <c r="U85" s="189">
        <f t="shared" si="1"/>
        <v>46204</v>
      </c>
      <c r="V85" s="189">
        <f t="shared" si="1"/>
        <v>46235</v>
      </c>
      <c r="W85" s="189">
        <f t="shared" si="1"/>
        <v>46266</v>
      </c>
    </row>
    <row r="86" spans="2:23">
      <c r="B86" s="263" t="s">
        <v>1534</v>
      </c>
      <c r="C86" s="47">
        <f>+'Client Retention $'!J24</f>
        <v>11.66733</v>
      </c>
      <c r="D86" s="47">
        <f>+'Client Retention $'!K24</f>
        <v>4.5529999999999999</v>
      </c>
      <c r="E86" s="47">
        <f>+'Client Retention $'!L24</f>
        <v>14.481333333333332</v>
      </c>
      <c r="F86" s="47">
        <f>+'Client Retention $'!M24</f>
        <v>5.1738333333333335</v>
      </c>
      <c r="G86" s="47">
        <f>+'Client Retention $'!N24</f>
        <v>9.652666666666665</v>
      </c>
      <c r="H86" s="47">
        <f>+'Client Retention $'!O24</f>
        <v>3.9176333333333337</v>
      </c>
      <c r="I86" s="47">
        <f>+'Client Retention $'!P24</f>
        <v>5.5756333333333332</v>
      </c>
      <c r="J86" s="47">
        <f>+'Client Retention $'!Q24</f>
        <v>6.334953333333333</v>
      </c>
      <c r="K86" s="47">
        <f>+'Client Retention $'!R24</f>
        <v>7.2904566666666666</v>
      </c>
      <c r="L86" s="47">
        <f>+'Client Retention $'!S24</f>
        <v>10.801833333333335</v>
      </c>
      <c r="M86" s="47">
        <f>+'Client Retention $'!T24</f>
        <v>8.9833333333333343</v>
      </c>
      <c r="N86" s="47">
        <f>+'Client Retention $'!U24</f>
        <v>11.776816666666665</v>
      </c>
      <c r="O86" s="47">
        <f>+'Client Retention $'!V24</f>
        <v>10.026666666666666</v>
      </c>
      <c r="P86" s="47">
        <f>+'Client Retention $'!W24</f>
        <v>7.198833333333333</v>
      </c>
      <c r="Q86" s="47">
        <f>+'Client Retention $'!X24</f>
        <v>7.3784666666666672</v>
      </c>
      <c r="R86" s="47">
        <f>+'Client Retention $'!Y24</f>
        <v>12.933333333333334</v>
      </c>
      <c r="S86" s="47">
        <f>+'Client Retention $'!Z24</f>
        <v>15.057333333333334</v>
      </c>
      <c r="T86" s="47">
        <f>+'Client Retention $'!AA24</f>
        <v>4.86625</v>
      </c>
      <c r="U86" s="47">
        <f>+'Client Retention $'!AB24</f>
        <v>12.428999999999998</v>
      </c>
      <c r="V86" s="47">
        <f>+'Client Retention $'!AC24</f>
        <v>4.8780000000000001</v>
      </c>
      <c r="W86" s="47">
        <f>+'Client Retention $'!AD24</f>
        <v>5.8949999999999996</v>
      </c>
    </row>
    <row r="87" spans="2:23">
      <c r="B87" s="263" t="s">
        <v>1535</v>
      </c>
      <c r="C87" s="47">
        <f>-'Client Retention $'!J25</f>
        <v>0</v>
      </c>
      <c r="D87" s="47">
        <f>-'Client Retention $'!K25</f>
        <v>0.82499999999999996</v>
      </c>
      <c r="E87" s="47">
        <f>-'Client Retention $'!L25</f>
        <v>0.39500000000000002</v>
      </c>
      <c r="F87" s="47">
        <f>-'Client Retention $'!M25</f>
        <v>1.9383333333333332</v>
      </c>
      <c r="G87" s="47">
        <f>-'Client Retention $'!N25</f>
        <v>0</v>
      </c>
      <c r="H87" s="47">
        <f>-'Client Retention $'!O25</f>
        <v>2.4851666666666663</v>
      </c>
      <c r="I87" s="47">
        <f>-'Client Retention $'!P25</f>
        <v>3.2996666666666665</v>
      </c>
      <c r="J87" s="47">
        <f>-'Client Retention $'!Q25</f>
        <v>0.57833333333333337</v>
      </c>
      <c r="K87" s="47">
        <f>-'Client Retention $'!R25</f>
        <v>1.65</v>
      </c>
      <c r="L87" s="47">
        <f>-'Client Retention $'!S25</f>
        <v>0.63</v>
      </c>
      <c r="M87" s="47">
        <f>-'Client Retention $'!T25</f>
        <v>2.1783333333333337</v>
      </c>
      <c r="N87" s="47">
        <f>-'Client Retention $'!U25</f>
        <v>3.8526133333333332</v>
      </c>
      <c r="O87" s="47">
        <f>-'Client Retention $'!V25</f>
        <v>0.11</v>
      </c>
      <c r="P87" s="47">
        <f>-'Client Retention $'!W25</f>
        <v>0.42499999999999999</v>
      </c>
      <c r="Q87" s="47">
        <f>-'Client Retention $'!X25</f>
        <v>0.92333333333333334</v>
      </c>
      <c r="R87" s="47">
        <f>-'Client Retention $'!Y25</f>
        <v>3.9699999999999998</v>
      </c>
      <c r="S87" s="47">
        <f>-'Client Retention $'!Z25</f>
        <v>4.6908333333333339</v>
      </c>
      <c r="T87" s="47">
        <f>-'Client Retention $'!AA25</f>
        <v>1.7903333333333333</v>
      </c>
      <c r="U87" s="47">
        <f>-'Client Retention $'!AB25</f>
        <v>2.9066666666666667</v>
      </c>
      <c r="V87" s="47">
        <f>-'Client Retention $'!AC25</f>
        <v>0</v>
      </c>
      <c r="W87" s="47">
        <f>-'Client Retention $'!AD25</f>
        <v>0</v>
      </c>
    </row>
    <row r="88" spans="2:23">
      <c r="B88" s="263" t="s">
        <v>1536</v>
      </c>
      <c r="C88" s="47">
        <f>-'Client Retention $'!J26</f>
        <v>1.525625</v>
      </c>
      <c r="D88" s="47">
        <f>-'Client Retention $'!K26</f>
        <v>8.5000000000000006E-2</v>
      </c>
      <c r="E88" s="47">
        <f>-'Client Retention $'!L26</f>
        <v>0.37524999999999997</v>
      </c>
      <c r="F88" s="47">
        <f>-'Client Retention $'!M26</f>
        <v>0.39500000000000002</v>
      </c>
      <c r="G88" s="47">
        <f>-'Client Retention $'!N26</f>
        <v>0.47</v>
      </c>
      <c r="H88" s="47">
        <f>-'Client Retention $'!O26</f>
        <v>0.33666666666666667</v>
      </c>
      <c r="I88" s="47">
        <f>-'Client Retention $'!P26</f>
        <v>0</v>
      </c>
      <c r="J88" s="47">
        <f>-'Client Retention $'!Q26</f>
        <v>0</v>
      </c>
      <c r="K88" s="47">
        <f>-'Client Retention $'!R26</f>
        <v>0.49</v>
      </c>
      <c r="L88" s="47">
        <f>-'Client Retention $'!S26</f>
        <v>0</v>
      </c>
      <c r="M88" s="47">
        <f>-'Client Retention $'!T26</f>
        <v>4.2608333333333341</v>
      </c>
      <c r="N88" s="47">
        <f>-'Client Retention $'!U26</f>
        <v>1.4583333333333335</v>
      </c>
      <c r="O88" s="47">
        <f>-'Client Retention $'!V26</f>
        <v>3.2283333333333335</v>
      </c>
      <c r="P88" s="47">
        <f>-'Client Retention $'!W26</f>
        <v>0</v>
      </c>
      <c r="Q88" s="47">
        <f>-'Client Retention $'!X26</f>
        <v>0</v>
      </c>
      <c r="R88" s="47">
        <f>-'Client Retention $'!Y26</f>
        <v>0.54</v>
      </c>
      <c r="S88" s="47">
        <f>-'Client Retention $'!Z26</f>
        <v>1.6836666666666664</v>
      </c>
      <c r="T88" s="47">
        <f>-'Client Retention $'!AA26</f>
        <v>0</v>
      </c>
      <c r="U88" s="47">
        <f>-'Client Retention $'!AB26</f>
        <v>1.5</v>
      </c>
      <c r="V88" s="47">
        <f>-'Client Retention $'!AC26</f>
        <v>0</v>
      </c>
      <c r="W88" s="47">
        <f>-'Client Retention $'!AD26</f>
        <v>0</v>
      </c>
    </row>
    <row r="89" spans="2:23">
      <c r="B89" s="263" t="s">
        <v>1537</v>
      </c>
      <c r="C89" s="47">
        <f>-'Client Retention $'!J27</f>
        <v>0</v>
      </c>
      <c r="D89" s="47">
        <f>-'Client Retention $'!K27</f>
        <v>0</v>
      </c>
      <c r="E89" s="47">
        <f>-'Client Retention $'!L27</f>
        <v>0</v>
      </c>
      <c r="F89" s="47">
        <f>-'Client Retention $'!M27</f>
        <v>0</v>
      </c>
      <c r="G89" s="47">
        <f>-'Client Retention $'!N27</f>
        <v>0</v>
      </c>
      <c r="H89" s="47">
        <f>-'Client Retention $'!O27</f>
        <v>0</v>
      </c>
      <c r="I89" s="47">
        <f>-'Client Retention $'!P27</f>
        <v>0</v>
      </c>
      <c r="J89" s="47">
        <f>-'Client Retention $'!Q27</f>
        <v>0</v>
      </c>
      <c r="K89" s="47">
        <f>-'Client Retention $'!R27</f>
        <v>0</v>
      </c>
      <c r="L89" s="47">
        <f>-'Client Retention $'!S27</f>
        <v>0</v>
      </c>
      <c r="M89" s="47">
        <f>-'Client Retention $'!T27</f>
        <v>0</v>
      </c>
      <c r="N89" s="47">
        <f>-'Client Retention $'!U27</f>
        <v>0</v>
      </c>
      <c r="O89" s="47">
        <f>-'Client Retention $'!V27</f>
        <v>0</v>
      </c>
      <c r="P89" s="47">
        <f>-'Client Retention $'!W27</f>
        <v>0</v>
      </c>
      <c r="Q89" s="47">
        <f>-'Client Retention $'!X27</f>
        <v>2.7650000000000001</v>
      </c>
      <c r="R89" s="47">
        <f>-'Client Retention $'!Y27</f>
        <v>2.7353333333333336</v>
      </c>
      <c r="S89" s="47">
        <f>-'Client Retention $'!Z27</f>
        <v>2.319</v>
      </c>
      <c r="T89" s="47">
        <f>-'Client Retention $'!AA27</f>
        <v>0</v>
      </c>
      <c r="U89" s="47">
        <f>-'Client Retention $'!AB27</f>
        <v>1.097</v>
      </c>
      <c r="V89" s="47">
        <f>-'Client Retention $'!AC27</f>
        <v>2.7416666666666667</v>
      </c>
      <c r="W89" s="47">
        <f>-'Client Retention $'!AD27</f>
        <v>0</v>
      </c>
    </row>
    <row r="91" spans="2:23">
      <c r="B91" s="264" t="str">
        <f>+B85</f>
        <v>Property Manager, STR Owner &amp; Short-Term Rental</v>
      </c>
      <c r="C91" s="189">
        <v>45658</v>
      </c>
      <c r="D91" s="189">
        <f t="shared" ref="D91:I91" si="2">EOMONTH(C91,0)+1</f>
        <v>45689</v>
      </c>
      <c r="E91" s="189">
        <f t="shared" si="2"/>
        <v>45717</v>
      </c>
      <c r="F91" s="189">
        <f t="shared" si="2"/>
        <v>45748</v>
      </c>
      <c r="G91" s="189">
        <f t="shared" si="2"/>
        <v>45778</v>
      </c>
      <c r="H91" s="189">
        <f t="shared" si="2"/>
        <v>45809</v>
      </c>
      <c r="I91" s="189">
        <f t="shared" si="2"/>
        <v>45839</v>
      </c>
      <c r="J91" s="189">
        <v>45870</v>
      </c>
      <c r="K91" s="189">
        <f t="shared" ref="K91:W91" si="3">EOMONTH(J91,0)+1</f>
        <v>45901</v>
      </c>
      <c r="L91" s="189">
        <f t="shared" si="3"/>
        <v>45931</v>
      </c>
      <c r="M91" s="189">
        <f t="shared" si="3"/>
        <v>45962</v>
      </c>
      <c r="N91" s="189">
        <f t="shared" si="3"/>
        <v>45992</v>
      </c>
      <c r="O91" s="189">
        <f t="shared" si="3"/>
        <v>46023</v>
      </c>
      <c r="P91" s="189">
        <f t="shared" si="3"/>
        <v>46054</v>
      </c>
      <c r="Q91" s="189">
        <f t="shared" si="3"/>
        <v>46082</v>
      </c>
      <c r="R91" s="189">
        <f t="shared" si="3"/>
        <v>46113</v>
      </c>
      <c r="S91" s="189">
        <f t="shared" si="3"/>
        <v>46143</v>
      </c>
      <c r="T91" s="189">
        <f t="shared" si="3"/>
        <v>46174</v>
      </c>
      <c r="U91" s="189">
        <f t="shared" si="3"/>
        <v>46204</v>
      </c>
      <c r="V91" s="189">
        <f t="shared" si="3"/>
        <v>46235</v>
      </c>
      <c r="W91" s="189">
        <f t="shared" si="3"/>
        <v>46266</v>
      </c>
    </row>
    <row r="92" spans="2:23">
      <c r="B92" s="263" t="s">
        <v>1534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3" t="s">
        <v>1538</v>
      </c>
      <c r="C93" s="47">
        <f>-'Client Retention $'!J28</f>
        <v>1.525625</v>
      </c>
      <c r="D93" s="47">
        <f>-'Client Retention $'!K28</f>
        <v>0.91</v>
      </c>
      <c r="E93" s="47">
        <f>-'Client Retention $'!L28</f>
        <v>0.77024999999999999</v>
      </c>
      <c r="F93" s="47">
        <f>-'Client Retention $'!M28</f>
        <v>2.333333333333333</v>
      </c>
      <c r="G93" s="47">
        <f>-'Client Retention $'!N28</f>
        <v>0.47</v>
      </c>
      <c r="H93" s="47">
        <f>-'Client Retention $'!O28</f>
        <v>2.8218333333333336</v>
      </c>
      <c r="I93" s="47">
        <f>-'Client Retention $'!P28</f>
        <v>3.2996666666666665</v>
      </c>
      <c r="J93" s="47">
        <f>-'Client Retention $'!Q28</f>
        <v>0.57833333333333337</v>
      </c>
      <c r="K93" s="47">
        <f>-'Client Retention $'!R28</f>
        <v>2.14</v>
      </c>
      <c r="L93" s="47">
        <f>-'Client Retention $'!S28</f>
        <v>0.63</v>
      </c>
      <c r="M93" s="47">
        <f>-'Client Retention $'!T28</f>
        <v>6.4391666666666678</v>
      </c>
      <c r="N93" s="47">
        <f>-'Client Retention $'!U28</f>
        <v>5.3109466666666663</v>
      </c>
      <c r="O93" s="47">
        <f>-'Client Retention $'!V28</f>
        <v>3.3383333333333334</v>
      </c>
      <c r="P93" s="47">
        <f>-'Client Retention $'!W28</f>
        <v>0.42499999999999999</v>
      </c>
      <c r="Q93" s="47">
        <f>-'Client Retention $'!X28</f>
        <v>3.6883333333333335</v>
      </c>
      <c r="R93" s="47">
        <f>-'Client Retention $'!Y28</f>
        <v>7.245333333333333</v>
      </c>
      <c r="S93" s="47">
        <f>-'Client Retention $'!Z28</f>
        <v>8.6935000000000002</v>
      </c>
      <c r="T93" s="47">
        <f>-'Client Retention $'!AA28</f>
        <v>1.7903333333333333</v>
      </c>
      <c r="U93" s="47">
        <f>-'Client Retention $'!AB28</f>
        <v>5.5036666666666667</v>
      </c>
      <c r="V93" s="47">
        <f>-'Client Retention $'!AC28</f>
        <v>2.7416666666666667</v>
      </c>
      <c r="W93" s="47">
        <f>-'Client Retention $'!AD28</f>
        <v>0</v>
      </c>
    </row>
    <row r="95" spans="2:23">
      <c r="B95" s="264" t="str">
        <f>+'Client Retention $'!B38</f>
        <v>Property Manager</v>
      </c>
      <c r="C95" s="189">
        <v>45658</v>
      </c>
      <c r="D95" s="189">
        <f t="shared" ref="D95:I95" si="5">EOMONTH(C95,0)+1</f>
        <v>45689</v>
      </c>
      <c r="E95" s="189">
        <f t="shared" si="5"/>
        <v>45717</v>
      </c>
      <c r="F95" s="189">
        <f t="shared" si="5"/>
        <v>45748</v>
      </c>
      <c r="G95" s="189">
        <f t="shared" si="5"/>
        <v>45778</v>
      </c>
      <c r="H95" s="189">
        <f t="shared" si="5"/>
        <v>45809</v>
      </c>
      <c r="I95" s="189">
        <f t="shared" si="5"/>
        <v>45839</v>
      </c>
      <c r="J95" s="189">
        <v>45870</v>
      </c>
      <c r="K95" s="189">
        <f t="shared" ref="K95:W95" si="6">EOMONTH(J95,0)+1</f>
        <v>45901</v>
      </c>
      <c r="L95" s="189">
        <f t="shared" si="6"/>
        <v>45931</v>
      </c>
      <c r="M95" s="189">
        <f t="shared" si="6"/>
        <v>45962</v>
      </c>
      <c r="N95" s="189">
        <f t="shared" si="6"/>
        <v>45992</v>
      </c>
      <c r="O95" s="189">
        <f t="shared" si="6"/>
        <v>46023</v>
      </c>
      <c r="P95" s="189">
        <f t="shared" si="6"/>
        <v>46054</v>
      </c>
      <c r="Q95" s="189">
        <f t="shared" si="6"/>
        <v>46082</v>
      </c>
      <c r="R95" s="189">
        <f t="shared" si="6"/>
        <v>46113</v>
      </c>
      <c r="S95" s="189">
        <f t="shared" si="6"/>
        <v>46143</v>
      </c>
      <c r="T95" s="189">
        <f t="shared" si="6"/>
        <v>46174</v>
      </c>
      <c r="U95" s="189">
        <f t="shared" si="6"/>
        <v>46204</v>
      </c>
      <c r="V95" s="189">
        <f t="shared" si="6"/>
        <v>46235</v>
      </c>
      <c r="W95" s="189">
        <f t="shared" si="6"/>
        <v>46266</v>
      </c>
    </row>
    <row r="96" spans="2:23">
      <c r="B96" s="263" t="s">
        <v>1534</v>
      </c>
      <c r="C96" s="47">
        <f>+'Client Retention $'!J40</f>
        <v>10.431996666666667</v>
      </c>
      <c r="D96" s="47">
        <f>+'Client Retention $'!K40</f>
        <v>3.7263333333333333</v>
      </c>
      <c r="E96" s="47">
        <f>+'Client Retention $'!L40</f>
        <v>13.466333333333331</v>
      </c>
      <c r="F96" s="47">
        <f>+'Client Retention $'!M40</f>
        <v>4.0979999999999999</v>
      </c>
      <c r="G96" s="47">
        <f>+'Client Retention $'!N40</f>
        <v>7.7729999999999988</v>
      </c>
      <c r="H96" s="47">
        <f>+'Client Retention $'!O40</f>
        <v>1.6249666666666667</v>
      </c>
      <c r="I96" s="47">
        <f>+'Client Retention $'!P40</f>
        <v>5.0596333333333332</v>
      </c>
      <c r="J96" s="47">
        <f>+'Client Retention $'!Q40</f>
        <v>5.0349533333333332</v>
      </c>
      <c r="K96" s="47">
        <f>+'Client Retention $'!R40</f>
        <v>4.8004566666666664</v>
      </c>
      <c r="L96" s="47">
        <f>+'Client Retention $'!S40</f>
        <v>10.019333333333334</v>
      </c>
      <c r="M96" s="47">
        <f>+'Client Retention $'!T40</f>
        <v>8.1833333333333336</v>
      </c>
      <c r="N96" s="47">
        <f>+'Client Retention $'!U40</f>
        <v>10.141816666666665</v>
      </c>
      <c r="O96" s="47">
        <f>+'Client Retention $'!V40</f>
        <v>9.4066666666666663</v>
      </c>
      <c r="P96" s="47">
        <f>+'Client Retention $'!W40</f>
        <v>5.5356666666666658</v>
      </c>
      <c r="Q96" s="47">
        <f>+'Client Retention $'!X40</f>
        <v>6.9768000000000008</v>
      </c>
      <c r="R96" s="47">
        <f>+'Client Retention $'!Y40</f>
        <v>10.863333333333333</v>
      </c>
      <c r="S96" s="47">
        <f>+'Client Retention $'!Z40</f>
        <v>15.057333333333334</v>
      </c>
      <c r="T96" s="47">
        <f>+'Client Retention $'!AA40</f>
        <v>4.86625</v>
      </c>
      <c r="U96" s="47">
        <f>+'Client Retention $'!AB40</f>
        <v>12.010999999999999</v>
      </c>
      <c r="V96" s="47">
        <f>+'Client Retention $'!AC40</f>
        <v>4.8780000000000001</v>
      </c>
      <c r="W96" s="47">
        <f>+'Client Retention $'!AD40</f>
        <v>5.8949999999999996</v>
      </c>
    </row>
    <row r="97" spans="2:23">
      <c r="B97" s="263" t="s">
        <v>1538</v>
      </c>
      <c r="C97" s="47">
        <f>-'Client Retention $'!J44</f>
        <v>0</v>
      </c>
      <c r="D97" s="47">
        <f>-'Client Retention $'!K44</f>
        <v>0</v>
      </c>
      <c r="E97" s="47">
        <f>-'Client Retention $'!L44</f>
        <v>0</v>
      </c>
      <c r="F97" s="47">
        <f>-'Client Retention $'!M44</f>
        <v>0</v>
      </c>
      <c r="G97" s="47">
        <f>-'Client Retention $'!N44</f>
        <v>0</v>
      </c>
      <c r="H97" s="47">
        <f>-'Client Retention $'!O44</f>
        <v>0</v>
      </c>
      <c r="I97" s="47">
        <f>-'Client Retention $'!P44</f>
        <v>3.2996666666666665</v>
      </c>
      <c r="J97" s="47">
        <f>-'Client Retention $'!Q44</f>
        <v>0</v>
      </c>
      <c r="K97" s="47">
        <f>-'Client Retention $'!R44</f>
        <v>0</v>
      </c>
      <c r="L97" s="47">
        <f>-'Client Retention $'!S44</f>
        <v>0</v>
      </c>
      <c r="M97" s="47">
        <f>-'Client Retention $'!T44</f>
        <v>0</v>
      </c>
      <c r="N97" s="47">
        <f>-'Client Retention $'!U44</f>
        <v>0.3</v>
      </c>
      <c r="O97" s="47">
        <f>-'Client Retention $'!V44</f>
        <v>2.8533333333333335</v>
      </c>
      <c r="P97" s="47">
        <f>-'Client Retention $'!W44</f>
        <v>0.42499999999999999</v>
      </c>
      <c r="Q97" s="47">
        <f>-'Client Retention $'!X44</f>
        <v>3.04</v>
      </c>
      <c r="R97" s="47">
        <f>-'Client Retention $'!Y44</f>
        <v>6.8453333333333326</v>
      </c>
      <c r="S97" s="47">
        <f>-'Client Retention $'!Z44</f>
        <v>6.3366666666666669</v>
      </c>
      <c r="T97" s="47">
        <f>-'Client Retention $'!AA44</f>
        <v>1.3903333333333334</v>
      </c>
      <c r="U97" s="47">
        <f>-'Client Retention $'!AB44</f>
        <v>4.0036666666666667</v>
      </c>
      <c r="V97" s="47">
        <f>-'Client Retention $'!AC44</f>
        <v>2.7416666666666667</v>
      </c>
      <c r="W97" s="47">
        <f>-'Client Retention $'!AD44</f>
        <v>0</v>
      </c>
    </row>
    <row r="99" spans="2:23">
      <c r="B99" s="264" t="str">
        <f>+'Client Retention $'!B54</f>
        <v>STR Owner</v>
      </c>
      <c r="C99" s="189">
        <v>45658</v>
      </c>
      <c r="D99" s="189">
        <f t="shared" ref="D99:I99" si="7">EOMONTH(C99,0)+1</f>
        <v>45689</v>
      </c>
      <c r="E99" s="189">
        <f t="shared" si="7"/>
        <v>45717</v>
      </c>
      <c r="F99" s="189">
        <f t="shared" si="7"/>
        <v>45748</v>
      </c>
      <c r="G99" s="189">
        <f t="shared" si="7"/>
        <v>45778</v>
      </c>
      <c r="H99" s="189">
        <f t="shared" si="7"/>
        <v>45809</v>
      </c>
      <c r="I99" s="189">
        <f t="shared" si="7"/>
        <v>45839</v>
      </c>
      <c r="J99" s="189">
        <v>45870</v>
      </c>
      <c r="K99" s="189">
        <f t="shared" ref="K99:W99" si="8">EOMONTH(J99,0)+1</f>
        <v>45901</v>
      </c>
      <c r="L99" s="189">
        <f t="shared" si="8"/>
        <v>45931</v>
      </c>
      <c r="M99" s="189">
        <f t="shared" si="8"/>
        <v>45962</v>
      </c>
      <c r="N99" s="189">
        <f t="shared" si="8"/>
        <v>45992</v>
      </c>
      <c r="O99" s="189">
        <f t="shared" si="8"/>
        <v>46023</v>
      </c>
      <c r="P99" s="189">
        <f t="shared" si="8"/>
        <v>46054</v>
      </c>
      <c r="Q99" s="189">
        <f t="shared" si="8"/>
        <v>46082</v>
      </c>
      <c r="R99" s="189">
        <f t="shared" si="8"/>
        <v>46113</v>
      </c>
      <c r="S99" s="189">
        <f t="shared" si="8"/>
        <v>46143</v>
      </c>
      <c r="T99" s="189">
        <f t="shared" si="8"/>
        <v>46174</v>
      </c>
      <c r="U99" s="189">
        <f t="shared" si="8"/>
        <v>46204</v>
      </c>
      <c r="V99" s="189">
        <f t="shared" si="8"/>
        <v>46235</v>
      </c>
      <c r="W99" s="189">
        <f t="shared" si="8"/>
        <v>46266</v>
      </c>
    </row>
    <row r="100" spans="2:23">
      <c r="B100" s="263" t="s">
        <v>1534</v>
      </c>
      <c r="C100" s="53">
        <f>+'Client Retention $'!J56</f>
        <v>1.2353333333333332</v>
      </c>
      <c r="D100" s="53">
        <f>+'Client Retention $'!K56</f>
        <v>0</v>
      </c>
      <c r="E100" s="53">
        <f>+'Client Retention $'!L56</f>
        <v>0</v>
      </c>
      <c r="F100" s="53">
        <f>+'Client Retention $'!M56</f>
        <v>0.64833333333333332</v>
      </c>
      <c r="G100" s="53">
        <f>+'Client Retention $'!N56</f>
        <v>0.91300000000000003</v>
      </c>
      <c r="H100" s="53">
        <f>+'Client Retention $'!O56</f>
        <v>0.71866666666666679</v>
      </c>
      <c r="I100" s="53">
        <f>+'Client Retention $'!P56</f>
        <v>0.40600000000000003</v>
      </c>
      <c r="J100" s="53">
        <f>+'Client Retention $'!Q56</f>
        <v>0.81</v>
      </c>
      <c r="K100" s="53">
        <f>+'Client Retention $'!R56</f>
        <v>0</v>
      </c>
      <c r="L100" s="53">
        <f>+'Client Retention $'!S56</f>
        <v>0.42</v>
      </c>
      <c r="M100" s="53">
        <f>+'Client Retention $'!T56</f>
        <v>0.4</v>
      </c>
      <c r="N100" s="53">
        <f>+'Client Retention $'!U56</f>
        <v>1.4350000000000001</v>
      </c>
      <c r="O100" s="53">
        <f>+'Client Retention $'!V56</f>
        <v>0.62</v>
      </c>
      <c r="P100" s="53">
        <f>+'Client Retention $'!W56</f>
        <v>1.6631666666666667</v>
      </c>
      <c r="Q100" s="53">
        <f>+'Client Retention $'!X56</f>
        <v>0.40166666666666667</v>
      </c>
      <c r="R100" s="53">
        <f>+'Client Retention $'!Y56</f>
        <v>0.56999999999999995</v>
      </c>
      <c r="S100" s="53">
        <f>+'Client Retention $'!Z56</f>
        <v>0</v>
      </c>
      <c r="T100" s="53">
        <f>+'Client Retention $'!AA56</f>
        <v>0</v>
      </c>
      <c r="U100" s="53">
        <f>+'Client Retention $'!AB56</f>
        <v>0.41799999999999998</v>
      </c>
      <c r="V100" s="53">
        <f>+'Client Retention $'!AC56</f>
        <v>0</v>
      </c>
      <c r="W100" s="53">
        <f>+'Client Retention $'!AD56</f>
        <v>0</v>
      </c>
    </row>
    <row r="101" spans="2:23">
      <c r="B101" s="263" t="s">
        <v>1538</v>
      </c>
      <c r="C101" s="53">
        <f>-'Client Retention $'!J60</f>
        <v>0</v>
      </c>
      <c r="D101" s="53">
        <f>-'Client Retention $'!K60</f>
        <v>0</v>
      </c>
      <c r="E101" s="53">
        <f>-'Client Retention $'!L60</f>
        <v>0</v>
      </c>
      <c r="F101" s="53">
        <f>-'Client Retention $'!M60</f>
        <v>0</v>
      </c>
      <c r="G101" s="53">
        <f>-'Client Retention $'!N60</f>
        <v>0</v>
      </c>
      <c r="H101" s="53">
        <f>-'Client Retention $'!O60</f>
        <v>0</v>
      </c>
      <c r="I101" s="53">
        <f>-'Client Retention $'!P60</f>
        <v>0</v>
      </c>
      <c r="J101" s="53">
        <f>-'Client Retention $'!Q60</f>
        <v>0</v>
      </c>
      <c r="K101" s="53">
        <f>-'Client Retention $'!R60</f>
        <v>0</v>
      </c>
      <c r="L101" s="53">
        <f>-'Client Retention $'!S60</f>
        <v>0</v>
      </c>
      <c r="M101" s="53">
        <f>-'Client Retention $'!T60</f>
        <v>0</v>
      </c>
      <c r="N101" s="53">
        <f>-'Client Retention $'!U60</f>
        <v>0</v>
      </c>
      <c r="O101" s="53">
        <f>-'Client Retention $'!V60</f>
        <v>0</v>
      </c>
      <c r="P101" s="53">
        <f>-'Client Retention $'!W60</f>
        <v>0</v>
      </c>
      <c r="Q101" s="53">
        <f>-'Client Retention $'!X60</f>
        <v>0.64833333333333332</v>
      </c>
      <c r="R101" s="53">
        <f>-'Client Retention $'!Y60</f>
        <v>0.4</v>
      </c>
      <c r="S101" s="53">
        <f>-'Client Retention $'!Z60</f>
        <v>2.1568333333333336</v>
      </c>
      <c r="T101" s="53">
        <f>-'Client Retention $'!AA60</f>
        <v>0.4</v>
      </c>
      <c r="U101" s="53">
        <f>-'Client Retention $'!AB60</f>
        <v>0</v>
      </c>
      <c r="V101" s="53">
        <f>-'Client Retention $'!AC60</f>
        <v>0</v>
      </c>
      <c r="W101" s="53">
        <f>-'Client Retention $'!AD60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B5B-93BA-4ED0-811D-154F99F79BBB}">
  <sheetPr>
    <pageSetUpPr fitToPage="1"/>
  </sheetPr>
  <dimension ref="B2:M35"/>
  <sheetViews>
    <sheetView showGridLines="0" view="pageBreakPreview" zoomScaleNormal="145" zoomScaleSheetLayoutView="100" workbookViewId="0"/>
  </sheetViews>
  <sheetFormatPr defaultRowHeight="15" outlineLevelCol="1"/>
  <cols>
    <col min="1" max="1" width="1.7109375" customWidth="1"/>
    <col min="2" max="2" width="19.7109375" customWidth="1"/>
    <col min="3" max="3" width="11.140625" bestFit="1" customWidth="1"/>
    <col min="4" max="5" width="11" customWidth="1"/>
    <col min="6" max="6" width="11.85546875" hidden="1" customWidth="1" outlineLevel="1"/>
    <col min="7" max="7" width="12.5703125" customWidth="1" collapsed="1"/>
    <col min="8" max="8" width="15.42578125" bestFit="1" customWidth="1"/>
    <col min="9" max="9" width="15.28515625" bestFit="1" customWidth="1"/>
    <col min="10" max="10" width="14.7109375" bestFit="1" customWidth="1"/>
    <col min="11" max="11" width="5.42578125" customWidth="1"/>
    <col min="12" max="13" width="18.140625" customWidth="1" outlineLevel="1"/>
  </cols>
  <sheetData>
    <row r="2" spans="2:13" ht="16.5">
      <c r="B2" s="37" t="str">
        <f>+Cover!B24</f>
        <v>Keystone Bookkeepers</v>
      </c>
    </row>
    <row r="3" spans="2:13" s="349" customFormat="1" ht="12">
      <c r="B3" s="97" t="s">
        <v>1873</v>
      </c>
      <c r="L3" s="349" t="s">
        <v>276</v>
      </c>
      <c r="M3" s="78">
        <v>1</v>
      </c>
    </row>
    <row r="4" spans="2:13" s="349" customFormat="1" ht="12">
      <c r="B4" s="350"/>
      <c r="C4" s="350"/>
      <c r="D4" s="350"/>
      <c r="E4" s="350"/>
      <c r="F4" s="350"/>
      <c r="G4" s="350"/>
      <c r="H4" s="350"/>
      <c r="I4" s="350"/>
      <c r="J4" s="350"/>
    </row>
    <row r="5" spans="2:13" s="349" customFormat="1" ht="12">
      <c r="B5" s="370"/>
      <c r="C5" s="359" t="s">
        <v>1857</v>
      </c>
      <c r="D5" s="359"/>
      <c r="E5" s="359" t="s">
        <v>1858</v>
      </c>
      <c r="F5" s="359"/>
      <c r="G5" s="359"/>
      <c r="H5" s="359" t="s">
        <v>1859</v>
      </c>
      <c r="I5" s="359"/>
      <c r="J5" s="359"/>
    </row>
    <row r="6" spans="2:13" s="349" customFormat="1" ht="12">
      <c r="B6" s="360" t="s">
        <v>1860</v>
      </c>
      <c r="C6" s="361" t="s">
        <v>1874</v>
      </c>
      <c r="D6" s="360" t="s">
        <v>1861</v>
      </c>
      <c r="E6" s="361" t="s">
        <v>1862</v>
      </c>
      <c r="F6" s="360" t="s">
        <v>1863</v>
      </c>
      <c r="G6" s="360" t="s">
        <v>1864</v>
      </c>
      <c r="H6" s="361" t="s">
        <v>490</v>
      </c>
      <c r="I6" s="360" t="s">
        <v>491</v>
      </c>
      <c r="J6" s="360" t="s">
        <v>492</v>
      </c>
      <c r="L6" s="362" t="s">
        <v>1868</v>
      </c>
      <c r="M6" s="362" t="s">
        <v>1869</v>
      </c>
    </row>
    <row r="7" spans="2:13" s="349" customFormat="1" ht="12">
      <c r="B7" s="356" t="str" cm="1">
        <f t="array" ref="B7">INDEX('Full Customer List'!$B:$B,$M7)</f>
        <v>C-001</v>
      </c>
      <c r="C7" s="352">
        <f>$L7*12/1000</f>
        <v>110.31636000000002</v>
      </c>
      <c r="D7" s="363">
        <f t="shared" ref="D7:D26" si="0">$C7/$C$29</f>
        <v>3.5671952744149055E-2</v>
      </c>
      <c r="E7" s="364" cm="1">
        <f t="array" ref="E7">INDEX('Full Customer List'!$F:$F,$M7)</f>
        <v>206</v>
      </c>
      <c r="F7" s="365" cm="1">
        <f t="array" ref="F7">INDEX('Full Customer List'!$I:$I,$M7)</f>
        <v>45597</v>
      </c>
      <c r="G7" s="366">
        <f t="shared" ref="G7:G26" si="1">($C$33-$F7)/365</f>
        <v>1.7452054794520548</v>
      </c>
      <c r="H7" s="349" t="str">
        <f>IFERROR(INDEX('Customer List w Software'!$AA:$AA,MATCH($B7,'Customer List w Software'!$A:$A,0)),"–")</f>
        <v>Abegail Nunez</v>
      </c>
      <c r="I7" s="349" t="str">
        <f>IFERROR(INDEX('Customer List w Software'!$AB:$AB,MATCH($B7,'Customer List w Software'!$A:$A,0)),"–")</f>
        <v>Zen Rodriguez</v>
      </c>
      <c r="J7" s="349" t="str">
        <f>IFERROR(INDEX('Customer List w Software'!$AC:$AC,MATCH($B7,'Customer List w Software'!$A:$A,0)),"–")</f>
        <v>Mary Reilly</v>
      </c>
      <c r="L7" s="367" cm="1">
        <f t="array" ref="L7">_xlfn.AGGREGATE(14,6,'Full Customer List'!$G$7:$G$320/('Full Customer List'!$C$7:$C$320="Active"),ROW()-6)</f>
        <v>9193.0300000000007</v>
      </c>
      <c r="M7" s="367" cm="1">
        <f t="array" ref="M7">_xlfn.AGGREGATE(15,6,ROW('Full Customer List'!$G$7:$G$320)/(('Full Customer List'!$C$7:$C$320="Active")*('Full Customer List'!$G$7:$G$320=$L7)),COUNTIF($L$7:$L7,$L7))</f>
        <v>7</v>
      </c>
    </row>
    <row r="8" spans="2:13" s="349" customFormat="1" ht="12">
      <c r="B8" s="356" t="str" cm="1">
        <f t="array" ref="B8">INDEX('Full Customer List'!$B:$B,$M8)</f>
        <v>C-002</v>
      </c>
      <c r="C8" s="364">
        <f t="shared" ref="C8:C26" si="2">$L8*12/1000</f>
        <v>104.232</v>
      </c>
      <c r="D8" s="363">
        <f t="shared" si="0"/>
        <v>3.3704511084558478E-2</v>
      </c>
      <c r="E8" s="364" cm="1">
        <f t="array" ref="E8">INDEX('Full Customer List'!$F:$F,$M8)</f>
        <v>163</v>
      </c>
      <c r="F8" s="365" cm="1">
        <f t="array" ref="F8">INDEX('Full Customer List'!$I:$I,$M8)</f>
        <v>45931</v>
      </c>
      <c r="G8" s="366">
        <f t="shared" si="1"/>
        <v>0.83013698630136989</v>
      </c>
      <c r="H8" s="349" t="str">
        <f>IFERROR(INDEX('Customer List w Software'!$AA:$AA,MATCH($B8,'Customer List w Software'!$A:$A,0)),"–")</f>
        <v>Homer Corpuz</v>
      </c>
      <c r="I8" s="349" t="str">
        <f>IFERROR(INDEX('Customer List w Software'!$AB:$AB,MATCH($B8,'Customer List w Software'!$A:$A,0)),"–")</f>
        <v>Abby Del Rosario</v>
      </c>
      <c r="J8" s="349" t="str">
        <f>IFERROR(INDEX('Customer List w Software'!$AC:$AC,MATCH($B8,'Customer List w Software'!$A:$A,0)),"–")</f>
        <v>Thea Hemmatyar</v>
      </c>
      <c r="L8" s="367" cm="1">
        <f t="array" ref="L8">_xlfn.AGGREGATE(14,6,'Full Customer List'!$G$7:$G$320/('Full Customer List'!$C$7:$C$320="Active"),ROW()-6)</f>
        <v>8686</v>
      </c>
      <c r="M8" s="367" cm="1">
        <f t="array" ref="M8">_xlfn.AGGREGATE(15,6,ROW('Full Customer List'!$G$7:$G$320)/(('Full Customer List'!$C$7:$C$320="Active")*('Full Customer List'!$G$7:$G$320=$L8)),COUNTIF($L$7:$L8,$L8))</f>
        <v>8</v>
      </c>
    </row>
    <row r="9" spans="2:13" s="349" customFormat="1" ht="12">
      <c r="B9" s="356" t="str" cm="1">
        <f t="array" ref="B9">INDEX('Full Customer List'!$B:$B,$M9)</f>
        <v>C-007</v>
      </c>
      <c r="C9" s="364">
        <f t="shared" si="2"/>
        <v>76.284000000000006</v>
      </c>
      <c r="D9" s="363">
        <f t="shared" si="0"/>
        <v>2.4667231978417945E-2</v>
      </c>
      <c r="E9" s="364" cm="1">
        <f t="array" ref="E9">INDEX('Full Customer List'!$F:$F,$M9)</f>
        <v>81</v>
      </c>
      <c r="F9" s="365" cm="1">
        <f t="array" ref="F9">INDEX('Full Customer List'!$I:$I,$M9)</f>
        <v>45717</v>
      </c>
      <c r="G9" s="366">
        <f t="shared" si="1"/>
        <v>1.4164383561643836</v>
      </c>
      <c r="H9" s="349" t="str">
        <f>IFERROR(INDEX('Customer List w Software'!$AA:$AA,MATCH($B9,'Customer List w Software'!$A:$A,0)),"–")</f>
        <v>Vincent Basa</v>
      </c>
      <c r="I9" s="349" t="str">
        <f>IFERROR(INDEX('Customer List w Software'!$AB:$AB,MATCH($B9,'Customer List w Software'!$A:$A,0)),"–")</f>
        <v>Ria Velasco</v>
      </c>
      <c r="J9" s="349" t="str">
        <f>IFERROR(INDEX('Customer List w Software'!$AC:$AC,MATCH($B9,'Customer List w Software'!$A:$A,0)),"–")</f>
        <v>Jennifer Murphy</v>
      </c>
      <c r="L9" s="367" cm="1">
        <f t="array" ref="L9">_xlfn.AGGREGATE(14,6,'Full Customer List'!$G$7:$G$320/('Full Customer List'!$C$7:$C$320="Active"),ROW()-6)</f>
        <v>6357</v>
      </c>
      <c r="M9" s="367" cm="1">
        <f t="array" ref="M9">_xlfn.AGGREGATE(15,6,ROW('Full Customer List'!$G$7:$G$320)/(('Full Customer List'!$C$7:$C$320="Active")*('Full Customer List'!$G$7:$G$320=$L9)),COUNTIF($L$7:$L9,$L9))</f>
        <v>13</v>
      </c>
    </row>
    <row r="10" spans="2:13" s="349" customFormat="1" ht="12">
      <c r="B10" s="356" t="str" cm="1">
        <f t="array" ref="B10">INDEX('Full Customer List'!$B:$B,$M10)</f>
        <v>C-123</v>
      </c>
      <c r="C10" s="364">
        <f t="shared" si="2"/>
        <v>75.024000000000001</v>
      </c>
      <c r="D10" s="363">
        <f t="shared" si="0"/>
        <v>2.4259797755083998E-2</v>
      </c>
      <c r="E10" s="364" cm="1">
        <f t="array" ref="E10">INDEX('Full Customer List'!$F:$F,$M10)</f>
        <v>83</v>
      </c>
      <c r="F10" s="365" cm="1">
        <f t="array" ref="F10">INDEX('Full Customer List'!$I:$I,$M10)</f>
        <v>46204</v>
      </c>
      <c r="G10" s="366">
        <f t="shared" si="1"/>
        <v>8.2191780821917804E-2</v>
      </c>
      <c r="H10" s="349" t="str">
        <f>IFERROR(INDEX('Customer List w Software'!$AA:$AA,MATCH($B10,'Customer List w Software'!$A:$A,0)),"–")</f>
        <v>Rhonagie Jordan</v>
      </c>
      <c r="I10" s="349" t="str">
        <f>IFERROR(INDEX('Customer List w Software'!$AB:$AB,MATCH($B10,'Customer List w Software'!$A:$A,0)),"–")</f>
        <v>Marie Lasco</v>
      </c>
      <c r="J10" s="349" t="str">
        <f>IFERROR(INDEX('Customer List w Software'!$AC:$AC,MATCH($B10,'Customer List w Software'!$A:$A,0)),"–")</f>
        <v>Ben Coons</v>
      </c>
      <c r="L10" s="367" cm="1">
        <f t="array" ref="L10">_xlfn.AGGREGATE(14,6,'Full Customer List'!$G$7:$G$320/('Full Customer List'!$C$7:$C$320="Active"),ROW()-6)</f>
        <v>6252</v>
      </c>
      <c r="M10" s="367" cm="1">
        <f t="array" ref="M10">_xlfn.AGGREGATE(15,6,ROW('Full Customer List'!$G$7:$G$320)/(('Full Customer List'!$C$7:$C$320="Active")*('Full Customer List'!$G$7:$G$320=$L10)),COUNTIF($L$7:$L10,$L10))</f>
        <v>129</v>
      </c>
    </row>
    <row r="11" spans="2:13" s="349" customFormat="1" ht="12">
      <c r="B11" s="356" t="str" cm="1">
        <f t="array" ref="B11">INDEX('Full Customer List'!$B:$B,$M11)</f>
        <v>C-046</v>
      </c>
      <c r="C11" s="364">
        <f t="shared" si="2"/>
        <v>68.744</v>
      </c>
      <c r="D11" s="363">
        <f t="shared" si="0"/>
        <v>2.2229093848308467E-2</v>
      </c>
      <c r="E11" s="364" cm="1">
        <f t="array" ref="E11">INDEX('Full Customer List'!$F:$F,$M11)</f>
        <v>120</v>
      </c>
      <c r="F11" s="365" cm="1">
        <f t="array" ref="F11">INDEX('Full Customer List'!$I:$I,$M11)</f>
        <v>46143</v>
      </c>
      <c r="G11" s="366">
        <f t="shared" si="1"/>
        <v>0.24931506849315069</v>
      </c>
      <c r="H11" s="349" t="str">
        <f>IFERROR(INDEX('Customer List w Software'!$AA:$AA,MATCH($B11,'Customer List w Software'!$A:$A,0)),"–")</f>
        <v>Mariel Vicente</v>
      </c>
      <c r="I11" s="349" t="str">
        <f>IFERROR(INDEX('Customer List w Software'!$AB:$AB,MATCH($B11,'Customer List w Software'!$A:$A,0)),"–")</f>
        <v>Blessie Argente</v>
      </c>
      <c r="J11" s="349" t="str">
        <f>IFERROR(INDEX('Customer List w Software'!$AC:$AC,MATCH($B11,'Customer List w Software'!$A:$A,0)),"–")</f>
        <v>Jennifer Murphy</v>
      </c>
      <c r="L11" s="367" cm="1">
        <f t="array" ref="L11">_xlfn.AGGREGATE(14,6,'Full Customer List'!$G$7:$G$320/('Full Customer List'!$C$7:$C$320="Active"),ROW()-6)</f>
        <v>5728.666666666667</v>
      </c>
      <c r="M11" s="367" cm="1">
        <f t="array" ref="M11">_xlfn.AGGREGATE(15,6,ROW('Full Customer List'!$G$7:$G$320)/(('Full Customer List'!$C$7:$C$320="Active")*('Full Customer List'!$G$7:$G$320=$L11)),COUNTIF($L$7:$L11,$L11))</f>
        <v>52</v>
      </c>
    </row>
    <row r="12" spans="2:13" s="349" customFormat="1" ht="12">
      <c r="B12" s="356" t="str" cm="1">
        <f t="array" ref="B12">INDEX('Full Customer List'!$B:$B,$M12)</f>
        <v>C-323</v>
      </c>
      <c r="C12" s="364">
        <f t="shared" si="2"/>
        <v>47.88</v>
      </c>
      <c r="D12" s="363">
        <f t="shared" si="0"/>
        <v>1.5482500486689886E-2</v>
      </c>
      <c r="E12" s="364" cm="1">
        <f t="array" ref="E12">INDEX('Full Customer List'!$F:$F,$M12)</f>
        <v>55</v>
      </c>
      <c r="F12" s="365" cm="1">
        <f t="array" ref="F12">INDEX('Full Customer List'!$I:$I,$M12)</f>
        <v>46266</v>
      </c>
      <c r="G12" s="366">
        <f t="shared" si="1"/>
        <v>-8.7671232876712329E-2</v>
      </c>
      <c r="H12" s="349" t="str">
        <f>IFERROR(INDEX('Customer List w Software'!$AA:$AA,MATCH($B12,'Customer List w Software'!$A:$A,0)),"–")</f>
        <v>–</v>
      </c>
      <c r="I12" s="349" t="str">
        <f>IFERROR(INDEX('Customer List w Software'!$AB:$AB,MATCH($B12,'Customer List w Software'!$A:$A,0)),"–")</f>
        <v>–</v>
      </c>
      <c r="J12" s="349" t="str">
        <f>IFERROR(INDEX('Customer List w Software'!$AC:$AC,MATCH($B12,'Customer List w Software'!$A:$A,0)),"–")</f>
        <v>–</v>
      </c>
      <c r="L12" s="367" cm="1">
        <f t="array" ref="L12">_xlfn.AGGREGATE(14,6,'Full Customer List'!$G$7:$G$320/('Full Customer List'!$C$7:$C$320="Active"),ROW()-6)</f>
        <v>3990</v>
      </c>
      <c r="M12" s="367" cm="1">
        <f t="array" ref="M12">_xlfn.AGGREGATE(15,6,ROW('Full Customer List'!$G$7:$G$320)/(('Full Customer List'!$C$7:$C$320="Active")*('Full Customer List'!$G$7:$G$320=$L12)),COUNTIF($L$7:$L12,$L12))</f>
        <v>320</v>
      </c>
    </row>
    <row r="13" spans="2:13" s="349" customFormat="1" ht="12">
      <c r="B13" s="356" t="str" cm="1">
        <f t="array" ref="B13">INDEX('Full Customer List'!$B:$B,$M13)</f>
        <v>C-004</v>
      </c>
      <c r="C13" s="364">
        <f t="shared" si="2"/>
        <v>45.276000000000003</v>
      </c>
      <c r="D13" s="363">
        <f t="shared" si="0"/>
        <v>1.4640469758466401E-2</v>
      </c>
      <c r="E13" s="364" cm="1">
        <f t="array" ref="E13">INDEX('Full Customer List'!$F:$F,$M13)</f>
        <v>99</v>
      </c>
      <c r="F13" s="365" cm="1">
        <f t="array" ref="F13">INDEX('Full Customer List'!$I:$I,$M13)</f>
        <v>45717</v>
      </c>
      <c r="G13" s="366">
        <f t="shared" si="1"/>
        <v>1.4164383561643836</v>
      </c>
      <c r="H13" s="349" t="str">
        <f>IFERROR(INDEX('Customer List w Software'!$AA:$AA,MATCH($B13,'Customer List w Software'!$A:$A,0)),"–")</f>
        <v>Wilyn Gasatan</v>
      </c>
      <c r="I13" s="349" t="str">
        <f>IFERROR(INDEX('Customer List w Software'!$AB:$AB,MATCH($B13,'Customer List w Software'!$A:$A,0)),"–")</f>
        <v>Makie Reblando</v>
      </c>
      <c r="J13" s="349" t="str">
        <f>IFERROR(INDEX('Customer List w Software'!$AC:$AC,MATCH($B13,'Customer List w Software'!$A:$A,0)),"–")</f>
        <v>Thea Hemmatyar</v>
      </c>
      <c r="L13" s="367" cm="1">
        <f t="array" ref="L13">_xlfn.AGGREGATE(14,6,'Full Customer List'!$G$7:$G$320/('Full Customer List'!$C$7:$C$320="Active"),ROW()-6)</f>
        <v>3773</v>
      </c>
      <c r="M13" s="367" cm="1">
        <f t="array" ref="M13">_xlfn.AGGREGATE(15,6,ROW('Full Customer List'!$G$7:$G$320)/(('Full Customer List'!$C$7:$C$320="Active")*('Full Customer List'!$G$7:$G$320=$L13)),COUNTIF($L$7:$L13,$L13))</f>
        <v>10</v>
      </c>
    </row>
    <row r="14" spans="2:13" s="349" customFormat="1" ht="12">
      <c r="B14" s="356" t="str" cm="1">
        <f t="array" ref="B14">INDEX('Full Customer List'!$B:$B,$M14)</f>
        <v>C-003</v>
      </c>
      <c r="C14" s="364">
        <f t="shared" si="2"/>
        <v>45</v>
      </c>
      <c r="D14" s="363">
        <f t="shared" si="0"/>
        <v>1.4551222261926584E-2</v>
      </c>
      <c r="E14" s="364" cm="1">
        <f t="array" ref="E14">INDEX('Full Customer List'!$F:$F,$M14)</f>
        <v>85</v>
      </c>
      <c r="F14" s="365" cm="1">
        <f t="array" ref="F14">INDEX('Full Customer List'!$I:$I,$M14)</f>
        <v>44531</v>
      </c>
      <c r="G14" s="366">
        <f t="shared" si="1"/>
        <v>4.6657534246575345</v>
      </c>
      <c r="H14" s="349" t="str">
        <f>IFERROR(INDEX('Customer List w Software'!$AA:$AA,MATCH($B14,'Customer List w Software'!$A:$A,0)),"–")</f>
        <v>Christian Cosicol</v>
      </c>
      <c r="I14" s="349" t="str">
        <f>IFERROR(INDEX('Customer List w Software'!$AB:$AB,MATCH($B14,'Customer List w Software'!$A:$A,0)),"–")</f>
        <v>Jaira Yadan</v>
      </c>
      <c r="J14" s="349" t="str">
        <f>IFERROR(INDEX('Customer List w Software'!$AC:$AC,MATCH($B14,'Customer List w Software'!$A:$A,0)),"–")</f>
        <v>Mary Reilly</v>
      </c>
      <c r="L14" s="367" cm="1">
        <f t="array" ref="L14">_xlfn.AGGREGATE(14,6,'Full Customer List'!$G$7:$G$320/('Full Customer List'!$C$7:$C$320="Active"),ROW()-6)</f>
        <v>3750</v>
      </c>
      <c r="M14" s="367" cm="1">
        <f t="array" ref="M14">_xlfn.AGGREGATE(15,6,ROW('Full Customer List'!$G$7:$G$320)/(('Full Customer List'!$C$7:$C$320="Active")*('Full Customer List'!$G$7:$G$320=$L14)),COUNTIF($L$7:$L14,$L14))</f>
        <v>9</v>
      </c>
    </row>
    <row r="15" spans="2:13" s="349" customFormat="1" ht="12">
      <c r="B15" s="356" t="str" cm="1">
        <f t="array" ref="B15">INDEX('Full Customer List'!$B:$B,$M15)</f>
        <v>C-005</v>
      </c>
      <c r="C15" s="364">
        <f t="shared" si="2"/>
        <v>43.811999999999998</v>
      </c>
      <c r="D15" s="363">
        <f t="shared" si="0"/>
        <v>1.4167069994211721E-2</v>
      </c>
      <c r="E15" s="364" cm="1">
        <f t="array" ref="E15">INDEX('Full Customer List'!$F:$F,$M15)</f>
        <v>73</v>
      </c>
      <c r="F15" s="365" cm="1">
        <f t="array" ref="F15">INDEX('Full Customer List'!$I:$I,$M15)</f>
        <v>44713</v>
      </c>
      <c r="G15" s="366">
        <f t="shared" si="1"/>
        <v>4.1671232876712327</v>
      </c>
      <c r="H15" s="349" t="str">
        <f>IFERROR(INDEX('Customer List w Software'!$AA:$AA,MATCH($B15,'Customer List w Software'!$A:$A,0)),"–")</f>
        <v>Ambher Inonog</v>
      </c>
      <c r="I15" s="349" t="str">
        <f>IFERROR(INDEX('Customer List w Software'!$AB:$AB,MATCH($B15,'Customer List w Software'!$A:$A,0)),"–")</f>
        <v>Ria Velasco</v>
      </c>
      <c r="J15" s="349" t="str">
        <f>IFERROR(INDEX('Customer List w Software'!$AC:$AC,MATCH($B15,'Customer List w Software'!$A:$A,0)),"–")</f>
        <v>Jennifer Murphy</v>
      </c>
      <c r="L15" s="367" cm="1">
        <f t="array" ref="L15">_xlfn.AGGREGATE(14,6,'Full Customer List'!$G$7:$G$320/('Full Customer List'!$C$7:$C$320="Active"),ROW()-6)</f>
        <v>3651</v>
      </c>
      <c r="M15" s="367" cm="1">
        <f t="array" ref="M15">_xlfn.AGGREGATE(15,6,ROW('Full Customer List'!$G$7:$G$320)/(('Full Customer List'!$C$7:$C$320="Active")*('Full Customer List'!$G$7:$G$320=$L15)),COUNTIF($L$7:$L15,$L15))</f>
        <v>11</v>
      </c>
    </row>
    <row r="16" spans="2:13" s="349" customFormat="1" ht="12">
      <c r="B16" s="356" t="str" cm="1">
        <f t="array" ref="B16">INDEX('Full Customer List'!$B:$B,$M16)</f>
        <v>C-006</v>
      </c>
      <c r="C16" s="364">
        <f t="shared" si="2"/>
        <v>41.847999999999999</v>
      </c>
      <c r="D16" s="363">
        <f t="shared" si="0"/>
        <v>1.3531989982602303E-2</v>
      </c>
      <c r="E16" s="364" cm="1">
        <f t="array" ref="E16">INDEX('Full Customer List'!$F:$F,$M16)</f>
        <v>54</v>
      </c>
      <c r="F16" s="365" cm="1">
        <f t="array" ref="F16">INDEX('Full Customer List'!$I:$I,$M16)</f>
        <v>45444</v>
      </c>
      <c r="G16" s="366">
        <f t="shared" si="1"/>
        <v>2.1643835616438358</v>
      </c>
      <c r="H16" s="349" t="str">
        <f>IFERROR(INDEX('Customer List w Software'!$AA:$AA,MATCH($B16,'Customer List w Software'!$A:$A,0)),"–")</f>
        <v>Zar Centino</v>
      </c>
      <c r="I16" s="349" t="str">
        <f>IFERROR(INDEX('Customer List w Software'!$AB:$AB,MATCH($B16,'Customer List w Software'!$A:$A,0)),"–")</f>
        <v>Lesther Velasco</v>
      </c>
      <c r="J16" s="349" t="str">
        <f>IFERROR(INDEX('Customer List w Software'!$AC:$AC,MATCH($B16,'Customer List w Software'!$A:$A,0)),"–")</f>
        <v>Thea Hemmatyar</v>
      </c>
      <c r="L16" s="367" cm="1">
        <f t="array" ref="L16">_xlfn.AGGREGATE(14,6,'Full Customer List'!$G$7:$G$320/('Full Customer List'!$C$7:$C$320="Active"),ROW()-6)</f>
        <v>3487.3333333333335</v>
      </c>
      <c r="M16" s="367" cm="1">
        <f t="array" ref="M16">_xlfn.AGGREGATE(15,6,ROW('Full Customer List'!$G$7:$G$320)/(('Full Customer List'!$C$7:$C$320="Active")*('Full Customer List'!$G$7:$G$320=$L16)),COUNTIF($L$7:$L16,$L16))</f>
        <v>12</v>
      </c>
    </row>
    <row r="17" spans="2:13" s="349" customFormat="1" ht="12">
      <c r="B17" s="356" t="str" cm="1">
        <f t="array" ref="B17">INDEX('Full Customer List'!$B:$B,$M17)</f>
        <v>C-018</v>
      </c>
      <c r="C17" s="364">
        <f t="shared" si="2"/>
        <v>39.152000000000001</v>
      </c>
      <c r="D17" s="363">
        <f t="shared" si="0"/>
        <v>1.2660210088865547E-2</v>
      </c>
      <c r="E17" s="364" cm="1">
        <f t="array" ref="E17">INDEX('Full Customer List'!$F:$F,$M17)</f>
        <v>47</v>
      </c>
      <c r="F17" s="365" cm="1">
        <f t="array" ref="F17">INDEX('Full Customer List'!$I:$I,$M17)</f>
        <v>45231</v>
      </c>
      <c r="G17" s="366">
        <f t="shared" si="1"/>
        <v>2.7479452054794522</v>
      </c>
      <c r="H17" s="349" t="str">
        <f>IFERROR(INDEX('Customer List w Software'!$AA:$AA,MATCH($B17,'Customer List w Software'!$A:$A,0)),"–")</f>
        <v>Hannah Jacalan</v>
      </c>
      <c r="I17" s="349" t="str">
        <f>IFERROR(INDEX('Customer List w Software'!$AB:$AB,MATCH($B17,'Customer List w Software'!$A:$A,0)),"–")</f>
        <v>Benhur Gaddi</v>
      </c>
      <c r="J17" s="349" t="str">
        <f>IFERROR(INDEX('Customer List w Software'!$AC:$AC,MATCH($B17,'Customer List w Software'!$A:$A,0)),"–")</f>
        <v>Jennifer Murphy</v>
      </c>
      <c r="L17" s="367" cm="1">
        <f t="array" ref="L17">_xlfn.AGGREGATE(14,6,'Full Customer List'!$G$7:$G$320/('Full Customer List'!$C$7:$C$320="Active"),ROW()-6)</f>
        <v>3262.6666666666665</v>
      </c>
      <c r="M17" s="367" cm="1">
        <f t="array" ref="M17">_xlfn.AGGREGATE(15,6,ROW('Full Customer List'!$G$7:$G$320)/(('Full Customer List'!$C$7:$C$320="Active")*('Full Customer List'!$G$7:$G$320=$L17)),COUNTIF($L$7:$L17,$L17))</f>
        <v>24</v>
      </c>
    </row>
    <row r="18" spans="2:13" s="349" customFormat="1" ht="12">
      <c r="B18" s="356" t="str" cm="1">
        <f t="array" ref="B18">INDEX('Full Customer List'!$B:$B,$M18)</f>
        <v>C-010</v>
      </c>
      <c r="C18" s="364">
        <f t="shared" si="2"/>
        <v>36.9</v>
      </c>
      <c r="D18" s="363">
        <f t="shared" si="0"/>
        <v>1.1932002254779799E-2</v>
      </c>
      <c r="E18" s="364" cm="1">
        <f t="array" ref="E18">INDEX('Full Customer List'!$F:$F,$M18)</f>
        <v>38</v>
      </c>
      <c r="F18" s="365" cm="1">
        <f t="array" ref="F18">INDEX('Full Customer List'!$I:$I,$M18)</f>
        <v>45413</v>
      </c>
      <c r="G18" s="366">
        <f t="shared" si="1"/>
        <v>2.2493150684931509</v>
      </c>
      <c r="H18" s="349" t="str">
        <f>IFERROR(INDEX('Customer List w Software'!$AA:$AA,MATCH($B18,'Customer List w Software'!$A:$A,0)),"–")</f>
        <v>Hannah Jacalan</v>
      </c>
      <c r="I18" s="349" t="str">
        <f>IFERROR(INDEX('Customer List w Software'!$AB:$AB,MATCH($B18,'Customer List w Software'!$A:$A,0)),"–")</f>
        <v>Benhur Gaddi</v>
      </c>
      <c r="J18" s="349" t="str">
        <f>IFERROR(INDEX('Customer List w Software'!$AC:$AC,MATCH($B18,'Customer List w Software'!$A:$A,0)),"–")</f>
        <v>Jennifer Murphy</v>
      </c>
      <c r="L18" s="367" cm="1">
        <f t="array" ref="L18">_xlfn.AGGREGATE(14,6,'Full Customer List'!$G$7:$G$320/('Full Customer List'!$C$7:$C$320="Active"),ROW()-6)</f>
        <v>3075</v>
      </c>
      <c r="M18" s="367" cm="1">
        <f t="array" ref="M18">_xlfn.AGGREGATE(15,6,ROW('Full Customer List'!$G$7:$G$320)/(('Full Customer List'!$C$7:$C$320="Active")*('Full Customer List'!$G$7:$G$320=$L18)),COUNTIF($L$7:$L18,$L18))</f>
        <v>16</v>
      </c>
    </row>
    <row r="19" spans="2:13" s="349" customFormat="1" ht="12">
      <c r="B19" s="356" t="str" cm="1">
        <f t="array" ref="B19">INDEX('Full Customer List'!$B:$B,$M19)</f>
        <v>C-034</v>
      </c>
      <c r="C19" s="364">
        <f t="shared" si="2"/>
        <v>35.22</v>
      </c>
      <c r="D19" s="363">
        <f t="shared" si="0"/>
        <v>1.1388756623667872E-2</v>
      </c>
      <c r="E19" s="364" cm="1">
        <f t="array" ref="E19">INDEX('Full Customer List'!$F:$F,$M19)</f>
        <v>84</v>
      </c>
      <c r="F19" s="365" cm="1">
        <f t="array" ref="F19">INDEX('Full Customer List'!$I:$I,$M19)</f>
        <v>45962</v>
      </c>
      <c r="G19" s="366">
        <f t="shared" si="1"/>
        <v>0.74520547945205484</v>
      </c>
      <c r="H19" s="349" t="str">
        <f>IFERROR(INDEX('Customer List w Software'!$AA:$AA,MATCH($B19,'Customer List w Software'!$A:$A,0)),"–")</f>
        <v>Rosemarie Reyes</v>
      </c>
      <c r="I19" s="349" t="str">
        <f>IFERROR(INDEX('Customer List w Software'!$AB:$AB,MATCH($B19,'Customer List w Software'!$A:$A,0)),"–")</f>
        <v>Benhur Gaddi</v>
      </c>
      <c r="J19" s="349" t="str">
        <f>IFERROR(INDEX('Customer List w Software'!$AC:$AC,MATCH($B19,'Customer List w Software'!$A:$A,0)),"–")</f>
        <v>Jennifer Murphy</v>
      </c>
      <c r="L19" s="367" cm="1">
        <f t="array" ref="L19">_xlfn.AGGREGATE(14,6,'Full Customer List'!$G$7:$G$320/('Full Customer List'!$C$7:$C$320="Active"),ROW()-6)</f>
        <v>2935</v>
      </c>
      <c r="M19" s="367" cm="1">
        <f t="array" ref="M19">_xlfn.AGGREGATE(15,6,ROW('Full Customer List'!$G$7:$G$320)/(('Full Customer List'!$C$7:$C$320="Active")*('Full Customer List'!$G$7:$G$320=$L19)),COUNTIF($L$7:$L19,$L19))</f>
        <v>40</v>
      </c>
    </row>
    <row r="20" spans="2:13" s="349" customFormat="1" ht="12">
      <c r="B20" s="356" t="str" cm="1">
        <f t="array" ref="B20">INDEX('Full Customer List'!$B:$B,$M20)</f>
        <v>C-011</v>
      </c>
      <c r="C20" s="364">
        <f t="shared" si="2"/>
        <v>34.58</v>
      </c>
      <c r="D20" s="363">
        <f t="shared" si="0"/>
        <v>1.1181805907053805E-2</v>
      </c>
      <c r="E20" s="364" cm="1">
        <f t="array" ref="E20">INDEX('Full Customer List'!$F:$F,$M20)</f>
        <v>61</v>
      </c>
      <c r="F20" s="365" cm="1">
        <f t="array" ref="F20">INDEX('Full Customer List'!$I:$I,$M20)</f>
        <v>45200</v>
      </c>
      <c r="G20" s="366">
        <f t="shared" si="1"/>
        <v>2.8328767123287673</v>
      </c>
      <c r="H20" s="349" t="str">
        <f>IFERROR(INDEX('Customer List w Software'!$AA:$AA,MATCH($B20,'Customer List w Software'!$A:$A,0)),"–")</f>
        <v>Fersie Colantro</v>
      </c>
      <c r="I20" s="349" t="str">
        <f>IFERROR(INDEX('Customer List w Software'!$AB:$AB,MATCH($B20,'Customer List w Software'!$A:$A,0)),"–")</f>
        <v>Grace Reyes</v>
      </c>
      <c r="J20" s="349" t="str">
        <f>IFERROR(INDEX('Customer List w Software'!$AC:$AC,MATCH($B20,'Customer List w Software'!$A:$A,0)),"–")</f>
        <v>Mary Reilly</v>
      </c>
      <c r="L20" s="367" cm="1">
        <f t="array" ref="L20">_xlfn.AGGREGATE(14,6,'Full Customer List'!$G$7:$G$320/('Full Customer List'!$C$7:$C$320="Active"),ROW()-6)</f>
        <v>2881.6666666666665</v>
      </c>
      <c r="M20" s="367" cm="1">
        <f t="array" ref="M20">_xlfn.AGGREGATE(15,6,ROW('Full Customer List'!$G$7:$G$320)/(('Full Customer List'!$C$7:$C$320="Active")*('Full Customer List'!$G$7:$G$320=$L20)),COUNTIF($L$7:$L20,$L20))</f>
        <v>17</v>
      </c>
    </row>
    <row r="21" spans="2:13" s="349" customFormat="1" ht="12">
      <c r="B21" s="356" t="str" cm="1">
        <f t="array" ref="B21">INDEX('Full Customer List'!$B:$B,$M21)</f>
        <v>C-026</v>
      </c>
      <c r="C21" s="364">
        <f t="shared" si="2"/>
        <v>33.415999999999997</v>
      </c>
      <c r="D21" s="363">
        <f t="shared" si="0"/>
        <v>1.0805414291211971E-2</v>
      </c>
      <c r="E21" s="364" cm="1">
        <f t="array" ref="E21">INDEX('Full Customer List'!$F:$F,$M21)</f>
        <v>55</v>
      </c>
      <c r="F21" s="365" cm="1">
        <f t="array" ref="F21">INDEX('Full Customer List'!$I:$I,$M21)</f>
        <v>45992</v>
      </c>
      <c r="G21" s="366">
        <f t="shared" si="1"/>
        <v>0.66301369863013704</v>
      </c>
      <c r="H21" s="349" t="str">
        <f>IFERROR(INDEX('Customer List w Software'!$AA:$AA,MATCH($B21,'Customer List w Software'!$A:$A,0)),"–")</f>
        <v>Princess Perez</v>
      </c>
      <c r="I21" s="349" t="str">
        <f>IFERROR(INDEX('Customer List w Software'!$AB:$AB,MATCH($B21,'Customer List w Software'!$A:$A,0)),"–")</f>
        <v>Makie Reblando</v>
      </c>
      <c r="J21" s="349" t="str">
        <f>IFERROR(INDEX('Customer List w Software'!$AC:$AC,MATCH($B21,'Customer List w Software'!$A:$A,0)),"–")</f>
        <v>Thea Hemmatyar</v>
      </c>
      <c r="L21" s="367" cm="1">
        <f t="array" ref="L21">_xlfn.AGGREGATE(14,6,'Full Customer List'!$G$7:$G$320/('Full Customer List'!$C$7:$C$320="Active"),ROW()-6)</f>
        <v>2784.6666666666665</v>
      </c>
      <c r="M21" s="367" cm="1">
        <f t="array" ref="M21">_xlfn.AGGREGATE(15,6,ROW('Full Customer List'!$G$7:$G$320)/(('Full Customer List'!$C$7:$C$320="Active")*('Full Customer List'!$G$7:$G$320=$L21)),COUNTIF($L$7:$L21,$L21))</f>
        <v>32</v>
      </c>
    </row>
    <row r="22" spans="2:13" s="349" customFormat="1" ht="12">
      <c r="B22" s="356" t="str" cm="1">
        <f t="array" ref="B22">INDEX('Full Customer List'!$B:$B,$M22)</f>
        <v>C-008</v>
      </c>
      <c r="C22" s="364">
        <f t="shared" si="2"/>
        <v>33.031999999999996</v>
      </c>
      <c r="D22" s="363">
        <f t="shared" si="0"/>
        <v>1.068124386124353E-2</v>
      </c>
      <c r="E22" s="364" cm="1">
        <f t="array" ref="E22">INDEX('Full Customer List'!$F:$F,$M22)</f>
        <v>33</v>
      </c>
      <c r="F22" s="365" cm="1">
        <f t="array" ref="F22">INDEX('Full Customer List'!$I:$I,$M22)</f>
        <v>45323</v>
      </c>
      <c r="G22" s="366">
        <f t="shared" si="1"/>
        <v>2.495890410958904</v>
      </c>
      <c r="H22" s="349" t="str">
        <f>IFERROR(INDEX('Customer List w Software'!$AA:$AA,MATCH($B22,'Customer List w Software'!$A:$A,0)),"–")</f>
        <v>Jamaica Quiroz</v>
      </c>
      <c r="I22" s="349" t="str">
        <f>IFERROR(INDEX('Customer List w Software'!$AB:$AB,MATCH($B22,'Customer List w Software'!$A:$A,0)),"–")</f>
        <v>Zen Rodriguez</v>
      </c>
      <c r="J22" s="349" t="str">
        <f>IFERROR(INDEX('Customer List w Software'!$AC:$AC,MATCH($B22,'Customer List w Software'!$A:$A,0)),"–")</f>
        <v>Mary Reilly</v>
      </c>
      <c r="L22" s="367" cm="1">
        <f t="array" ref="L22">_xlfn.AGGREGATE(14,6,'Full Customer List'!$G$7:$G$320/('Full Customer List'!$C$7:$C$320="Active"),ROW()-6)</f>
        <v>2752.6666666666665</v>
      </c>
      <c r="M22" s="367" cm="1">
        <f t="array" ref="M22">_xlfn.AGGREGATE(15,6,ROW('Full Customer List'!$G$7:$G$320)/(('Full Customer List'!$C$7:$C$320="Active")*('Full Customer List'!$G$7:$G$320=$L22)),COUNTIF($L$7:$L22,$L22))</f>
        <v>14</v>
      </c>
    </row>
    <row r="23" spans="2:13" s="349" customFormat="1" ht="12">
      <c r="B23" s="356" t="str" cm="1">
        <f t="array" ref="B23">INDEX('Full Customer List'!$B:$B,$M23)</f>
        <v>C-009</v>
      </c>
      <c r="C23" s="364">
        <f t="shared" si="2"/>
        <v>32.505400000000002</v>
      </c>
      <c r="D23" s="363">
        <f t="shared" si="0"/>
        <v>1.051096222472952E-2</v>
      </c>
      <c r="E23" s="364" cm="1">
        <f t="array" ref="E23">INDEX('Full Customer List'!$F:$F,$M23)</f>
        <v>36</v>
      </c>
      <c r="F23" s="365" cm="1">
        <f t="array" ref="F23">INDEX('Full Customer List'!$I:$I,$M23)</f>
        <v>44713</v>
      </c>
      <c r="G23" s="366">
        <f t="shared" si="1"/>
        <v>4.1671232876712327</v>
      </c>
      <c r="H23" s="349" t="str">
        <f>IFERROR(INDEX('Customer List w Software'!$AA:$AA,MATCH($B23,'Customer List w Software'!$A:$A,0)),"–")</f>
        <v>Airenz Lara</v>
      </c>
      <c r="I23" s="349" t="str">
        <f>IFERROR(INDEX('Customer List w Software'!$AB:$AB,MATCH($B23,'Customer List w Software'!$A:$A,0)),"–")</f>
        <v>Abby Del Rosario</v>
      </c>
      <c r="J23" s="349" t="str">
        <f>IFERROR(INDEX('Customer List w Software'!$AC:$AC,MATCH($B23,'Customer List w Software'!$A:$A,0)),"–")</f>
        <v>Thea Hemmatyar</v>
      </c>
      <c r="L23" s="367" cm="1">
        <f t="array" ref="L23">_xlfn.AGGREGATE(14,6,'Full Customer List'!$G$7:$G$320/('Full Customer List'!$C$7:$C$320="Active"),ROW()-6)</f>
        <v>2708.7833333333333</v>
      </c>
      <c r="M23" s="367" cm="1">
        <f t="array" ref="M23">_xlfn.AGGREGATE(15,6,ROW('Full Customer List'!$G$7:$G$320)/(('Full Customer List'!$C$7:$C$320="Active")*('Full Customer List'!$G$7:$G$320=$L23)),COUNTIF($L$7:$L23,$L23))</f>
        <v>15</v>
      </c>
    </row>
    <row r="24" spans="2:13" s="349" customFormat="1" ht="12">
      <c r="B24" s="356" t="str" cm="1">
        <f t="array" ref="B24">INDEX('Full Customer List'!$B:$B,$M24)</f>
        <v>C-015</v>
      </c>
      <c r="C24" s="364">
        <f t="shared" si="2"/>
        <v>31.736000000000001</v>
      </c>
      <c r="D24" s="363">
        <f t="shared" si="0"/>
        <v>1.0262168660100046E-2</v>
      </c>
      <c r="E24" s="364" cm="1">
        <f t="array" ref="E24">INDEX('Full Customer List'!$F:$F,$M24)</f>
        <v>60</v>
      </c>
      <c r="F24" s="365" cm="1">
        <f t="array" ref="F24">INDEX('Full Customer List'!$I:$I,$M24)</f>
        <v>45778</v>
      </c>
      <c r="G24" s="366">
        <f t="shared" si="1"/>
        <v>1.2493150684931507</v>
      </c>
      <c r="H24" s="349" t="str">
        <f>IFERROR(INDEX('Customer List w Software'!$AA:$AA,MATCH($B24,'Customer List w Software'!$A:$A,0)),"–")</f>
        <v>Jimberly Kemp</v>
      </c>
      <c r="I24" s="349" t="str">
        <f>IFERROR(INDEX('Customer List w Software'!$AB:$AB,MATCH($B24,'Customer List w Software'!$A:$A,0)),"–")</f>
        <v>Lawrence Trajano</v>
      </c>
      <c r="J24" s="349" t="str">
        <f>IFERROR(INDEX('Customer List w Software'!$AC:$AC,MATCH($B24,'Customer List w Software'!$A:$A,0)),"–")</f>
        <v>Mary Reilly</v>
      </c>
      <c r="L24" s="367" cm="1">
        <f t="array" ref="L24">_xlfn.AGGREGATE(14,6,'Full Customer List'!$G$7:$G$320/('Full Customer List'!$C$7:$C$320="Active"),ROW()-6)</f>
        <v>2644.6666666666665</v>
      </c>
      <c r="M24" s="367" cm="1">
        <f t="array" ref="M24">_xlfn.AGGREGATE(15,6,ROW('Full Customer List'!$G$7:$G$320)/(('Full Customer List'!$C$7:$C$320="Active")*('Full Customer List'!$G$7:$G$320=$L24)),COUNTIF($L$7:$L24,$L24))</f>
        <v>21</v>
      </c>
    </row>
    <row r="25" spans="2:13" s="349" customFormat="1" ht="12">
      <c r="B25" s="356" t="str" cm="1">
        <f t="array" ref="B25">INDEX('Full Customer List'!$B:$B,$M25)</f>
        <v>C-101</v>
      </c>
      <c r="C25" s="364">
        <f t="shared" si="2"/>
        <v>31.667999999999999</v>
      </c>
      <c r="D25" s="363">
        <f t="shared" si="0"/>
        <v>1.0240180146459801E-2</v>
      </c>
      <c r="E25" s="364" cm="1">
        <f t="array" ref="E25">INDEX('Full Customer List'!$F:$F,$M25)</f>
        <v>29</v>
      </c>
      <c r="F25" s="365" cm="1">
        <f t="array" ref="F25">INDEX('Full Customer List'!$I:$I,$M25)</f>
        <v>46143</v>
      </c>
      <c r="G25" s="366">
        <f t="shared" si="1"/>
        <v>0.24931506849315069</v>
      </c>
      <c r="H25" s="349" t="str">
        <f>IFERROR(INDEX('Customer List w Software'!$AA:$AA,MATCH($B25,'Customer List w Software'!$A:$A,0)),"–")</f>
        <v>Rose Deang</v>
      </c>
      <c r="I25" s="349" t="str">
        <f>IFERROR(INDEX('Customer List w Software'!$AB:$AB,MATCH($B25,'Customer List w Software'!$A:$A,0)),"–")</f>
        <v>Jaira Yadan</v>
      </c>
      <c r="J25" s="349" t="str">
        <f>IFERROR(INDEX('Customer List w Software'!$AC:$AC,MATCH($B25,'Customer List w Software'!$A:$A,0)),"–")</f>
        <v>Mary Reilly</v>
      </c>
      <c r="L25" s="367" cm="1">
        <f t="array" ref="L25">_xlfn.AGGREGATE(14,6,'Full Customer List'!$G$7:$G$320/('Full Customer List'!$C$7:$C$320="Active"),ROW()-6)</f>
        <v>2639</v>
      </c>
      <c r="M25" s="367" cm="1">
        <f t="array" ref="M25">_xlfn.AGGREGATE(15,6,ROW('Full Customer List'!$G$7:$G$320)/(('Full Customer List'!$C$7:$C$320="Active")*('Full Customer List'!$G$7:$G$320=$L25)),COUNTIF($L$7:$L25,$L25))</f>
        <v>107</v>
      </c>
    </row>
    <row r="26" spans="2:13" s="349" customFormat="1" ht="12">
      <c r="B26" s="356" t="str" cm="1">
        <f t="array" ref="B26">INDEX('Full Customer List'!$B:$B,$M26)</f>
        <v>C-056</v>
      </c>
      <c r="C26" s="364">
        <f t="shared" si="2"/>
        <v>31.643999999999998</v>
      </c>
      <c r="D26" s="363">
        <f t="shared" si="0"/>
        <v>1.0232419494586772E-2</v>
      </c>
      <c r="E26" s="364" cm="1">
        <f t="array" ref="E26">INDEX('Full Customer List'!$F:$F,$M26)</f>
        <v>44</v>
      </c>
      <c r="F26" s="365" cm="1">
        <f t="array" ref="F26">INDEX('Full Customer List'!$I:$I,$M26)</f>
        <v>46113</v>
      </c>
      <c r="G26" s="366">
        <f t="shared" si="1"/>
        <v>0.33150684931506852</v>
      </c>
      <c r="H26" s="349" t="str">
        <f>IFERROR(INDEX('Customer List w Software'!$AA:$AA,MATCH($B26,'Customer List w Software'!$A:$A,0)),"–")</f>
        <v>Coralyn Joguilon</v>
      </c>
      <c r="I26" s="349" t="str">
        <f>IFERROR(INDEX('Customer List w Software'!$AB:$AB,MATCH($B26,'Customer List w Software'!$A:$A,0)),"–")</f>
        <v>Coralyn Joguilon</v>
      </c>
      <c r="J26" s="349" t="str">
        <f>IFERROR(INDEX('Customer List w Software'!$AC:$AC,MATCH($B26,'Customer List w Software'!$A:$A,0)),"–")</f>
        <v>Jennifer Murphy</v>
      </c>
      <c r="L26" s="367" cm="1">
        <f t="array" ref="L26">_xlfn.AGGREGATE(14,6,'Full Customer List'!$G$7:$G$320/('Full Customer List'!$C$7:$C$320="Active"),ROW()-6)</f>
        <v>2637</v>
      </c>
      <c r="M26" s="367" cm="1">
        <f t="array" ref="M26">_xlfn.AGGREGATE(15,6,ROW('Full Customer List'!$G$7:$G$320)/(('Full Customer List'!$C$7:$C$320="Active")*('Full Customer List'!$G$7:$G$320=$L26)),COUNTIF($L$7:$L26,$L26))</f>
        <v>62</v>
      </c>
    </row>
    <row r="27" spans="2:13" s="349" customFormat="1" ht="12">
      <c r="B27" s="354" t="s">
        <v>1870</v>
      </c>
      <c r="C27" s="61">
        <f>SUM(C7:C26)</f>
        <v>998.26976000000002</v>
      </c>
      <c r="D27" s="368">
        <f>SUM(D7:D26)</f>
        <v>0.32280100344711343</v>
      </c>
      <c r="E27" s="226">
        <f>SUM(E7:E26)</f>
        <v>1506</v>
      </c>
      <c r="F27" s="357"/>
      <c r="G27" s="369">
        <f>AVERAGE(G7:G26)</f>
        <v>1.7190410958904114</v>
      </c>
    </row>
    <row r="28" spans="2:13" s="349" customFormat="1" ht="12">
      <c r="B28" s="356" t="s">
        <v>1872</v>
      </c>
      <c r="C28" s="364">
        <f>$C29-$C27</f>
        <v>2094.2539599999991</v>
      </c>
      <c r="D28" s="363">
        <f>$D29-$D27</f>
        <v>0.67719899655288662</v>
      </c>
      <c r="E28" s="364">
        <f>$E29-$E27</f>
        <v>2294</v>
      </c>
    </row>
    <row r="29" spans="2:13" s="349" customFormat="1" ht="12">
      <c r="B29" s="355" t="s">
        <v>1871</v>
      </c>
      <c r="C29" s="61">
        <f>SUMIFS('Full Customer List'!$G$7:$G$320,'Full Customer List'!$C$7:$C$320,"Active")*12/1000</f>
        <v>3092.5237199999992</v>
      </c>
      <c r="D29" s="368">
        <f>$C29/$C$29</f>
        <v>1</v>
      </c>
      <c r="E29" s="226">
        <f>SUMIFS('Full Customer List'!$F$7:$F$320,'Full Customer List'!$C$7:$C$320,"Active")</f>
        <v>3800</v>
      </c>
      <c r="F29" s="357"/>
      <c r="G29" s="369">
        <f>($C$33-SUMIFS('Full Customer List'!$I$7:$I$320,'Full Customer List'!$C$7:$C$320,"Active")/$C$34)/365</f>
        <v>1.4545061283345391</v>
      </c>
    </row>
    <row r="32" spans="2:13">
      <c r="B32" s="97" t="s">
        <v>1305</v>
      </c>
      <c r="C32" s="347"/>
    </row>
    <row r="33" spans="2:3">
      <c r="B33" s="97" t="s">
        <v>1865</v>
      </c>
      <c r="C33" s="353">
        <f>EOMONTH('Full Customer List'!$AC$6,0)</f>
        <v>46234</v>
      </c>
    </row>
    <row r="34" spans="2:3">
      <c r="B34" s="97" t="s">
        <v>1866</v>
      </c>
      <c r="C34" s="222">
        <f>COUNTIFS('Full Customer List'!$C$7:$C$320,"Active")</f>
        <v>190</v>
      </c>
    </row>
    <row r="35" spans="2:3">
      <c r="B35" s="97" t="s">
        <v>1867</v>
      </c>
      <c r="C35" s="222">
        <f>C27+C28-C29</f>
        <v>0</v>
      </c>
    </row>
  </sheetData>
  <conditionalFormatting sqref="A6:XFD29">
    <cfRule type="expression" dxfId="47" priority="1">
      <formula>$M$3=1</formula>
    </cfRule>
  </conditionalFormatting>
  <pageMargins left="0.7" right="0.7" top="0.75" bottom="0.75" header="0.3" footer="0.3"/>
  <pageSetup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="145" zoomScaleNormal="160" zoomScaleSheetLayoutView="145" workbookViewId="0">
      <selection activeCell="X47" sqref="X47"/>
    </sheetView>
  </sheetViews>
  <sheetFormatPr defaultRowHeight="12"/>
  <cols>
    <col min="1" max="1" width="1.7109375" style="213" customWidth="1"/>
    <col min="2" max="2" width="26.7109375" style="213" customWidth="1"/>
    <col min="3" max="4" width="7.5703125" style="213" customWidth="1"/>
    <col min="5" max="5" width="0.85546875" style="213" customWidth="1"/>
    <col min="6" max="7" width="7.5703125" style="213" customWidth="1"/>
    <col min="8" max="8" width="0.85546875" style="213" customWidth="1"/>
    <col min="9" max="11" width="7.5703125" style="213" customWidth="1"/>
    <col min="12" max="12" width="0.85546875" style="213" customWidth="1"/>
    <col min="13" max="14" width="7.5703125" style="213" customWidth="1"/>
    <col min="15" max="15" width="0.85546875" style="213" customWidth="1"/>
    <col min="16" max="17" width="7.5703125" style="213" customWidth="1"/>
    <col min="18" max="18" width="0.85546875" style="213" customWidth="1"/>
    <col min="19" max="20" width="7.5703125" style="213" customWidth="1"/>
    <col min="21" max="21" width="6.140625" style="213" customWidth="1"/>
    <col min="22" max="16384" width="9.140625" style="213"/>
  </cols>
  <sheetData>
    <row r="2" spans="2:23" ht="16.5">
      <c r="B2" s="37" t="str">
        <f>+'Revenue Analysis'!B2</f>
        <v>Keystone Bookkeepers</v>
      </c>
    </row>
    <row r="3" spans="2:23">
      <c r="B3" s="38" t="s">
        <v>1501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V3" s="213" t="s">
        <v>276</v>
      </c>
      <c r="W3" s="78">
        <v>1</v>
      </c>
    </row>
    <row r="5" spans="2:23" ht="36">
      <c r="B5" s="159" t="s">
        <v>1505</v>
      </c>
      <c r="C5" s="176" t="s">
        <v>1064</v>
      </c>
      <c r="D5" s="176" t="s">
        <v>1594</v>
      </c>
      <c r="E5" s="190"/>
      <c r="F5" s="176" t="s">
        <v>3</v>
      </c>
      <c r="G5" s="176" t="s">
        <v>4</v>
      </c>
      <c r="H5" s="190"/>
      <c r="I5" s="176" t="s">
        <v>1597</v>
      </c>
      <c r="J5" s="176" t="s">
        <v>1598</v>
      </c>
      <c r="K5" s="176" t="s">
        <v>1592</v>
      </c>
      <c r="L5" s="190"/>
      <c r="M5" s="176" t="s">
        <v>1595</v>
      </c>
      <c r="N5" s="176" t="s">
        <v>1587</v>
      </c>
      <c r="O5" s="190"/>
      <c r="P5" s="176" t="s">
        <v>1593</v>
      </c>
      <c r="Q5" s="176" t="s">
        <v>1592</v>
      </c>
      <c r="R5" s="190"/>
      <c r="S5" s="176" t="s">
        <v>1596</v>
      </c>
      <c r="T5" s="176" t="s">
        <v>1587</v>
      </c>
      <c r="U5" s="190"/>
      <c r="W5" s="217" t="s">
        <v>497</v>
      </c>
    </row>
    <row r="6" spans="2:23">
      <c r="B6" s="42" t="s">
        <v>1511</v>
      </c>
      <c r="C6" s="218"/>
      <c r="D6" s="218"/>
      <c r="E6" s="282"/>
      <c r="F6" s="218"/>
      <c r="G6" s="218"/>
      <c r="H6" s="282"/>
      <c r="I6" s="218"/>
      <c r="J6" s="218"/>
      <c r="K6" s="218"/>
      <c r="L6" s="282"/>
      <c r="M6" s="218"/>
      <c r="N6" s="218"/>
      <c r="O6" s="282"/>
      <c r="P6" s="218"/>
      <c r="Q6" s="218"/>
      <c r="R6" s="282"/>
      <c r="S6" s="218"/>
      <c r="T6" s="218"/>
      <c r="U6" s="282"/>
    </row>
    <row r="7" spans="2:23">
      <c r="B7" s="210" t="s">
        <v>490</v>
      </c>
      <c r="C7" s="219">
        <f>COUNTIFS('Headcount &amp; Compensation'!$C:$C,'Employee Overview'!$W$5,'Headcount &amp; Compensation'!$E:$E,$B7)</f>
        <v>40</v>
      </c>
      <c r="D7" s="223">
        <f>K7/C7</f>
        <v>12.315000000000001</v>
      </c>
      <c r="E7" s="223"/>
      <c r="F7" s="47">
        <f>+'P&amp;L Forecast'!C32</f>
        <v>183.36902999999998</v>
      </c>
      <c r="G7" s="47">
        <f>+'P&amp;L Forecast'!D32</f>
        <v>316.18462</v>
      </c>
      <c r="H7" s="223"/>
      <c r="I7" s="47">
        <f>+'P&amp;L Forecast'!I32</f>
        <v>240.18097999999998</v>
      </c>
      <c r="J7" s="47">
        <f>+'P&amp;L Forecast'!J32</f>
        <v>436.67388999999997</v>
      </c>
      <c r="K7" s="223">
        <f>SUMIFS('Headcount &amp; Compensation'!$L:$L,'Headcount &amp; Compensation'!$C:$C,'Employee Overview'!$W$5,'Headcount &amp; Compensation'!$E:$E,'Employee Overview'!$B7)/1000</f>
        <v>492.6</v>
      </c>
      <c r="L7" s="223"/>
      <c r="M7" s="223">
        <f>K7-J7</f>
        <v>55.926110000000051</v>
      </c>
      <c r="N7" s="227">
        <f>M7/$D7</f>
        <v>4.5413000406008965</v>
      </c>
      <c r="O7" s="227"/>
      <c r="P7" s="47">
        <f>+'P&amp;L Forecast'!AT32*12</f>
        <v>533.85120000000006</v>
      </c>
      <c r="Q7" s="223">
        <f>SUMIFS('Headcount &amp; Compensation'!$L:$L,'Headcount &amp; Compensation'!$C:$C,'Employee Overview'!$W$5,'Headcount &amp; Compensation'!$E:$E,'Employee Overview'!$B7)/1000</f>
        <v>492.6</v>
      </c>
      <c r="R7" s="223"/>
      <c r="S7" s="223">
        <f>Q7-P7</f>
        <v>-41.25120000000004</v>
      </c>
      <c r="T7" s="227">
        <f>S7/$D7</f>
        <v>-3.3496711327649238</v>
      </c>
      <c r="U7" s="227"/>
      <c r="W7" s="213" t="s">
        <v>34</v>
      </c>
    </row>
    <row r="8" spans="2:23">
      <c r="B8" s="210" t="s">
        <v>491</v>
      </c>
      <c r="C8" s="219">
        <f>COUNTIFS('Headcount &amp; Compensation'!$C:$C,'Employee Overview'!$W$5,'Headcount &amp; Compensation'!$E:$E,$B8)</f>
        <v>16</v>
      </c>
      <c r="D8" s="219">
        <f>K8/C8</f>
        <v>23.774999999999999</v>
      </c>
      <c r="E8" s="219"/>
      <c r="F8" s="53">
        <f>+'P&amp;L Forecast'!C33+'P&amp;L Forecast'!C38</f>
        <v>286.16129000000001</v>
      </c>
      <c r="G8" s="53">
        <f>+'P&amp;L Forecast'!D33+'P&amp;L Forecast'!D38</f>
        <v>352.95844</v>
      </c>
      <c r="H8" s="219"/>
      <c r="I8" s="53">
        <f>+'P&amp;L Forecast'!I33+'P&amp;L Forecast'!I38</f>
        <v>353.12842999999998</v>
      </c>
      <c r="J8" s="53">
        <f>+'P&amp;L Forecast'!J33+'P&amp;L Forecast'!J38</f>
        <v>361.72670000000011</v>
      </c>
      <c r="K8" s="219">
        <f>SUMIFS('Headcount &amp; Compensation'!$L:$L,'Headcount &amp; Compensation'!$C:$C,'Employee Overview'!$W$5,'Headcount &amp; Compensation'!$E:$E,'Employee Overview'!$B8)/1000</f>
        <v>380.4</v>
      </c>
      <c r="L8" s="219"/>
      <c r="M8" s="219">
        <f>K8-J8</f>
        <v>18.67329999999987</v>
      </c>
      <c r="N8" s="227">
        <f>M8/$D8</f>
        <v>0.78541745531019436</v>
      </c>
      <c r="O8" s="227"/>
      <c r="P8" s="53">
        <f>(+'P&amp;L Forecast'!AT33+'P&amp;L Forecast'!AT38)*12</f>
        <v>426.00576000000001</v>
      </c>
      <c r="Q8" s="219">
        <f>SUMIFS('Headcount &amp; Compensation'!$L:$L,'Headcount &amp; Compensation'!$C:$C,'Employee Overview'!$W$5,'Headcount &amp; Compensation'!$E:$E,'Employee Overview'!$B8)/1000</f>
        <v>380.4</v>
      </c>
      <c r="R8" s="219"/>
      <c r="S8" s="219">
        <f>Q8-P8</f>
        <v>-45.605760000000032</v>
      </c>
      <c r="T8" s="227">
        <f>S8/$D8</f>
        <v>-1.9182233438485818</v>
      </c>
      <c r="U8" s="227"/>
      <c r="W8" s="213" t="s">
        <v>35</v>
      </c>
    </row>
    <row r="9" spans="2:23">
      <c r="B9" s="104" t="s">
        <v>1514</v>
      </c>
      <c r="C9" s="287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0">
        <f>M9/$D9</f>
        <v>4.7853000687285174</v>
      </c>
      <c r="O9" s="284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0">
        <f>S9/$D9</f>
        <v>-5.5715804810996614</v>
      </c>
      <c r="U9" s="284"/>
    </row>
    <row r="10" spans="2:23">
      <c r="B10" s="107" t="s">
        <v>1589</v>
      </c>
      <c r="C10" s="291">
        <v>0</v>
      </c>
      <c r="D10" s="292">
        <v>0</v>
      </c>
      <c r="E10" s="71"/>
      <c r="F10" s="288">
        <f>F9/('P&amp;L Forecast'!C7+'P&amp;L Forecast'!C9)</f>
        <v>0.4611089715748849</v>
      </c>
      <c r="G10" s="289">
        <f>G9/('P&amp;L Forecast'!D7+'P&amp;L Forecast'!D9)</f>
        <v>0.41814584964771562</v>
      </c>
      <c r="H10" s="71"/>
      <c r="I10" s="288">
        <f>I9/('P&amp;L Forecast'!I7+'P&amp;L Forecast'!I9)</f>
        <v>0.44884207126020825</v>
      </c>
      <c r="J10" s="299">
        <f>J9/('P&amp;L Forecast'!J7+'P&amp;L Forecast'!J9)</f>
        <v>0.38143011440124069</v>
      </c>
      <c r="K10" s="289">
        <f>K9/('P&amp;L Forecast'!K7+'P&amp;L Forecast'!K9)</f>
        <v>0.35981452859350849</v>
      </c>
      <c r="L10" s="71"/>
      <c r="M10" s="293">
        <v>0</v>
      </c>
      <c r="N10" s="294">
        <v>0</v>
      </c>
      <c r="O10" s="296"/>
      <c r="P10" s="288">
        <f>P9/('P&amp;L Forecast'!K7+'P&amp;L Forecast'!K9)</f>
        <v>0.39561337867078827</v>
      </c>
      <c r="Q10" s="289">
        <f>Q9/('P&amp;L Forecast'!K7+'P&amp;L Forecast'!K9)</f>
        <v>0.35981452859350849</v>
      </c>
      <c r="R10" s="71"/>
      <c r="S10" s="293">
        <v>0</v>
      </c>
      <c r="T10" s="294">
        <v>0</v>
      </c>
      <c r="U10" s="284"/>
    </row>
    <row r="11" spans="2:23" ht="3.95" customHeight="1">
      <c r="B11" s="214"/>
      <c r="C11" s="22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1512</v>
      </c>
      <c r="C12" s="218"/>
      <c r="D12" s="218"/>
      <c r="E12" s="282"/>
      <c r="F12" s="218"/>
      <c r="G12" s="218"/>
      <c r="H12" s="282"/>
      <c r="I12" s="218"/>
      <c r="J12" s="218"/>
      <c r="K12" s="218"/>
      <c r="L12" s="282"/>
      <c r="M12" s="218"/>
      <c r="N12" s="218"/>
      <c r="O12" s="282"/>
      <c r="P12" s="218"/>
      <c r="Q12" s="218"/>
      <c r="R12" s="282"/>
      <c r="S12" s="218"/>
      <c r="T12" s="218"/>
      <c r="U12" s="282"/>
    </row>
    <row r="13" spans="2:23">
      <c r="B13" s="210" t="s">
        <v>1510</v>
      </c>
      <c r="C13" s="219">
        <f>COUNTIFS('Headcount &amp; Compensation'!$C:$C,'Employee Overview'!$W$5,'Headcount &amp; Compensation'!$E:$E,$B13)</f>
        <v>4</v>
      </c>
      <c r="D13" s="219">
        <f>K13/C13</f>
        <v>11.324999999999999</v>
      </c>
      <c r="E13" s="219"/>
      <c r="F13" s="82">
        <v>0</v>
      </c>
      <c r="G13" s="82">
        <v>0</v>
      </c>
      <c r="H13" s="219"/>
      <c r="I13" s="82">
        <v>0</v>
      </c>
      <c r="J13" s="82">
        <v>0</v>
      </c>
      <c r="K13" s="219">
        <f>SUMIFS('Headcount &amp; Compensation'!$L:$L,'Headcount &amp; Compensation'!$C:$C,'Employee Overview'!$W$5,'Headcount &amp; Compensation'!$E:$E,'Employee Overview'!$B13)/1000</f>
        <v>45.3</v>
      </c>
      <c r="L13" s="219"/>
      <c r="M13" s="82">
        <v>0</v>
      </c>
      <c r="N13" s="82">
        <v>0</v>
      </c>
      <c r="O13" s="82"/>
      <c r="P13" s="82">
        <v>0</v>
      </c>
      <c r="Q13" s="219">
        <f>SUMIFS('Headcount &amp; Compensation'!$L:$L,'Headcount &amp; Compensation'!$C:$C,'Employee Overview'!$W$5,'Headcount &amp; Compensation'!$E:$E,'Employee Overview'!$B13)/1000</f>
        <v>45.3</v>
      </c>
      <c r="R13" s="219"/>
      <c r="S13" s="82">
        <v>0</v>
      </c>
      <c r="T13" s="227">
        <f>S13/$D13</f>
        <v>0</v>
      </c>
      <c r="U13" s="285"/>
      <c r="W13" s="213" t="s">
        <v>37</v>
      </c>
    </row>
    <row r="14" spans="2:23">
      <c r="B14" s="210" t="s">
        <v>1509</v>
      </c>
      <c r="C14" s="219">
        <f>COUNTIFS('Headcount &amp; Compensation'!$C:$C,'Employee Overview'!$W$5,'Headcount &amp; Compensation'!$E:$E,$B14)</f>
        <v>4</v>
      </c>
      <c r="D14" s="219">
        <f>K14/C14</f>
        <v>22.2</v>
      </c>
      <c r="E14" s="219"/>
      <c r="F14" s="82">
        <v>0</v>
      </c>
      <c r="G14" s="82">
        <v>0</v>
      </c>
      <c r="H14" s="219"/>
      <c r="I14" s="82">
        <v>0</v>
      </c>
      <c r="J14" s="82">
        <v>0</v>
      </c>
      <c r="K14" s="219">
        <f>SUMIFS('Headcount &amp; Compensation'!$L:$L,'Headcount &amp; Compensation'!$C:$C,'Employee Overview'!$W$5,'Headcount &amp; Compensation'!$E:$E,'Employee Overview'!$B14)/1000</f>
        <v>88.8</v>
      </c>
      <c r="L14" s="219"/>
      <c r="M14" s="82">
        <v>0</v>
      </c>
      <c r="N14" s="82">
        <v>0</v>
      </c>
      <c r="O14" s="82"/>
      <c r="P14" s="82">
        <v>0</v>
      </c>
      <c r="Q14" s="219">
        <f>SUMIFS('Headcount &amp; Compensation'!$L:$L,'Headcount &amp; Compensation'!$C:$C,'Employee Overview'!$W$5,'Headcount &amp; Compensation'!$E:$E,'Employee Overview'!$B14)/1000</f>
        <v>88.8</v>
      </c>
      <c r="R14" s="219"/>
      <c r="S14" s="82">
        <v>0</v>
      </c>
      <c r="T14" s="227">
        <f>S14/$D14</f>
        <v>0</v>
      </c>
      <c r="U14" s="285"/>
      <c r="W14" s="213" t="s">
        <v>37</v>
      </c>
    </row>
    <row r="15" spans="2:23">
      <c r="B15" s="104" t="s">
        <v>1513</v>
      </c>
      <c r="C15" s="287">
        <f>SUM(C13:C14)</f>
        <v>8</v>
      </c>
      <c r="D15" s="106">
        <f>K15/C15</f>
        <v>16.762499999999999</v>
      </c>
      <c r="E15" s="71"/>
      <c r="F15" s="110">
        <f>+'P&amp;L Forecast'!C34</f>
        <v>122.81254999999999</v>
      </c>
      <c r="G15" s="106">
        <f>+'P&amp;L Forecast'!D34</f>
        <v>152.16972000000001</v>
      </c>
      <c r="H15" s="71"/>
      <c r="I15" s="110">
        <f>+'P&amp;L Forecast'!I34</f>
        <v>121.30735</v>
      </c>
      <c r="J15" s="105">
        <f>+'P&amp;L Forecast'!J34</f>
        <v>189.50009</v>
      </c>
      <c r="K15" s="106">
        <f>SUM(K13:K14)</f>
        <v>134.1</v>
      </c>
      <c r="L15" s="71"/>
      <c r="M15" s="110">
        <f>K15-J15</f>
        <v>-55.400090000000006</v>
      </c>
      <c r="N15" s="290">
        <f>M15/$D15</f>
        <v>-3.3050016405667417</v>
      </c>
      <c r="O15" s="284"/>
      <c r="P15" s="110">
        <f>+'P&amp;L Forecast'!AT34*12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0">
        <f>S15/$D15</f>
        <v>-3.7613387024608489</v>
      </c>
      <c r="U15" s="284"/>
    </row>
    <row r="16" spans="2:23">
      <c r="B16" s="107" t="s">
        <v>1591</v>
      </c>
      <c r="C16" s="291">
        <v>0</v>
      </c>
      <c r="D16" s="292">
        <v>0</v>
      </c>
      <c r="E16" s="71"/>
      <c r="F16" s="288">
        <f>F15/('P&amp;L Forecast'!C10+'P&amp;L Forecast'!C14)</f>
        <v>1.9910436509544842</v>
      </c>
      <c r="G16" s="289">
        <f>G15/('P&amp;L Forecast'!D10+'P&amp;L Forecast'!D14)</f>
        <v>1.9128081198646694</v>
      </c>
      <c r="H16" s="71"/>
      <c r="I16" s="288">
        <f>I15/('P&amp;L Forecast'!I10+'P&amp;L Forecast'!I14)</f>
        <v>1.7247008259010765</v>
      </c>
      <c r="J16" s="299">
        <f>J15/('P&amp;L Forecast'!J10+'P&amp;L Forecast'!J14)</f>
        <v>2.0616828001882168</v>
      </c>
      <c r="K16" s="289">
        <f>K15/('P&amp;L Forecast'!K10+'P&amp;L Forecast'!K14)</f>
        <v>1.2948077340864654</v>
      </c>
      <c r="L16" s="71"/>
      <c r="M16" s="293">
        <v>0</v>
      </c>
      <c r="N16" s="294">
        <v>0</v>
      </c>
      <c r="O16" s="296"/>
      <c r="P16" s="288">
        <f>P15/('P&amp;L Forecast'!K10+'P&amp;L Forecast'!K14)</f>
        <v>1.9035840393945975</v>
      </c>
      <c r="Q16" s="289">
        <f>Q15/('P&amp;L Forecast'!K10+'P&amp;L Forecast'!K14)</f>
        <v>1.2948077340864654</v>
      </c>
      <c r="R16" s="71"/>
      <c r="S16" s="293">
        <v>0</v>
      </c>
      <c r="T16" s="294">
        <v>0</v>
      </c>
      <c r="U16" s="284"/>
    </row>
    <row r="17" spans="2:23" ht="3.95" customHeight="1">
      <c r="B17" s="214"/>
      <c r="C17" s="22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1581</v>
      </c>
      <c r="C18" s="218"/>
      <c r="D18" s="218"/>
      <c r="E18" s="282"/>
      <c r="F18" s="218"/>
      <c r="G18" s="218"/>
      <c r="H18" s="282"/>
      <c r="I18" s="218"/>
      <c r="J18" s="218"/>
      <c r="K18" s="218"/>
      <c r="L18" s="282"/>
      <c r="M18" s="218"/>
      <c r="N18" s="218"/>
      <c r="O18" s="282"/>
      <c r="P18" s="218"/>
      <c r="Q18" s="218"/>
      <c r="R18" s="282"/>
      <c r="S18" s="218"/>
      <c r="T18" s="218"/>
      <c r="U18" s="282"/>
    </row>
    <row r="19" spans="2:23" ht="12" customHeight="1">
      <c r="B19" s="210" t="s">
        <v>1508</v>
      </c>
      <c r="C19" s="219">
        <f>COUNTIFS('Headcount &amp; Compensation'!$C:$C,'Employee Overview'!$W$5,'Headcount &amp; Compensation'!$E:$E,$B19)</f>
        <v>4</v>
      </c>
      <c r="D19" s="219">
        <f>K19/C19</f>
        <v>14.55</v>
      </c>
      <c r="E19" s="219"/>
      <c r="F19" s="53">
        <f>+'P&amp;L Forecast'!C37</f>
        <v>1.1133499999999998</v>
      </c>
      <c r="G19" s="53">
        <f>+'P&amp;L Forecast'!D37</f>
        <v>29.564150000000001</v>
      </c>
      <c r="H19" s="219"/>
      <c r="I19" s="53">
        <f>+'P&amp;L Forecast'!I37</f>
        <v>15.389199999999999</v>
      </c>
      <c r="J19" s="53">
        <f>+'P&amp;L Forecast'!J37</f>
        <v>57.373349999999995</v>
      </c>
      <c r="K19" s="219">
        <f>SUMIFS('Headcount &amp; Compensation'!$L:$L,'Headcount &amp; Compensation'!$C:$C,'Employee Overview'!$W$5,'Headcount &amp; Compensation'!$E:$E,'Employee Overview'!$B19)/1000</f>
        <v>58.2</v>
      </c>
      <c r="L19" s="219"/>
      <c r="M19" s="219">
        <f>K19-J19</f>
        <v>0.82665000000000788</v>
      </c>
      <c r="N19" s="227">
        <f>M19/$D19</f>
        <v>5.6814432989691258E-2</v>
      </c>
      <c r="O19" s="227"/>
      <c r="P19" s="53">
        <f>+'P&amp;L Forecast'!AT37*12</f>
        <v>68.113200000000006</v>
      </c>
      <c r="Q19" s="219">
        <f>SUMIFS('Headcount &amp; Compensation'!$L:$L,'Headcount &amp; Compensation'!$C:$C,'Employee Overview'!$W$5,'Headcount &amp; Compensation'!$E:$E,'Employee Overview'!$B19)/1000</f>
        <v>58.2</v>
      </c>
      <c r="R19" s="219"/>
      <c r="S19" s="219">
        <f>Q19-P19</f>
        <v>-9.9132000000000033</v>
      </c>
      <c r="T19" s="227">
        <f t="shared" ref="T19" si="0">S19/$D19</f>
        <v>-0.68131958762886613</v>
      </c>
      <c r="U19" s="227"/>
      <c r="W19" s="213" t="s">
        <v>36</v>
      </c>
    </row>
    <row r="20" spans="2:23" ht="12" customHeight="1">
      <c r="B20" s="210" t="s">
        <v>81</v>
      </c>
      <c r="C20" s="219">
        <f>COUNTIFS('Headcount &amp; Compensation'!$C:$C,'Employee Overview'!$W$5,'Headcount &amp; Compensation'!$E:$E,$B20)</f>
        <v>2</v>
      </c>
      <c r="D20" s="219">
        <f>K20/C20</f>
        <v>23.1</v>
      </c>
      <c r="E20" s="219"/>
      <c r="F20" s="53">
        <f>+'P&amp;L Forecast'!C36</f>
        <v>0</v>
      </c>
      <c r="G20" s="53">
        <f>+'P&amp;L Forecast'!D36</f>
        <v>19.149630000000002</v>
      </c>
      <c r="H20" s="219"/>
      <c r="I20" s="53">
        <f>+'P&amp;L Forecast'!I36</f>
        <v>3.09945</v>
      </c>
      <c r="J20" s="53">
        <f>+'P&amp;L Forecast'!J36</f>
        <v>67.991489999999999</v>
      </c>
      <c r="K20" s="219">
        <f>SUMIFS('Headcount &amp; Compensation'!$L:$L,'Headcount &amp; Compensation'!$C:$C,'Employee Overview'!$W$5,'Headcount &amp; Compensation'!$E:$E,'Employee Overview'!$B20)/1000</f>
        <v>46.2</v>
      </c>
      <c r="L20" s="71"/>
      <c r="M20" s="219">
        <f>K20-J20</f>
        <v>-21.791489999999996</v>
      </c>
      <c r="N20" s="286">
        <v>0</v>
      </c>
      <c r="O20" s="219"/>
      <c r="P20" s="53">
        <f>+J20</f>
        <v>67.991489999999999</v>
      </c>
      <c r="Q20" s="219">
        <f>SUMIFS('Headcount &amp; Compensation'!$L:$L,'Headcount &amp; Compensation'!$C:$C,'Employee Overview'!$W$5,'Headcount &amp; Compensation'!$E:$E,'Employee Overview'!$B20)/1000</f>
        <v>46.2</v>
      </c>
      <c r="R20" s="71"/>
      <c r="S20" s="219">
        <f>Q20-P20</f>
        <v>-21.791489999999996</v>
      </c>
      <c r="T20" s="286">
        <v>0</v>
      </c>
      <c r="U20" s="227"/>
      <c r="W20" s="213" t="s">
        <v>87</v>
      </c>
    </row>
    <row r="21" spans="2:23">
      <c r="B21" s="210" t="s">
        <v>1500</v>
      </c>
      <c r="C21" s="219">
        <f>COUNTIFS('Headcount &amp; Compensation'!$C:$C,'Employee Overview'!$W$5,'Headcount &amp; Compensation'!$E:$E,$B21)</f>
        <v>1</v>
      </c>
      <c r="D21" s="219">
        <f>K21/C21</f>
        <v>108.34394</v>
      </c>
      <c r="E21" s="219"/>
      <c r="F21" s="53">
        <f>+'P&amp;L Forecast'!C35</f>
        <v>0</v>
      </c>
      <c r="G21" s="53">
        <f>+'P&amp;L Forecast'!D35</f>
        <v>90.66704</v>
      </c>
      <c r="H21" s="219"/>
      <c r="I21" s="53">
        <f>+'P&amp;L Forecast'!I35</f>
        <v>45.466120000000004</v>
      </c>
      <c r="J21" s="53">
        <f>+'P&amp;L Forecast'!J35</f>
        <v>108.34394</v>
      </c>
      <c r="K21" s="83">
        <f>J21</f>
        <v>108.34394</v>
      </c>
      <c r="L21" s="219"/>
      <c r="M21" s="219">
        <f>K21-J21</f>
        <v>0</v>
      </c>
      <c r="N21" s="286">
        <v>0</v>
      </c>
      <c r="O21" s="219"/>
      <c r="P21" s="53">
        <f>+'P&amp;L Forecast'!K35</f>
        <v>108.34394</v>
      </c>
      <c r="Q21" s="83">
        <f>P21</f>
        <v>108.34394</v>
      </c>
      <c r="R21" s="219"/>
      <c r="S21" s="219">
        <f>Q21-P21</f>
        <v>0</v>
      </c>
      <c r="T21" s="286">
        <v>0</v>
      </c>
      <c r="U21" s="227"/>
      <c r="W21" s="213" t="s">
        <v>80</v>
      </c>
    </row>
    <row r="22" spans="2:23">
      <c r="B22" s="60" t="s">
        <v>1590</v>
      </c>
      <c r="C22" s="226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28">
        <v>0</v>
      </c>
      <c r="O22" s="284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28">
        <f>+T19</f>
        <v>-0.68131958762886613</v>
      </c>
      <c r="U22" s="284"/>
    </row>
    <row r="23" spans="2:23" ht="3.95" customHeight="1">
      <c r="B23" s="214"/>
      <c r="C23" s="22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18"/>
      <c r="D24" s="218"/>
      <c r="E24" s="282"/>
      <c r="F24" s="218"/>
      <c r="G24" s="218"/>
      <c r="H24" s="282"/>
      <c r="I24" s="218"/>
      <c r="J24" s="218"/>
      <c r="K24" s="218"/>
      <c r="L24" s="282"/>
      <c r="M24" s="218"/>
      <c r="N24" s="218"/>
      <c r="O24" s="282"/>
      <c r="P24" s="218"/>
      <c r="Q24" s="218"/>
      <c r="R24" s="282"/>
      <c r="S24" s="218"/>
      <c r="T24" s="218"/>
      <c r="U24" s="282"/>
    </row>
    <row r="25" spans="2:23">
      <c r="B25" s="210" t="s">
        <v>1361</v>
      </c>
      <c r="C25" s="219">
        <f>COUNTIFS('Headcount &amp; Compensation'!$C:$C,'Employee Overview'!$W$5,'Headcount &amp; Compensation'!$E:$E,$B25)</f>
        <v>4</v>
      </c>
      <c r="D25" s="219">
        <f>K25/C25</f>
        <v>116.25</v>
      </c>
      <c r="E25" s="219"/>
      <c r="F25" s="82">
        <v>0</v>
      </c>
      <c r="G25" s="82">
        <v>0</v>
      </c>
      <c r="H25" s="219"/>
      <c r="I25" s="82">
        <v>0</v>
      </c>
      <c r="J25" s="82">
        <v>0</v>
      </c>
      <c r="K25" s="219">
        <f>SUMIFS('Headcount &amp; Compensation'!$L:$L,'Headcount &amp; Compensation'!$C:$C,'Employee Overview'!$W$5,'Headcount &amp; Compensation'!$E:$E,'Employee Overview'!$B25)/1000</f>
        <v>465</v>
      </c>
      <c r="L25" s="219"/>
      <c r="M25" s="82">
        <v>0</v>
      </c>
      <c r="N25" s="82">
        <v>0</v>
      </c>
      <c r="O25" s="82"/>
      <c r="P25" s="82">
        <v>0</v>
      </c>
      <c r="Q25" s="219">
        <f>SUMIFS('Headcount &amp; Compensation'!$L:$L,'Headcount &amp; Compensation'!$C:$C,'Employee Overview'!$W$5,'Headcount &amp; Compensation'!$E:$E,'Employee Overview'!$B25)/1000</f>
        <v>465</v>
      </c>
      <c r="R25" s="219"/>
      <c r="S25" s="82">
        <v>0</v>
      </c>
      <c r="T25" s="227">
        <f t="shared" ref="T25:T28" si="1">S25/$D25</f>
        <v>0</v>
      </c>
      <c r="U25" s="285"/>
      <c r="W25" s="213" t="s">
        <v>63</v>
      </c>
    </row>
    <row r="26" spans="2:23">
      <c r="B26" s="210" t="s">
        <v>493</v>
      </c>
      <c r="C26" s="219">
        <f>COUNTIFS('Headcount &amp; Compensation'!$C:$C,'Employee Overview'!$W$5,'Headcount &amp; Compensation'!$E:$E,$B26)</f>
        <v>8</v>
      </c>
      <c r="D26" s="219">
        <f>K26/C26</f>
        <v>14.0625</v>
      </c>
      <c r="E26" s="219"/>
      <c r="F26" s="82">
        <v>0</v>
      </c>
      <c r="G26" s="82">
        <v>0</v>
      </c>
      <c r="H26" s="219"/>
      <c r="I26" s="82">
        <v>0</v>
      </c>
      <c r="J26" s="82">
        <v>0</v>
      </c>
      <c r="K26" s="219">
        <f>SUMIFS('Headcount &amp; Compensation'!$L:$L,'Headcount &amp; Compensation'!$C:$C,'Employee Overview'!$W$5,'Headcount &amp; Compensation'!$E:$E,'Employee Overview'!$B26)/1000</f>
        <v>112.5</v>
      </c>
      <c r="L26" s="219"/>
      <c r="M26" s="82">
        <v>0</v>
      </c>
      <c r="N26" s="82">
        <v>0</v>
      </c>
      <c r="O26" s="82"/>
      <c r="P26" s="82">
        <v>0</v>
      </c>
      <c r="Q26" s="219">
        <f>SUMIFS('Headcount &amp; Compensation'!$L:$L,'Headcount &amp; Compensation'!$C:$C,'Employee Overview'!$W$5,'Headcount &amp; Compensation'!$E:$E,'Employee Overview'!$B26)/1000</f>
        <v>112.5</v>
      </c>
      <c r="R26" s="219"/>
      <c r="S26" s="82">
        <v>0</v>
      </c>
      <c r="T26" s="227">
        <f t="shared" si="1"/>
        <v>0</v>
      </c>
      <c r="U26" s="285"/>
      <c r="W26" s="213" t="s">
        <v>63</v>
      </c>
    </row>
    <row r="27" spans="2:23">
      <c r="B27" s="210" t="s">
        <v>1507</v>
      </c>
      <c r="C27" s="219">
        <f>COUNTIFS('Headcount &amp; Compensation'!$C:$C,'Employee Overview'!$W$5,'Headcount &amp; Compensation'!$E:$E,$B27)</f>
        <v>3</v>
      </c>
      <c r="D27" s="219">
        <f>K27/C27</f>
        <v>34.6</v>
      </c>
      <c r="E27" s="219"/>
      <c r="F27" s="82">
        <v>0</v>
      </c>
      <c r="G27" s="82">
        <v>0</v>
      </c>
      <c r="H27" s="219"/>
      <c r="I27" s="82">
        <v>0</v>
      </c>
      <c r="J27" s="82">
        <v>0</v>
      </c>
      <c r="K27" s="219">
        <f>SUMIFS('Headcount &amp; Compensation'!$L:$L,'Headcount &amp; Compensation'!$C:$C,'Employee Overview'!$W$5,'Headcount &amp; Compensation'!$E:$E,'Employee Overview'!$B27)/1000</f>
        <v>103.8</v>
      </c>
      <c r="L27" s="219"/>
      <c r="M27" s="82">
        <v>0</v>
      </c>
      <c r="N27" s="82">
        <v>0</v>
      </c>
      <c r="O27" s="82"/>
      <c r="P27" s="82">
        <v>0</v>
      </c>
      <c r="Q27" s="219">
        <f>SUMIFS('Headcount &amp; Compensation'!$L:$L,'Headcount &amp; Compensation'!$C:$C,'Employee Overview'!$W$5,'Headcount &amp; Compensation'!$E:$E,'Employee Overview'!$B27)/1000</f>
        <v>103.8</v>
      </c>
      <c r="R27" s="219"/>
      <c r="S27" s="82">
        <v>0</v>
      </c>
      <c r="T27" s="227">
        <f t="shared" si="1"/>
        <v>0</v>
      </c>
      <c r="U27" s="285"/>
      <c r="W27" s="213" t="s">
        <v>63</v>
      </c>
    </row>
    <row r="28" spans="2:23">
      <c r="B28" s="60" t="s">
        <v>1516</v>
      </c>
      <c r="C28" s="226">
        <f>SUM(C25:C27)</f>
        <v>15</v>
      </c>
      <c r="D28" s="62">
        <f>K28/C28</f>
        <v>45.419999999999995</v>
      </c>
      <c r="E28" s="71"/>
      <c r="F28" s="63">
        <f>+'P&amp;L Forecast'!C31</f>
        <v>101.37520000000001</v>
      </c>
      <c r="G28" s="62">
        <f>+'P&amp;L Forecast'!D31</f>
        <v>281.24054000000001</v>
      </c>
      <c r="H28" s="71"/>
      <c r="I28" s="63">
        <f>+'P&amp;L Forecast'!I31</f>
        <v>202.41598000000002</v>
      </c>
      <c r="J28" s="61">
        <f>+'P&amp;L Forecast'!J31</f>
        <v>502.21877999999998</v>
      </c>
      <c r="K28" s="62">
        <f>SUM(K25:K27)</f>
        <v>681.3</v>
      </c>
      <c r="L28" s="71"/>
      <c r="M28" s="63">
        <f>K28-J28</f>
        <v>179.08121999999997</v>
      </c>
      <c r="N28" s="228">
        <f>M28/$D28</f>
        <v>3.9427833553500657</v>
      </c>
      <c r="O28" s="284"/>
      <c r="P28" s="63">
        <f>+'P&amp;L Forecast'!AT31*12</f>
        <v>694.74455999999998</v>
      </c>
      <c r="Q28" s="62">
        <f>SUM(Q25:Q27)</f>
        <v>681.3</v>
      </c>
      <c r="R28" s="71"/>
      <c r="S28" s="63">
        <f>Q28-P28</f>
        <v>-13.444560000000024</v>
      </c>
      <c r="T28" s="228">
        <f t="shared" si="1"/>
        <v>-0.29600528401585263</v>
      </c>
      <c r="U28" s="284"/>
    </row>
    <row r="29" spans="2:23" ht="3.95" customHeight="1">
      <c r="C29" s="219"/>
      <c r="D29" s="219"/>
      <c r="E29" s="219"/>
      <c r="H29" s="219"/>
      <c r="K29" s="219"/>
      <c r="L29" s="219"/>
      <c r="Q29" s="219"/>
      <c r="R29" s="219"/>
    </row>
    <row r="30" spans="2:23">
      <c r="B30" s="60" t="s">
        <v>1517</v>
      </c>
      <c r="C30" s="226">
        <f>+C28+C22+C15+C9</f>
        <v>86</v>
      </c>
      <c r="D30" s="62">
        <f>K30/C30</f>
        <v>22.10632488372093</v>
      </c>
      <c r="E30" s="71"/>
      <c r="F30" s="63">
        <f t="shared" ref="F30:G30" si="2">+F28+F22+F15+F9</f>
        <v>694.83141999999998</v>
      </c>
      <c r="G30" s="62">
        <f t="shared" si="2"/>
        <v>1241.9341399999998</v>
      </c>
      <c r="H30" s="71"/>
      <c r="I30" s="63">
        <f t="shared" ref="I30" si="3">+I28+I22+I15+I9</f>
        <v>980.98750999999993</v>
      </c>
      <c r="J30" s="61">
        <f t="shared" ref="J30:K30" si="4">+J28+J22+J15+J9</f>
        <v>1723.8282400000001</v>
      </c>
      <c r="K30" s="62">
        <f t="shared" si="4"/>
        <v>1901.1439399999999</v>
      </c>
      <c r="L30" s="71"/>
      <c r="M30" s="63">
        <f>+M28+M22+M15+M9</f>
        <v>177.31569999999991</v>
      </c>
      <c r="N30" s="228">
        <f>+N9+N15+N22+N28</f>
        <v>5.4230817835118419</v>
      </c>
      <c r="O30" s="284"/>
      <c r="P30" s="63">
        <f t="shared" ref="P30:Q30" si="5">+P28+P22+P15+P9</f>
        <v>2096.1995900000002</v>
      </c>
      <c r="Q30" s="62">
        <f t="shared" si="5"/>
        <v>1901.1439399999999</v>
      </c>
      <c r="R30" s="71"/>
      <c r="S30" s="63">
        <f>+S28+S22+S15+S9</f>
        <v>-195.05565000000007</v>
      </c>
      <c r="T30" s="228">
        <f>+T9+T15+T22+T28</f>
        <v>-10.310244055205228</v>
      </c>
      <c r="U30" s="284"/>
    </row>
    <row r="31" spans="2:23" ht="3.95" customHeight="1">
      <c r="C31" s="219"/>
      <c r="D31" s="219"/>
      <c r="E31" s="219"/>
      <c r="H31" s="219"/>
      <c r="K31" s="219"/>
      <c r="L31" s="219"/>
      <c r="Q31" s="219"/>
      <c r="R31" s="219"/>
    </row>
    <row r="32" spans="2:23">
      <c r="B32" s="42" t="s">
        <v>1582</v>
      </c>
      <c r="C32" s="218"/>
      <c r="D32" s="218"/>
      <c r="E32" s="282"/>
      <c r="F32" s="218"/>
      <c r="G32" s="218"/>
      <c r="H32" s="282"/>
      <c r="I32" s="218"/>
      <c r="J32" s="218"/>
      <c r="K32" s="218"/>
      <c r="L32" s="282"/>
      <c r="M32" s="218"/>
      <c r="N32" s="218"/>
      <c r="O32" s="282"/>
      <c r="P32" s="218"/>
      <c r="Q32" s="218"/>
      <c r="R32" s="282"/>
      <c r="S32" s="218"/>
      <c r="T32" s="218"/>
      <c r="U32" s="282"/>
    </row>
    <row r="33" spans="1:21" ht="12" customHeight="1">
      <c r="B33" s="297" t="s">
        <v>1583</v>
      </c>
      <c r="C33" s="82">
        <v>0</v>
      </c>
      <c r="D33" s="82">
        <v>0</v>
      </c>
      <c r="E33" s="219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19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19"/>
      <c r="M33" s="219">
        <f>K33-J33</f>
        <v>0</v>
      </c>
      <c r="N33" s="286">
        <v>0</v>
      </c>
      <c r="O33" s="286"/>
      <c r="P33" s="83">
        <f>Q33</f>
        <v>119.90106</v>
      </c>
      <c r="Q33" s="83">
        <f>+K33</f>
        <v>119.90106</v>
      </c>
      <c r="R33" s="219"/>
      <c r="S33" s="219">
        <f>Q33-P33</f>
        <v>0</v>
      </c>
      <c r="T33" s="286">
        <v>0</v>
      </c>
    </row>
    <row r="34" spans="1:21" ht="12" customHeight="1">
      <c r="B34" s="278" t="s">
        <v>1584</v>
      </c>
      <c r="C34" s="82">
        <v>1</v>
      </c>
      <c r="D34" s="82">
        <v>0</v>
      </c>
      <c r="E34" s="219"/>
      <c r="F34" s="115"/>
      <c r="G34" s="115"/>
      <c r="H34" s="219"/>
      <c r="I34" s="115"/>
      <c r="J34" s="115"/>
      <c r="K34" s="115">
        <f>+$D$25</f>
        <v>116.25</v>
      </c>
      <c r="L34" s="219"/>
      <c r="M34" s="219">
        <f>K34-J34</f>
        <v>116.25</v>
      </c>
      <c r="N34" s="286">
        <v>1</v>
      </c>
      <c r="O34" s="286"/>
      <c r="P34" s="83">
        <f t="shared" ref="P34:P35" si="6">Q34</f>
        <v>116.25</v>
      </c>
      <c r="Q34" s="83">
        <f>+K34</f>
        <v>116.25</v>
      </c>
      <c r="R34" s="219"/>
      <c r="S34" s="219">
        <f>Q34-P34</f>
        <v>0</v>
      </c>
      <c r="T34" s="286">
        <v>0</v>
      </c>
    </row>
    <row r="35" spans="1:21">
      <c r="B35" s="278" t="s">
        <v>54</v>
      </c>
      <c r="C35" s="82">
        <v>0</v>
      </c>
      <c r="D35" s="82">
        <v>0</v>
      </c>
      <c r="E35" s="219"/>
      <c r="F35" s="53">
        <f>+'P&amp;L Forecast'!C39</f>
        <v>5.3740499999999995</v>
      </c>
      <c r="G35" s="53">
        <f>+'P&amp;L Forecast'!D39</f>
        <v>19.23245</v>
      </c>
      <c r="H35" s="219"/>
      <c r="I35" s="53">
        <f>+'P&amp;L Forecast'!I39</f>
        <v>12.16686</v>
      </c>
      <c r="J35" s="53">
        <f>+'P&amp;L Forecast'!J39</f>
        <v>27.573299999999996</v>
      </c>
      <c r="K35" s="53">
        <f>+'P&amp;L Forecast'!K39</f>
        <v>32.178359999999998</v>
      </c>
      <c r="L35" s="219"/>
      <c r="M35" s="219">
        <f>K35-J35</f>
        <v>4.6050600000000017</v>
      </c>
      <c r="N35" s="82">
        <v>0</v>
      </c>
      <c r="O35" s="82"/>
      <c r="P35" s="83">
        <f t="shared" si="6"/>
        <v>32.178359999999998</v>
      </c>
      <c r="Q35" s="83">
        <f t="shared" ref="Q35:Q36" si="7">+K35</f>
        <v>32.178359999999998</v>
      </c>
      <c r="R35" s="219"/>
      <c r="S35" s="219">
        <f>Q35-P35</f>
        <v>0</v>
      </c>
      <c r="T35" s="82">
        <v>0</v>
      </c>
    </row>
    <row r="36" spans="1:21" ht="12" customHeight="1">
      <c r="B36" s="278" t="s">
        <v>1586</v>
      </c>
      <c r="C36" s="82">
        <v>0</v>
      </c>
      <c r="D36" s="82">
        <v>0</v>
      </c>
      <c r="E36" s="219"/>
      <c r="F36" s="82">
        <v>0</v>
      </c>
      <c r="G36" s="82">
        <v>0</v>
      </c>
      <c r="H36" s="219"/>
      <c r="I36" s="53">
        <f>+'P&amp;L Forecast'!I36-I20</f>
        <v>0</v>
      </c>
      <c r="J36" s="53">
        <f>+'P&amp;L Forecast'!J36-J20</f>
        <v>0</v>
      </c>
      <c r="K36" s="53">
        <f>+'P&amp;L Forecast'!K36-K20</f>
        <v>52.149119999999996</v>
      </c>
      <c r="L36" s="219"/>
      <c r="M36" s="219">
        <f>K36-J36</f>
        <v>52.149119999999996</v>
      </c>
      <c r="N36" s="82">
        <v>0</v>
      </c>
      <c r="O36" s="82"/>
      <c r="P36" s="53">
        <f>+'P&amp;L Forecast'!$K$36-P20</f>
        <v>30.35763</v>
      </c>
      <c r="Q36" s="83">
        <f t="shared" si="7"/>
        <v>52.149119999999996</v>
      </c>
      <c r="R36" s="219"/>
      <c r="S36" s="219">
        <f>Q36-P36</f>
        <v>21.791489999999996</v>
      </c>
      <c r="T36" s="82">
        <v>0</v>
      </c>
    </row>
    <row r="37" spans="1:21">
      <c r="B37" s="60" t="s">
        <v>1585</v>
      </c>
      <c r="C37" s="226">
        <f>SUM(C33:C36)</f>
        <v>1</v>
      </c>
      <c r="D37" s="62">
        <f t="shared" ref="D37" si="8">SUM(D33:D36)</f>
        <v>0</v>
      </c>
      <c r="E37" s="71"/>
      <c r="F37" s="63">
        <f t="shared" ref="F37" si="9">SUM(F33:F36)</f>
        <v>233.61905000000002</v>
      </c>
      <c r="G37" s="62">
        <f t="shared" ref="G37" si="10">SUM(G33:G36)</f>
        <v>156.81041000000002</v>
      </c>
      <c r="H37" s="71"/>
      <c r="I37" s="63">
        <f t="shared" ref="I37:K37" si="11">SUM(I33:I36)</f>
        <v>194.94574</v>
      </c>
      <c r="J37" s="61">
        <f t="shared" si="11"/>
        <v>147.47435999999999</v>
      </c>
      <c r="K37" s="62">
        <f t="shared" si="11"/>
        <v>320.47854000000001</v>
      </c>
      <c r="L37" s="71"/>
      <c r="M37" s="63">
        <f>SUM(M33:M36)</f>
        <v>173.00418000000002</v>
      </c>
      <c r="N37" s="228">
        <f>SUM(N33:N36)</f>
        <v>1</v>
      </c>
      <c r="O37" s="284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28">
        <f>SUM(T33:T36)</f>
        <v>0</v>
      </c>
      <c r="U37" s="284"/>
    </row>
    <row r="38" spans="1:21" ht="3.95" customHeight="1">
      <c r="C38" s="219"/>
      <c r="D38" s="219"/>
      <c r="E38" s="219"/>
      <c r="H38" s="219"/>
      <c r="K38" s="219"/>
      <c r="L38" s="219"/>
      <c r="Q38" s="219"/>
      <c r="R38" s="219"/>
    </row>
    <row r="39" spans="1:21">
      <c r="B39" s="104" t="s">
        <v>1517</v>
      </c>
      <c r="C39" s="287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0">
        <f>+N37+N30</f>
        <v>6.4230817835118419</v>
      </c>
      <c r="O39" s="284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0">
        <f>+T37+T30</f>
        <v>-10.310244055205228</v>
      </c>
      <c r="U39" s="284"/>
    </row>
    <row r="40" spans="1:21">
      <c r="B40" s="107" t="s">
        <v>1588</v>
      </c>
      <c r="C40" s="291">
        <v>0</v>
      </c>
      <c r="D40" s="292">
        <v>0</v>
      </c>
      <c r="E40" s="71"/>
      <c r="F40" s="288">
        <f>+F$39/'P&amp;L Forecast'!C$24</f>
        <v>0.81804264859599074</v>
      </c>
      <c r="G40" s="289">
        <f>+G$39/'P&amp;L Forecast'!D$24</f>
        <v>0.74425726594661934</v>
      </c>
      <c r="H40" s="71"/>
      <c r="I40" s="288">
        <f>+I$39/'P&amp;L Forecast'!I$24</f>
        <v>0.77140188570579715</v>
      </c>
      <c r="J40" s="299">
        <f>+J$39/'P&amp;L Forecast'!J$24</f>
        <v>0.73311643673797477</v>
      </c>
      <c r="K40" s="289">
        <f>+K$39/'P&amp;L Forecast'!K$24</f>
        <v>0.74090114665164719</v>
      </c>
      <c r="L40" s="71"/>
      <c r="M40" s="293">
        <v>0</v>
      </c>
      <c r="N40" s="294">
        <v>0</v>
      </c>
      <c r="O40" s="296"/>
      <c r="P40" s="288">
        <f>+P$39/'P&amp;L Forecast'!K$24</f>
        <v>0.7986839679785338</v>
      </c>
      <c r="Q40" s="289">
        <f>+Q$39/'P&amp;L Forecast'!K$24</f>
        <v>0.74090114665164719</v>
      </c>
      <c r="R40" s="71"/>
      <c r="S40" s="293">
        <v>0</v>
      </c>
      <c r="T40" s="294">
        <v>0</v>
      </c>
      <c r="U40" s="284"/>
    </row>
    <row r="42" spans="1:21">
      <c r="A42" s="295" t="s">
        <v>294</v>
      </c>
      <c r="B42" s="159" t="s">
        <v>1504</v>
      </c>
      <c r="C42" s="176" t="s">
        <v>1064</v>
      </c>
      <c r="D42" s="176"/>
      <c r="E42" s="190"/>
      <c r="F42" s="76"/>
      <c r="G42" s="76"/>
      <c r="H42" s="190"/>
      <c r="I42" s="76"/>
      <c r="J42" s="76"/>
      <c r="K42" s="176"/>
      <c r="L42" s="190"/>
      <c r="M42" s="76"/>
      <c r="N42" s="76"/>
      <c r="O42" s="77"/>
      <c r="P42" s="76"/>
      <c r="Q42" s="176"/>
      <c r="R42" s="190"/>
      <c r="S42" s="76"/>
      <c r="T42" s="76"/>
      <c r="U42" s="77"/>
    </row>
    <row r="43" spans="1:21">
      <c r="B43" s="42" t="s">
        <v>1502</v>
      </c>
      <c r="C43" s="218"/>
      <c r="D43" s="218"/>
      <c r="E43" s="282"/>
      <c r="F43" s="218"/>
      <c r="G43" s="218"/>
      <c r="H43" s="282"/>
      <c r="I43" s="218"/>
      <c r="J43" s="218"/>
      <c r="K43" s="218"/>
      <c r="L43" s="282"/>
      <c r="M43" s="218"/>
      <c r="N43" s="218"/>
      <c r="O43" s="282"/>
      <c r="P43" s="218"/>
      <c r="Q43" s="218"/>
      <c r="R43" s="282"/>
      <c r="S43" s="218"/>
      <c r="T43" s="218"/>
      <c r="U43" s="282"/>
    </row>
    <row r="44" spans="1:21">
      <c r="B44" s="213" t="s">
        <v>1340</v>
      </c>
      <c r="C44" s="219">
        <f>COUNTIFS('Headcount &amp; Compensation'!$C:$C,'Employee Overview'!$W$5,'Headcount &amp; Compensation'!$D:$D,'Employee Overview'!$B44)</f>
        <v>2</v>
      </c>
      <c r="K44" s="219"/>
      <c r="L44" s="219"/>
      <c r="Q44" s="219"/>
      <c r="R44" s="219"/>
    </row>
    <row r="45" spans="1:21">
      <c r="B45" s="213" t="s">
        <v>1346</v>
      </c>
      <c r="C45" s="219">
        <f>COUNTIFS('Headcount &amp; Compensation'!$C:$C,'Employee Overview'!$W$5,'Headcount &amp; Compensation'!$D:$D,'Employee Overview'!$B45)</f>
        <v>33</v>
      </c>
      <c r="K45" s="219"/>
      <c r="L45" s="219"/>
      <c r="Q45" s="219"/>
      <c r="R45" s="219"/>
    </row>
    <row r="46" spans="1:21">
      <c r="B46" s="213" t="s">
        <v>490</v>
      </c>
      <c r="C46" s="219">
        <f>COUNTIFS('Headcount &amp; Compensation'!$C:$C,'Employee Overview'!$W$5,'Headcount &amp; Compensation'!$D:$D,'Employee Overview'!$B46)</f>
        <v>1</v>
      </c>
      <c r="K46" s="219"/>
      <c r="L46" s="219"/>
      <c r="Q46" s="219"/>
      <c r="R46" s="219"/>
    </row>
    <row r="47" spans="1:21">
      <c r="B47" s="213" t="s">
        <v>491</v>
      </c>
      <c r="C47" s="219">
        <f>COUNTIFS('Headcount &amp; Compensation'!$C:$C,'Employee Overview'!$W$5,'Headcount &amp; Compensation'!$D:$D,'Employee Overview'!$B47)</f>
        <v>13</v>
      </c>
      <c r="K47" s="219"/>
      <c r="L47" s="219"/>
      <c r="Q47" s="219"/>
      <c r="R47" s="219"/>
    </row>
    <row r="48" spans="1:21">
      <c r="B48" s="213" t="s">
        <v>1361</v>
      </c>
      <c r="C48" s="219">
        <f>COUNTIFS('Headcount &amp; Compensation'!$C:$C,'Employee Overview'!$W$5,'Headcount &amp; Compensation'!$D:$D,'Employee Overview'!$B48)</f>
        <v>4</v>
      </c>
      <c r="K48" s="219"/>
      <c r="L48" s="219"/>
      <c r="Q48" s="219"/>
      <c r="R48" s="219"/>
    </row>
    <row r="49" spans="2:18">
      <c r="B49" s="213" t="s">
        <v>1367</v>
      </c>
      <c r="C49" s="219">
        <f>COUNTIFS('Headcount &amp; Compensation'!$C:$C,'Employee Overview'!$W$5,'Headcount &amp; Compensation'!$D:$D,'Employee Overview'!$B49)</f>
        <v>4</v>
      </c>
      <c r="K49" s="219"/>
      <c r="L49" s="219"/>
      <c r="Q49" s="219"/>
      <c r="R49" s="219"/>
    </row>
    <row r="50" spans="2:18">
      <c r="B50" s="213" t="s">
        <v>1371</v>
      </c>
      <c r="C50" s="219">
        <f>COUNTIFS('Headcount &amp; Compensation'!$C:$C,'Employee Overview'!$W$5,'Headcount &amp; Compensation'!$D:$D,'Employee Overview'!$B50)</f>
        <v>2</v>
      </c>
      <c r="K50" s="219"/>
      <c r="L50" s="219"/>
      <c r="Q50" s="219"/>
      <c r="R50" s="219"/>
    </row>
    <row r="51" spans="2:18">
      <c r="B51" s="213" t="s">
        <v>1398</v>
      </c>
      <c r="C51" s="219">
        <f>COUNTIFS('Headcount &amp; Compensation'!$C:$C,'Employee Overview'!$W$5,'Headcount &amp; Compensation'!$D:$D,'Employee Overview'!$B51)</f>
        <v>2</v>
      </c>
      <c r="K51" s="219"/>
      <c r="L51" s="219"/>
      <c r="Q51" s="219"/>
      <c r="R51" s="219"/>
    </row>
    <row r="52" spans="2:18">
      <c r="B52" s="213" t="s">
        <v>1405</v>
      </c>
      <c r="C52" s="219">
        <f>COUNTIFS('Headcount &amp; Compensation'!$C:$C,'Employee Overview'!$W$5,'Headcount &amp; Compensation'!$D:$D,'Employee Overview'!$B52)</f>
        <v>1</v>
      </c>
      <c r="K52" s="219"/>
      <c r="L52" s="219"/>
      <c r="Q52" s="219"/>
      <c r="R52" s="219"/>
    </row>
    <row r="53" spans="2:18">
      <c r="B53" s="213" t="s">
        <v>1407</v>
      </c>
      <c r="C53" s="219">
        <f>COUNTIFS('Headcount &amp; Compensation'!$C:$C,'Employee Overview'!$W$5,'Headcount &amp; Compensation'!$D:$D,'Employee Overview'!$B53)</f>
        <v>7</v>
      </c>
      <c r="K53" s="219"/>
      <c r="L53" s="219"/>
      <c r="Q53" s="219"/>
      <c r="R53" s="219"/>
    </row>
    <row r="54" spans="2:18">
      <c r="B54" s="213" t="s">
        <v>1410</v>
      </c>
      <c r="C54" s="219">
        <f>COUNTIFS('Headcount &amp; Compensation'!$C:$C,'Employee Overview'!$W$5,'Headcount &amp; Compensation'!$D:$D,'Employee Overview'!$B54)</f>
        <v>1</v>
      </c>
      <c r="K54" s="219"/>
      <c r="L54" s="219"/>
      <c r="Q54" s="219"/>
      <c r="R54" s="219"/>
    </row>
    <row r="55" spans="2:18">
      <c r="B55" s="213" t="s">
        <v>1413</v>
      </c>
      <c r="C55" s="219">
        <f>COUNTIFS('Headcount &amp; Compensation'!$C:$C,'Employee Overview'!$W$5,'Headcount &amp; Compensation'!$D:$D,'Employee Overview'!$B55)</f>
        <v>1</v>
      </c>
      <c r="K55" s="219"/>
      <c r="L55" s="219"/>
      <c r="Q55" s="219"/>
      <c r="R55" s="219"/>
    </row>
    <row r="56" spans="2:18">
      <c r="B56" s="213" t="s">
        <v>1427</v>
      </c>
      <c r="C56" s="219">
        <f>COUNTIFS('Headcount &amp; Compensation'!$C:$C,'Employee Overview'!$W$5,'Headcount &amp; Compensation'!$D:$D,'Employee Overview'!$B56)</f>
        <v>2</v>
      </c>
      <c r="K56" s="219"/>
      <c r="L56" s="219"/>
      <c r="Q56" s="219"/>
      <c r="R56" s="219"/>
    </row>
    <row r="57" spans="2:18">
      <c r="B57" s="213" t="s">
        <v>1444</v>
      </c>
      <c r="C57" s="219">
        <f>COUNTIFS('Headcount &amp; Compensation'!$C:$C,'Employee Overview'!$W$5,'Headcount &amp; Compensation'!$D:$D,'Employee Overview'!$B57)</f>
        <v>1</v>
      </c>
      <c r="K57" s="219"/>
      <c r="L57" s="219"/>
      <c r="Q57" s="219"/>
      <c r="R57" s="219"/>
    </row>
    <row r="58" spans="2:18">
      <c r="B58" s="213" t="s">
        <v>1447</v>
      </c>
      <c r="C58" s="219">
        <f>COUNTIFS('Headcount &amp; Compensation'!$C:$C,'Employee Overview'!$W$5,'Headcount &amp; Compensation'!$D:$D,'Employee Overview'!$B58)</f>
        <v>1</v>
      </c>
      <c r="K58" s="219"/>
      <c r="L58" s="219"/>
      <c r="Q58" s="219"/>
      <c r="R58" s="219"/>
    </row>
    <row r="59" spans="2:18">
      <c r="B59" s="213" t="s">
        <v>1452</v>
      </c>
      <c r="C59" s="219">
        <f>COUNTIFS('Headcount &amp; Compensation'!$C:$C,'Employee Overview'!$W$5,'Headcount &amp; Compensation'!$D:$D,'Employee Overview'!$B59)</f>
        <v>0</v>
      </c>
      <c r="K59" s="219"/>
      <c r="L59" s="219"/>
      <c r="Q59" s="219"/>
      <c r="R59" s="219"/>
    </row>
    <row r="60" spans="2:18">
      <c r="B60" s="213" t="s">
        <v>1464</v>
      </c>
      <c r="C60" s="219">
        <f>COUNTIFS('Headcount &amp; Compensation'!$C:$C,'Employee Overview'!$W$5,'Headcount &amp; Compensation'!$D:$D,'Employee Overview'!$B60)</f>
        <v>1</v>
      </c>
      <c r="K60" s="219"/>
      <c r="L60" s="219"/>
      <c r="Q60" s="219"/>
      <c r="R60" s="219"/>
    </row>
    <row r="61" spans="2:18">
      <c r="B61" s="213" t="s">
        <v>1470</v>
      </c>
      <c r="C61" s="219">
        <f>COUNTIFS('Headcount &amp; Compensation'!$C:$C,'Employee Overview'!$W$5,'Headcount &amp; Compensation'!$D:$D,'Employee Overview'!$B61)</f>
        <v>2</v>
      </c>
      <c r="K61" s="219"/>
      <c r="L61" s="219"/>
      <c r="Q61" s="219"/>
      <c r="R61" s="219"/>
    </row>
    <row r="62" spans="2:18">
      <c r="B62" s="213" t="s">
        <v>1477</v>
      </c>
      <c r="C62" s="219">
        <f>COUNTIFS('Headcount &amp; Compensation'!$C:$C,'Employee Overview'!$W$5,'Headcount &amp; Compensation'!$D:$D,'Employee Overview'!$B62)</f>
        <v>3</v>
      </c>
      <c r="K62" s="219"/>
      <c r="L62" s="219"/>
      <c r="Q62" s="219"/>
      <c r="R62" s="219"/>
    </row>
    <row r="63" spans="2:18">
      <c r="B63" s="213" t="s">
        <v>1482</v>
      </c>
      <c r="C63" s="219">
        <f>COUNTIFS('Headcount &amp; Compensation'!$C:$C,'Employee Overview'!$W$5,'Headcount &amp; Compensation'!$D:$D,'Employee Overview'!$B63)</f>
        <v>1</v>
      </c>
      <c r="K63" s="219"/>
      <c r="L63" s="219"/>
      <c r="Q63" s="219"/>
      <c r="R63" s="219"/>
    </row>
    <row r="64" spans="2:18">
      <c r="B64" s="213" t="s">
        <v>1491</v>
      </c>
      <c r="C64" s="219">
        <f>COUNTIFS('Headcount &amp; Compensation'!$C:$C,'Employee Overview'!$W$5,'Headcount &amp; Compensation'!$D:$D,'Employee Overview'!$B64)</f>
        <v>1</v>
      </c>
      <c r="K64" s="219"/>
      <c r="L64" s="219"/>
      <c r="Q64" s="219"/>
      <c r="R64" s="219"/>
    </row>
    <row r="65" spans="2:24">
      <c r="B65" s="213" t="s">
        <v>1496</v>
      </c>
      <c r="C65" s="219">
        <f>COUNTIFS('Headcount &amp; Compensation'!$C:$C,'Employee Overview'!$W$5,'Headcount &amp; Compensation'!$D:$D,'Employee Overview'!$B65)</f>
        <v>1</v>
      </c>
      <c r="K65" s="219"/>
      <c r="L65" s="219"/>
      <c r="Q65" s="219"/>
      <c r="R65" s="219"/>
    </row>
    <row r="66" spans="2:24">
      <c r="B66" s="213" t="s">
        <v>1498</v>
      </c>
      <c r="C66" s="219">
        <f>COUNTIFS('Headcount &amp; Compensation'!$C:$C,'Employee Overview'!$W$5,'Headcount &amp; Compensation'!$D:$D,'Employee Overview'!$B66)</f>
        <v>1</v>
      </c>
      <c r="K66" s="219"/>
      <c r="L66" s="219"/>
      <c r="Q66" s="219"/>
      <c r="R66" s="219"/>
    </row>
    <row r="67" spans="2:24">
      <c r="B67" s="213" t="s">
        <v>1500</v>
      </c>
      <c r="C67" s="219">
        <f>COUNTIFS('Headcount &amp; Compensation'!$C:$C,'Employee Overview'!$W$5,'Headcount &amp; Compensation'!$D:$D,'Employee Overview'!$B67)</f>
        <v>1</v>
      </c>
      <c r="K67" s="219"/>
      <c r="L67" s="219"/>
      <c r="Q67" s="219"/>
      <c r="R67" s="219"/>
    </row>
    <row r="68" spans="2:24">
      <c r="B68" s="58" t="s">
        <v>134</v>
      </c>
      <c r="C68" s="220">
        <f>SUM(C44:C67)</f>
        <v>86</v>
      </c>
      <c r="D68" s="220">
        <f t="shared" ref="D68" si="12">SUM(D44:D67)</f>
        <v>0</v>
      </c>
      <c r="E68" s="221"/>
      <c r="F68" s="220">
        <f>SUM(F44:F67)</f>
        <v>0</v>
      </c>
      <c r="G68" s="220">
        <f>SUM(G44:G67)</f>
        <v>0</v>
      </c>
      <c r="H68" s="221"/>
      <c r="I68" s="220">
        <f>SUM(I44:I67)</f>
        <v>0</v>
      </c>
      <c r="J68" s="220">
        <f>SUM(J44:J67)</f>
        <v>0</v>
      </c>
      <c r="K68" s="220">
        <f t="shared" ref="K68" si="13">SUM(K44:K67)</f>
        <v>0</v>
      </c>
      <c r="L68" s="221"/>
      <c r="M68" s="220">
        <f t="shared" ref="M68:N68" si="14">SUM(M44:M67)</f>
        <v>0</v>
      </c>
      <c r="N68" s="220">
        <f t="shared" si="14"/>
        <v>0</v>
      </c>
      <c r="O68" s="221"/>
      <c r="P68" s="220">
        <f>SUM(P44:P67)</f>
        <v>0</v>
      </c>
      <c r="Q68" s="220">
        <f t="shared" ref="Q68" si="15">SUM(Q44:Q67)</f>
        <v>0</v>
      </c>
      <c r="R68" s="221"/>
      <c r="S68" s="220">
        <f t="shared" ref="S68:T68" si="16">SUM(S44:S67)</f>
        <v>0</v>
      </c>
      <c r="T68" s="220">
        <f t="shared" si="16"/>
        <v>0</v>
      </c>
      <c r="U68" s="221"/>
    </row>
    <row r="69" spans="2:24">
      <c r="B69" s="214"/>
      <c r="C69" s="221"/>
      <c r="K69" s="221"/>
      <c r="L69" s="221"/>
      <c r="Q69" s="221"/>
      <c r="R69" s="221"/>
    </row>
    <row r="70" spans="2:24">
      <c r="B70" s="97" t="s">
        <v>1305</v>
      </c>
      <c r="C70" s="222">
        <f>COUNTIFS('Headcount &amp; Compensation'!$C:$C,'Employee Overview'!$W$5)</f>
        <v>86</v>
      </c>
      <c r="K70" s="222"/>
      <c r="L70" s="222"/>
      <c r="Q70" s="222"/>
      <c r="R70" s="222"/>
    </row>
    <row r="71" spans="2:24">
      <c r="B71" s="97" t="s">
        <v>1304</v>
      </c>
      <c r="C71" s="222">
        <f>C68-C70</f>
        <v>0</v>
      </c>
      <c r="K71" s="222">
        <f>K68-K70</f>
        <v>0</v>
      </c>
      <c r="L71" s="222"/>
      <c r="Q71" s="222">
        <f>Q68-Q70</f>
        <v>0</v>
      </c>
      <c r="R71" s="222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46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45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F15" sqref="F15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3">
        <f t="shared" ref="H1:N1" si="0">EOMONTH(H5,0)</f>
        <v>45688</v>
      </c>
      <c r="I1" s="193">
        <f t="shared" si="0"/>
        <v>45716</v>
      </c>
      <c r="J1" s="193">
        <f t="shared" si="0"/>
        <v>45747</v>
      </c>
      <c r="K1" s="193">
        <f t="shared" si="0"/>
        <v>45777</v>
      </c>
      <c r="L1" s="193">
        <f t="shared" si="0"/>
        <v>45808</v>
      </c>
      <c r="M1" s="193">
        <f t="shared" si="0"/>
        <v>45838</v>
      </c>
      <c r="N1" s="193">
        <f t="shared" si="0"/>
        <v>45869</v>
      </c>
      <c r="O1" s="193">
        <f>EOMONTH(O5,0)</f>
        <v>45900</v>
      </c>
      <c r="P1" s="193">
        <f t="shared" ref="P1:AB1" si="1">EOMONTH(P5,0)</f>
        <v>45930</v>
      </c>
      <c r="Q1" s="193">
        <f t="shared" si="1"/>
        <v>45961</v>
      </c>
      <c r="R1" s="193">
        <f t="shared" si="1"/>
        <v>45991</v>
      </c>
      <c r="S1" s="193">
        <f t="shared" si="1"/>
        <v>46022</v>
      </c>
      <c r="T1" s="193">
        <f t="shared" si="1"/>
        <v>46053</v>
      </c>
      <c r="U1" s="193">
        <f t="shared" si="1"/>
        <v>46081</v>
      </c>
      <c r="V1" s="193">
        <f t="shared" si="1"/>
        <v>46112</v>
      </c>
      <c r="W1" s="193">
        <f t="shared" si="1"/>
        <v>46142</v>
      </c>
      <c r="X1" s="193">
        <f t="shared" si="1"/>
        <v>46173</v>
      </c>
      <c r="Y1" s="193">
        <f t="shared" si="1"/>
        <v>46203</v>
      </c>
      <c r="Z1" s="193">
        <f t="shared" si="1"/>
        <v>46234</v>
      </c>
      <c r="AA1" s="193">
        <f t="shared" si="1"/>
        <v>46265</v>
      </c>
      <c r="AB1" s="193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1">
        <v>1</v>
      </c>
    </row>
    <row r="5" spans="2:32" ht="24">
      <c r="B5" s="159" t="s">
        <v>1811</v>
      </c>
      <c r="C5" s="176" t="s">
        <v>4</v>
      </c>
      <c r="D5" s="176" t="s">
        <v>1317</v>
      </c>
      <c r="E5" s="190"/>
      <c r="F5" s="176" t="s">
        <v>1527</v>
      </c>
      <c r="H5" s="189">
        <v>45658</v>
      </c>
      <c r="I5" s="189">
        <f t="shared" ref="I5:N5" si="2">EOMONTH(H5,0)+1</f>
        <v>45689</v>
      </c>
      <c r="J5" s="189">
        <f t="shared" si="2"/>
        <v>45717</v>
      </c>
      <c r="K5" s="189">
        <f t="shared" si="2"/>
        <v>45748</v>
      </c>
      <c r="L5" s="189">
        <f t="shared" si="2"/>
        <v>45778</v>
      </c>
      <c r="M5" s="189">
        <f t="shared" si="2"/>
        <v>45809</v>
      </c>
      <c r="N5" s="189">
        <f t="shared" si="2"/>
        <v>45839</v>
      </c>
      <c r="O5" s="189">
        <v>45870</v>
      </c>
      <c r="P5" s="189">
        <f t="shared" ref="P5:AB5" si="3">EOMONTH(O5,0)+1</f>
        <v>45901</v>
      </c>
      <c r="Q5" s="189">
        <f t="shared" si="3"/>
        <v>45931</v>
      </c>
      <c r="R5" s="189">
        <f t="shared" si="3"/>
        <v>45962</v>
      </c>
      <c r="S5" s="189">
        <f t="shared" si="3"/>
        <v>45992</v>
      </c>
      <c r="T5" s="189">
        <f t="shared" si="3"/>
        <v>46023</v>
      </c>
      <c r="U5" s="189">
        <f t="shared" si="3"/>
        <v>46054</v>
      </c>
      <c r="V5" s="189">
        <f t="shared" si="3"/>
        <v>46082</v>
      </c>
      <c r="W5" s="189">
        <f t="shared" si="3"/>
        <v>46113</v>
      </c>
      <c r="X5" s="189">
        <f t="shared" si="3"/>
        <v>46143</v>
      </c>
      <c r="Y5" s="189">
        <f t="shared" si="3"/>
        <v>46174</v>
      </c>
      <c r="Z5" s="189">
        <f t="shared" si="3"/>
        <v>46204</v>
      </c>
      <c r="AA5" s="189">
        <f t="shared" si="3"/>
        <v>46235</v>
      </c>
      <c r="AB5" s="189">
        <f t="shared" si="3"/>
        <v>46266</v>
      </c>
      <c r="AC5" s="184"/>
      <c r="AD5" s="184"/>
      <c r="AE5" s="184"/>
      <c r="AF5" s="184"/>
    </row>
    <row r="6" spans="2:32">
      <c r="B6" s="183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1313</v>
      </c>
      <c r="C7" s="181">
        <f>+C10-C8-C9</f>
        <v>43</v>
      </c>
      <c r="D7" s="181">
        <f>+D10-D8-D9</f>
        <v>70</v>
      </c>
      <c r="F7" s="181">
        <f>+F10-F8-F9</f>
        <v>63</v>
      </c>
      <c r="H7" s="181">
        <f t="shared" ref="H7:AB7" si="4">+H10-H8-H9</f>
        <v>43</v>
      </c>
      <c r="I7" s="181">
        <f t="shared" si="4"/>
        <v>45</v>
      </c>
      <c r="J7" s="181">
        <f t="shared" si="4"/>
        <v>44</v>
      </c>
      <c r="K7" s="181">
        <f t="shared" si="4"/>
        <v>46</v>
      </c>
      <c r="L7" s="181">
        <f t="shared" si="4"/>
        <v>49</v>
      </c>
      <c r="M7" s="181">
        <f t="shared" si="4"/>
        <v>49</v>
      </c>
      <c r="N7" s="181">
        <f t="shared" si="4"/>
        <v>53</v>
      </c>
      <c r="O7" s="181">
        <f t="shared" si="4"/>
        <v>57</v>
      </c>
      <c r="P7" s="181">
        <f t="shared" si="4"/>
        <v>61</v>
      </c>
      <c r="Q7" s="181">
        <f t="shared" si="4"/>
        <v>63</v>
      </c>
      <c r="R7" s="181">
        <f t="shared" si="4"/>
        <v>67</v>
      </c>
      <c r="S7" s="181">
        <f t="shared" si="4"/>
        <v>67</v>
      </c>
      <c r="T7" s="181">
        <f t="shared" si="4"/>
        <v>70</v>
      </c>
      <c r="U7" s="181">
        <f t="shared" si="4"/>
        <v>72</v>
      </c>
      <c r="V7" s="181">
        <f t="shared" si="4"/>
        <v>77</v>
      </c>
      <c r="W7" s="181">
        <f t="shared" si="4"/>
        <v>81</v>
      </c>
      <c r="X7" s="181">
        <f t="shared" si="4"/>
        <v>84</v>
      </c>
      <c r="Y7" s="181">
        <f t="shared" si="4"/>
        <v>82</v>
      </c>
      <c r="Z7" s="181">
        <f t="shared" si="4"/>
        <v>85</v>
      </c>
      <c r="AA7" s="181">
        <f t="shared" si="4"/>
        <v>85</v>
      </c>
      <c r="AB7" s="181">
        <f t="shared" si="4"/>
        <v>87</v>
      </c>
    </row>
    <row r="8" spans="2:32">
      <c r="B8" s="188" t="s">
        <v>1814</v>
      </c>
      <c r="C8" s="194">
        <f>SUM(H8:S8)</f>
        <v>51</v>
      </c>
      <c r="D8" s="194">
        <f>SUM(T8:AB8)</f>
        <v>44</v>
      </c>
      <c r="F8" s="194">
        <f>SUM(Q8:AB8)</f>
        <v>59</v>
      </c>
      <c r="H8" s="192">
        <f>COUNTIFS('Combined Employee Worksheet'!$I:$I,"&gt;="&amp;'Employee Retention'!H$5,'Combined Employee Worksheet'!$I:$I,"&lt;="&amp;'Employee Retention'!H$1)</f>
        <v>3</v>
      </c>
      <c r="I8" s="192">
        <f>COUNTIFS('Combined Employee Worksheet'!$I:$I,"&gt;="&amp;'Employee Retention'!I$5,'Combined Employee Worksheet'!$I:$I,"&lt;="&amp;'Employee Retention'!I$1)</f>
        <v>4</v>
      </c>
      <c r="J8" s="192">
        <f>COUNTIFS('Combined Employee Worksheet'!$I:$I,"&gt;="&amp;'Employee Retention'!J$5,'Combined Employee Worksheet'!$I:$I,"&lt;="&amp;'Employee Retention'!J$1)</f>
        <v>5</v>
      </c>
      <c r="K8" s="192">
        <f>COUNTIFS('Combined Employee Worksheet'!$I:$I,"&gt;="&amp;'Employee Retention'!K$5,'Combined Employee Worksheet'!$I:$I,"&lt;="&amp;'Employee Retention'!K$1)</f>
        <v>3</v>
      </c>
      <c r="L8" s="192">
        <f>COUNTIFS('Combined Employee Worksheet'!$I:$I,"&gt;="&amp;'Employee Retention'!L$5,'Combined Employee Worksheet'!$I:$I,"&lt;="&amp;'Employee Retention'!L$1)</f>
        <v>2</v>
      </c>
      <c r="M8" s="192">
        <f>COUNTIFS('Combined Employee Worksheet'!$I:$I,"&gt;="&amp;'Employee Retention'!M$5,'Combined Employee Worksheet'!$I:$I,"&lt;="&amp;'Employee Retention'!M$1)</f>
        <v>7</v>
      </c>
      <c r="N8" s="192">
        <f>COUNTIFS('Combined Employee Worksheet'!$I:$I,"&gt;="&amp;'Employee Retention'!N$5,'Combined Employee Worksheet'!$I:$I,"&lt;="&amp;'Employee Retention'!N$1)</f>
        <v>4</v>
      </c>
      <c r="O8" s="192">
        <f>COUNTIFS('Combined Employee Worksheet'!$I:$I,"&gt;="&amp;'Employee Retention'!O$5,'Combined Employee Worksheet'!$I:$I,"&lt;="&amp;'Employee Retention'!O$1)</f>
        <v>6</v>
      </c>
      <c r="P8" s="192">
        <f>COUNTIFS('Combined Employee Worksheet'!$I:$I,"&gt;="&amp;'Employee Retention'!P$5,'Combined Employee Worksheet'!$I:$I,"&lt;="&amp;'Employee Retention'!P$1)</f>
        <v>2</v>
      </c>
      <c r="Q8" s="192">
        <f>COUNTIFS('Combined Employee Worksheet'!$I:$I,"&gt;="&amp;'Employee Retention'!Q$5,'Combined Employee Worksheet'!$I:$I,"&lt;="&amp;'Employee Retention'!Q$1)</f>
        <v>4</v>
      </c>
      <c r="R8" s="192">
        <f>COUNTIFS('Combined Employee Worksheet'!$I:$I,"&gt;="&amp;'Employee Retention'!R$5,'Combined Employee Worksheet'!$I:$I,"&lt;="&amp;'Employee Retention'!R$1)</f>
        <v>5</v>
      </c>
      <c r="S8" s="192">
        <f>COUNTIFS('Combined Employee Worksheet'!$I:$I,"&gt;="&amp;'Employee Retention'!S$5,'Combined Employee Worksheet'!$I:$I,"&lt;="&amp;'Employee Retention'!S$1)</f>
        <v>6</v>
      </c>
      <c r="T8" s="192">
        <f>COUNTIFS('Combined Employee Worksheet'!$I:$I,"&gt;="&amp;'Employee Retention'!T$5,'Combined Employee Worksheet'!$I:$I,"&lt;="&amp;'Employee Retention'!T$1)</f>
        <v>3</v>
      </c>
      <c r="U8" s="192">
        <f>COUNTIFS('Combined Employee Worksheet'!$I:$I,"&gt;="&amp;'Employee Retention'!U$5,'Combined Employee Worksheet'!$I:$I,"&lt;="&amp;'Employee Retention'!U$1)</f>
        <v>6</v>
      </c>
      <c r="V8" s="192">
        <f>COUNTIFS('Combined Employee Worksheet'!$I:$I,"&gt;="&amp;'Employee Retention'!V$5,'Combined Employee Worksheet'!$I:$I,"&lt;="&amp;'Employee Retention'!V$1)</f>
        <v>4</v>
      </c>
      <c r="W8" s="192">
        <f>COUNTIFS('Combined Employee Worksheet'!$I:$I,"&gt;="&amp;'Employee Retention'!W$5,'Combined Employee Worksheet'!$I:$I,"&lt;="&amp;'Employee Retention'!W$1)</f>
        <v>4</v>
      </c>
      <c r="X8" s="192">
        <f>COUNTIFS('Combined Employee Worksheet'!$I:$I,"&gt;="&amp;'Employee Retention'!X$5,'Combined Employee Worksheet'!$I:$I,"&lt;="&amp;'Employee Retention'!X$1)</f>
        <v>5</v>
      </c>
      <c r="Y8" s="192">
        <f>COUNTIFS('Combined Employee Worksheet'!$I:$I,"&gt;="&amp;'Employee Retention'!Y$5,'Combined Employee Worksheet'!$I:$I,"&lt;="&amp;'Employee Retention'!Y$1)</f>
        <v>6</v>
      </c>
      <c r="Z8" s="192">
        <f>COUNTIFS('Combined Employee Worksheet'!$I:$I,"&gt;="&amp;'Employee Retention'!Z$5,'Combined Employee Worksheet'!$I:$I,"&lt;="&amp;'Employee Retention'!Z$1)</f>
        <v>6</v>
      </c>
      <c r="AA8" s="192">
        <f>COUNTIFS('Combined Employee Worksheet'!$I:$I,"&gt;="&amp;'Employee Retention'!AA$5,'Combined Employee Worksheet'!$I:$I,"&lt;="&amp;'Employee Retention'!AA$1)</f>
        <v>6</v>
      </c>
      <c r="AB8" s="192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88" t="s">
        <v>1815</v>
      </c>
      <c r="C9" s="194">
        <f>SUM(H9:S9)</f>
        <v>-24</v>
      </c>
      <c r="D9" s="194">
        <f>SUM(T9:AB9)</f>
        <v>-27</v>
      </c>
      <c r="F9" s="194">
        <f>SUM(Q9:AB9)</f>
        <v>-35</v>
      </c>
      <c r="H9" s="192">
        <f>-COUNTIFS('Combined Employee Worksheet'!$J:$J,"&gt;="&amp;'Employee Retention'!H$5,'Combined Employee Worksheet'!$J:$J,"&lt;="&amp;'Employee Retention'!H$1)</f>
        <v>-1</v>
      </c>
      <c r="I9" s="192">
        <f>-COUNTIFS('Combined Employee Worksheet'!$J:$J,"&gt;="&amp;'Employee Retention'!I$5,'Combined Employee Worksheet'!$J:$J,"&lt;="&amp;'Employee Retention'!I$1)</f>
        <v>-5</v>
      </c>
      <c r="J9" s="192">
        <f>-COUNTIFS('Combined Employee Worksheet'!$J:$J,"&gt;="&amp;'Employee Retention'!J$5,'Combined Employee Worksheet'!$J:$J,"&lt;="&amp;'Employee Retention'!J$1)</f>
        <v>-3</v>
      </c>
      <c r="K9" s="192">
        <f>-COUNTIFS('Combined Employee Worksheet'!$J:$J,"&gt;="&amp;'Employee Retention'!K$5,'Combined Employee Worksheet'!$J:$J,"&lt;="&amp;'Employee Retention'!K$1)</f>
        <v>0</v>
      </c>
      <c r="L9" s="192">
        <f>-COUNTIFS('Combined Employee Worksheet'!$J:$J,"&gt;="&amp;'Employee Retention'!L$5,'Combined Employee Worksheet'!$J:$J,"&lt;="&amp;'Employee Retention'!L$1)</f>
        <v>-2</v>
      </c>
      <c r="M9" s="192">
        <f>-COUNTIFS('Combined Employee Worksheet'!$J:$J,"&gt;="&amp;'Employee Retention'!M$5,'Combined Employee Worksheet'!$J:$J,"&lt;="&amp;'Employee Retention'!M$1)</f>
        <v>-3</v>
      </c>
      <c r="N9" s="192">
        <f>-COUNTIFS('Combined Employee Worksheet'!$J:$J,"&gt;="&amp;'Employee Retention'!N$5,'Combined Employee Worksheet'!$J:$J,"&lt;="&amp;'Employee Retention'!N$1)</f>
        <v>0</v>
      </c>
      <c r="O9" s="192">
        <f>-COUNTIFS('Combined Employee Worksheet'!$J:$J,"&gt;="&amp;'Employee Retention'!O$5,'Combined Employee Worksheet'!$J:$J,"&lt;="&amp;'Employee Retention'!O$1)</f>
        <v>-2</v>
      </c>
      <c r="P9" s="192">
        <f>-COUNTIFS('Combined Employee Worksheet'!$J:$J,"&gt;="&amp;'Employee Retention'!P$5,'Combined Employee Worksheet'!$J:$J,"&lt;="&amp;'Employee Retention'!P$1)</f>
        <v>0</v>
      </c>
      <c r="Q9" s="192">
        <f>-COUNTIFS('Combined Employee Worksheet'!$J:$J,"&gt;="&amp;'Employee Retention'!Q$5,'Combined Employee Worksheet'!$J:$J,"&lt;="&amp;'Employee Retention'!Q$1)</f>
        <v>0</v>
      </c>
      <c r="R9" s="192">
        <f>-COUNTIFS('Combined Employee Worksheet'!$J:$J,"&gt;="&amp;'Employee Retention'!R$5,'Combined Employee Worksheet'!$J:$J,"&lt;="&amp;'Employee Retention'!R$1)</f>
        <v>-5</v>
      </c>
      <c r="S9" s="192">
        <f>-COUNTIFS('Combined Employee Worksheet'!$J:$J,"&gt;="&amp;'Employee Retention'!S$5,'Combined Employee Worksheet'!$J:$J,"&lt;="&amp;'Employee Retention'!S$1)</f>
        <v>-3</v>
      </c>
      <c r="T9" s="192">
        <f>-COUNTIFS('Combined Employee Worksheet'!$J:$J,"&gt;="&amp;'Employee Retention'!T$5,'Combined Employee Worksheet'!$J:$J,"&lt;="&amp;'Employee Retention'!T$1)</f>
        <v>-1</v>
      </c>
      <c r="U9" s="192">
        <f>-COUNTIFS('Combined Employee Worksheet'!$J:$J,"&gt;="&amp;'Employee Retention'!U$5,'Combined Employee Worksheet'!$J:$J,"&lt;="&amp;'Employee Retention'!U$1)</f>
        <v>-1</v>
      </c>
      <c r="V9" s="192">
        <f>-COUNTIFS('Combined Employee Worksheet'!$J:$J,"&gt;="&amp;'Employee Retention'!V$5,'Combined Employee Worksheet'!$J:$J,"&lt;="&amp;'Employee Retention'!V$1)</f>
        <v>0</v>
      </c>
      <c r="W9" s="192">
        <f>-COUNTIFS('Combined Employee Worksheet'!$J:$J,"&gt;="&amp;'Employee Retention'!W$5,'Combined Employee Worksheet'!$J:$J,"&lt;="&amp;'Employee Retention'!W$1)</f>
        <v>-1</v>
      </c>
      <c r="X9" s="192">
        <f>-COUNTIFS('Combined Employee Worksheet'!$J:$J,"&gt;="&amp;'Employee Retention'!X$5,'Combined Employee Worksheet'!$J:$J,"&lt;="&amp;'Employee Retention'!X$1)</f>
        <v>-7</v>
      </c>
      <c r="Y9" s="192">
        <f>-COUNTIFS('Combined Employee Worksheet'!$J:$J,"&gt;="&amp;'Employee Retention'!Y$5,'Combined Employee Worksheet'!$J:$J,"&lt;="&amp;'Employee Retention'!Y$1)</f>
        <v>-3</v>
      </c>
      <c r="Z9" s="192">
        <f>-COUNTIFS('Combined Employee Worksheet'!$J:$J,"&gt;="&amp;'Employee Retention'!Z$5,'Combined Employee Worksheet'!$J:$J,"&lt;="&amp;'Employee Retention'!Z$1)</f>
        <v>-6</v>
      </c>
      <c r="AA9" s="192">
        <f>-COUNTIFS('Combined Employee Worksheet'!$J:$J,"&gt;="&amp;'Employee Retention'!AA$5,'Combined Employee Worksheet'!$J:$J,"&lt;="&amp;'Employee Retention'!AA$1)</f>
        <v>-4</v>
      </c>
      <c r="AB9" s="192">
        <f>-COUNTIFS('Combined Employee Worksheet'!$J:$J,"&gt;="&amp;'Employee Retention'!AB$5,'Combined Employee Worksheet'!$J:$J,"&lt;="&amp;'Employee Retention'!AB$1)</f>
        <v>-4</v>
      </c>
      <c r="AD9" s="337">
        <f>AB10/H7-1</f>
        <v>1.0232558139534884</v>
      </c>
    </row>
    <row r="10" spans="2:32">
      <c r="B10" s="256" t="s">
        <v>1315</v>
      </c>
      <c r="C10" s="257">
        <f>+D7</f>
        <v>70</v>
      </c>
      <c r="D10" s="258">
        <f>+$AB10</f>
        <v>87</v>
      </c>
      <c r="F10" s="261">
        <f>+$AB10</f>
        <v>87</v>
      </c>
      <c r="H10" s="259">
        <f t="shared" ref="H10:AA10" si="5">+I7</f>
        <v>45</v>
      </c>
      <c r="I10" s="257">
        <f t="shared" si="5"/>
        <v>44</v>
      </c>
      <c r="J10" s="257">
        <f t="shared" si="5"/>
        <v>46</v>
      </c>
      <c r="K10" s="257">
        <f t="shared" si="5"/>
        <v>49</v>
      </c>
      <c r="L10" s="257">
        <f t="shared" si="5"/>
        <v>49</v>
      </c>
      <c r="M10" s="257">
        <f t="shared" si="5"/>
        <v>53</v>
      </c>
      <c r="N10" s="257">
        <f t="shared" si="5"/>
        <v>57</v>
      </c>
      <c r="O10" s="257">
        <f t="shared" si="5"/>
        <v>61</v>
      </c>
      <c r="P10" s="257">
        <f t="shared" si="5"/>
        <v>63</v>
      </c>
      <c r="Q10" s="259">
        <f t="shared" si="5"/>
        <v>67</v>
      </c>
      <c r="R10" s="257">
        <f t="shared" si="5"/>
        <v>67</v>
      </c>
      <c r="S10" s="257">
        <f t="shared" si="5"/>
        <v>70</v>
      </c>
      <c r="T10" s="257">
        <f t="shared" si="5"/>
        <v>72</v>
      </c>
      <c r="U10" s="257">
        <f t="shared" si="5"/>
        <v>77</v>
      </c>
      <c r="V10" s="257">
        <f t="shared" si="5"/>
        <v>81</v>
      </c>
      <c r="W10" s="257">
        <f t="shared" si="5"/>
        <v>84</v>
      </c>
      <c r="X10" s="257">
        <f t="shared" si="5"/>
        <v>82</v>
      </c>
      <c r="Y10" s="257">
        <f t="shared" si="5"/>
        <v>85</v>
      </c>
      <c r="Z10" s="257">
        <f t="shared" si="5"/>
        <v>85</v>
      </c>
      <c r="AA10" s="257">
        <f t="shared" si="5"/>
        <v>87</v>
      </c>
      <c r="AB10" s="307">
        <f>COUNTIFS('Combined Employee Worksheet'!$H:$H,"Active")</f>
        <v>87</v>
      </c>
      <c r="AD10" s="181">
        <f>AB10-H7</f>
        <v>44</v>
      </c>
    </row>
    <row r="11" spans="2:32" ht="3.95" customHeight="1">
      <c r="B11" s="179"/>
      <c r="C11" s="229"/>
      <c r="D11" s="229"/>
      <c r="F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30"/>
      <c r="AA11" s="230"/>
      <c r="AB11" s="230"/>
    </row>
    <row r="12" spans="2:32" ht="12" customHeight="1">
      <c r="B12" s="256" t="s">
        <v>1817</v>
      </c>
      <c r="C12" s="320">
        <f>AVERAGE(C7,C10)</f>
        <v>56.5</v>
      </c>
      <c r="D12" s="321">
        <f>AVERAGE(D7,D10)</f>
        <v>78.5</v>
      </c>
      <c r="F12" s="322">
        <f>AVERAGE(F7,F10)</f>
        <v>75</v>
      </c>
      <c r="H12" s="323">
        <f t="shared" ref="H12:AB12" si="6">AVERAGE(H7,H10)</f>
        <v>44</v>
      </c>
      <c r="I12" s="320">
        <f t="shared" si="6"/>
        <v>44.5</v>
      </c>
      <c r="J12" s="320">
        <f t="shared" si="6"/>
        <v>45</v>
      </c>
      <c r="K12" s="320">
        <f t="shared" si="6"/>
        <v>47.5</v>
      </c>
      <c r="L12" s="320">
        <f t="shared" si="6"/>
        <v>49</v>
      </c>
      <c r="M12" s="320">
        <f t="shared" si="6"/>
        <v>51</v>
      </c>
      <c r="N12" s="320">
        <f t="shared" si="6"/>
        <v>55</v>
      </c>
      <c r="O12" s="320">
        <f t="shared" si="6"/>
        <v>59</v>
      </c>
      <c r="P12" s="320">
        <f t="shared" si="6"/>
        <v>62</v>
      </c>
      <c r="Q12" s="323">
        <f t="shared" si="6"/>
        <v>65</v>
      </c>
      <c r="R12" s="320">
        <f t="shared" si="6"/>
        <v>67</v>
      </c>
      <c r="S12" s="320">
        <f t="shared" si="6"/>
        <v>68.5</v>
      </c>
      <c r="T12" s="320">
        <f t="shared" si="6"/>
        <v>71</v>
      </c>
      <c r="U12" s="320">
        <f t="shared" si="6"/>
        <v>74.5</v>
      </c>
      <c r="V12" s="320">
        <f t="shared" si="6"/>
        <v>79</v>
      </c>
      <c r="W12" s="320">
        <f t="shared" si="6"/>
        <v>82.5</v>
      </c>
      <c r="X12" s="320">
        <f t="shared" si="6"/>
        <v>83</v>
      </c>
      <c r="Y12" s="320">
        <f t="shared" si="6"/>
        <v>83.5</v>
      </c>
      <c r="Z12" s="320">
        <f t="shared" si="6"/>
        <v>85</v>
      </c>
      <c r="AA12" s="320">
        <f t="shared" si="6"/>
        <v>86</v>
      </c>
      <c r="AB12" s="321">
        <f t="shared" si="6"/>
        <v>87</v>
      </c>
    </row>
    <row r="13" spans="2:32" ht="3.95" customHeight="1">
      <c r="B13" s="179"/>
      <c r="C13" s="229"/>
      <c r="D13" s="229"/>
      <c r="F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30"/>
      <c r="AA13" s="230"/>
      <c r="AB13" s="230"/>
    </row>
    <row r="14" spans="2:32">
      <c r="B14" s="231" t="s">
        <v>1813</v>
      </c>
      <c r="C14" s="233">
        <f>(C8+C7)/C7-1</f>
        <v>1.1860465116279069</v>
      </c>
      <c r="D14" s="244">
        <f>(D8+D7)/D7-1</f>
        <v>0.62857142857142856</v>
      </c>
      <c r="E14" s="245"/>
      <c r="F14" s="246">
        <f>(F8+F7)/F7-1</f>
        <v>0.93650793650793651</v>
      </c>
      <c r="H14" s="243">
        <f t="shared" ref="H14:AB14" si="7">(H8+H7)/H7-1</f>
        <v>6.9767441860465018E-2</v>
      </c>
      <c r="I14" s="233">
        <f t="shared" si="7"/>
        <v>8.8888888888888795E-2</v>
      </c>
      <c r="J14" s="233">
        <f t="shared" si="7"/>
        <v>0.11363636363636354</v>
      </c>
      <c r="K14" s="233">
        <f t="shared" si="7"/>
        <v>6.5217391304347894E-2</v>
      </c>
      <c r="L14" s="233">
        <f t="shared" si="7"/>
        <v>4.081632653061229E-2</v>
      </c>
      <c r="M14" s="233">
        <f t="shared" si="7"/>
        <v>0.14285714285714279</v>
      </c>
      <c r="N14" s="233">
        <f t="shared" si="7"/>
        <v>7.547169811320753E-2</v>
      </c>
      <c r="O14" s="233">
        <f t="shared" si="7"/>
        <v>0.10526315789473695</v>
      </c>
      <c r="P14" s="233">
        <f t="shared" si="7"/>
        <v>3.2786885245901676E-2</v>
      </c>
      <c r="Q14" s="243">
        <f t="shared" si="7"/>
        <v>6.3492063492063489E-2</v>
      </c>
      <c r="R14" s="233">
        <f t="shared" si="7"/>
        <v>7.4626865671641784E-2</v>
      </c>
      <c r="S14" s="233">
        <f t="shared" si="7"/>
        <v>8.9552238805970186E-2</v>
      </c>
      <c r="T14" s="233">
        <f t="shared" si="7"/>
        <v>4.2857142857142927E-2</v>
      </c>
      <c r="U14" s="233">
        <f t="shared" si="7"/>
        <v>8.3333333333333259E-2</v>
      </c>
      <c r="V14" s="233">
        <f t="shared" si="7"/>
        <v>5.1948051948051965E-2</v>
      </c>
      <c r="W14" s="233">
        <f t="shared" si="7"/>
        <v>4.9382716049382713E-2</v>
      </c>
      <c r="X14" s="233">
        <f t="shared" si="7"/>
        <v>5.9523809523809534E-2</v>
      </c>
      <c r="Y14" s="233">
        <f t="shared" si="7"/>
        <v>7.3170731707317138E-2</v>
      </c>
      <c r="Z14" s="233">
        <f t="shared" si="7"/>
        <v>7.0588235294117618E-2</v>
      </c>
      <c r="AA14" s="233">
        <f t="shared" si="7"/>
        <v>7.0588235294117618E-2</v>
      </c>
      <c r="AB14" s="244">
        <f t="shared" si="7"/>
        <v>4.5977011494252817E-2</v>
      </c>
    </row>
    <row r="15" spans="2:32">
      <c r="B15" s="234" t="s">
        <v>1812</v>
      </c>
      <c r="C15" s="236">
        <f t="shared" ref="C15:D15" si="8">(C9+C12)/C12-1</f>
        <v>-0.4247787610619469</v>
      </c>
      <c r="D15" s="237">
        <f t="shared" si="8"/>
        <v>-0.3439490445859873</v>
      </c>
      <c r="E15" s="245"/>
      <c r="F15" s="239">
        <f>(F9+F12)/F12-1</f>
        <v>-0.46666666666666667</v>
      </c>
      <c r="H15" s="238">
        <f t="shared" ref="H15:AB15" si="9">(H9+H12)/H12-1</f>
        <v>-2.2727272727272707E-2</v>
      </c>
      <c r="I15" s="236">
        <f t="shared" si="9"/>
        <v>-0.11235955056179781</v>
      </c>
      <c r="J15" s="236">
        <f t="shared" si="9"/>
        <v>-6.6666666666666652E-2</v>
      </c>
      <c r="K15" s="236">
        <f t="shared" si="9"/>
        <v>0</v>
      </c>
      <c r="L15" s="236">
        <f t="shared" si="9"/>
        <v>-4.081632653061229E-2</v>
      </c>
      <c r="M15" s="236">
        <f t="shared" si="9"/>
        <v>-5.8823529411764719E-2</v>
      </c>
      <c r="N15" s="236">
        <f t="shared" si="9"/>
        <v>0</v>
      </c>
      <c r="O15" s="236">
        <f t="shared" si="9"/>
        <v>-3.3898305084745783E-2</v>
      </c>
      <c r="P15" s="236">
        <f t="shared" si="9"/>
        <v>0</v>
      </c>
      <c r="Q15" s="238">
        <f t="shared" si="9"/>
        <v>0</v>
      </c>
      <c r="R15" s="236">
        <f t="shared" si="9"/>
        <v>-7.4626865671641784E-2</v>
      </c>
      <c r="S15" s="236">
        <f t="shared" si="9"/>
        <v>-4.3795620437956151E-2</v>
      </c>
      <c r="T15" s="236">
        <f t="shared" si="9"/>
        <v>-1.4084507042253502E-2</v>
      </c>
      <c r="U15" s="236">
        <f t="shared" si="9"/>
        <v>-1.3422818791946289E-2</v>
      </c>
      <c r="V15" s="236">
        <f t="shared" si="9"/>
        <v>0</v>
      </c>
      <c r="W15" s="236">
        <f t="shared" si="9"/>
        <v>-1.2121212121212088E-2</v>
      </c>
      <c r="X15" s="236">
        <f t="shared" si="9"/>
        <v>-8.4337349397590411E-2</v>
      </c>
      <c r="Y15" s="236">
        <f t="shared" si="9"/>
        <v>-3.59281437125748E-2</v>
      </c>
      <c r="Z15" s="236">
        <f t="shared" si="9"/>
        <v>-7.0588235294117618E-2</v>
      </c>
      <c r="AA15" s="236">
        <f t="shared" si="9"/>
        <v>-4.6511627906976716E-2</v>
      </c>
      <c r="AB15" s="237">
        <f t="shared" si="9"/>
        <v>-4.5977011494252928E-2</v>
      </c>
    </row>
    <row r="16" spans="2:32" ht="3.95" customHeight="1">
      <c r="B16" s="179"/>
    </row>
    <row r="17" spans="2:31" ht="24">
      <c r="B17" s="159" t="s">
        <v>1811</v>
      </c>
      <c r="C17" s="176" t="s">
        <v>4</v>
      </c>
      <c r="D17" s="176" t="s">
        <v>1317</v>
      </c>
      <c r="E17" s="190"/>
      <c r="F17" s="176" t="s">
        <v>1527</v>
      </c>
      <c r="H17" s="189">
        <v>45658</v>
      </c>
      <c r="I17" s="189">
        <f t="shared" ref="I17:N17" si="10">EOMONTH(H17,0)+1</f>
        <v>45689</v>
      </c>
      <c r="J17" s="189">
        <f t="shared" si="10"/>
        <v>45717</v>
      </c>
      <c r="K17" s="189">
        <f t="shared" si="10"/>
        <v>45748</v>
      </c>
      <c r="L17" s="189">
        <f t="shared" si="10"/>
        <v>45778</v>
      </c>
      <c r="M17" s="189">
        <f t="shared" si="10"/>
        <v>45809</v>
      </c>
      <c r="N17" s="189">
        <f t="shared" si="10"/>
        <v>45839</v>
      </c>
      <c r="O17" s="189">
        <v>45870</v>
      </c>
      <c r="P17" s="189">
        <f t="shared" ref="P17:AB17" si="11">EOMONTH(O17,0)+1</f>
        <v>45901</v>
      </c>
      <c r="Q17" s="189">
        <f t="shared" si="11"/>
        <v>45931</v>
      </c>
      <c r="R17" s="189">
        <f t="shared" si="11"/>
        <v>45962</v>
      </c>
      <c r="S17" s="189">
        <f t="shared" si="11"/>
        <v>45992</v>
      </c>
      <c r="T17" s="189">
        <f t="shared" si="11"/>
        <v>46023</v>
      </c>
      <c r="U17" s="189">
        <f t="shared" si="11"/>
        <v>46054</v>
      </c>
      <c r="V17" s="189">
        <f t="shared" si="11"/>
        <v>46082</v>
      </c>
      <c r="W17" s="189">
        <f t="shared" si="11"/>
        <v>46113</v>
      </c>
      <c r="X17" s="189">
        <f t="shared" si="11"/>
        <v>46143</v>
      </c>
      <c r="Y17" s="189">
        <f t="shared" si="11"/>
        <v>46174</v>
      </c>
      <c r="Z17" s="189">
        <f t="shared" si="11"/>
        <v>46204</v>
      </c>
      <c r="AA17" s="189">
        <f t="shared" si="11"/>
        <v>46235</v>
      </c>
      <c r="AB17" s="189">
        <f t="shared" si="11"/>
        <v>46266</v>
      </c>
      <c r="AC17" s="184"/>
      <c r="AE17" s="184"/>
    </row>
    <row r="18" spans="2:31">
      <c r="B18" s="319" t="s">
        <v>490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09" t="s">
        <v>1818</v>
      </c>
      <c r="C19" s="64">
        <f>AVERAGE(('Client Retention'!E7-'Client Retention'!E97),('Client Retention'!E13-'Client Retention'!E103))</f>
        <v>162.5</v>
      </c>
      <c r="D19" s="64">
        <f>AVERAGE(('Client Retention'!F7-'Client Retention'!F97),('Client Retention'!F13-'Client Retention'!F103))</f>
        <v>179.5</v>
      </c>
      <c r="E19" s="6"/>
      <c r="F19" s="64">
        <f>AVERAGE(('Client Retention'!H7-'Client Retention'!H97),('Client Retention'!H13-'Client Retention'!H103))</f>
        <v>178</v>
      </c>
      <c r="H19" s="64">
        <f>AVERAGE(('Client Retention'!J7-'Client Retention'!J97),('Client Retention'!J13-'Client Retention'!J103))</f>
        <v>146</v>
      </c>
      <c r="I19" s="64">
        <f>AVERAGE(('Client Retention'!K7-'Client Retention'!K97),('Client Retention'!K13-'Client Retention'!K103))</f>
        <v>147.5</v>
      </c>
      <c r="J19" s="64">
        <f>AVERAGE(('Client Retention'!L7-'Client Retention'!L97),('Client Retention'!L13-'Client Retention'!L103))</f>
        <v>151</v>
      </c>
      <c r="K19" s="64">
        <f>AVERAGE(('Client Retention'!M7-'Client Retention'!M97),('Client Retention'!M13-'Client Retention'!M103))</f>
        <v>156.5</v>
      </c>
      <c r="L19" s="64">
        <f>AVERAGE(('Client Retention'!N7-'Client Retention'!N97),('Client Retention'!N13-'Client Retention'!N103))</f>
        <v>162</v>
      </c>
      <c r="M19" s="64">
        <f>AVERAGE(('Client Retention'!O7-'Client Retention'!O97),('Client Retention'!O13-'Client Retention'!O103))</f>
        <v>165</v>
      </c>
      <c r="N19" s="64">
        <f>AVERAGE(('Client Retention'!P7-'Client Retention'!P97),('Client Retention'!P13-'Client Retention'!P103))</f>
        <v>167</v>
      </c>
      <c r="O19" s="64">
        <f>AVERAGE(('Client Retention'!Q7-'Client Retention'!Q97),('Client Retention'!Q13-'Client Retention'!Q103))</f>
        <v>172</v>
      </c>
      <c r="P19" s="64">
        <f>AVERAGE(('Client Retention'!R7-'Client Retention'!R97),('Client Retention'!R13-'Client Retention'!R103))</f>
        <v>176</v>
      </c>
      <c r="Q19" s="64">
        <f>AVERAGE(('Client Retention'!S7-'Client Retention'!S97),('Client Retention'!S13-'Client Retention'!S103))</f>
        <v>179.5</v>
      </c>
      <c r="R19" s="64">
        <f>AVERAGE(('Client Retention'!T7-'Client Retention'!T97),('Client Retention'!T13-'Client Retention'!T103))</f>
        <v>181.5</v>
      </c>
      <c r="S19" s="64">
        <f>AVERAGE(('Client Retention'!U7-'Client Retention'!U97),('Client Retention'!U13-'Client Retention'!U103))</f>
        <v>180.5</v>
      </c>
      <c r="T19" s="64">
        <f>AVERAGE(('Client Retention'!V7-'Client Retention'!V97),('Client Retention'!V13-'Client Retention'!V103))</f>
        <v>183</v>
      </c>
      <c r="U19" s="64">
        <f>AVERAGE(('Client Retention'!W7-'Client Retention'!W97),('Client Retention'!W13-'Client Retention'!W103))</f>
        <v>189.5</v>
      </c>
      <c r="V19" s="64">
        <f>AVERAGE(('Client Retention'!X7-'Client Retention'!X97),('Client Retention'!X13-'Client Retention'!X103))</f>
        <v>192.5</v>
      </c>
      <c r="W19" s="64">
        <f>AVERAGE(('Client Retention'!Y7-'Client Retention'!Y97),('Client Retention'!Y13-'Client Retention'!Y103))</f>
        <v>195</v>
      </c>
      <c r="X19" s="64">
        <f>AVERAGE(('Client Retention'!Z7-'Client Retention'!Z97),('Client Retention'!Z13-'Client Retention'!Z103))</f>
        <v>193.5</v>
      </c>
      <c r="Y19" s="64">
        <f>AVERAGE(('Client Retention'!AA7-'Client Retention'!AA97),('Client Retention'!AA13-'Client Retention'!AA103))</f>
        <v>189</v>
      </c>
      <c r="Z19" s="64">
        <f>AVERAGE(('Client Retention'!AB7-'Client Retention'!AB97),('Client Retention'!AB13-'Client Retention'!AB103))</f>
        <v>181.5</v>
      </c>
      <c r="AA19" s="64">
        <f>AVERAGE(('Client Retention'!AC7-'Client Retention'!AC97),('Client Retention'!AC13-'Client Retention'!AC103))</f>
        <v>174.5</v>
      </c>
      <c r="AB19" s="64">
        <f>AVERAGE(('Client Retention'!AD7-'Client Retention'!AD97),('Client Retention'!AD13-'Client Retention'!AD103))</f>
        <v>177</v>
      </c>
      <c r="AC19" s="6"/>
      <c r="AD19" s="6"/>
      <c r="AE19" s="6"/>
    </row>
    <row r="20" spans="2:31" ht="3.95" customHeight="1">
      <c r="B20" s="308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1313</v>
      </c>
      <c r="C21" s="181">
        <f>+C24-C22-C23</f>
        <v>13</v>
      </c>
      <c r="D21" s="181">
        <f>+D24-D22-D23</f>
        <v>31</v>
      </c>
      <c r="F21" s="181">
        <f>+F24-F22-F23</f>
        <v>27</v>
      </c>
      <c r="H21" s="181">
        <f t="shared" ref="H21:AB21" si="12">+H24-H22-H23</f>
        <v>13</v>
      </c>
      <c r="I21" s="181">
        <f t="shared" si="12"/>
        <v>13</v>
      </c>
      <c r="J21" s="181">
        <f t="shared" si="12"/>
        <v>14</v>
      </c>
      <c r="K21" s="181">
        <f t="shared" si="12"/>
        <v>15</v>
      </c>
      <c r="L21" s="181">
        <f t="shared" si="12"/>
        <v>17</v>
      </c>
      <c r="M21" s="181">
        <f t="shared" si="12"/>
        <v>16</v>
      </c>
      <c r="N21" s="181">
        <f t="shared" si="12"/>
        <v>20</v>
      </c>
      <c r="O21" s="181">
        <f t="shared" si="12"/>
        <v>24</v>
      </c>
      <c r="P21" s="181">
        <f t="shared" si="12"/>
        <v>26</v>
      </c>
      <c r="Q21" s="181">
        <f t="shared" si="12"/>
        <v>27</v>
      </c>
      <c r="R21" s="181">
        <f t="shared" si="12"/>
        <v>29</v>
      </c>
      <c r="S21" s="181">
        <f t="shared" si="12"/>
        <v>30</v>
      </c>
      <c r="T21" s="181">
        <f t="shared" si="12"/>
        <v>31</v>
      </c>
      <c r="U21" s="181">
        <f t="shared" si="12"/>
        <v>32</v>
      </c>
      <c r="V21" s="181">
        <f t="shared" si="12"/>
        <v>32</v>
      </c>
      <c r="W21" s="181">
        <f t="shared" si="12"/>
        <v>32</v>
      </c>
      <c r="X21" s="181">
        <f t="shared" si="12"/>
        <v>34</v>
      </c>
      <c r="Y21" s="181">
        <f t="shared" si="12"/>
        <v>34</v>
      </c>
      <c r="Z21" s="181">
        <f t="shared" si="12"/>
        <v>38</v>
      </c>
      <c r="AA21" s="181">
        <f t="shared" si="12"/>
        <v>39</v>
      </c>
      <c r="AB21" s="181">
        <f t="shared" si="12"/>
        <v>39</v>
      </c>
    </row>
    <row r="22" spans="2:31">
      <c r="B22" s="188" t="s">
        <v>1814</v>
      </c>
      <c r="C22" s="194">
        <f>SUM(H22:S22)</f>
        <v>29</v>
      </c>
      <c r="D22" s="194">
        <f>SUM(T22:AB22)</f>
        <v>20</v>
      </c>
      <c r="F22" s="194">
        <f>SUM(Q22:AB22)</f>
        <v>26</v>
      </c>
      <c r="H22" s="192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2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2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2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2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2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2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2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2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2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2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2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2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2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2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2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2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2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2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2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2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88" t="s">
        <v>1815</v>
      </c>
      <c r="C23" s="194">
        <f>SUM(H23:S23)</f>
        <v>-11</v>
      </c>
      <c r="D23" s="194">
        <f>SUM(T23:AB23)</f>
        <v>-11</v>
      </c>
      <c r="F23" s="194">
        <f>SUM(Q23:AB23)</f>
        <v>-13</v>
      </c>
      <c r="H23" s="192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2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2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2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2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2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2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2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2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2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2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2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2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2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2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2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2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2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2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2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2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6" t="s">
        <v>1315</v>
      </c>
      <c r="C24" s="257">
        <f>+D21</f>
        <v>31</v>
      </c>
      <c r="D24" s="258">
        <f>+$AB24</f>
        <v>40</v>
      </c>
      <c r="F24" s="261">
        <f>+$AB24</f>
        <v>40</v>
      </c>
      <c r="H24" s="259">
        <f t="shared" ref="H24:AA24" si="13">+I21</f>
        <v>13</v>
      </c>
      <c r="I24" s="257">
        <f t="shared" si="13"/>
        <v>14</v>
      </c>
      <c r="J24" s="257">
        <f t="shared" si="13"/>
        <v>15</v>
      </c>
      <c r="K24" s="257">
        <f t="shared" si="13"/>
        <v>17</v>
      </c>
      <c r="L24" s="257">
        <f t="shared" si="13"/>
        <v>16</v>
      </c>
      <c r="M24" s="257">
        <f t="shared" si="13"/>
        <v>20</v>
      </c>
      <c r="N24" s="257">
        <f t="shared" si="13"/>
        <v>24</v>
      </c>
      <c r="O24" s="257">
        <f t="shared" si="13"/>
        <v>26</v>
      </c>
      <c r="P24" s="257">
        <f t="shared" si="13"/>
        <v>27</v>
      </c>
      <c r="Q24" s="259">
        <f t="shared" si="13"/>
        <v>29</v>
      </c>
      <c r="R24" s="257">
        <f t="shared" si="13"/>
        <v>30</v>
      </c>
      <c r="S24" s="257">
        <f t="shared" si="13"/>
        <v>31</v>
      </c>
      <c r="T24" s="257">
        <f t="shared" si="13"/>
        <v>32</v>
      </c>
      <c r="U24" s="257">
        <f t="shared" si="13"/>
        <v>32</v>
      </c>
      <c r="V24" s="257">
        <f t="shared" si="13"/>
        <v>32</v>
      </c>
      <c r="W24" s="257">
        <f t="shared" si="13"/>
        <v>34</v>
      </c>
      <c r="X24" s="257">
        <f t="shared" si="13"/>
        <v>34</v>
      </c>
      <c r="Y24" s="257">
        <f t="shared" si="13"/>
        <v>38</v>
      </c>
      <c r="Z24" s="257">
        <f t="shared" si="13"/>
        <v>39</v>
      </c>
      <c r="AA24" s="257">
        <f t="shared" si="13"/>
        <v>39</v>
      </c>
      <c r="AB24" s="307">
        <f>COUNTIFS('Combined Employee Worksheet'!$H:$H,"Active",'Combined Employee Worksheet'!$D:$D,'Employee Retention'!B18)</f>
        <v>40</v>
      </c>
    </row>
    <row r="25" spans="2:31" ht="3.95" customHeight="1">
      <c r="B25" s="179"/>
      <c r="C25" s="229"/>
      <c r="D25" s="229"/>
      <c r="F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314"/>
    </row>
    <row r="26" spans="2:31" ht="12" customHeight="1">
      <c r="B26" s="231" t="s">
        <v>1817</v>
      </c>
      <c r="C26" s="315">
        <f>AVERAGE(C21,C24)</f>
        <v>22</v>
      </c>
      <c r="D26" s="316">
        <f>AVERAGE(D21,D24)</f>
        <v>35.5</v>
      </c>
      <c r="F26" s="317">
        <f>AVERAGE(F21,F24)</f>
        <v>33.5</v>
      </c>
      <c r="H26" s="318">
        <f t="shared" ref="H26:AB26" si="14">AVERAGE(H21,H24)</f>
        <v>13</v>
      </c>
      <c r="I26" s="315">
        <f t="shared" si="14"/>
        <v>13.5</v>
      </c>
      <c r="J26" s="315">
        <f t="shared" si="14"/>
        <v>14.5</v>
      </c>
      <c r="K26" s="315">
        <f t="shared" si="14"/>
        <v>16</v>
      </c>
      <c r="L26" s="315">
        <f t="shared" si="14"/>
        <v>16.5</v>
      </c>
      <c r="M26" s="315">
        <f t="shared" si="14"/>
        <v>18</v>
      </c>
      <c r="N26" s="315">
        <f t="shared" si="14"/>
        <v>22</v>
      </c>
      <c r="O26" s="315">
        <f t="shared" si="14"/>
        <v>25</v>
      </c>
      <c r="P26" s="315">
        <f t="shared" si="14"/>
        <v>26.5</v>
      </c>
      <c r="Q26" s="318">
        <f t="shared" si="14"/>
        <v>28</v>
      </c>
      <c r="R26" s="315">
        <f t="shared" si="14"/>
        <v>29.5</v>
      </c>
      <c r="S26" s="315">
        <f t="shared" si="14"/>
        <v>30.5</v>
      </c>
      <c r="T26" s="315">
        <f t="shared" si="14"/>
        <v>31.5</v>
      </c>
      <c r="U26" s="315">
        <f t="shared" si="14"/>
        <v>32</v>
      </c>
      <c r="V26" s="315">
        <f t="shared" si="14"/>
        <v>32</v>
      </c>
      <c r="W26" s="315">
        <f t="shared" si="14"/>
        <v>33</v>
      </c>
      <c r="X26" s="315">
        <f t="shared" si="14"/>
        <v>34</v>
      </c>
      <c r="Y26" s="315">
        <f t="shared" si="14"/>
        <v>36</v>
      </c>
      <c r="Z26" s="315">
        <f t="shared" si="14"/>
        <v>38.5</v>
      </c>
      <c r="AA26" s="315">
        <f t="shared" si="14"/>
        <v>39</v>
      </c>
      <c r="AB26" s="316">
        <f t="shared" si="14"/>
        <v>39.5</v>
      </c>
    </row>
    <row r="27" spans="2:31" ht="12" customHeight="1">
      <c r="B27" s="234" t="s">
        <v>1816</v>
      </c>
      <c r="C27" s="310">
        <f>C19/C26</f>
        <v>7.3863636363636367</v>
      </c>
      <c r="D27" s="311">
        <f>D19/D26</f>
        <v>5.056338028169014</v>
      </c>
      <c r="E27" s="181"/>
      <c r="F27" s="312">
        <f>F19/F26</f>
        <v>5.3134328358208958</v>
      </c>
      <c r="G27" s="181"/>
      <c r="H27" s="313">
        <f t="shared" ref="H27:AB27" si="15">H19/H26</f>
        <v>11.23076923076923</v>
      </c>
      <c r="I27" s="310">
        <f t="shared" si="15"/>
        <v>10.925925925925926</v>
      </c>
      <c r="J27" s="310">
        <f t="shared" si="15"/>
        <v>10.413793103448276</v>
      </c>
      <c r="K27" s="310">
        <f t="shared" si="15"/>
        <v>9.78125</v>
      </c>
      <c r="L27" s="310">
        <f t="shared" si="15"/>
        <v>9.8181818181818183</v>
      </c>
      <c r="M27" s="310">
        <f t="shared" si="15"/>
        <v>9.1666666666666661</v>
      </c>
      <c r="N27" s="310">
        <f t="shared" si="15"/>
        <v>7.5909090909090908</v>
      </c>
      <c r="O27" s="310">
        <f t="shared" si="15"/>
        <v>6.88</v>
      </c>
      <c r="P27" s="310">
        <f t="shared" si="15"/>
        <v>6.6415094339622645</v>
      </c>
      <c r="Q27" s="313">
        <f t="shared" si="15"/>
        <v>6.4107142857142856</v>
      </c>
      <c r="R27" s="310">
        <f t="shared" si="15"/>
        <v>6.1525423728813555</v>
      </c>
      <c r="S27" s="310">
        <f t="shared" si="15"/>
        <v>5.918032786885246</v>
      </c>
      <c r="T27" s="310">
        <f t="shared" si="15"/>
        <v>5.8095238095238093</v>
      </c>
      <c r="U27" s="310">
        <f t="shared" si="15"/>
        <v>5.921875</v>
      </c>
      <c r="V27" s="310">
        <f t="shared" si="15"/>
        <v>6.015625</v>
      </c>
      <c r="W27" s="310">
        <f t="shared" si="15"/>
        <v>5.9090909090909092</v>
      </c>
      <c r="X27" s="310">
        <f t="shared" si="15"/>
        <v>5.6911764705882355</v>
      </c>
      <c r="Y27" s="310">
        <f t="shared" si="15"/>
        <v>5.25</v>
      </c>
      <c r="Z27" s="310">
        <f t="shared" si="15"/>
        <v>4.7142857142857144</v>
      </c>
      <c r="AA27" s="310">
        <f t="shared" si="15"/>
        <v>4.4743589743589745</v>
      </c>
      <c r="AB27" s="311">
        <f t="shared" si="15"/>
        <v>4.481012658227848</v>
      </c>
    </row>
    <row r="28" spans="2:31" ht="3.95" customHeight="1">
      <c r="B28" s="179"/>
      <c r="C28" s="229"/>
      <c r="D28" s="229"/>
      <c r="F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30"/>
      <c r="AA28" s="230"/>
      <c r="AB28" s="230"/>
    </row>
    <row r="29" spans="2:31" ht="12" customHeight="1">
      <c r="B29" s="231" t="s">
        <v>1813</v>
      </c>
      <c r="C29" s="233">
        <f>(C22+C21)/C21-1</f>
        <v>2.2307692307692308</v>
      </c>
      <c r="D29" s="244">
        <f>(D22+D21)/D21-1</f>
        <v>0.64516129032258074</v>
      </c>
      <c r="E29" s="245"/>
      <c r="F29" s="246">
        <f>(F22+F21)/F21-1</f>
        <v>0.96296296296296302</v>
      </c>
      <c r="H29" s="243">
        <f t="shared" ref="H29:AB29" si="16">(H22+H21)/H21-1</f>
        <v>0</v>
      </c>
      <c r="I29" s="233">
        <f t="shared" si="16"/>
        <v>0.23076923076923084</v>
      </c>
      <c r="J29" s="233">
        <f t="shared" si="16"/>
        <v>0.14285714285714279</v>
      </c>
      <c r="K29" s="233">
        <f t="shared" si="16"/>
        <v>0.1333333333333333</v>
      </c>
      <c r="L29" s="233">
        <f t="shared" si="16"/>
        <v>5.8823529411764719E-2</v>
      </c>
      <c r="M29" s="233">
        <f t="shared" si="16"/>
        <v>0.375</v>
      </c>
      <c r="N29" s="233">
        <f t="shared" si="16"/>
        <v>0.19999999999999996</v>
      </c>
      <c r="O29" s="233">
        <f t="shared" si="16"/>
        <v>0.16666666666666674</v>
      </c>
      <c r="P29" s="233">
        <f t="shared" si="16"/>
        <v>3.8461538461538547E-2</v>
      </c>
      <c r="Q29" s="243">
        <f t="shared" si="16"/>
        <v>7.4074074074074181E-2</v>
      </c>
      <c r="R29" s="233">
        <f t="shared" si="16"/>
        <v>0.10344827586206895</v>
      </c>
      <c r="S29" s="233">
        <f t="shared" si="16"/>
        <v>3.3333333333333437E-2</v>
      </c>
      <c r="T29" s="233">
        <f t="shared" si="16"/>
        <v>3.2258064516129004E-2</v>
      </c>
      <c r="U29" s="233">
        <f t="shared" si="16"/>
        <v>0</v>
      </c>
      <c r="V29" s="233">
        <f t="shared" si="16"/>
        <v>0</v>
      </c>
      <c r="W29" s="233">
        <f t="shared" si="16"/>
        <v>6.25E-2</v>
      </c>
      <c r="X29" s="233">
        <f t="shared" si="16"/>
        <v>5.8823529411764719E-2</v>
      </c>
      <c r="Y29" s="233">
        <f t="shared" si="16"/>
        <v>0.17647058823529416</v>
      </c>
      <c r="Z29" s="233">
        <f t="shared" si="16"/>
        <v>7.8947368421052655E-2</v>
      </c>
      <c r="AA29" s="233">
        <f t="shared" si="16"/>
        <v>7.6923076923076872E-2</v>
      </c>
      <c r="AB29" s="244">
        <f t="shared" si="16"/>
        <v>7.6923076923076872E-2</v>
      </c>
    </row>
    <row r="30" spans="2:31">
      <c r="B30" s="234" t="s">
        <v>1812</v>
      </c>
      <c r="C30" s="236">
        <f>(C23+C26)/C26-1</f>
        <v>-0.5</v>
      </c>
      <c r="D30" s="237">
        <f>(D23+D26)/D26-1</f>
        <v>-0.3098591549295775</v>
      </c>
      <c r="E30" s="245"/>
      <c r="F30" s="239">
        <f>(F23+F26)/F26-1</f>
        <v>-0.38805970149253732</v>
      </c>
      <c r="H30" s="238">
        <f t="shared" ref="H30:AB30" si="17">(H23+H26)/H26-1</f>
        <v>0</v>
      </c>
      <c r="I30" s="236">
        <f t="shared" si="17"/>
        <v>-0.14814814814814814</v>
      </c>
      <c r="J30" s="236">
        <f t="shared" si="17"/>
        <v>-6.8965517241379337E-2</v>
      </c>
      <c r="K30" s="236">
        <f t="shared" si="17"/>
        <v>0</v>
      </c>
      <c r="L30" s="236">
        <f t="shared" si="17"/>
        <v>-0.12121212121212122</v>
      </c>
      <c r="M30" s="236">
        <f t="shared" si="17"/>
        <v>-0.11111111111111116</v>
      </c>
      <c r="N30" s="236">
        <f t="shared" si="17"/>
        <v>0</v>
      </c>
      <c r="O30" s="236">
        <f t="shared" si="17"/>
        <v>-7.999999999999996E-2</v>
      </c>
      <c r="P30" s="236">
        <f t="shared" si="17"/>
        <v>0</v>
      </c>
      <c r="Q30" s="238">
        <f t="shared" si="17"/>
        <v>0</v>
      </c>
      <c r="R30" s="236">
        <f t="shared" si="17"/>
        <v>-6.7796610169491567E-2</v>
      </c>
      <c r="S30" s="236">
        <f t="shared" si="17"/>
        <v>0</v>
      </c>
      <c r="T30" s="236">
        <f t="shared" si="17"/>
        <v>0</v>
      </c>
      <c r="U30" s="236">
        <f t="shared" si="17"/>
        <v>0</v>
      </c>
      <c r="V30" s="236">
        <f t="shared" si="17"/>
        <v>0</v>
      </c>
      <c r="W30" s="236">
        <f t="shared" si="17"/>
        <v>0</v>
      </c>
      <c r="X30" s="236">
        <f t="shared" si="17"/>
        <v>-5.8823529411764719E-2</v>
      </c>
      <c r="Y30" s="236">
        <f t="shared" si="17"/>
        <v>-5.555555555555558E-2</v>
      </c>
      <c r="Z30" s="236">
        <f t="shared" si="17"/>
        <v>-5.1948051948051965E-2</v>
      </c>
      <c r="AA30" s="236">
        <f t="shared" si="17"/>
        <v>-7.6923076923076872E-2</v>
      </c>
      <c r="AB30" s="237">
        <f t="shared" si="17"/>
        <v>-5.0632911392405111E-2</v>
      </c>
    </row>
    <row r="31" spans="2:31" ht="3.95" customHeight="1">
      <c r="B31" s="179"/>
    </row>
    <row r="32" spans="2:31" ht="24">
      <c r="B32" s="159" t="s">
        <v>1811</v>
      </c>
      <c r="C32" s="176" t="s">
        <v>4</v>
      </c>
      <c r="D32" s="176" t="s">
        <v>1317</v>
      </c>
      <c r="E32" s="190"/>
      <c r="F32" s="176" t="s">
        <v>1527</v>
      </c>
      <c r="H32" s="189">
        <v>45658</v>
      </c>
      <c r="I32" s="189">
        <f t="shared" ref="I32" si="18">EOMONTH(H32,0)+1</f>
        <v>45689</v>
      </c>
      <c r="J32" s="189">
        <f t="shared" ref="J32" si="19">EOMONTH(I32,0)+1</f>
        <v>45717</v>
      </c>
      <c r="K32" s="189">
        <f t="shared" ref="K32" si="20">EOMONTH(J32,0)+1</f>
        <v>45748</v>
      </c>
      <c r="L32" s="189">
        <f t="shared" ref="L32" si="21">EOMONTH(K32,0)+1</f>
        <v>45778</v>
      </c>
      <c r="M32" s="189">
        <f t="shared" ref="M32" si="22">EOMONTH(L32,0)+1</f>
        <v>45809</v>
      </c>
      <c r="N32" s="189">
        <f t="shared" ref="N32" si="23">EOMONTH(M32,0)+1</f>
        <v>45839</v>
      </c>
      <c r="O32" s="189">
        <v>45870</v>
      </c>
      <c r="P32" s="189">
        <f t="shared" ref="P32" si="24">EOMONTH(O32,0)+1</f>
        <v>45901</v>
      </c>
      <c r="Q32" s="189">
        <f t="shared" ref="Q32" si="25">EOMONTH(P32,0)+1</f>
        <v>45931</v>
      </c>
      <c r="R32" s="189">
        <f t="shared" ref="R32" si="26">EOMONTH(Q32,0)+1</f>
        <v>45962</v>
      </c>
      <c r="S32" s="189">
        <f t="shared" ref="S32" si="27">EOMONTH(R32,0)+1</f>
        <v>45992</v>
      </c>
      <c r="T32" s="189">
        <f t="shared" ref="T32" si="28">EOMONTH(S32,0)+1</f>
        <v>46023</v>
      </c>
      <c r="U32" s="189">
        <f t="shared" ref="U32" si="29">EOMONTH(T32,0)+1</f>
        <v>46054</v>
      </c>
      <c r="V32" s="189">
        <f t="shared" ref="V32" si="30">EOMONTH(U32,0)+1</f>
        <v>46082</v>
      </c>
      <c r="W32" s="189">
        <f t="shared" ref="W32" si="31">EOMONTH(V32,0)+1</f>
        <v>46113</v>
      </c>
      <c r="X32" s="189">
        <f t="shared" ref="X32" si="32">EOMONTH(W32,0)+1</f>
        <v>46143</v>
      </c>
      <c r="Y32" s="189">
        <f t="shared" ref="Y32" si="33">EOMONTH(X32,0)+1</f>
        <v>46174</v>
      </c>
      <c r="Z32" s="189">
        <f t="shared" ref="Z32" si="34">EOMONTH(Y32,0)+1</f>
        <v>46204</v>
      </c>
      <c r="AA32" s="189">
        <f t="shared" ref="AA32" si="35">EOMONTH(Z32,0)+1</f>
        <v>46235</v>
      </c>
      <c r="AB32" s="189">
        <f t="shared" ref="AB32" si="36">EOMONTH(AA32,0)+1</f>
        <v>46266</v>
      </c>
      <c r="AC32" s="184"/>
      <c r="AE32" s="184"/>
    </row>
    <row r="33" spans="2:31">
      <c r="B33" s="319" t="s">
        <v>491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09" t="s">
        <v>1818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37">+I$19</f>
        <v>147.5</v>
      </c>
      <c r="J34" s="65">
        <f t="shared" si="37"/>
        <v>151</v>
      </c>
      <c r="K34" s="65">
        <f t="shared" si="37"/>
        <v>156.5</v>
      </c>
      <c r="L34" s="65">
        <f t="shared" si="37"/>
        <v>162</v>
      </c>
      <c r="M34" s="65">
        <f t="shared" si="37"/>
        <v>165</v>
      </c>
      <c r="N34" s="65">
        <f t="shared" si="37"/>
        <v>167</v>
      </c>
      <c r="O34" s="65">
        <f t="shared" si="37"/>
        <v>172</v>
      </c>
      <c r="P34" s="65">
        <f t="shared" si="37"/>
        <v>176</v>
      </c>
      <c r="Q34" s="65">
        <f t="shared" si="37"/>
        <v>179.5</v>
      </c>
      <c r="R34" s="65">
        <f t="shared" si="37"/>
        <v>181.5</v>
      </c>
      <c r="S34" s="65">
        <f t="shared" si="37"/>
        <v>180.5</v>
      </c>
      <c r="T34" s="65">
        <f t="shared" si="37"/>
        <v>183</v>
      </c>
      <c r="U34" s="65">
        <f t="shared" si="37"/>
        <v>189.5</v>
      </c>
      <c r="V34" s="65">
        <f t="shared" si="37"/>
        <v>192.5</v>
      </c>
      <c r="W34" s="65">
        <f t="shared" si="37"/>
        <v>195</v>
      </c>
      <c r="X34" s="65">
        <f t="shared" si="37"/>
        <v>193.5</v>
      </c>
      <c r="Y34" s="65">
        <f t="shared" si="37"/>
        <v>189</v>
      </c>
      <c r="Z34" s="65">
        <f t="shared" si="37"/>
        <v>181.5</v>
      </c>
      <c r="AA34" s="65">
        <f t="shared" si="37"/>
        <v>174.5</v>
      </c>
      <c r="AB34" s="65">
        <f t="shared" si="37"/>
        <v>177</v>
      </c>
      <c r="AC34" s="6"/>
      <c r="AD34" s="6"/>
      <c r="AE34" s="6"/>
    </row>
    <row r="35" spans="2:31" ht="3.95" customHeight="1">
      <c r="B35" s="308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1313</v>
      </c>
      <c r="C36" s="181">
        <f>+C39-C37-C38</f>
        <v>13</v>
      </c>
      <c r="D36" s="181">
        <f>+D39-D37-D38</f>
        <v>13</v>
      </c>
      <c r="F36" s="181">
        <f>+F39-F37-F38</f>
        <v>12</v>
      </c>
      <c r="H36" s="181">
        <f t="shared" ref="H36" si="38">+H39-H37-H38</f>
        <v>13</v>
      </c>
      <c r="I36" s="181">
        <f t="shared" ref="I36" si="39">+I39-I37-I38</f>
        <v>14</v>
      </c>
      <c r="J36" s="181">
        <f t="shared" ref="J36" si="40">+J39-J37-J38</f>
        <v>12</v>
      </c>
      <c r="K36" s="181">
        <f t="shared" ref="K36" si="41">+K39-K37-K38</f>
        <v>13</v>
      </c>
      <c r="L36" s="181">
        <f t="shared" ref="L36" si="42">+L39-L37-L38</f>
        <v>13</v>
      </c>
      <c r="M36" s="181">
        <f t="shared" ref="M36" si="43">+M39-M37-M38</f>
        <v>13</v>
      </c>
      <c r="N36" s="181">
        <f t="shared" ref="N36" si="44">+N39-N37-N38</f>
        <v>12</v>
      </c>
      <c r="O36" s="181">
        <f t="shared" ref="O36" si="45">+O39-O37-O38</f>
        <v>12</v>
      </c>
      <c r="P36" s="181">
        <f t="shared" ref="P36" si="46">+P39-P37-P38</f>
        <v>12</v>
      </c>
      <c r="Q36" s="181">
        <f t="shared" ref="Q36" si="47">+Q39-Q37-Q38</f>
        <v>12</v>
      </c>
      <c r="R36" s="181">
        <f t="shared" ref="R36" si="48">+R39-R37-R38</f>
        <v>13</v>
      </c>
      <c r="S36" s="181">
        <f t="shared" ref="S36" si="49">+S39-S37-S38</f>
        <v>13</v>
      </c>
      <c r="T36" s="181">
        <f t="shared" ref="T36" si="50">+T39-T37-T38</f>
        <v>13</v>
      </c>
      <c r="U36" s="181">
        <f t="shared" ref="U36" si="51">+U39-U37-U38</f>
        <v>13</v>
      </c>
      <c r="V36" s="181">
        <f t="shared" ref="V36" si="52">+V39-V37-V38</f>
        <v>14</v>
      </c>
      <c r="W36" s="181">
        <f t="shared" ref="W36" si="53">+W39-W37-W38</f>
        <v>16</v>
      </c>
      <c r="X36" s="181">
        <f t="shared" ref="X36" si="54">+X39-X37-X38</f>
        <v>17</v>
      </c>
      <c r="Y36" s="181">
        <f t="shared" ref="Y36" si="55">+Y39-Y37-Y38</f>
        <v>17</v>
      </c>
      <c r="Z36" s="181">
        <f t="shared" ref="Z36" si="56">+Z39-Z37-Z38</f>
        <v>16</v>
      </c>
      <c r="AA36" s="181">
        <f t="shared" ref="AA36" si="57">+AA39-AA37-AA38</f>
        <v>17</v>
      </c>
      <c r="AB36" s="181">
        <f t="shared" ref="AB36" si="58">+AB39-AB37-AB38</f>
        <v>18</v>
      </c>
    </row>
    <row r="37" spans="2:31">
      <c r="B37" s="188" t="s">
        <v>1814</v>
      </c>
      <c r="C37" s="194">
        <f>SUM(H37:S37)</f>
        <v>5</v>
      </c>
      <c r="D37" s="194">
        <f>SUM(T37:AB37)</f>
        <v>8</v>
      </c>
      <c r="F37" s="194">
        <f>SUM(Q37:AB37)</f>
        <v>10</v>
      </c>
      <c r="H37" s="192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2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2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2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2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2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2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2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2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2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2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2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2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2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2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2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2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2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2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2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2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88" t="s">
        <v>1815</v>
      </c>
      <c r="C38" s="194">
        <f>SUM(H38:S38)</f>
        <v>-5</v>
      </c>
      <c r="D38" s="194">
        <f>SUM(T38:AB38)</f>
        <v>-5</v>
      </c>
      <c r="F38" s="194">
        <f>SUM(Q38:AB38)</f>
        <v>-6</v>
      </c>
      <c r="H38" s="192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2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2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2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2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2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2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2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2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2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2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2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2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2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2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2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2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2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2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2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2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6" t="s">
        <v>1315</v>
      </c>
      <c r="C39" s="257">
        <f>+D36</f>
        <v>13</v>
      </c>
      <c r="D39" s="258">
        <f>+$AB39</f>
        <v>16</v>
      </c>
      <c r="F39" s="261">
        <f>+$AB39</f>
        <v>16</v>
      </c>
      <c r="H39" s="259">
        <f t="shared" ref="H39:AA39" si="59">+I36</f>
        <v>14</v>
      </c>
      <c r="I39" s="257">
        <f t="shared" si="59"/>
        <v>12</v>
      </c>
      <c r="J39" s="257">
        <f t="shared" si="59"/>
        <v>13</v>
      </c>
      <c r="K39" s="257">
        <f t="shared" si="59"/>
        <v>13</v>
      </c>
      <c r="L39" s="257">
        <f t="shared" si="59"/>
        <v>13</v>
      </c>
      <c r="M39" s="257">
        <f t="shared" si="59"/>
        <v>12</v>
      </c>
      <c r="N39" s="257">
        <f t="shared" si="59"/>
        <v>12</v>
      </c>
      <c r="O39" s="257">
        <f t="shared" si="59"/>
        <v>12</v>
      </c>
      <c r="P39" s="257">
        <f t="shared" si="59"/>
        <v>12</v>
      </c>
      <c r="Q39" s="259">
        <f t="shared" si="59"/>
        <v>13</v>
      </c>
      <c r="R39" s="257">
        <f t="shared" si="59"/>
        <v>13</v>
      </c>
      <c r="S39" s="257">
        <f t="shared" si="59"/>
        <v>13</v>
      </c>
      <c r="T39" s="257">
        <f t="shared" si="59"/>
        <v>13</v>
      </c>
      <c r="U39" s="257">
        <f t="shared" si="59"/>
        <v>14</v>
      </c>
      <c r="V39" s="257">
        <f t="shared" si="59"/>
        <v>16</v>
      </c>
      <c r="W39" s="257">
        <f t="shared" si="59"/>
        <v>17</v>
      </c>
      <c r="X39" s="257">
        <f t="shared" si="59"/>
        <v>17</v>
      </c>
      <c r="Y39" s="257">
        <f t="shared" si="59"/>
        <v>16</v>
      </c>
      <c r="Z39" s="257">
        <f t="shared" si="59"/>
        <v>17</v>
      </c>
      <c r="AA39" s="257">
        <f t="shared" si="59"/>
        <v>18</v>
      </c>
      <c r="AB39" s="307">
        <f>COUNTIFS('Combined Employee Worksheet'!$H:$H,"Active",'Combined Employee Worksheet'!$D:$D,'Employee Retention'!B33)</f>
        <v>16</v>
      </c>
    </row>
    <row r="40" spans="2:31" ht="3.95" customHeight="1">
      <c r="B40" s="179"/>
      <c r="C40" s="229"/>
      <c r="D40" s="229"/>
      <c r="F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314"/>
    </row>
    <row r="41" spans="2:31" ht="12" customHeight="1">
      <c r="B41" s="231" t="s">
        <v>1817</v>
      </c>
      <c r="C41" s="315">
        <f>AVERAGE(C36,C39)</f>
        <v>13</v>
      </c>
      <c r="D41" s="316">
        <f>AVERAGE(D36,D39)</f>
        <v>14.5</v>
      </c>
      <c r="F41" s="317">
        <f>AVERAGE(F36,F39)</f>
        <v>14</v>
      </c>
      <c r="H41" s="318">
        <f t="shared" ref="H41" si="60">AVERAGE(H36,H39)</f>
        <v>13.5</v>
      </c>
      <c r="I41" s="315">
        <f t="shared" ref="I41" si="61">AVERAGE(I36,I39)</f>
        <v>13</v>
      </c>
      <c r="J41" s="315">
        <f t="shared" ref="J41" si="62">AVERAGE(J36,J39)</f>
        <v>12.5</v>
      </c>
      <c r="K41" s="315">
        <f t="shared" ref="K41" si="63">AVERAGE(K36,K39)</f>
        <v>13</v>
      </c>
      <c r="L41" s="315">
        <f t="shared" ref="L41" si="64">AVERAGE(L36,L39)</f>
        <v>13</v>
      </c>
      <c r="M41" s="315">
        <f t="shared" ref="M41" si="65">AVERAGE(M36,M39)</f>
        <v>12.5</v>
      </c>
      <c r="N41" s="315">
        <f t="shared" ref="N41" si="66">AVERAGE(N36,N39)</f>
        <v>12</v>
      </c>
      <c r="O41" s="315">
        <f t="shared" ref="O41" si="67">AVERAGE(O36,O39)</f>
        <v>12</v>
      </c>
      <c r="P41" s="315">
        <f t="shared" ref="P41" si="68">AVERAGE(P36,P39)</f>
        <v>12</v>
      </c>
      <c r="Q41" s="318">
        <f t="shared" ref="Q41" si="69">AVERAGE(Q36,Q39)</f>
        <v>12.5</v>
      </c>
      <c r="R41" s="315">
        <f t="shared" ref="R41" si="70">AVERAGE(R36,R39)</f>
        <v>13</v>
      </c>
      <c r="S41" s="315">
        <f t="shared" ref="S41" si="71">AVERAGE(S36,S39)</f>
        <v>13</v>
      </c>
      <c r="T41" s="315">
        <f t="shared" ref="T41" si="72">AVERAGE(T36,T39)</f>
        <v>13</v>
      </c>
      <c r="U41" s="315">
        <f t="shared" ref="U41" si="73">AVERAGE(U36,U39)</f>
        <v>13.5</v>
      </c>
      <c r="V41" s="315">
        <f t="shared" ref="V41" si="74">AVERAGE(V36,V39)</f>
        <v>15</v>
      </c>
      <c r="W41" s="315">
        <f t="shared" ref="W41" si="75">AVERAGE(W36,W39)</f>
        <v>16.5</v>
      </c>
      <c r="X41" s="315">
        <f t="shared" ref="X41" si="76">AVERAGE(X36,X39)</f>
        <v>17</v>
      </c>
      <c r="Y41" s="315">
        <f t="shared" ref="Y41" si="77">AVERAGE(Y36,Y39)</f>
        <v>16.5</v>
      </c>
      <c r="Z41" s="315">
        <f t="shared" ref="Z41" si="78">AVERAGE(Z36,Z39)</f>
        <v>16.5</v>
      </c>
      <c r="AA41" s="315">
        <f t="shared" ref="AA41" si="79">AVERAGE(AA36,AA39)</f>
        <v>17.5</v>
      </c>
      <c r="AB41" s="316">
        <f t="shared" ref="AB41" si="80">AVERAGE(AB36,AB39)</f>
        <v>17</v>
      </c>
    </row>
    <row r="42" spans="2:31" ht="12" customHeight="1">
      <c r="B42" s="234" t="s">
        <v>1816</v>
      </c>
      <c r="C42" s="310">
        <f>C34/C41</f>
        <v>12.5</v>
      </c>
      <c r="D42" s="311">
        <f>D34/D41</f>
        <v>12.379310344827585</v>
      </c>
      <c r="E42" s="181"/>
      <c r="F42" s="312">
        <f>F34/F41</f>
        <v>12.714285714285714</v>
      </c>
      <c r="G42" s="181"/>
      <c r="H42" s="313">
        <f t="shared" ref="H42" si="81">H34/H41</f>
        <v>10.814814814814815</v>
      </c>
      <c r="I42" s="310">
        <f t="shared" ref="I42" si="82">I34/I41</f>
        <v>11.346153846153847</v>
      </c>
      <c r="J42" s="310">
        <f t="shared" ref="J42" si="83">J34/J41</f>
        <v>12.08</v>
      </c>
      <c r="K42" s="310">
        <f t="shared" ref="K42" si="84">K34/K41</f>
        <v>12.038461538461538</v>
      </c>
      <c r="L42" s="310">
        <f t="shared" ref="L42" si="85">L34/L41</f>
        <v>12.461538461538462</v>
      </c>
      <c r="M42" s="310">
        <f t="shared" ref="M42" si="86">M34/M41</f>
        <v>13.2</v>
      </c>
      <c r="N42" s="310">
        <f t="shared" ref="N42" si="87">N34/N41</f>
        <v>13.916666666666666</v>
      </c>
      <c r="O42" s="310">
        <f t="shared" ref="O42" si="88">O34/O41</f>
        <v>14.333333333333334</v>
      </c>
      <c r="P42" s="310">
        <f t="shared" ref="P42" si="89">P34/P41</f>
        <v>14.666666666666666</v>
      </c>
      <c r="Q42" s="313">
        <f t="shared" ref="Q42" si="90">Q34/Q41</f>
        <v>14.36</v>
      </c>
      <c r="R42" s="310">
        <f t="shared" ref="R42" si="91">R34/R41</f>
        <v>13.961538461538462</v>
      </c>
      <c r="S42" s="310">
        <f t="shared" ref="S42" si="92">S34/S41</f>
        <v>13.884615384615385</v>
      </c>
      <c r="T42" s="310">
        <f t="shared" ref="T42" si="93">T34/T41</f>
        <v>14.076923076923077</v>
      </c>
      <c r="U42" s="310">
        <f t="shared" ref="U42" si="94">U34/U41</f>
        <v>14.037037037037036</v>
      </c>
      <c r="V42" s="310">
        <f t="shared" ref="V42" si="95">V34/V41</f>
        <v>12.833333333333334</v>
      </c>
      <c r="W42" s="310">
        <f t="shared" ref="W42" si="96">W34/W41</f>
        <v>11.818181818181818</v>
      </c>
      <c r="X42" s="310">
        <f t="shared" ref="X42" si="97">X34/X41</f>
        <v>11.382352941176471</v>
      </c>
      <c r="Y42" s="310">
        <f t="shared" ref="Y42" si="98">Y34/Y41</f>
        <v>11.454545454545455</v>
      </c>
      <c r="Z42" s="310">
        <f t="shared" ref="Z42" si="99">Z34/Z41</f>
        <v>11</v>
      </c>
      <c r="AA42" s="310">
        <f t="shared" ref="AA42" si="100">AA34/AA41</f>
        <v>9.9714285714285715</v>
      </c>
      <c r="AB42" s="311">
        <f t="shared" ref="AB42" si="101">AB34/AB41</f>
        <v>10.411764705882353</v>
      </c>
    </row>
    <row r="43" spans="2:31" ht="3.95" customHeight="1">
      <c r="B43" s="179"/>
      <c r="C43" s="229"/>
      <c r="D43" s="229"/>
      <c r="F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30"/>
      <c r="AA43" s="230"/>
      <c r="AB43" s="230"/>
    </row>
    <row r="44" spans="2:31" ht="12" customHeight="1">
      <c r="B44" s="231" t="s">
        <v>1813</v>
      </c>
      <c r="C44" s="233">
        <f>(C37+C36)/C36-1</f>
        <v>0.38461538461538458</v>
      </c>
      <c r="D44" s="244">
        <f>(D37+D36)/D36-1</f>
        <v>0.61538461538461542</v>
      </c>
      <c r="E44" s="245"/>
      <c r="F44" s="246">
        <f>(F37+F36)/F36-1</f>
        <v>0.83333333333333326</v>
      </c>
      <c r="H44" s="243">
        <f t="shared" ref="H44:AB44" si="102">(H37+H36)/H36-1</f>
        <v>7.6923076923076872E-2</v>
      </c>
      <c r="I44" s="233">
        <f t="shared" si="102"/>
        <v>0</v>
      </c>
      <c r="J44" s="233">
        <f t="shared" si="102"/>
        <v>0.16666666666666674</v>
      </c>
      <c r="K44" s="233">
        <f t="shared" si="102"/>
        <v>0</v>
      </c>
      <c r="L44" s="233">
        <f t="shared" si="102"/>
        <v>0</v>
      </c>
      <c r="M44" s="233">
        <f t="shared" si="102"/>
        <v>0</v>
      </c>
      <c r="N44" s="233">
        <f t="shared" si="102"/>
        <v>0</v>
      </c>
      <c r="O44" s="233">
        <f t="shared" si="102"/>
        <v>0</v>
      </c>
      <c r="P44" s="233">
        <f t="shared" si="102"/>
        <v>0</v>
      </c>
      <c r="Q44" s="243">
        <f t="shared" si="102"/>
        <v>8.3333333333333259E-2</v>
      </c>
      <c r="R44" s="233">
        <f t="shared" si="102"/>
        <v>7.6923076923076872E-2</v>
      </c>
      <c r="S44" s="233">
        <f t="shared" si="102"/>
        <v>0</v>
      </c>
      <c r="T44" s="233">
        <f t="shared" si="102"/>
        <v>0</v>
      </c>
      <c r="U44" s="233">
        <f t="shared" si="102"/>
        <v>0.15384615384615374</v>
      </c>
      <c r="V44" s="233">
        <f t="shared" si="102"/>
        <v>0.14285714285714279</v>
      </c>
      <c r="W44" s="233">
        <f t="shared" si="102"/>
        <v>6.25E-2</v>
      </c>
      <c r="X44" s="233">
        <f t="shared" si="102"/>
        <v>5.8823529411764719E-2</v>
      </c>
      <c r="Y44" s="233">
        <f t="shared" si="102"/>
        <v>0</v>
      </c>
      <c r="Z44" s="233">
        <f t="shared" si="102"/>
        <v>6.25E-2</v>
      </c>
      <c r="AA44" s="233">
        <f t="shared" si="102"/>
        <v>5.8823529411764719E-2</v>
      </c>
      <c r="AB44" s="244">
        <f t="shared" si="102"/>
        <v>0</v>
      </c>
    </row>
    <row r="45" spans="2:31">
      <c r="B45" s="234" t="s">
        <v>1812</v>
      </c>
      <c r="C45" s="236">
        <f>(C38+C41)/C41-1</f>
        <v>-0.38461538461538458</v>
      </c>
      <c r="D45" s="237">
        <f>(D38+D41)/D41-1</f>
        <v>-0.34482758620689657</v>
      </c>
      <c r="E45" s="245"/>
      <c r="F45" s="239">
        <f>(F38+F41)/F41-1</f>
        <v>-0.4285714285714286</v>
      </c>
      <c r="H45" s="238">
        <f t="shared" ref="H45:AB45" si="103">(H38+H41)/H41-1</f>
        <v>0</v>
      </c>
      <c r="I45" s="236">
        <f t="shared" si="103"/>
        <v>-0.15384615384615385</v>
      </c>
      <c r="J45" s="236">
        <f t="shared" si="103"/>
        <v>-7.999999999999996E-2</v>
      </c>
      <c r="K45" s="236">
        <f t="shared" si="103"/>
        <v>0</v>
      </c>
      <c r="L45" s="236">
        <f t="shared" si="103"/>
        <v>0</v>
      </c>
      <c r="M45" s="236">
        <f t="shared" si="103"/>
        <v>-7.999999999999996E-2</v>
      </c>
      <c r="N45" s="236">
        <f t="shared" si="103"/>
        <v>0</v>
      </c>
      <c r="O45" s="236">
        <f t="shared" si="103"/>
        <v>0</v>
      </c>
      <c r="P45" s="236">
        <f t="shared" si="103"/>
        <v>0</v>
      </c>
      <c r="Q45" s="238">
        <f t="shared" si="103"/>
        <v>0</v>
      </c>
      <c r="R45" s="236">
        <f t="shared" si="103"/>
        <v>-7.6923076923076872E-2</v>
      </c>
      <c r="S45" s="236">
        <f t="shared" si="103"/>
        <v>0</v>
      </c>
      <c r="T45" s="236">
        <f t="shared" si="103"/>
        <v>0</v>
      </c>
      <c r="U45" s="236">
        <f t="shared" si="103"/>
        <v>-7.407407407407407E-2</v>
      </c>
      <c r="V45" s="236">
        <f t="shared" si="103"/>
        <v>0</v>
      </c>
      <c r="W45" s="236">
        <f t="shared" si="103"/>
        <v>0</v>
      </c>
      <c r="X45" s="236">
        <f t="shared" si="103"/>
        <v>-5.8823529411764719E-2</v>
      </c>
      <c r="Y45" s="236">
        <f t="shared" si="103"/>
        <v>-6.0606060606060552E-2</v>
      </c>
      <c r="Z45" s="236">
        <f t="shared" si="103"/>
        <v>0</v>
      </c>
      <c r="AA45" s="236">
        <f t="shared" si="103"/>
        <v>0</v>
      </c>
      <c r="AB45" s="237">
        <f t="shared" si="103"/>
        <v>-0.11764705882352944</v>
      </c>
    </row>
    <row r="46" spans="2:31" ht="3.95" customHeight="1">
      <c r="B46" s="179"/>
    </row>
    <row r="47" spans="2:31" ht="24">
      <c r="B47" s="159" t="s">
        <v>1811</v>
      </c>
      <c r="C47" s="176" t="s">
        <v>4</v>
      </c>
      <c r="D47" s="176" t="s">
        <v>1317</v>
      </c>
      <c r="E47" s="190"/>
      <c r="F47" s="176" t="s">
        <v>1527</v>
      </c>
      <c r="H47" s="189">
        <v>45658</v>
      </c>
      <c r="I47" s="189">
        <f t="shared" ref="I47" si="104">EOMONTH(H47,0)+1</f>
        <v>45689</v>
      </c>
      <c r="J47" s="189">
        <f t="shared" ref="J47" si="105">EOMONTH(I47,0)+1</f>
        <v>45717</v>
      </c>
      <c r="K47" s="189">
        <f t="shared" ref="K47" si="106">EOMONTH(J47,0)+1</f>
        <v>45748</v>
      </c>
      <c r="L47" s="189">
        <f t="shared" ref="L47" si="107">EOMONTH(K47,0)+1</f>
        <v>45778</v>
      </c>
      <c r="M47" s="189">
        <f t="shared" ref="M47" si="108">EOMONTH(L47,0)+1</f>
        <v>45809</v>
      </c>
      <c r="N47" s="189">
        <f t="shared" ref="N47" si="109">EOMONTH(M47,0)+1</f>
        <v>45839</v>
      </c>
      <c r="O47" s="189">
        <v>45870</v>
      </c>
      <c r="P47" s="189">
        <f t="shared" ref="P47" si="110">EOMONTH(O47,0)+1</f>
        <v>45901</v>
      </c>
      <c r="Q47" s="189">
        <f t="shared" ref="Q47" si="111">EOMONTH(P47,0)+1</f>
        <v>45931</v>
      </c>
      <c r="R47" s="189">
        <f t="shared" ref="R47" si="112">EOMONTH(Q47,0)+1</f>
        <v>45962</v>
      </c>
      <c r="S47" s="189">
        <f t="shared" ref="S47" si="113">EOMONTH(R47,0)+1</f>
        <v>45992</v>
      </c>
      <c r="T47" s="189">
        <f t="shared" ref="T47" si="114">EOMONTH(S47,0)+1</f>
        <v>46023</v>
      </c>
      <c r="U47" s="189">
        <f t="shared" ref="U47" si="115">EOMONTH(T47,0)+1</f>
        <v>46054</v>
      </c>
      <c r="V47" s="189">
        <f t="shared" ref="V47" si="116">EOMONTH(U47,0)+1</f>
        <v>46082</v>
      </c>
      <c r="W47" s="189">
        <f t="shared" ref="W47" si="117">EOMONTH(V47,0)+1</f>
        <v>46113</v>
      </c>
      <c r="X47" s="189">
        <f t="shared" ref="X47" si="118">EOMONTH(W47,0)+1</f>
        <v>46143</v>
      </c>
      <c r="Y47" s="189">
        <f t="shared" ref="Y47" si="119">EOMONTH(X47,0)+1</f>
        <v>46174</v>
      </c>
      <c r="Z47" s="189">
        <f t="shared" ref="Z47" si="120">EOMONTH(Y47,0)+1</f>
        <v>46204</v>
      </c>
      <c r="AA47" s="189">
        <f t="shared" ref="AA47" si="121">EOMONTH(Z47,0)+1</f>
        <v>46235</v>
      </c>
      <c r="AB47" s="189">
        <f t="shared" ref="AB47" si="122">EOMONTH(AA47,0)+1</f>
        <v>46266</v>
      </c>
      <c r="AC47" s="184"/>
      <c r="AE47" s="184"/>
    </row>
    <row r="48" spans="2:31">
      <c r="B48" s="319" t="s">
        <v>1361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09" t="s">
        <v>1818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123">+I$19</f>
        <v>147.5</v>
      </c>
      <c r="J49" s="65">
        <f t="shared" si="123"/>
        <v>151</v>
      </c>
      <c r="K49" s="65">
        <f t="shared" si="123"/>
        <v>156.5</v>
      </c>
      <c r="L49" s="65">
        <f t="shared" si="123"/>
        <v>162</v>
      </c>
      <c r="M49" s="65">
        <f t="shared" si="123"/>
        <v>165</v>
      </c>
      <c r="N49" s="65">
        <f t="shared" si="123"/>
        <v>167</v>
      </c>
      <c r="O49" s="65">
        <f t="shared" si="123"/>
        <v>172</v>
      </c>
      <c r="P49" s="65">
        <f t="shared" si="123"/>
        <v>176</v>
      </c>
      <c r="Q49" s="65">
        <f t="shared" si="123"/>
        <v>179.5</v>
      </c>
      <c r="R49" s="65">
        <f t="shared" si="123"/>
        <v>181.5</v>
      </c>
      <c r="S49" s="65">
        <f t="shared" si="123"/>
        <v>180.5</v>
      </c>
      <c r="T49" s="65">
        <f t="shared" si="123"/>
        <v>183</v>
      </c>
      <c r="U49" s="65">
        <f t="shared" si="123"/>
        <v>189.5</v>
      </c>
      <c r="V49" s="65">
        <f t="shared" si="123"/>
        <v>192.5</v>
      </c>
      <c r="W49" s="65">
        <f t="shared" si="123"/>
        <v>195</v>
      </c>
      <c r="X49" s="65">
        <f t="shared" si="123"/>
        <v>193.5</v>
      </c>
      <c r="Y49" s="65">
        <f t="shared" si="123"/>
        <v>189</v>
      </c>
      <c r="Z49" s="65">
        <f t="shared" si="123"/>
        <v>181.5</v>
      </c>
      <c r="AA49" s="65">
        <f t="shared" si="123"/>
        <v>174.5</v>
      </c>
      <c r="AB49" s="65">
        <f t="shared" si="123"/>
        <v>177</v>
      </c>
      <c r="AC49" s="6"/>
      <c r="AD49" s="6"/>
      <c r="AE49" s="6"/>
    </row>
    <row r="50" spans="2:31" ht="3.95" customHeight="1">
      <c r="B50" s="308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1313</v>
      </c>
      <c r="C51" s="181">
        <f>+C54-C52-C53</f>
        <v>1</v>
      </c>
      <c r="D51" s="181">
        <f>+D54-D52-D53</f>
        <v>2</v>
      </c>
      <c r="F51" s="181">
        <f>+F54-F52-F53</f>
        <v>3</v>
      </c>
      <c r="H51" s="181">
        <f t="shared" ref="H51" si="124">+H54-H52-H53</f>
        <v>1</v>
      </c>
      <c r="I51" s="181">
        <f t="shared" ref="I51" si="125">+I54-I52-I53</f>
        <v>1</v>
      </c>
      <c r="J51" s="181">
        <f t="shared" ref="J51" si="126">+J54-J52-J53</f>
        <v>2</v>
      </c>
      <c r="K51" s="181">
        <f t="shared" ref="K51" si="127">+K54-K52-K53</f>
        <v>2</v>
      </c>
      <c r="L51" s="181">
        <f t="shared" ref="L51" si="128">+L54-L52-L53</f>
        <v>2</v>
      </c>
      <c r="M51" s="181">
        <f t="shared" ref="M51" si="129">+M54-M52-M53</f>
        <v>2</v>
      </c>
      <c r="N51" s="181">
        <f t="shared" ref="N51" si="130">+N54-N52-N53</f>
        <v>2</v>
      </c>
      <c r="O51" s="181">
        <f t="shared" ref="O51" si="131">+O54-O52-O53</f>
        <v>2</v>
      </c>
      <c r="P51" s="181">
        <f t="shared" ref="P51" si="132">+P54-P52-P53</f>
        <v>2</v>
      </c>
      <c r="Q51" s="181">
        <f t="shared" ref="Q51" si="133">+Q54-Q52-Q53</f>
        <v>3</v>
      </c>
      <c r="R51" s="181">
        <f t="shared" ref="R51" si="134">+R54-R52-R53</f>
        <v>3</v>
      </c>
      <c r="S51" s="181">
        <f t="shared" ref="S51" si="135">+S54-S52-S53</f>
        <v>3</v>
      </c>
      <c r="T51" s="181">
        <f t="shared" ref="T51" si="136">+T54-T52-T53</f>
        <v>2</v>
      </c>
      <c r="U51" s="181">
        <f t="shared" ref="U51" si="137">+U54-U52-U53</f>
        <v>2</v>
      </c>
      <c r="V51" s="181">
        <f t="shared" ref="V51" si="138">+V54-V52-V53</f>
        <v>4</v>
      </c>
      <c r="W51" s="181">
        <f t="shared" ref="W51" si="139">+W54-W52-W53</f>
        <v>4</v>
      </c>
      <c r="X51" s="181">
        <f t="shared" ref="X51" si="140">+X54-X52-X53</f>
        <v>4</v>
      </c>
      <c r="Y51" s="181">
        <f t="shared" ref="Y51" si="141">+Y54-Y52-Y53</f>
        <v>4</v>
      </c>
      <c r="Z51" s="181">
        <f t="shared" ref="Z51" si="142">+Z54-Z52-Z53</f>
        <v>4</v>
      </c>
      <c r="AA51" s="181">
        <f t="shared" ref="AA51" si="143">+AA54-AA52-AA53</f>
        <v>4</v>
      </c>
      <c r="AB51" s="181">
        <f t="shared" ref="AB51" si="144">+AB54-AB52-AB53</f>
        <v>4</v>
      </c>
    </row>
    <row r="52" spans="2:31">
      <c r="B52" s="188" t="s">
        <v>1814</v>
      </c>
      <c r="C52" s="194">
        <f>SUM(H52:S52)</f>
        <v>3</v>
      </c>
      <c r="D52" s="194">
        <f>SUM(T52:AB52)</f>
        <v>3</v>
      </c>
      <c r="F52" s="194">
        <f>SUM(Q52:AB52)</f>
        <v>3</v>
      </c>
      <c r="H52" s="192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2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2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2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2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2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2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2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2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2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2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2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2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2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2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2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2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2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2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2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2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88" t="s">
        <v>1815</v>
      </c>
      <c r="C53" s="194">
        <f>SUM(H53:S53)</f>
        <v>-2</v>
      </c>
      <c r="D53" s="194">
        <f>SUM(T53:AB53)</f>
        <v>-1</v>
      </c>
      <c r="F53" s="194">
        <f>SUM(Q53:AB53)</f>
        <v>-2</v>
      </c>
      <c r="H53" s="192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2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2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2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2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2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2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2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2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2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2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2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2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2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2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2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2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2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2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2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2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6" t="s">
        <v>1315</v>
      </c>
      <c r="C54" s="257">
        <f>+D51</f>
        <v>2</v>
      </c>
      <c r="D54" s="258">
        <f>+$AB54</f>
        <v>4</v>
      </c>
      <c r="F54" s="261">
        <f>+$AB54</f>
        <v>4</v>
      </c>
      <c r="H54" s="259">
        <f t="shared" ref="H54:AA54" si="145">+I51</f>
        <v>1</v>
      </c>
      <c r="I54" s="257">
        <f t="shared" si="145"/>
        <v>2</v>
      </c>
      <c r="J54" s="257">
        <f t="shared" si="145"/>
        <v>2</v>
      </c>
      <c r="K54" s="257">
        <f t="shared" si="145"/>
        <v>2</v>
      </c>
      <c r="L54" s="257">
        <f t="shared" si="145"/>
        <v>2</v>
      </c>
      <c r="M54" s="257">
        <f t="shared" si="145"/>
        <v>2</v>
      </c>
      <c r="N54" s="257">
        <f t="shared" si="145"/>
        <v>2</v>
      </c>
      <c r="O54" s="257">
        <f t="shared" si="145"/>
        <v>2</v>
      </c>
      <c r="P54" s="257">
        <f t="shared" si="145"/>
        <v>3</v>
      </c>
      <c r="Q54" s="259">
        <f t="shared" si="145"/>
        <v>3</v>
      </c>
      <c r="R54" s="257">
        <f t="shared" si="145"/>
        <v>3</v>
      </c>
      <c r="S54" s="257">
        <f t="shared" si="145"/>
        <v>2</v>
      </c>
      <c r="T54" s="257">
        <f t="shared" si="145"/>
        <v>2</v>
      </c>
      <c r="U54" s="257">
        <f t="shared" si="145"/>
        <v>4</v>
      </c>
      <c r="V54" s="257">
        <f t="shared" si="145"/>
        <v>4</v>
      </c>
      <c r="W54" s="257">
        <f t="shared" si="145"/>
        <v>4</v>
      </c>
      <c r="X54" s="257">
        <f t="shared" si="145"/>
        <v>4</v>
      </c>
      <c r="Y54" s="257">
        <f t="shared" si="145"/>
        <v>4</v>
      </c>
      <c r="Z54" s="257">
        <f t="shared" si="145"/>
        <v>4</v>
      </c>
      <c r="AA54" s="257">
        <f t="shared" si="145"/>
        <v>4</v>
      </c>
      <c r="AB54" s="307">
        <f>COUNTIFS('Combined Employee Worksheet'!$H:$H,"Active",'Combined Employee Worksheet'!$D:$D,'Employee Retention'!B48)</f>
        <v>4</v>
      </c>
    </row>
    <row r="55" spans="2:31" ht="3.95" customHeight="1">
      <c r="B55" s="179"/>
      <c r="C55" s="229"/>
      <c r="D55" s="229"/>
      <c r="F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314"/>
    </row>
    <row r="56" spans="2:31" ht="12" customHeight="1">
      <c r="B56" s="231" t="s">
        <v>1817</v>
      </c>
      <c r="C56" s="315">
        <f>AVERAGE(C51,C54)</f>
        <v>1.5</v>
      </c>
      <c r="D56" s="316">
        <f>AVERAGE(D51,D54)</f>
        <v>3</v>
      </c>
      <c r="F56" s="317">
        <f>AVERAGE(F51,F54)</f>
        <v>3.5</v>
      </c>
      <c r="H56" s="318">
        <f t="shared" ref="H56" si="146">AVERAGE(H51,H54)</f>
        <v>1</v>
      </c>
      <c r="I56" s="315">
        <f t="shared" ref="I56" si="147">AVERAGE(I51,I54)</f>
        <v>1.5</v>
      </c>
      <c r="J56" s="315">
        <f t="shared" ref="J56" si="148">AVERAGE(J51,J54)</f>
        <v>2</v>
      </c>
      <c r="K56" s="315">
        <f t="shared" ref="K56" si="149">AVERAGE(K51,K54)</f>
        <v>2</v>
      </c>
      <c r="L56" s="315">
        <f t="shared" ref="L56" si="150">AVERAGE(L51,L54)</f>
        <v>2</v>
      </c>
      <c r="M56" s="315">
        <f t="shared" ref="M56" si="151">AVERAGE(M51,M54)</f>
        <v>2</v>
      </c>
      <c r="N56" s="315">
        <f t="shared" ref="N56" si="152">AVERAGE(N51,N54)</f>
        <v>2</v>
      </c>
      <c r="O56" s="315">
        <f t="shared" ref="O56" si="153">AVERAGE(O51,O54)</f>
        <v>2</v>
      </c>
      <c r="P56" s="315">
        <f t="shared" ref="P56" si="154">AVERAGE(P51,P54)</f>
        <v>2.5</v>
      </c>
      <c r="Q56" s="318">
        <f t="shared" ref="Q56" si="155">AVERAGE(Q51,Q54)</f>
        <v>3</v>
      </c>
      <c r="R56" s="315">
        <f t="shared" ref="R56" si="156">AVERAGE(R51,R54)</f>
        <v>3</v>
      </c>
      <c r="S56" s="315">
        <f t="shared" ref="S56" si="157">AVERAGE(S51,S54)</f>
        <v>2.5</v>
      </c>
      <c r="T56" s="315">
        <f t="shared" ref="T56" si="158">AVERAGE(T51,T54)</f>
        <v>2</v>
      </c>
      <c r="U56" s="315">
        <f t="shared" ref="U56" si="159">AVERAGE(U51,U54)</f>
        <v>3</v>
      </c>
      <c r="V56" s="315">
        <f t="shared" ref="V56" si="160">AVERAGE(V51,V54)</f>
        <v>4</v>
      </c>
      <c r="W56" s="315">
        <f t="shared" ref="W56" si="161">AVERAGE(W51,W54)</f>
        <v>4</v>
      </c>
      <c r="X56" s="315">
        <f t="shared" ref="X56" si="162">AVERAGE(X51,X54)</f>
        <v>4</v>
      </c>
      <c r="Y56" s="315">
        <f t="shared" ref="Y56" si="163">AVERAGE(Y51,Y54)</f>
        <v>4</v>
      </c>
      <c r="Z56" s="315">
        <f t="shared" ref="Z56" si="164">AVERAGE(Z51,Z54)</f>
        <v>4</v>
      </c>
      <c r="AA56" s="315">
        <f t="shared" ref="AA56" si="165">AVERAGE(AA51,AA54)</f>
        <v>4</v>
      </c>
      <c r="AB56" s="316">
        <f t="shared" ref="AB56" si="166">AVERAGE(AB51,AB54)</f>
        <v>4</v>
      </c>
    </row>
    <row r="57" spans="2:31" ht="12" customHeight="1">
      <c r="B57" s="234" t="s">
        <v>1816</v>
      </c>
      <c r="C57" s="310">
        <f>C49/C56</f>
        <v>108.33333333333333</v>
      </c>
      <c r="D57" s="311">
        <f>D49/D56</f>
        <v>59.833333333333336</v>
      </c>
      <c r="E57" s="181"/>
      <c r="F57" s="312">
        <f>F49/F56</f>
        <v>50.857142857142854</v>
      </c>
      <c r="G57" s="181"/>
      <c r="H57" s="313">
        <f t="shared" ref="H57" si="167">H49/H56</f>
        <v>146</v>
      </c>
      <c r="I57" s="310">
        <f t="shared" ref="I57" si="168">I49/I56</f>
        <v>98.333333333333329</v>
      </c>
      <c r="J57" s="310">
        <f t="shared" ref="J57" si="169">J49/J56</f>
        <v>75.5</v>
      </c>
      <c r="K57" s="310">
        <f t="shared" ref="K57" si="170">K49/K56</f>
        <v>78.25</v>
      </c>
      <c r="L57" s="310">
        <f t="shared" ref="L57" si="171">L49/L56</f>
        <v>81</v>
      </c>
      <c r="M57" s="310">
        <f t="shared" ref="M57" si="172">M49/M56</f>
        <v>82.5</v>
      </c>
      <c r="N57" s="310">
        <f t="shared" ref="N57" si="173">N49/N56</f>
        <v>83.5</v>
      </c>
      <c r="O57" s="310">
        <f t="shared" ref="O57" si="174">O49/O56</f>
        <v>86</v>
      </c>
      <c r="P57" s="310">
        <f t="shared" ref="P57" si="175">P49/P56</f>
        <v>70.400000000000006</v>
      </c>
      <c r="Q57" s="313">
        <f t="shared" ref="Q57" si="176">Q49/Q56</f>
        <v>59.833333333333336</v>
      </c>
      <c r="R57" s="310">
        <f t="shared" ref="R57" si="177">R49/R56</f>
        <v>60.5</v>
      </c>
      <c r="S57" s="310">
        <f t="shared" ref="S57" si="178">S49/S56</f>
        <v>72.2</v>
      </c>
      <c r="T57" s="310">
        <f t="shared" ref="T57" si="179">T49/T56</f>
        <v>91.5</v>
      </c>
      <c r="U57" s="310">
        <f t="shared" ref="U57" si="180">U49/U56</f>
        <v>63.166666666666664</v>
      </c>
      <c r="V57" s="310">
        <f t="shared" ref="V57" si="181">V49/V56</f>
        <v>48.125</v>
      </c>
      <c r="W57" s="310">
        <f t="shared" ref="W57" si="182">W49/W56</f>
        <v>48.75</v>
      </c>
      <c r="X57" s="310">
        <f t="shared" ref="X57" si="183">X49/X56</f>
        <v>48.375</v>
      </c>
      <c r="Y57" s="310">
        <f t="shared" ref="Y57" si="184">Y49/Y56</f>
        <v>47.25</v>
      </c>
      <c r="Z57" s="310">
        <f t="shared" ref="Z57" si="185">Z49/Z56</f>
        <v>45.375</v>
      </c>
      <c r="AA57" s="310">
        <f t="shared" ref="AA57" si="186">AA49/AA56</f>
        <v>43.625</v>
      </c>
      <c r="AB57" s="311">
        <f t="shared" ref="AB57" si="187">AB49/AB56</f>
        <v>44.25</v>
      </c>
    </row>
    <row r="58" spans="2:31" ht="3.95" customHeight="1">
      <c r="B58" s="179"/>
      <c r="C58" s="229"/>
      <c r="D58" s="229"/>
      <c r="F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30"/>
      <c r="AA58" s="230"/>
      <c r="AB58" s="230"/>
    </row>
    <row r="59" spans="2:31" ht="12" customHeight="1">
      <c r="B59" s="231" t="s">
        <v>1813</v>
      </c>
      <c r="C59" s="233">
        <f>(C52+C51)/C51-1</f>
        <v>3</v>
      </c>
      <c r="D59" s="244">
        <f>(D52+D51)/D51-1</f>
        <v>1.5</v>
      </c>
      <c r="E59" s="245"/>
      <c r="F59" s="246">
        <f>(F52+F51)/F51-1</f>
        <v>1</v>
      </c>
      <c r="H59" s="243">
        <f t="shared" ref="H59:AB59" si="188">(H52+H51)/H51-1</f>
        <v>0</v>
      </c>
      <c r="I59" s="233">
        <f t="shared" si="188"/>
        <v>1</v>
      </c>
      <c r="J59" s="233">
        <f t="shared" si="188"/>
        <v>0.5</v>
      </c>
      <c r="K59" s="233">
        <f t="shared" si="188"/>
        <v>0</v>
      </c>
      <c r="L59" s="233">
        <f t="shared" si="188"/>
        <v>0</v>
      </c>
      <c r="M59" s="233">
        <f t="shared" si="188"/>
        <v>0</v>
      </c>
      <c r="N59" s="233">
        <f t="shared" si="188"/>
        <v>0</v>
      </c>
      <c r="O59" s="233">
        <f t="shared" si="188"/>
        <v>0</v>
      </c>
      <c r="P59" s="233">
        <f t="shared" si="188"/>
        <v>0.5</v>
      </c>
      <c r="Q59" s="243">
        <f t="shared" si="188"/>
        <v>0</v>
      </c>
      <c r="R59" s="233">
        <f t="shared" si="188"/>
        <v>0</v>
      </c>
      <c r="S59" s="233">
        <f t="shared" si="188"/>
        <v>0</v>
      </c>
      <c r="T59" s="233">
        <f t="shared" si="188"/>
        <v>0</v>
      </c>
      <c r="U59" s="233">
        <f t="shared" si="188"/>
        <v>1</v>
      </c>
      <c r="V59" s="233">
        <f t="shared" si="188"/>
        <v>0</v>
      </c>
      <c r="W59" s="233">
        <f t="shared" si="188"/>
        <v>0</v>
      </c>
      <c r="X59" s="233">
        <f t="shared" si="188"/>
        <v>0</v>
      </c>
      <c r="Y59" s="233">
        <f t="shared" si="188"/>
        <v>0</v>
      </c>
      <c r="Z59" s="233">
        <f t="shared" si="188"/>
        <v>0</v>
      </c>
      <c r="AA59" s="233">
        <f t="shared" si="188"/>
        <v>0.25</v>
      </c>
      <c r="AB59" s="244">
        <f t="shared" si="188"/>
        <v>0</v>
      </c>
    </row>
    <row r="60" spans="2:31">
      <c r="B60" s="234" t="s">
        <v>1812</v>
      </c>
      <c r="C60" s="236">
        <f>(C53+C56)/C56-1</f>
        <v>-1.3333333333333333</v>
      </c>
      <c r="D60" s="237">
        <f>(D53+D56)/D56-1</f>
        <v>-0.33333333333333337</v>
      </c>
      <c r="E60" s="245"/>
      <c r="F60" s="239">
        <f>(F53+F56)/F56-1</f>
        <v>-0.5714285714285714</v>
      </c>
      <c r="H60" s="238">
        <f t="shared" ref="H60:AB60" si="189">(H53+H56)/H56-1</f>
        <v>0</v>
      </c>
      <c r="I60" s="236">
        <f t="shared" si="189"/>
        <v>0</v>
      </c>
      <c r="J60" s="236">
        <f t="shared" si="189"/>
        <v>-0.5</v>
      </c>
      <c r="K60" s="236">
        <f t="shared" si="189"/>
        <v>0</v>
      </c>
      <c r="L60" s="236">
        <f t="shared" si="189"/>
        <v>0</v>
      </c>
      <c r="M60" s="236">
        <f t="shared" si="189"/>
        <v>0</v>
      </c>
      <c r="N60" s="236">
        <f t="shared" si="189"/>
        <v>0</v>
      </c>
      <c r="O60" s="236">
        <f t="shared" si="189"/>
        <v>0</v>
      </c>
      <c r="P60" s="236">
        <f t="shared" si="189"/>
        <v>0</v>
      </c>
      <c r="Q60" s="238">
        <f t="shared" si="189"/>
        <v>0</v>
      </c>
      <c r="R60" s="236">
        <f t="shared" si="189"/>
        <v>0</v>
      </c>
      <c r="S60" s="236">
        <f t="shared" si="189"/>
        <v>-0.4</v>
      </c>
      <c r="T60" s="236">
        <f t="shared" si="189"/>
        <v>0</v>
      </c>
      <c r="U60" s="236">
        <f t="shared" si="189"/>
        <v>0</v>
      </c>
      <c r="V60" s="236">
        <f t="shared" si="189"/>
        <v>0</v>
      </c>
      <c r="W60" s="236">
        <f t="shared" si="189"/>
        <v>0</v>
      </c>
      <c r="X60" s="236">
        <f t="shared" si="189"/>
        <v>0</v>
      </c>
      <c r="Y60" s="236">
        <f t="shared" si="189"/>
        <v>0</v>
      </c>
      <c r="Z60" s="236">
        <f t="shared" si="189"/>
        <v>0</v>
      </c>
      <c r="AA60" s="236">
        <f t="shared" si="189"/>
        <v>-0.25</v>
      </c>
      <c r="AB60" s="237">
        <f t="shared" si="189"/>
        <v>0</v>
      </c>
    </row>
    <row r="61" spans="2:31" ht="3.95" customHeight="1">
      <c r="B61" s="179"/>
    </row>
    <row r="62" spans="2:31" ht="24">
      <c r="B62" s="159" t="s">
        <v>1811</v>
      </c>
      <c r="C62" s="176" t="s">
        <v>4</v>
      </c>
      <c r="D62" s="176" t="s">
        <v>1317</v>
      </c>
      <c r="E62" s="190"/>
      <c r="F62" s="176" t="s">
        <v>1527</v>
      </c>
      <c r="H62" s="189">
        <v>45658</v>
      </c>
      <c r="I62" s="189">
        <f t="shared" ref="I62" si="190">EOMONTH(H62,0)+1</f>
        <v>45689</v>
      </c>
      <c r="J62" s="189">
        <f t="shared" ref="J62" si="191">EOMONTH(I62,0)+1</f>
        <v>45717</v>
      </c>
      <c r="K62" s="189">
        <f t="shared" ref="K62" si="192">EOMONTH(J62,0)+1</f>
        <v>45748</v>
      </c>
      <c r="L62" s="189">
        <f t="shared" ref="L62" si="193">EOMONTH(K62,0)+1</f>
        <v>45778</v>
      </c>
      <c r="M62" s="189">
        <f t="shared" ref="M62" si="194">EOMONTH(L62,0)+1</f>
        <v>45809</v>
      </c>
      <c r="N62" s="189">
        <f t="shared" ref="N62" si="195">EOMONTH(M62,0)+1</f>
        <v>45839</v>
      </c>
      <c r="O62" s="189">
        <v>45870</v>
      </c>
      <c r="P62" s="189">
        <f t="shared" ref="P62" si="196">EOMONTH(O62,0)+1</f>
        <v>45901</v>
      </c>
      <c r="Q62" s="189">
        <f t="shared" ref="Q62" si="197">EOMONTH(P62,0)+1</f>
        <v>45931</v>
      </c>
      <c r="R62" s="189">
        <f t="shared" ref="R62" si="198">EOMONTH(Q62,0)+1</f>
        <v>45962</v>
      </c>
      <c r="S62" s="189">
        <f t="shared" ref="S62" si="199">EOMONTH(R62,0)+1</f>
        <v>45992</v>
      </c>
      <c r="T62" s="189">
        <f t="shared" ref="T62" si="200">EOMONTH(S62,0)+1</f>
        <v>46023</v>
      </c>
      <c r="U62" s="189">
        <f t="shared" ref="U62" si="201">EOMONTH(T62,0)+1</f>
        <v>46054</v>
      </c>
      <c r="V62" s="189">
        <f t="shared" ref="V62" si="202">EOMONTH(U62,0)+1</f>
        <v>46082</v>
      </c>
      <c r="W62" s="189">
        <f t="shared" ref="W62" si="203">EOMONTH(V62,0)+1</f>
        <v>46113</v>
      </c>
      <c r="X62" s="189">
        <f t="shared" ref="X62" si="204">EOMONTH(W62,0)+1</f>
        <v>46143</v>
      </c>
      <c r="Y62" s="189">
        <f t="shared" ref="Y62" si="205">EOMONTH(X62,0)+1</f>
        <v>46174</v>
      </c>
      <c r="Z62" s="189">
        <f t="shared" ref="Z62" si="206">EOMONTH(Y62,0)+1</f>
        <v>46204</v>
      </c>
      <c r="AA62" s="189">
        <f t="shared" ref="AA62" si="207">EOMONTH(Z62,0)+1</f>
        <v>46235</v>
      </c>
      <c r="AB62" s="189">
        <f t="shared" ref="AB62" si="208">EOMONTH(AA62,0)+1</f>
        <v>46266</v>
      </c>
      <c r="AC62" s="184"/>
      <c r="AE62" s="184"/>
    </row>
    <row r="63" spans="2:31">
      <c r="B63" s="319" t="s">
        <v>1510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09" t="s">
        <v>1818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209">+I$19</f>
        <v>147.5</v>
      </c>
      <c r="J64" s="65">
        <f t="shared" si="209"/>
        <v>151</v>
      </c>
      <c r="K64" s="65">
        <f t="shared" si="209"/>
        <v>156.5</v>
      </c>
      <c r="L64" s="65">
        <f t="shared" si="209"/>
        <v>162</v>
      </c>
      <c r="M64" s="65">
        <f t="shared" si="209"/>
        <v>165</v>
      </c>
      <c r="N64" s="65">
        <f t="shared" si="209"/>
        <v>167</v>
      </c>
      <c r="O64" s="65">
        <f t="shared" si="209"/>
        <v>172</v>
      </c>
      <c r="P64" s="65">
        <f t="shared" si="209"/>
        <v>176</v>
      </c>
      <c r="Q64" s="65">
        <f t="shared" si="209"/>
        <v>179.5</v>
      </c>
      <c r="R64" s="65">
        <f t="shared" si="209"/>
        <v>181.5</v>
      </c>
      <c r="S64" s="65">
        <f t="shared" si="209"/>
        <v>180.5</v>
      </c>
      <c r="T64" s="65">
        <f t="shared" si="209"/>
        <v>183</v>
      </c>
      <c r="U64" s="65">
        <f t="shared" si="209"/>
        <v>189.5</v>
      </c>
      <c r="V64" s="65">
        <f t="shared" si="209"/>
        <v>192.5</v>
      </c>
      <c r="W64" s="65">
        <f t="shared" si="209"/>
        <v>195</v>
      </c>
      <c r="X64" s="65">
        <f t="shared" si="209"/>
        <v>193.5</v>
      </c>
      <c r="Y64" s="65">
        <f t="shared" si="209"/>
        <v>189</v>
      </c>
      <c r="Z64" s="65">
        <f t="shared" si="209"/>
        <v>181.5</v>
      </c>
      <c r="AA64" s="65">
        <f t="shared" si="209"/>
        <v>174.5</v>
      </c>
      <c r="AB64" s="65">
        <f t="shared" si="209"/>
        <v>177</v>
      </c>
      <c r="AC64" s="6"/>
      <c r="AD64" s="6"/>
      <c r="AE64" s="6"/>
    </row>
    <row r="65" spans="2:31" ht="3.95" customHeight="1">
      <c r="B65" s="308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1313</v>
      </c>
      <c r="C66" s="181">
        <f>+C69-C67-C68</f>
        <v>1</v>
      </c>
      <c r="D66" s="181">
        <f>+D69-D67-D68</f>
        <v>5</v>
      </c>
      <c r="F66" s="181">
        <f>+F69-F67-F68</f>
        <v>4</v>
      </c>
      <c r="H66" s="181">
        <f t="shared" ref="H66" si="210">+H69-H67-H68</f>
        <v>1</v>
      </c>
      <c r="I66" s="181">
        <f t="shared" ref="I66" si="211">+I69-I67-I68</f>
        <v>2</v>
      </c>
      <c r="J66" s="181">
        <f t="shared" ref="J66" si="212">+J69-J67-J68</f>
        <v>2</v>
      </c>
      <c r="K66" s="181">
        <f t="shared" ref="K66" si="213">+K69-K67-K68</f>
        <v>2</v>
      </c>
      <c r="L66" s="181">
        <f t="shared" ref="L66" si="214">+L69-L67-L68</f>
        <v>3</v>
      </c>
      <c r="M66" s="181">
        <f t="shared" ref="M66" si="215">+M69-M67-M68</f>
        <v>3</v>
      </c>
      <c r="N66" s="181">
        <f t="shared" ref="N66" si="216">+N69-N67-N68</f>
        <v>3</v>
      </c>
      <c r="O66" s="181">
        <f t="shared" ref="O66" si="217">+O69-O67-O68</f>
        <v>3</v>
      </c>
      <c r="P66" s="181">
        <f t="shared" ref="P66" si="218">+P69-P67-P68</f>
        <v>4</v>
      </c>
      <c r="Q66" s="181">
        <f t="shared" ref="Q66" si="219">+Q69-Q67-Q68</f>
        <v>4</v>
      </c>
      <c r="R66" s="181">
        <f t="shared" ref="R66" si="220">+R69-R67-R68</f>
        <v>5</v>
      </c>
      <c r="S66" s="181">
        <f t="shared" ref="S66" si="221">+S69-S67-S68</f>
        <v>4</v>
      </c>
      <c r="T66" s="181">
        <f t="shared" ref="T66" si="222">+T69-T67-T68</f>
        <v>5</v>
      </c>
      <c r="U66" s="181">
        <f t="shared" ref="U66" si="223">+U69-U67-U68</f>
        <v>5</v>
      </c>
      <c r="V66" s="181">
        <f t="shared" ref="V66" si="224">+V69-V67-V68</f>
        <v>6</v>
      </c>
      <c r="W66" s="181">
        <f t="shared" ref="W66" si="225">+W69-W67-W68</f>
        <v>7</v>
      </c>
      <c r="X66" s="181">
        <f t="shared" ref="X66" si="226">+X69-X67-X68</f>
        <v>6</v>
      </c>
      <c r="Y66" s="181">
        <f t="shared" ref="Y66" si="227">+Y69-Y67-Y68</f>
        <v>6</v>
      </c>
      <c r="Z66" s="181">
        <f t="shared" ref="Z66" si="228">+Z69-Z67-Z68</f>
        <v>6</v>
      </c>
      <c r="AA66" s="181">
        <f t="shared" ref="AA66" si="229">+AA69-AA67-AA68</f>
        <v>4</v>
      </c>
      <c r="AB66" s="181">
        <f t="shared" ref="AB66" si="230">+AB69-AB67-AB68</f>
        <v>4</v>
      </c>
    </row>
    <row r="67" spans="2:31">
      <c r="B67" s="188" t="s">
        <v>1814</v>
      </c>
      <c r="C67" s="194">
        <f>SUM(H67:S67)</f>
        <v>5</v>
      </c>
      <c r="D67" s="194">
        <f>SUM(T67:AB67)</f>
        <v>4</v>
      </c>
      <c r="F67" s="194">
        <f>SUM(Q67:AB67)</f>
        <v>6</v>
      </c>
      <c r="H67" s="192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2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2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2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2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2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2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2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2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2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2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2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2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2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2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2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2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2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2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2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2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88" t="s">
        <v>1815</v>
      </c>
      <c r="C68" s="194">
        <f>SUM(H68:S68)</f>
        <v>-1</v>
      </c>
      <c r="D68" s="194">
        <f>SUM(T68:AB68)</f>
        <v>-5</v>
      </c>
      <c r="F68" s="194">
        <f>SUM(Q68:AB68)</f>
        <v>-6</v>
      </c>
      <c r="H68" s="192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2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2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2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2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2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2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2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2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2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2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2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2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2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2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2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2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2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2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2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2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6" t="s">
        <v>1315</v>
      </c>
      <c r="C69" s="257">
        <f>+D66</f>
        <v>5</v>
      </c>
      <c r="D69" s="258">
        <f>+$AB69</f>
        <v>4</v>
      </c>
      <c r="F69" s="261">
        <f>+$AB69</f>
        <v>4</v>
      </c>
      <c r="H69" s="259">
        <f t="shared" ref="H69:AA69" si="231">+I66</f>
        <v>2</v>
      </c>
      <c r="I69" s="257">
        <f t="shared" si="231"/>
        <v>2</v>
      </c>
      <c r="J69" s="257">
        <f t="shared" si="231"/>
        <v>2</v>
      </c>
      <c r="K69" s="257">
        <f t="shared" si="231"/>
        <v>3</v>
      </c>
      <c r="L69" s="257">
        <f t="shared" si="231"/>
        <v>3</v>
      </c>
      <c r="M69" s="257">
        <f t="shared" si="231"/>
        <v>3</v>
      </c>
      <c r="N69" s="257">
        <f t="shared" si="231"/>
        <v>3</v>
      </c>
      <c r="O69" s="257">
        <f t="shared" si="231"/>
        <v>4</v>
      </c>
      <c r="P69" s="257">
        <f t="shared" si="231"/>
        <v>4</v>
      </c>
      <c r="Q69" s="259">
        <f t="shared" si="231"/>
        <v>5</v>
      </c>
      <c r="R69" s="257">
        <f t="shared" si="231"/>
        <v>4</v>
      </c>
      <c r="S69" s="257">
        <f t="shared" si="231"/>
        <v>5</v>
      </c>
      <c r="T69" s="257">
        <f t="shared" si="231"/>
        <v>5</v>
      </c>
      <c r="U69" s="257">
        <f t="shared" si="231"/>
        <v>6</v>
      </c>
      <c r="V69" s="257">
        <f t="shared" si="231"/>
        <v>7</v>
      </c>
      <c r="W69" s="257">
        <f t="shared" si="231"/>
        <v>6</v>
      </c>
      <c r="X69" s="257">
        <f t="shared" si="231"/>
        <v>6</v>
      </c>
      <c r="Y69" s="257">
        <f t="shared" si="231"/>
        <v>6</v>
      </c>
      <c r="Z69" s="257">
        <f t="shared" si="231"/>
        <v>4</v>
      </c>
      <c r="AA69" s="257">
        <f t="shared" si="231"/>
        <v>4</v>
      </c>
      <c r="AB69" s="307">
        <f>COUNTIFS('Combined Employee Worksheet'!$H:$H,"Active",'Combined Employee Worksheet'!$D:$D,'Employee Retention'!B63)</f>
        <v>4</v>
      </c>
    </row>
    <row r="70" spans="2:31" ht="3.95" customHeight="1">
      <c r="B70" s="179"/>
      <c r="C70" s="229"/>
      <c r="D70" s="229"/>
      <c r="F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314"/>
    </row>
    <row r="71" spans="2:31" ht="12" customHeight="1">
      <c r="B71" s="231" t="s">
        <v>1817</v>
      </c>
      <c r="C71" s="315">
        <f>AVERAGE(C66,C69)</f>
        <v>3</v>
      </c>
      <c r="D71" s="316">
        <f>AVERAGE(D66,D69)</f>
        <v>4.5</v>
      </c>
      <c r="F71" s="317">
        <f>AVERAGE(F66,F69)</f>
        <v>4</v>
      </c>
      <c r="H71" s="318">
        <f t="shared" ref="H71" si="232">AVERAGE(H66,H69)</f>
        <v>1.5</v>
      </c>
      <c r="I71" s="315">
        <f t="shared" ref="I71" si="233">AVERAGE(I66,I69)</f>
        <v>2</v>
      </c>
      <c r="J71" s="315">
        <f t="shared" ref="J71" si="234">AVERAGE(J66,J69)</f>
        <v>2</v>
      </c>
      <c r="K71" s="315">
        <f t="shared" ref="K71" si="235">AVERAGE(K66,K69)</f>
        <v>2.5</v>
      </c>
      <c r="L71" s="315">
        <f t="shared" ref="L71" si="236">AVERAGE(L66,L69)</f>
        <v>3</v>
      </c>
      <c r="M71" s="315">
        <f t="shared" ref="M71" si="237">AVERAGE(M66,M69)</f>
        <v>3</v>
      </c>
      <c r="N71" s="315">
        <f t="shared" ref="N71" si="238">AVERAGE(N66,N69)</f>
        <v>3</v>
      </c>
      <c r="O71" s="315">
        <f t="shared" ref="O71" si="239">AVERAGE(O66,O69)</f>
        <v>3.5</v>
      </c>
      <c r="P71" s="315">
        <f t="shared" ref="P71" si="240">AVERAGE(P66,P69)</f>
        <v>4</v>
      </c>
      <c r="Q71" s="318">
        <f t="shared" ref="Q71" si="241">AVERAGE(Q66,Q69)</f>
        <v>4.5</v>
      </c>
      <c r="R71" s="315">
        <f t="shared" ref="R71" si="242">AVERAGE(R66,R69)</f>
        <v>4.5</v>
      </c>
      <c r="S71" s="315">
        <f t="shared" ref="S71" si="243">AVERAGE(S66,S69)</f>
        <v>4.5</v>
      </c>
      <c r="T71" s="315">
        <f t="shared" ref="T71" si="244">AVERAGE(T66,T69)</f>
        <v>5</v>
      </c>
      <c r="U71" s="315">
        <f t="shared" ref="U71" si="245">AVERAGE(U66,U69)</f>
        <v>5.5</v>
      </c>
      <c r="V71" s="315">
        <f t="shared" ref="V71" si="246">AVERAGE(V66,V69)</f>
        <v>6.5</v>
      </c>
      <c r="W71" s="315">
        <f t="shared" ref="W71" si="247">AVERAGE(W66,W69)</f>
        <v>6.5</v>
      </c>
      <c r="X71" s="315">
        <f t="shared" ref="X71" si="248">AVERAGE(X66,X69)</f>
        <v>6</v>
      </c>
      <c r="Y71" s="315">
        <f t="shared" ref="Y71" si="249">AVERAGE(Y66,Y69)</f>
        <v>6</v>
      </c>
      <c r="Z71" s="315">
        <f t="shared" ref="Z71" si="250">AVERAGE(Z66,Z69)</f>
        <v>5</v>
      </c>
      <c r="AA71" s="315">
        <f t="shared" ref="AA71" si="251">AVERAGE(AA66,AA69)</f>
        <v>4</v>
      </c>
      <c r="AB71" s="316">
        <f t="shared" ref="AB71" si="252">AVERAGE(AB66,AB69)</f>
        <v>4</v>
      </c>
    </row>
    <row r="72" spans="2:31" ht="12" customHeight="1">
      <c r="B72" s="234" t="s">
        <v>1816</v>
      </c>
      <c r="C72" s="310">
        <f>C64/C71</f>
        <v>54.166666666666664</v>
      </c>
      <c r="D72" s="311">
        <f>D64/D71</f>
        <v>39.888888888888886</v>
      </c>
      <c r="E72" s="181"/>
      <c r="F72" s="312">
        <f>F64/F71</f>
        <v>44.5</v>
      </c>
      <c r="G72" s="181"/>
      <c r="H72" s="313">
        <f t="shared" ref="H72" si="253">H64/H71</f>
        <v>97.333333333333329</v>
      </c>
      <c r="I72" s="310">
        <f t="shared" ref="I72" si="254">I64/I71</f>
        <v>73.75</v>
      </c>
      <c r="J72" s="310">
        <f t="shared" ref="J72" si="255">J64/J71</f>
        <v>75.5</v>
      </c>
      <c r="K72" s="310">
        <f t="shared" ref="K72" si="256">K64/K71</f>
        <v>62.6</v>
      </c>
      <c r="L72" s="310">
        <f t="shared" ref="L72" si="257">L64/L71</f>
        <v>54</v>
      </c>
      <c r="M72" s="310">
        <f t="shared" ref="M72" si="258">M64/M71</f>
        <v>55</v>
      </c>
      <c r="N72" s="310">
        <f t="shared" ref="N72" si="259">N64/N71</f>
        <v>55.666666666666664</v>
      </c>
      <c r="O72" s="310">
        <f t="shared" ref="O72" si="260">O64/O71</f>
        <v>49.142857142857146</v>
      </c>
      <c r="P72" s="310">
        <f t="shared" ref="P72" si="261">P64/P71</f>
        <v>44</v>
      </c>
      <c r="Q72" s="313">
        <f t="shared" ref="Q72" si="262">Q64/Q71</f>
        <v>39.888888888888886</v>
      </c>
      <c r="R72" s="310">
        <f t="shared" ref="R72" si="263">R64/R71</f>
        <v>40.333333333333336</v>
      </c>
      <c r="S72" s="310">
        <f t="shared" ref="S72" si="264">S64/S71</f>
        <v>40.111111111111114</v>
      </c>
      <c r="T72" s="310">
        <f t="shared" ref="T72" si="265">T64/T71</f>
        <v>36.6</v>
      </c>
      <c r="U72" s="310">
        <f t="shared" ref="U72" si="266">U64/U71</f>
        <v>34.454545454545453</v>
      </c>
      <c r="V72" s="310">
        <f t="shared" ref="V72" si="267">V64/V71</f>
        <v>29.615384615384617</v>
      </c>
      <c r="W72" s="310">
        <f t="shared" ref="W72" si="268">W64/W71</f>
        <v>30</v>
      </c>
      <c r="X72" s="310">
        <f t="shared" ref="X72" si="269">X64/X71</f>
        <v>32.25</v>
      </c>
      <c r="Y72" s="310">
        <f t="shared" ref="Y72" si="270">Y64/Y71</f>
        <v>31.5</v>
      </c>
      <c r="Z72" s="310">
        <f t="shared" ref="Z72" si="271">Z64/Z71</f>
        <v>36.299999999999997</v>
      </c>
      <c r="AA72" s="310">
        <f t="shared" ref="AA72" si="272">AA64/AA71</f>
        <v>43.625</v>
      </c>
      <c r="AB72" s="311">
        <f t="shared" ref="AB72" si="273">AB64/AB71</f>
        <v>44.25</v>
      </c>
    </row>
    <row r="73" spans="2:31" ht="3.95" customHeight="1">
      <c r="B73" s="179"/>
      <c r="C73" s="229"/>
      <c r="D73" s="229"/>
      <c r="F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30"/>
      <c r="AA73" s="230"/>
      <c r="AB73" s="230"/>
    </row>
    <row r="74" spans="2:31" ht="12" customHeight="1">
      <c r="B74" s="231" t="s">
        <v>1813</v>
      </c>
      <c r="C74" s="233">
        <f>(C67+C66)/C66-1</f>
        <v>5</v>
      </c>
      <c r="D74" s="244">
        <f>(D67+D66)/D66-1</f>
        <v>0.8</v>
      </c>
      <c r="E74" s="245"/>
      <c r="F74" s="246">
        <f>(F67+F66)/F66-1</f>
        <v>1.5</v>
      </c>
      <c r="H74" s="243">
        <f t="shared" ref="H74:AB74" si="274">(H67+H66)/H66-1</f>
        <v>1</v>
      </c>
      <c r="I74" s="233">
        <f t="shared" si="274"/>
        <v>0</v>
      </c>
      <c r="J74" s="233">
        <f t="shared" si="274"/>
        <v>0</v>
      </c>
      <c r="K74" s="233">
        <f t="shared" si="274"/>
        <v>0.5</v>
      </c>
      <c r="L74" s="233">
        <f t="shared" si="274"/>
        <v>0</v>
      </c>
      <c r="M74" s="233">
        <f t="shared" si="274"/>
        <v>0</v>
      </c>
      <c r="N74" s="233">
        <f t="shared" si="274"/>
        <v>0</v>
      </c>
      <c r="O74" s="233">
        <f t="shared" si="274"/>
        <v>0.33333333333333326</v>
      </c>
      <c r="P74" s="233">
        <f t="shared" si="274"/>
        <v>0</v>
      </c>
      <c r="Q74" s="243">
        <f t="shared" si="274"/>
        <v>0.25</v>
      </c>
      <c r="R74" s="233">
        <f t="shared" si="274"/>
        <v>0</v>
      </c>
      <c r="S74" s="233">
        <f t="shared" si="274"/>
        <v>0.25</v>
      </c>
      <c r="T74" s="233">
        <f t="shared" si="274"/>
        <v>0</v>
      </c>
      <c r="U74" s="233">
        <f t="shared" si="274"/>
        <v>0.19999999999999996</v>
      </c>
      <c r="V74" s="233">
        <f t="shared" si="274"/>
        <v>0.16666666666666674</v>
      </c>
      <c r="W74" s="233">
        <f t="shared" si="274"/>
        <v>0</v>
      </c>
      <c r="X74" s="233">
        <f t="shared" si="274"/>
        <v>0.33333333333333326</v>
      </c>
      <c r="Y74" s="233">
        <f t="shared" si="274"/>
        <v>0</v>
      </c>
      <c r="Z74" s="233">
        <f t="shared" si="274"/>
        <v>0</v>
      </c>
      <c r="AA74" s="233">
        <f t="shared" si="274"/>
        <v>0</v>
      </c>
      <c r="AB74" s="244">
        <f t="shared" si="274"/>
        <v>0</v>
      </c>
    </row>
    <row r="75" spans="2:31">
      <c r="B75" s="234" t="s">
        <v>1812</v>
      </c>
      <c r="C75" s="236">
        <f>(C68+C71)/C71-1</f>
        <v>-0.33333333333333337</v>
      </c>
      <c r="D75" s="237">
        <f>(D68+D71)/D71-1</f>
        <v>-1.1111111111111112</v>
      </c>
      <c r="E75" s="245"/>
      <c r="F75" s="239">
        <f>(F68+F71)/F71-1</f>
        <v>-1.5</v>
      </c>
      <c r="H75" s="238">
        <f t="shared" ref="H75:AB75" si="275">(H68+H71)/H71-1</f>
        <v>0</v>
      </c>
      <c r="I75" s="236">
        <f t="shared" si="275"/>
        <v>0</v>
      </c>
      <c r="J75" s="236">
        <f t="shared" si="275"/>
        <v>0</v>
      </c>
      <c r="K75" s="236">
        <f t="shared" si="275"/>
        <v>0</v>
      </c>
      <c r="L75" s="236">
        <f t="shared" si="275"/>
        <v>0</v>
      </c>
      <c r="M75" s="236">
        <f t="shared" si="275"/>
        <v>0</v>
      </c>
      <c r="N75" s="236">
        <f t="shared" si="275"/>
        <v>0</v>
      </c>
      <c r="O75" s="236">
        <f t="shared" si="275"/>
        <v>0</v>
      </c>
      <c r="P75" s="236">
        <f t="shared" si="275"/>
        <v>0</v>
      </c>
      <c r="Q75" s="238">
        <f t="shared" si="275"/>
        <v>0</v>
      </c>
      <c r="R75" s="236">
        <f t="shared" si="275"/>
        <v>-0.22222222222222221</v>
      </c>
      <c r="S75" s="236">
        <f t="shared" si="275"/>
        <v>0</v>
      </c>
      <c r="T75" s="236">
        <f t="shared" si="275"/>
        <v>0</v>
      </c>
      <c r="U75" s="236">
        <f t="shared" si="275"/>
        <v>0</v>
      </c>
      <c r="V75" s="236">
        <f t="shared" si="275"/>
        <v>0</v>
      </c>
      <c r="W75" s="236">
        <f t="shared" si="275"/>
        <v>-0.15384615384615385</v>
      </c>
      <c r="X75" s="236">
        <f t="shared" si="275"/>
        <v>-0.33333333333333337</v>
      </c>
      <c r="Y75" s="236">
        <f t="shared" si="275"/>
        <v>0</v>
      </c>
      <c r="Z75" s="236">
        <f t="shared" si="275"/>
        <v>-0.4</v>
      </c>
      <c r="AA75" s="236">
        <f t="shared" si="275"/>
        <v>0</v>
      </c>
      <c r="AB75" s="237">
        <f t="shared" si="275"/>
        <v>0</v>
      </c>
    </row>
    <row r="76" spans="2:31" ht="3.95" customHeight="1">
      <c r="B76" s="179"/>
    </row>
    <row r="77" spans="2:31" ht="24">
      <c r="B77" s="159" t="s">
        <v>1811</v>
      </c>
      <c r="C77" s="176" t="s">
        <v>4</v>
      </c>
      <c r="D77" s="176" t="s">
        <v>1317</v>
      </c>
      <c r="E77" s="190"/>
      <c r="F77" s="176" t="s">
        <v>1527</v>
      </c>
      <c r="H77" s="189">
        <v>45658</v>
      </c>
      <c r="I77" s="189">
        <f t="shared" ref="I77" si="276">EOMONTH(H77,0)+1</f>
        <v>45689</v>
      </c>
      <c r="J77" s="189">
        <f t="shared" ref="J77" si="277">EOMONTH(I77,0)+1</f>
        <v>45717</v>
      </c>
      <c r="K77" s="189">
        <f t="shared" ref="K77" si="278">EOMONTH(J77,0)+1</f>
        <v>45748</v>
      </c>
      <c r="L77" s="189">
        <f t="shared" ref="L77" si="279">EOMONTH(K77,0)+1</f>
        <v>45778</v>
      </c>
      <c r="M77" s="189">
        <f t="shared" ref="M77" si="280">EOMONTH(L77,0)+1</f>
        <v>45809</v>
      </c>
      <c r="N77" s="189">
        <f t="shared" ref="N77" si="281">EOMONTH(M77,0)+1</f>
        <v>45839</v>
      </c>
      <c r="O77" s="189">
        <v>45870</v>
      </c>
      <c r="P77" s="189">
        <f t="shared" ref="P77" si="282">EOMONTH(O77,0)+1</f>
        <v>45901</v>
      </c>
      <c r="Q77" s="189">
        <f t="shared" ref="Q77" si="283">EOMONTH(P77,0)+1</f>
        <v>45931</v>
      </c>
      <c r="R77" s="189">
        <f t="shared" ref="R77" si="284">EOMONTH(Q77,0)+1</f>
        <v>45962</v>
      </c>
      <c r="S77" s="189">
        <f t="shared" ref="S77" si="285">EOMONTH(R77,0)+1</f>
        <v>45992</v>
      </c>
      <c r="T77" s="189">
        <f t="shared" ref="T77" si="286">EOMONTH(S77,0)+1</f>
        <v>46023</v>
      </c>
      <c r="U77" s="189">
        <f t="shared" ref="U77" si="287">EOMONTH(T77,0)+1</f>
        <v>46054</v>
      </c>
      <c r="V77" s="189">
        <f t="shared" ref="V77" si="288">EOMONTH(U77,0)+1</f>
        <v>46082</v>
      </c>
      <c r="W77" s="189">
        <f t="shared" ref="W77" si="289">EOMONTH(V77,0)+1</f>
        <v>46113</v>
      </c>
      <c r="X77" s="189">
        <f t="shared" ref="X77" si="290">EOMONTH(W77,0)+1</f>
        <v>46143</v>
      </c>
      <c r="Y77" s="189">
        <f t="shared" ref="Y77" si="291">EOMONTH(X77,0)+1</f>
        <v>46174</v>
      </c>
      <c r="Z77" s="189">
        <f t="shared" ref="Z77" si="292">EOMONTH(Y77,0)+1</f>
        <v>46204</v>
      </c>
      <c r="AA77" s="189">
        <f t="shared" ref="AA77" si="293">EOMONTH(Z77,0)+1</f>
        <v>46235</v>
      </c>
      <c r="AB77" s="189">
        <f t="shared" ref="AB77" si="294">EOMONTH(AA77,0)+1</f>
        <v>46266</v>
      </c>
      <c r="AC77" s="184"/>
      <c r="AE77" s="184"/>
    </row>
    <row r="78" spans="2:31">
      <c r="B78" s="319" t="s">
        <v>1509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09" t="s">
        <v>1818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295">+I$19</f>
        <v>147.5</v>
      </c>
      <c r="J79" s="65">
        <f t="shared" si="295"/>
        <v>151</v>
      </c>
      <c r="K79" s="65">
        <f t="shared" si="295"/>
        <v>156.5</v>
      </c>
      <c r="L79" s="65">
        <f t="shared" si="295"/>
        <v>162</v>
      </c>
      <c r="M79" s="65">
        <f t="shared" si="295"/>
        <v>165</v>
      </c>
      <c r="N79" s="65">
        <f t="shared" si="295"/>
        <v>167</v>
      </c>
      <c r="O79" s="65">
        <f t="shared" si="295"/>
        <v>172</v>
      </c>
      <c r="P79" s="65">
        <f t="shared" si="295"/>
        <v>176</v>
      </c>
      <c r="Q79" s="65">
        <f t="shared" si="295"/>
        <v>179.5</v>
      </c>
      <c r="R79" s="65">
        <f t="shared" si="295"/>
        <v>181.5</v>
      </c>
      <c r="S79" s="65">
        <f t="shared" si="295"/>
        <v>180.5</v>
      </c>
      <c r="T79" s="65">
        <f t="shared" si="295"/>
        <v>183</v>
      </c>
      <c r="U79" s="65">
        <f t="shared" si="295"/>
        <v>189.5</v>
      </c>
      <c r="V79" s="65">
        <f t="shared" si="295"/>
        <v>192.5</v>
      </c>
      <c r="W79" s="65">
        <f t="shared" si="295"/>
        <v>195</v>
      </c>
      <c r="X79" s="65">
        <f t="shared" si="295"/>
        <v>193.5</v>
      </c>
      <c r="Y79" s="65">
        <f t="shared" si="295"/>
        <v>189</v>
      </c>
      <c r="Z79" s="65">
        <f t="shared" si="295"/>
        <v>181.5</v>
      </c>
      <c r="AA79" s="65">
        <f t="shared" si="295"/>
        <v>174.5</v>
      </c>
      <c r="AB79" s="65">
        <f t="shared" si="295"/>
        <v>177</v>
      </c>
      <c r="AC79" s="6"/>
      <c r="AD79" s="6"/>
      <c r="AE79" s="6"/>
    </row>
    <row r="80" spans="2:31" ht="3.95" customHeight="1">
      <c r="B80" s="308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1313</v>
      </c>
      <c r="C81" s="181">
        <f>+C84-C82-C83</f>
        <v>4</v>
      </c>
      <c r="D81" s="181">
        <f>+D84-D82-D83</f>
        <v>4</v>
      </c>
      <c r="F81" s="181">
        <f>+F84-F82-F83</f>
        <v>3</v>
      </c>
      <c r="H81" s="181">
        <f t="shared" ref="H81" si="296">+H84-H82-H83</f>
        <v>4</v>
      </c>
      <c r="I81" s="181">
        <f t="shared" ref="I81" si="297">+I84-I82-I83</f>
        <v>3</v>
      </c>
      <c r="J81" s="181">
        <f t="shared" ref="J81" si="298">+J84-J82-J83</f>
        <v>3</v>
      </c>
      <c r="K81" s="181">
        <f t="shared" ref="K81" si="299">+K84-K82-K83</f>
        <v>3</v>
      </c>
      <c r="L81" s="181">
        <f t="shared" ref="L81" si="300">+L84-L82-L83</f>
        <v>3</v>
      </c>
      <c r="M81" s="181">
        <f t="shared" ref="M81" si="301">+M84-M82-M83</f>
        <v>3</v>
      </c>
      <c r="N81" s="181">
        <f t="shared" ref="N81" si="302">+N84-N82-N83</f>
        <v>3</v>
      </c>
      <c r="O81" s="181">
        <f t="shared" ref="O81" si="303">+O84-O82-O83</f>
        <v>3</v>
      </c>
      <c r="P81" s="181">
        <f t="shared" ref="P81" si="304">+P84-P82-P83</f>
        <v>3</v>
      </c>
      <c r="Q81" s="181">
        <f t="shared" ref="Q81" si="305">+Q84-Q82-Q83</f>
        <v>3</v>
      </c>
      <c r="R81" s="181">
        <f t="shared" ref="R81" si="306">+R84-R82-R83</f>
        <v>3</v>
      </c>
      <c r="S81" s="181">
        <f t="shared" ref="S81" si="307">+S84-S82-S83</f>
        <v>3</v>
      </c>
      <c r="T81" s="181">
        <f t="shared" ref="T81" si="308">+T84-T82-T83</f>
        <v>4</v>
      </c>
      <c r="U81" s="181">
        <f t="shared" ref="U81" si="309">+U84-U82-U83</f>
        <v>4</v>
      </c>
      <c r="V81" s="181">
        <f t="shared" ref="V81" si="310">+V84-V82-V83</f>
        <v>4</v>
      </c>
      <c r="W81" s="181">
        <f t="shared" ref="W81" si="311">+W84-W82-W83</f>
        <v>4</v>
      </c>
      <c r="X81" s="181">
        <f t="shared" ref="X81" si="312">+X84-X82-X83</f>
        <v>4</v>
      </c>
      <c r="Y81" s="181">
        <f t="shared" ref="Y81" si="313">+Y84-Y82-Y83</f>
        <v>3</v>
      </c>
      <c r="Z81" s="181">
        <f t="shared" ref="Z81" si="314">+Z84-Z82-Z83</f>
        <v>3</v>
      </c>
      <c r="AA81" s="181">
        <f t="shared" ref="AA81" si="315">+AA84-AA82-AA83</f>
        <v>4</v>
      </c>
      <c r="AB81" s="181">
        <f t="shared" ref="AB81" si="316">+AB84-AB82-AB83</f>
        <v>4</v>
      </c>
    </row>
    <row r="82" spans="2:31">
      <c r="B82" s="188" t="s">
        <v>1814</v>
      </c>
      <c r="C82" s="194">
        <f>SUM(H82:S82)</f>
        <v>2</v>
      </c>
      <c r="D82" s="194">
        <f>SUM(T82:AB82)</f>
        <v>2</v>
      </c>
      <c r="F82" s="194">
        <f>SUM(Q82:AB82)</f>
        <v>4</v>
      </c>
      <c r="H82" s="192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2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2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2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2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2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2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2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2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2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2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2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2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2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2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2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2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2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2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2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2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88" t="s">
        <v>1815</v>
      </c>
      <c r="C83" s="194">
        <f>SUM(H83:S83)</f>
        <v>-2</v>
      </c>
      <c r="D83" s="194">
        <f>SUM(T83:AB83)</f>
        <v>-2</v>
      </c>
      <c r="F83" s="194">
        <f>SUM(Q83:AB83)</f>
        <v>-3</v>
      </c>
      <c r="H83" s="192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2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2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2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2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2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2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2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2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2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2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2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2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2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2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2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2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2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2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2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2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6" t="s">
        <v>1315</v>
      </c>
      <c r="C84" s="257">
        <f>+D81</f>
        <v>4</v>
      </c>
      <c r="D84" s="258">
        <f>+$AB84</f>
        <v>4</v>
      </c>
      <c r="F84" s="261">
        <f>+$AB84</f>
        <v>4</v>
      </c>
      <c r="H84" s="259">
        <f t="shared" ref="H84:AA84" si="317">+I81</f>
        <v>3</v>
      </c>
      <c r="I84" s="257">
        <f t="shared" si="317"/>
        <v>3</v>
      </c>
      <c r="J84" s="257">
        <f t="shared" si="317"/>
        <v>3</v>
      </c>
      <c r="K84" s="257">
        <f t="shared" si="317"/>
        <v>3</v>
      </c>
      <c r="L84" s="257">
        <f t="shared" si="317"/>
        <v>3</v>
      </c>
      <c r="M84" s="257">
        <f t="shared" si="317"/>
        <v>3</v>
      </c>
      <c r="N84" s="257">
        <f t="shared" si="317"/>
        <v>3</v>
      </c>
      <c r="O84" s="257">
        <f t="shared" si="317"/>
        <v>3</v>
      </c>
      <c r="P84" s="257">
        <f t="shared" si="317"/>
        <v>3</v>
      </c>
      <c r="Q84" s="410">
        <f t="shared" si="317"/>
        <v>3</v>
      </c>
      <c r="R84" s="232">
        <f t="shared" si="317"/>
        <v>3</v>
      </c>
      <c r="S84" s="232">
        <f t="shared" si="317"/>
        <v>4</v>
      </c>
      <c r="T84" s="232">
        <f t="shared" si="317"/>
        <v>4</v>
      </c>
      <c r="U84" s="232">
        <f t="shared" si="317"/>
        <v>4</v>
      </c>
      <c r="V84" s="232">
        <f t="shared" si="317"/>
        <v>4</v>
      </c>
      <c r="W84" s="232">
        <f t="shared" si="317"/>
        <v>4</v>
      </c>
      <c r="X84" s="232">
        <f t="shared" si="317"/>
        <v>3</v>
      </c>
      <c r="Y84" s="232">
        <f t="shared" si="317"/>
        <v>3</v>
      </c>
      <c r="Z84" s="232">
        <f t="shared" si="317"/>
        <v>4</v>
      </c>
      <c r="AA84" s="232">
        <f t="shared" si="317"/>
        <v>4</v>
      </c>
      <c r="AB84" s="411">
        <f>COUNTIFS('Combined Employee Worksheet'!$H:$H,"Active",'Combined Employee Worksheet'!$D:$D,'Employee Retention'!B78)</f>
        <v>4</v>
      </c>
    </row>
    <row r="85" spans="2:31" ht="3.95" customHeight="1">
      <c r="B85" s="179"/>
      <c r="C85" s="229"/>
      <c r="D85" s="229"/>
      <c r="F85" s="229"/>
      <c r="H85" s="229"/>
      <c r="I85" s="229"/>
      <c r="J85" s="229"/>
      <c r="K85" s="229"/>
      <c r="L85" s="229"/>
      <c r="M85" s="229"/>
      <c r="N85" s="229"/>
      <c r="O85" s="229"/>
      <c r="P85" s="229"/>
      <c r="Q85" s="412"/>
      <c r="R85" s="413"/>
      <c r="S85" s="413"/>
      <c r="T85" s="413"/>
      <c r="U85" s="413"/>
      <c r="V85" s="413"/>
      <c r="W85" s="413"/>
      <c r="X85" s="413"/>
      <c r="Y85" s="413"/>
      <c r="Z85" s="413"/>
      <c r="AA85" s="413"/>
      <c r="AB85" s="414"/>
    </row>
    <row r="86" spans="2:31" ht="12" customHeight="1">
      <c r="B86" s="231" t="s">
        <v>1817</v>
      </c>
      <c r="C86" s="315">
        <f>AVERAGE(C81,C84)</f>
        <v>4</v>
      </c>
      <c r="D86" s="316">
        <f>AVERAGE(D81,D84)</f>
        <v>4</v>
      </c>
      <c r="F86" s="317">
        <f>AVERAGE(F81,F84)</f>
        <v>3.5</v>
      </c>
      <c r="H86" s="318">
        <f t="shared" ref="H86" si="318">AVERAGE(H81,H84)</f>
        <v>3.5</v>
      </c>
      <c r="I86" s="315">
        <f t="shared" ref="I86" si="319">AVERAGE(I81,I84)</f>
        <v>3</v>
      </c>
      <c r="J86" s="315">
        <f t="shared" ref="J86" si="320">AVERAGE(J81,J84)</f>
        <v>3</v>
      </c>
      <c r="K86" s="315">
        <f t="shared" ref="K86" si="321">AVERAGE(K81,K84)</f>
        <v>3</v>
      </c>
      <c r="L86" s="315">
        <f t="shared" ref="L86" si="322">AVERAGE(L81,L84)</f>
        <v>3</v>
      </c>
      <c r="M86" s="315">
        <f t="shared" ref="M86" si="323">AVERAGE(M81,M84)</f>
        <v>3</v>
      </c>
      <c r="N86" s="315">
        <f t="shared" ref="N86" si="324">AVERAGE(N81,N84)</f>
        <v>3</v>
      </c>
      <c r="O86" s="315">
        <f t="shared" ref="O86" si="325">AVERAGE(O81,O84)</f>
        <v>3</v>
      </c>
      <c r="P86" s="315">
        <f t="shared" ref="P86" si="326">AVERAGE(P81,P84)</f>
        <v>3</v>
      </c>
      <c r="Q86" s="318">
        <f t="shared" ref="Q86" si="327">AVERAGE(Q81,Q84)</f>
        <v>3</v>
      </c>
      <c r="R86" s="315">
        <f t="shared" ref="R86" si="328">AVERAGE(R81,R84)</f>
        <v>3</v>
      </c>
      <c r="S86" s="315">
        <f t="shared" ref="S86" si="329">AVERAGE(S81,S84)</f>
        <v>3.5</v>
      </c>
      <c r="T86" s="315">
        <f t="shared" ref="T86" si="330">AVERAGE(T81,T84)</f>
        <v>4</v>
      </c>
      <c r="U86" s="315">
        <f t="shared" ref="U86" si="331">AVERAGE(U81,U84)</f>
        <v>4</v>
      </c>
      <c r="V86" s="315">
        <f t="shared" ref="V86" si="332">AVERAGE(V81,V84)</f>
        <v>4</v>
      </c>
      <c r="W86" s="315">
        <f t="shared" ref="W86" si="333">AVERAGE(W81,W84)</f>
        <v>4</v>
      </c>
      <c r="X86" s="315">
        <f t="shared" ref="X86" si="334">AVERAGE(X81,X84)</f>
        <v>3.5</v>
      </c>
      <c r="Y86" s="315">
        <f t="shared" ref="Y86" si="335">AVERAGE(Y81,Y84)</f>
        <v>3</v>
      </c>
      <c r="Z86" s="315">
        <f t="shared" ref="Z86" si="336">AVERAGE(Z81,Z84)</f>
        <v>3.5</v>
      </c>
      <c r="AA86" s="315">
        <f t="shared" ref="AA86" si="337">AVERAGE(AA81,AA84)</f>
        <v>4</v>
      </c>
      <c r="AB86" s="316">
        <f t="shared" ref="AB86" si="338">AVERAGE(AB81,AB84)</f>
        <v>4</v>
      </c>
    </row>
    <row r="87" spans="2:31" ht="12" customHeight="1">
      <c r="B87" s="234" t="s">
        <v>1816</v>
      </c>
      <c r="C87" s="310">
        <f>C79/C86</f>
        <v>40.625</v>
      </c>
      <c r="D87" s="311">
        <f>D79/D86</f>
        <v>44.875</v>
      </c>
      <c r="E87" s="181"/>
      <c r="F87" s="312">
        <f>F79/F86</f>
        <v>50.857142857142854</v>
      </c>
      <c r="G87" s="181"/>
      <c r="H87" s="313">
        <f t="shared" ref="H87" si="339">H79/H86</f>
        <v>41.714285714285715</v>
      </c>
      <c r="I87" s="310">
        <f t="shared" ref="I87" si="340">I79/I86</f>
        <v>49.166666666666664</v>
      </c>
      <c r="J87" s="310">
        <f t="shared" ref="J87" si="341">J79/J86</f>
        <v>50.333333333333336</v>
      </c>
      <c r="K87" s="310">
        <f t="shared" ref="K87" si="342">K79/K86</f>
        <v>52.166666666666664</v>
      </c>
      <c r="L87" s="310">
        <f t="shared" ref="L87" si="343">L79/L86</f>
        <v>54</v>
      </c>
      <c r="M87" s="310">
        <f t="shared" ref="M87" si="344">M79/M86</f>
        <v>55</v>
      </c>
      <c r="N87" s="310">
        <f t="shared" ref="N87" si="345">N79/N86</f>
        <v>55.666666666666664</v>
      </c>
      <c r="O87" s="310">
        <f t="shared" ref="O87" si="346">O79/O86</f>
        <v>57.333333333333336</v>
      </c>
      <c r="P87" s="310">
        <f t="shared" ref="P87" si="347">P79/P86</f>
        <v>58.666666666666664</v>
      </c>
      <c r="Q87" s="313">
        <f t="shared" ref="Q87" si="348">Q79/Q86</f>
        <v>59.833333333333336</v>
      </c>
      <c r="R87" s="310">
        <f t="shared" ref="R87" si="349">R79/R86</f>
        <v>60.5</v>
      </c>
      <c r="S87" s="310">
        <f t="shared" ref="S87" si="350">S79/S86</f>
        <v>51.571428571428569</v>
      </c>
      <c r="T87" s="310">
        <f t="shared" ref="T87" si="351">T79/T86</f>
        <v>45.75</v>
      </c>
      <c r="U87" s="310">
        <f t="shared" ref="U87" si="352">U79/U86</f>
        <v>47.375</v>
      </c>
      <c r="V87" s="310">
        <f t="shared" ref="V87" si="353">V79/V86</f>
        <v>48.125</v>
      </c>
      <c r="W87" s="310">
        <f t="shared" ref="W87" si="354">W79/W86</f>
        <v>48.75</v>
      </c>
      <c r="X87" s="310">
        <f t="shared" ref="X87" si="355">X79/X86</f>
        <v>55.285714285714285</v>
      </c>
      <c r="Y87" s="310">
        <f t="shared" ref="Y87" si="356">Y79/Y86</f>
        <v>63</v>
      </c>
      <c r="Z87" s="310">
        <f t="shared" ref="Z87" si="357">Z79/Z86</f>
        <v>51.857142857142854</v>
      </c>
      <c r="AA87" s="310">
        <f t="shared" ref="AA87" si="358">AA79/AA86</f>
        <v>43.625</v>
      </c>
      <c r="AB87" s="311">
        <f t="shared" ref="AB87" si="359">AB79/AB86</f>
        <v>44.25</v>
      </c>
    </row>
    <row r="88" spans="2:31" ht="3.95" customHeight="1">
      <c r="B88" s="179"/>
      <c r="C88" s="229"/>
      <c r="D88" s="229"/>
      <c r="F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30"/>
      <c r="AA88" s="230"/>
      <c r="AB88" s="230"/>
    </row>
    <row r="89" spans="2:31" ht="12" customHeight="1">
      <c r="B89" s="231" t="s">
        <v>1813</v>
      </c>
      <c r="C89" s="233">
        <f>(C82+C81)/C81-1</f>
        <v>0.5</v>
      </c>
      <c r="D89" s="244">
        <f>(D82+D81)/D81-1</f>
        <v>0.5</v>
      </c>
      <c r="E89" s="245"/>
      <c r="F89" s="246">
        <f>(F82+F81)/F81-1</f>
        <v>1.3333333333333335</v>
      </c>
      <c r="H89" s="243">
        <f t="shared" ref="H89:AB89" si="360">(H82+H81)/H81-1</f>
        <v>0</v>
      </c>
      <c r="I89" s="233">
        <f t="shared" si="360"/>
        <v>0</v>
      </c>
      <c r="J89" s="233">
        <f t="shared" si="360"/>
        <v>0</v>
      </c>
      <c r="K89" s="233">
        <f t="shared" si="360"/>
        <v>0</v>
      </c>
      <c r="L89" s="233">
        <f t="shared" si="360"/>
        <v>0</v>
      </c>
      <c r="M89" s="233">
        <f t="shared" si="360"/>
        <v>0</v>
      </c>
      <c r="N89" s="233">
        <f t="shared" si="360"/>
        <v>0</v>
      </c>
      <c r="O89" s="233">
        <f t="shared" si="360"/>
        <v>0</v>
      </c>
      <c r="P89" s="233">
        <f t="shared" si="360"/>
        <v>0</v>
      </c>
      <c r="Q89" s="243">
        <f t="shared" si="360"/>
        <v>0</v>
      </c>
      <c r="R89" s="233">
        <f t="shared" si="360"/>
        <v>0</v>
      </c>
      <c r="S89" s="233">
        <f t="shared" si="360"/>
        <v>0.66666666666666674</v>
      </c>
      <c r="T89" s="233">
        <f t="shared" si="360"/>
        <v>0</v>
      </c>
      <c r="U89" s="233">
        <f t="shared" si="360"/>
        <v>0</v>
      </c>
      <c r="V89" s="233">
        <f t="shared" si="360"/>
        <v>0</v>
      </c>
      <c r="W89" s="233">
        <f t="shared" si="360"/>
        <v>0</v>
      </c>
      <c r="X89" s="233">
        <f t="shared" si="360"/>
        <v>0</v>
      </c>
      <c r="Y89" s="233">
        <f t="shared" si="360"/>
        <v>0</v>
      </c>
      <c r="Z89" s="233">
        <f t="shared" si="360"/>
        <v>0.66666666666666674</v>
      </c>
      <c r="AA89" s="233">
        <f t="shared" si="360"/>
        <v>0</v>
      </c>
      <c r="AB89" s="244">
        <f t="shared" si="360"/>
        <v>0</v>
      </c>
    </row>
    <row r="90" spans="2:31">
      <c r="B90" s="234" t="s">
        <v>1812</v>
      </c>
      <c r="C90" s="236">
        <f>(C83+C86)/C86-1</f>
        <v>-0.5</v>
      </c>
      <c r="D90" s="237">
        <f>(D83+D86)/D86-1</f>
        <v>-0.5</v>
      </c>
      <c r="E90" s="245"/>
      <c r="F90" s="239">
        <f>(F83+F86)/F86-1</f>
        <v>-0.85714285714285721</v>
      </c>
      <c r="H90" s="238">
        <f t="shared" ref="H90:AB90" si="361">(H83+H86)/H86-1</f>
        <v>-0.2857142857142857</v>
      </c>
      <c r="I90" s="236">
        <f t="shared" si="361"/>
        <v>0</v>
      </c>
      <c r="J90" s="236">
        <f t="shared" si="361"/>
        <v>0</v>
      </c>
      <c r="K90" s="236">
        <f t="shared" si="361"/>
        <v>0</v>
      </c>
      <c r="L90" s="236">
        <f t="shared" si="361"/>
        <v>0</v>
      </c>
      <c r="M90" s="236">
        <f t="shared" si="361"/>
        <v>0</v>
      </c>
      <c r="N90" s="236">
        <f t="shared" si="361"/>
        <v>0</v>
      </c>
      <c r="O90" s="236">
        <f t="shared" si="361"/>
        <v>0</v>
      </c>
      <c r="P90" s="236">
        <f t="shared" si="361"/>
        <v>0</v>
      </c>
      <c r="Q90" s="238">
        <f t="shared" si="361"/>
        <v>0</v>
      </c>
      <c r="R90" s="236">
        <f t="shared" si="361"/>
        <v>0</v>
      </c>
      <c r="S90" s="236">
        <f t="shared" si="361"/>
        <v>-0.2857142857142857</v>
      </c>
      <c r="T90" s="236">
        <f t="shared" si="361"/>
        <v>0</v>
      </c>
      <c r="U90" s="236">
        <f t="shared" si="361"/>
        <v>0</v>
      </c>
      <c r="V90" s="236">
        <f t="shared" si="361"/>
        <v>0</v>
      </c>
      <c r="W90" s="236">
        <f t="shared" si="361"/>
        <v>0</v>
      </c>
      <c r="X90" s="236">
        <f t="shared" si="361"/>
        <v>-0.2857142857142857</v>
      </c>
      <c r="Y90" s="236">
        <f t="shared" si="361"/>
        <v>0</v>
      </c>
      <c r="Z90" s="236">
        <f t="shared" si="361"/>
        <v>-0.2857142857142857</v>
      </c>
      <c r="AA90" s="236">
        <f t="shared" si="361"/>
        <v>0</v>
      </c>
      <c r="AB90" s="237">
        <f t="shared" si="361"/>
        <v>0</v>
      </c>
    </row>
    <row r="91" spans="2:31" ht="3.95" customHeight="1">
      <c r="B91" s="179"/>
    </row>
    <row r="92" spans="2:31" ht="24">
      <c r="B92" s="159" t="s">
        <v>1811</v>
      </c>
      <c r="C92" s="176" t="s">
        <v>4</v>
      </c>
      <c r="D92" s="176" t="s">
        <v>1317</v>
      </c>
      <c r="E92" s="190"/>
      <c r="F92" s="176" t="s">
        <v>1527</v>
      </c>
      <c r="H92" s="189">
        <v>45658</v>
      </c>
      <c r="I92" s="189">
        <f t="shared" ref="I92" si="362">EOMONTH(H92,0)+1</f>
        <v>45689</v>
      </c>
      <c r="J92" s="189">
        <f t="shared" ref="J92" si="363">EOMONTH(I92,0)+1</f>
        <v>45717</v>
      </c>
      <c r="K92" s="189">
        <f t="shared" ref="K92" si="364">EOMONTH(J92,0)+1</f>
        <v>45748</v>
      </c>
      <c r="L92" s="189">
        <f t="shared" ref="L92" si="365">EOMONTH(K92,0)+1</f>
        <v>45778</v>
      </c>
      <c r="M92" s="189">
        <f t="shared" ref="M92" si="366">EOMONTH(L92,0)+1</f>
        <v>45809</v>
      </c>
      <c r="N92" s="189">
        <f t="shared" ref="N92" si="367">EOMONTH(M92,0)+1</f>
        <v>45839</v>
      </c>
      <c r="O92" s="189">
        <v>45870</v>
      </c>
      <c r="P92" s="189">
        <f t="shared" ref="P92" si="368">EOMONTH(O92,0)+1</f>
        <v>45901</v>
      </c>
      <c r="Q92" s="189">
        <f t="shared" ref="Q92" si="369">EOMONTH(P92,0)+1</f>
        <v>45931</v>
      </c>
      <c r="R92" s="189">
        <f t="shared" ref="R92" si="370">EOMONTH(Q92,0)+1</f>
        <v>45962</v>
      </c>
      <c r="S92" s="189">
        <f t="shared" ref="S92" si="371">EOMONTH(R92,0)+1</f>
        <v>45992</v>
      </c>
      <c r="T92" s="189">
        <f t="shared" ref="T92" si="372">EOMONTH(S92,0)+1</f>
        <v>46023</v>
      </c>
      <c r="U92" s="189">
        <f t="shared" ref="U92" si="373">EOMONTH(T92,0)+1</f>
        <v>46054</v>
      </c>
      <c r="V92" s="189">
        <f t="shared" ref="V92" si="374">EOMONTH(U92,0)+1</f>
        <v>46082</v>
      </c>
      <c r="W92" s="189">
        <f t="shared" ref="W92" si="375">EOMONTH(V92,0)+1</f>
        <v>46113</v>
      </c>
      <c r="X92" s="189">
        <f t="shared" ref="X92" si="376">EOMONTH(W92,0)+1</f>
        <v>46143</v>
      </c>
      <c r="Y92" s="189">
        <f t="shared" ref="Y92" si="377">EOMONTH(X92,0)+1</f>
        <v>46174</v>
      </c>
      <c r="Z92" s="189">
        <f t="shared" ref="Z92" si="378">EOMONTH(Y92,0)+1</f>
        <v>46204</v>
      </c>
      <c r="AA92" s="189">
        <f t="shared" ref="AA92" si="379">EOMONTH(Z92,0)+1</f>
        <v>46235</v>
      </c>
      <c r="AB92" s="189">
        <f t="shared" ref="AB92" si="380">EOMONTH(AA92,0)+1</f>
        <v>46266</v>
      </c>
      <c r="AC92" s="184"/>
      <c r="AE92" s="184"/>
    </row>
    <row r="93" spans="2:31">
      <c r="B93" s="319" t="s">
        <v>493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09" t="s">
        <v>1818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381">+I$19</f>
        <v>147.5</v>
      </c>
      <c r="J94" s="65">
        <f t="shared" si="381"/>
        <v>151</v>
      </c>
      <c r="K94" s="65">
        <f t="shared" si="381"/>
        <v>156.5</v>
      </c>
      <c r="L94" s="65">
        <f t="shared" si="381"/>
        <v>162</v>
      </c>
      <c r="M94" s="65">
        <f t="shared" si="381"/>
        <v>165</v>
      </c>
      <c r="N94" s="65">
        <f t="shared" si="381"/>
        <v>167</v>
      </c>
      <c r="O94" s="65">
        <f t="shared" si="381"/>
        <v>172</v>
      </c>
      <c r="P94" s="65">
        <f t="shared" si="381"/>
        <v>176</v>
      </c>
      <c r="Q94" s="65">
        <f t="shared" si="381"/>
        <v>179.5</v>
      </c>
      <c r="R94" s="65">
        <f t="shared" si="381"/>
        <v>181.5</v>
      </c>
      <c r="S94" s="65">
        <f t="shared" si="381"/>
        <v>180.5</v>
      </c>
      <c r="T94" s="65">
        <f t="shared" si="381"/>
        <v>183</v>
      </c>
      <c r="U94" s="65">
        <f t="shared" si="381"/>
        <v>189.5</v>
      </c>
      <c r="V94" s="65">
        <f t="shared" si="381"/>
        <v>192.5</v>
      </c>
      <c r="W94" s="65">
        <f t="shared" si="381"/>
        <v>195</v>
      </c>
      <c r="X94" s="65">
        <f t="shared" si="381"/>
        <v>193.5</v>
      </c>
      <c r="Y94" s="65">
        <f t="shared" si="381"/>
        <v>189</v>
      </c>
      <c r="Z94" s="65">
        <f t="shared" si="381"/>
        <v>181.5</v>
      </c>
      <c r="AA94" s="65">
        <f t="shared" si="381"/>
        <v>174.5</v>
      </c>
      <c r="AB94" s="65">
        <f t="shared" si="381"/>
        <v>177</v>
      </c>
      <c r="AC94" s="6"/>
      <c r="AD94" s="6"/>
      <c r="AE94" s="6"/>
    </row>
    <row r="95" spans="2:31" ht="3.95" customHeight="1">
      <c r="B95" s="308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1313</v>
      </c>
      <c r="C96" s="181">
        <f>+C99-C97-C98</f>
        <v>5</v>
      </c>
      <c r="D96" s="181">
        <f>+D99-D97-D98</f>
        <v>7</v>
      </c>
      <c r="F96" s="181">
        <f>+F99-F97-F98</f>
        <v>6</v>
      </c>
      <c r="H96" s="181">
        <f t="shared" ref="H96" si="382">+H99-H97-H98</f>
        <v>5</v>
      </c>
      <c r="I96" s="181">
        <f t="shared" ref="I96" si="383">+I99-I97-I98</f>
        <v>5</v>
      </c>
      <c r="J96" s="181">
        <f t="shared" ref="J96" si="384">+J99-J97-J98</f>
        <v>5</v>
      </c>
      <c r="K96" s="181">
        <f t="shared" ref="K96" si="385">+K99-K97-K98</f>
        <v>5</v>
      </c>
      <c r="L96" s="181">
        <f t="shared" ref="L96" si="386">+L99-L97-L98</f>
        <v>5</v>
      </c>
      <c r="M96" s="181">
        <f t="shared" ref="M96" si="387">+M99-M97-M98</f>
        <v>6</v>
      </c>
      <c r="N96" s="181">
        <f t="shared" ref="N96" si="388">+N99-N97-N98</f>
        <v>6</v>
      </c>
      <c r="O96" s="181">
        <f t="shared" ref="O96" si="389">+O99-O97-O98</f>
        <v>6</v>
      </c>
      <c r="P96" s="181">
        <f t="shared" ref="P96" si="390">+P99-P97-P98</f>
        <v>6</v>
      </c>
      <c r="Q96" s="181">
        <f t="shared" ref="Q96" si="391">+Q99-Q97-Q98</f>
        <v>6</v>
      </c>
      <c r="R96" s="181">
        <f t="shared" ref="R96" si="392">+R99-R97-R98</f>
        <v>6</v>
      </c>
      <c r="S96" s="181">
        <f t="shared" ref="S96" si="393">+S99-S97-S98</f>
        <v>6</v>
      </c>
      <c r="T96" s="181">
        <f t="shared" ref="T96" si="394">+T99-T97-T98</f>
        <v>7</v>
      </c>
      <c r="U96" s="181">
        <f t="shared" ref="U96" si="395">+U99-U97-U98</f>
        <v>8</v>
      </c>
      <c r="V96" s="181">
        <f t="shared" ref="V96" si="396">+V99-V97-V98</f>
        <v>8</v>
      </c>
      <c r="W96" s="181">
        <f t="shared" ref="W96" si="397">+W99-W97-W98</f>
        <v>8</v>
      </c>
      <c r="X96" s="181">
        <f t="shared" ref="X96" si="398">+X99-X97-X98</f>
        <v>8</v>
      </c>
      <c r="Y96" s="181">
        <f t="shared" ref="Y96" si="399">+Y99-Y97-Y98</f>
        <v>7</v>
      </c>
      <c r="Z96" s="181">
        <f t="shared" ref="Z96" si="400">+Z99-Z97-Z98</f>
        <v>7</v>
      </c>
      <c r="AA96" s="181">
        <f t="shared" ref="AA96" si="401">+AA99-AA97-AA98</f>
        <v>7</v>
      </c>
      <c r="AB96" s="181">
        <f t="shared" ref="AB96" si="402">+AB99-AB97-AB98</f>
        <v>8</v>
      </c>
    </row>
    <row r="97" spans="2:31">
      <c r="B97" s="188" t="s">
        <v>1814</v>
      </c>
      <c r="C97" s="194">
        <f>SUM(H97:S97)</f>
        <v>2</v>
      </c>
      <c r="D97" s="194">
        <f>SUM(T97:AB97)</f>
        <v>2</v>
      </c>
      <c r="F97" s="194">
        <f>SUM(Q97:AB97)</f>
        <v>3</v>
      </c>
      <c r="H97" s="192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2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2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2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2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2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2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2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2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2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2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2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2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2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2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2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2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2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2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2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2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88" t="s">
        <v>1815</v>
      </c>
      <c r="C98" s="194">
        <f>SUM(H98:S98)</f>
        <v>0</v>
      </c>
      <c r="D98" s="194">
        <f>SUM(T98:AB98)</f>
        <v>-1</v>
      </c>
      <c r="F98" s="194">
        <f>SUM(Q98:AB98)</f>
        <v>-1</v>
      </c>
      <c r="H98" s="192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2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2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2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2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2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2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2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2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2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2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2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2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2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2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2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2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2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2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2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2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6" t="s">
        <v>1315</v>
      </c>
      <c r="C99" s="257">
        <f>+D96</f>
        <v>7</v>
      </c>
      <c r="D99" s="258">
        <f>+$AB99</f>
        <v>8</v>
      </c>
      <c r="F99" s="261">
        <f>+$AB99</f>
        <v>8</v>
      </c>
      <c r="H99" s="259">
        <f t="shared" ref="H99:AA99" si="403">+I96</f>
        <v>5</v>
      </c>
      <c r="I99" s="257">
        <f t="shared" si="403"/>
        <v>5</v>
      </c>
      <c r="J99" s="257">
        <f t="shared" si="403"/>
        <v>5</v>
      </c>
      <c r="K99" s="257">
        <f t="shared" si="403"/>
        <v>5</v>
      </c>
      <c r="L99" s="257">
        <f t="shared" si="403"/>
        <v>6</v>
      </c>
      <c r="M99" s="257">
        <f t="shared" si="403"/>
        <v>6</v>
      </c>
      <c r="N99" s="257">
        <f t="shared" si="403"/>
        <v>6</v>
      </c>
      <c r="O99" s="257">
        <f t="shared" si="403"/>
        <v>6</v>
      </c>
      <c r="P99" s="257">
        <f t="shared" si="403"/>
        <v>6</v>
      </c>
      <c r="Q99" s="259">
        <f t="shared" si="403"/>
        <v>6</v>
      </c>
      <c r="R99" s="257">
        <f t="shared" si="403"/>
        <v>6</v>
      </c>
      <c r="S99" s="257">
        <f t="shared" si="403"/>
        <v>7</v>
      </c>
      <c r="T99" s="257">
        <f t="shared" si="403"/>
        <v>8</v>
      </c>
      <c r="U99" s="257">
        <f t="shared" si="403"/>
        <v>8</v>
      </c>
      <c r="V99" s="257">
        <f t="shared" si="403"/>
        <v>8</v>
      </c>
      <c r="W99" s="257">
        <f t="shared" si="403"/>
        <v>8</v>
      </c>
      <c r="X99" s="257">
        <f t="shared" si="403"/>
        <v>7</v>
      </c>
      <c r="Y99" s="257">
        <f t="shared" si="403"/>
        <v>7</v>
      </c>
      <c r="Z99" s="257">
        <f t="shared" si="403"/>
        <v>7</v>
      </c>
      <c r="AA99" s="257">
        <f t="shared" si="403"/>
        <v>8</v>
      </c>
      <c r="AB99" s="307">
        <f>COUNTIFS('Combined Employee Worksheet'!$H:$H,"Active",'Combined Employee Worksheet'!$D:$D,'Employee Retention'!B93)</f>
        <v>8</v>
      </c>
    </row>
    <row r="100" spans="2:31" ht="3.95" customHeight="1">
      <c r="B100" s="179"/>
      <c r="C100" s="229"/>
      <c r="D100" s="229"/>
      <c r="F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314"/>
    </row>
    <row r="101" spans="2:31" ht="12" customHeight="1">
      <c r="B101" s="231" t="s">
        <v>1817</v>
      </c>
      <c r="C101" s="315">
        <f>AVERAGE(C96,C99)</f>
        <v>6</v>
      </c>
      <c r="D101" s="316">
        <f>AVERAGE(D96,D99)</f>
        <v>7.5</v>
      </c>
      <c r="F101" s="317">
        <f>AVERAGE(F96,F99)</f>
        <v>7</v>
      </c>
      <c r="H101" s="318">
        <f t="shared" ref="H101" si="404">AVERAGE(H96,H99)</f>
        <v>5</v>
      </c>
      <c r="I101" s="315">
        <f t="shared" ref="I101" si="405">AVERAGE(I96,I99)</f>
        <v>5</v>
      </c>
      <c r="J101" s="315">
        <f t="shared" ref="J101" si="406">AVERAGE(J96,J99)</f>
        <v>5</v>
      </c>
      <c r="K101" s="315">
        <f t="shared" ref="K101" si="407">AVERAGE(K96,K99)</f>
        <v>5</v>
      </c>
      <c r="L101" s="315">
        <f t="shared" ref="L101" si="408">AVERAGE(L96,L99)</f>
        <v>5.5</v>
      </c>
      <c r="M101" s="315">
        <f t="shared" ref="M101" si="409">AVERAGE(M96,M99)</f>
        <v>6</v>
      </c>
      <c r="N101" s="315">
        <f t="shared" ref="N101" si="410">AVERAGE(N96,N99)</f>
        <v>6</v>
      </c>
      <c r="O101" s="315">
        <f t="shared" ref="O101" si="411">AVERAGE(O96,O99)</f>
        <v>6</v>
      </c>
      <c r="P101" s="315">
        <f t="shared" ref="P101" si="412">AVERAGE(P96,P99)</f>
        <v>6</v>
      </c>
      <c r="Q101" s="318">
        <f t="shared" ref="Q101" si="413">AVERAGE(Q96,Q99)</f>
        <v>6</v>
      </c>
      <c r="R101" s="315">
        <f t="shared" ref="R101" si="414">AVERAGE(R96,R99)</f>
        <v>6</v>
      </c>
      <c r="S101" s="315">
        <f t="shared" ref="S101" si="415">AVERAGE(S96,S99)</f>
        <v>6.5</v>
      </c>
      <c r="T101" s="315">
        <f t="shared" ref="T101" si="416">AVERAGE(T96,T99)</f>
        <v>7.5</v>
      </c>
      <c r="U101" s="315">
        <f t="shared" ref="U101" si="417">AVERAGE(U96,U99)</f>
        <v>8</v>
      </c>
      <c r="V101" s="315">
        <f t="shared" ref="V101" si="418">AVERAGE(V96,V99)</f>
        <v>8</v>
      </c>
      <c r="W101" s="315">
        <f t="shared" ref="W101" si="419">AVERAGE(W96,W99)</f>
        <v>8</v>
      </c>
      <c r="X101" s="315">
        <f t="shared" ref="X101" si="420">AVERAGE(X96,X99)</f>
        <v>7.5</v>
      </c>
      <c r="Y101" s="315">
        <f t="shared" ref="Y101" si="421">AVERAGE(Y96,Y99)</f>
        <v>7</v>
      </c>
      <c r="Z101" s="315">
        <f t="shared" ref="Z101" si="422">AVERAGE(Z96,Z99)</f>
        <v>7</v>
      </c>
      <c r="AA101" s="315">
        <f t="shared" ref="AA101" si="423">AVERAGE(AA96,AA99)</f>
        <v>7.5</v>
      </c>
      <c r="AB101" s="316">
        <f t="shared" ref="AB101" si="424">AVERAGE(AB96,AB99)</f>
        <v>8</v>
      </c>
    </row>
    <row r="102" spans="2:31" ht="12" customHeight="1">
      <c r="B102" s="234" t="s">
        <v>1816</v>
      </c>
      <c r="C102" s="310">
        <f>C94/C101</f>
        <v>27.083333333333332</v>
      </c>
      <c r="D102" s="311">
        <f>D94/D101</f>
        <v>23.933333333333334</v>
      </c>
      <c r="E102" s="181"/>
      <c r="F102" s="312">
        <f>F94/F101</f>
        <v>25.428571428571427</v>
      </c>
      <c r="G102" s="181"/>
      <c r="H102" s="313">
        <f t="shared" ref="H102" si="425">H94/H101</f>
        <v>29.2</v>
      </c>
      <c r="I102" s="310">
        <f t="shared" ref="I102" si="426">I94/I101</f>
        <v>29.5</v>
      </c>
      <c r="J102" s="310">
        <f t="shared" ref="J102" si="427">J94/J101</f>
        <v>30.2</v>
      </c>
      <c r="K102" s="310">
        <f t="shared" ref="K102" si="428">K94/K101</f>
        <v>31.3</v>
      </c>
      <c r="L102" s="310">
        <f t="shared" ref="L102" si="429">L94/L101</f>
        <v>29.454545454545453</v>
      </c>
      <c r="M102" s="310">
        <f t="shared" ref="M102" si="430">M94/M101</f>
        <v>27.5</v>
      </c>
      <c r="N102" s="310">
        <f t="shared" ref="N102" si="431">N94/N101</f>
        <v>27.833333333333332</v>
      </c>
      <c r="O102" s="310">
        <f t="shared" ref="O102" si="432">O94/O101</f>
        <v>28.666666666666668</v>
      </c>
      <c r="P102" s="310">
        <f t="shared" ref="P102" si="433">P94/P101</f>
        <v>29.333333333333332</v>
      </c>
      <c r="Q102" s="313">
        <f t="shared" ref="Q102" si="434">Q94/Q101</f>
        <v>29.916666666666668</v>
      </c>
      <c r="R102" s="310">
        <f t="shared" ref="R102" si="435">R94/R101</f>
        <v>30.25</v>
      </c>
      <c r="S102" s="310">
        <f t="shared" ref="S102" si="436">S94/S101</f>
        <v>27.76923076923077</v>
      </c>
      <c r="T102" s="310">
        <f t="shared" ref="T102" si="437">T94/T101</f>
        <v>24.4</v>
      </c>
      <c r="U102" s="310">
        <f t="shared" ref="U102" si="438">U94/U101</f>
        <v>23.6875</v>
      </c>
      <c r="V102" s="310">
        <f t="shared" ref="V102" si="439">V94/V101</f>
        <v>24.0625</v>
      </c>
      <c r="W102" s="310">
        <f t="shared" ref="W102" si="440">W94/W101</f>
        <v>24.375</v>
      </c>
      <c r="X102" s="310">
        <f t="shared" ref="X102" si="441">X94/X101</f>
        <v>25.8</v>
      </c>
      <c r="Y102" s="310">
        <f t="shared" ref="Y102" si="442">Y94/Y101</f>
        <v>27</v>
      </c>
      <c r="Z102" s="310">
        <f t="shared" ref="Z102" si="443">Z94/Z101</f>
        <v>25.928571428571427</v>
      </c>
      <c r="AA102" s="310">
        <f t="shared" ref="AA102" si="444">AA94/AA101</f>
        <v>23.266666666666666</v>
      </c>
      <c r="AB102" s="311">
        <f t="shared" ref="AB102" si="445">AB94/AB101</f>
        <v>22.125</v>
      </c>
    </row>
    <row r="103" spans="2:31" ht="3.95" customHeight="1">
      <c r="B103" s="179"/>
      <c r="C103" s="229"/>
      <c r="D103" s="229"/>
      <c r="F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30"/>
      <c r="AA103" s="230"/>
      <c r="AB103" s="230"/>
    </row>
    <row r="104" spans="2:31" ht="12" customHeight="1">
      <c r="B104" s="231" t="s">
        <v>1813</v>
      </c>
      <c r="C104" s="233">
        <f>(C97+C96)/C96-1</f>
        <v>0.39999999999999991</v>
      </c>
      <c r="D104" s="244">
        <f>(D97+D96)/D96-1</f>
        <v>0.28571428571428581</v>
      </c>
      <c r="E104" s="245"/>
      <c r="F104" s="246">
        <f>(F97+F96)/F96-1</f>
        <v>0.5</v>
      </c>
      <c r="H104" s="243">
        <f t="shared" ref="H104:AB104" si="446">(H97+H96)/H96-1</f>
        <v>0</v>
      </c>
      <c r="I104" s="233">
        <f t="shared" si="446"/>
        <v>0</v>
      </c>
      <c r="J104" s="233">
        <f t="shared" si="446"/>
        <v>0</v>
      </c>
      <c r="K104" s="233">
        <f t="shared" si="446"/>
        <v>0</v>
      </c>
      <c r="L104" s="233">
        <f t="shared" si="446"/>
        <v>0.19999999999999996</v>
      </c>
      <c r="M104" s="233">
        <f t="shared" si="446"/>
        <v>0</v>
      </c>
      <c r="N104" s="233">
        <f t="shared" si="446"/>
        <v>0</v>
      </c>
      <c r="O104" s="233">
        <f t="shared" si="446"/>
        <v>0</v>
      </c>
      <c r="P104" s="233">
        <f t="shared" si="446"/>
        <v>0</v>
      </c>
      <c r="Q104" s="243">
        <f t="shared" si="446"/>
        <v>0</v>
      </c>
      <c r="R104" s="233">
        <f t="shared" si="446"/>
        <v>0</v>
      </c>
      <c r="S104" s="233">
        <f t="shared" si="446"/>
        <v>0.16666666666666674</v>
      </c>
      <c r="T104" s="233">
        <f t="shared" si="446"/>
        <v>0.14285714285714279</v>
      </c>
      <c r="U104" s="233">
        <f t="shared" si="446"/>
        <v>0</v>
      </c>
      <c r="V104" s="233">
        <f t="shared" si="446"/>
        <v>0</v>
      </c>
      <c r="W104" s="233">
        <f t="shared" si="446"/>
        <v>0</v>
      </c>
      <c r="X104" s="233">
        <f t="shared" si="446"/>
        <v>0</v>
      </c>
      <c r="Y104" s="233">
        <f t="shared" si="446"/>
        <v>0</v>
      </c>
      <c r="Z104" s="233">
        <f t="shared" si="446"/>
        <v>0</v>
      </c>
      <c r="AA104" s="233">
        <f t="shared" si="446"/>
        <v>0.14285714285714279</v>
      </c>
      <c r="AB104" s="244">
        <f t="shared" si="446"/>
        <v>0</v>
      </c>
    </row>
    <row r="105" spans="2:31">
      <c r="B105" s="234" t="s">
        <v>1812</v>
      </c>
      <c r="C105" s="236">
        <f>(C98+C101)/C101-1</f>
        <v>0</v>
      </c>
      <c r="D105" s="237">
        <f>(D98+D101)/D101-1</f>
        <v>-0.1333333333333333</v>
      </c>
      <c r="E105" s="245"/>
      <c r="F105" s="239">
        <f>(F98+F101)/F101-1</f>
        <v>-0.1428571428571429</v>
      </c>
      <c r="H105" s="238">
        <f t="shared" ref="H105:AB105" si="447">(H98+H101)/H101-1</f>
        <v>0</v>
      </c>
      <c r="I105" s="236">
        <f t="shared" si="447"/>
        <v>0</v>
      </c>
      <c r="J105" s="236">
        <f t="shared" si="447"/>
        <v>0</v>
      </c>
      <c r="K105" s="236">
        <f t="shared" si="447"/>
        <v>0</v>
      </c>
      <c r="L105" s="236">
        <f t="shared" si="447"/>
        <v>0</v>
      </c>
      <c r="M105" s="236">
        <f t="shared" si="447"/>
        <v>0</v>
      </c>
      <c r="N105" s="236">
        <f t="shared" si="447"/>
        <v>0</v>
      </c>
      <c r="O105" s="236">
        <f t="shared" si="447"/>
        <v>0</v>
      </c>
      <c r="P105" s="236">
        <f t="shared" si="447"/>
        <v>0</v>
      </c>
      <c r="Q105" s="238">
        <f t="shared" si="447"/>
        <v>0</v>
      </c>
      <c r="R105" s="236">
        <f t="shared" si="447"/>
        <v>0</v>
      </c>
      <c r="S105" s="236">
        <f t="shared" si="447"/>
        <v>0</v>
      </c>
      <c r="T105" s="236">
        <f t="shared" si="447"/>
        <v>0</v>
      </c>
      <c r="U105" s="236">
        <f t="shared" si="447"/>
        <v>0</v>
      </c>
      <c r="V105" s="236">
        <f t="shared" si="447"/>
        <v>0</v>
      </c>
      <c r="W105" s="236">
        <f t="shared" si="447"/>
        <v>0</v>
      </c>
      <c r="X105" s="236">
        <f t="shared" si="447"/>
        <v>-0.1333333333333333</v>
      </c>
      <c r="Y105" s="236">
        <f t="shared" si="447"/>
        <v>0</v>
      </c>
      <c r="Z105" s="236">
        <f t="shared" si="447"/>
        <v>0</v>
      </c>
      <c r="AA105" s="236">
        <f t="shared" si="447"/>
        <v>0</v>
      </c>
      <c r="AB105" s="237">
        <f t="shared" si="447"/>
        <v>0</v>
      </c>
    </row>
    <row r="106" spans="2:31" ht="3.95" customHeight="1">
      <c r="B106" s="179"/>
    </row>
    <row r="107" spans="2:31" ht="24">
      <c r="B107" s="159" t="s">
        <v>1811</v>
      </c>
      <c r="C107" s="176" t="s">
        <v>4</v>
      </c>
      <c r="D107" s="176" t="s">
        <v>1317</v>
      </c>
      <c r="E107" s="190"/>
      <c r="F107" s="176" t="s">
        <v>1527</v>
      </c>
      <c r="H107" s="189">
        <v>45658</v>
      </c>
      <c r="I107" s="189">
        <f t="shared" ref="I107" si="448">EOMONTH(H107,0)+1</f>
        <v>45689</v>
      </c>
      <c r="J107" s="189">
        <f t="shared" ref="J107" si="449">EOMONTH(I107,0)+1</f>
        <v>45717</v>
      </c>
      <c r="K107" s="189">
        <f t="shared" ref="K107" si="450">EOMONTH(J107,0)+1</f>
        <v>45748</v>
      </c>
      <c r="L107" s="189">
        <f t="shared" ref="L107" si="451">EOMONTH(K107,0)+1</f>
        <v>45778</v>
      </c>
      <c r="M107" s="189">
        <f t="shared" ref="M107" si="452">EOMONTH(L107,0)+1</f>
        <v>45809</v>
      </c>
      <c r="N107" s="189">
        <f t="shared" ref="N107" si="453">EOMONTH(M107,0)+1</f>
        <v>45839</v>
      </c>
      <c r="O107" s="189">
        <v>45870</v>
      </c>
      <c r="P107" s="189">
        <f t="shared" ref="P107" si="454">EOMONTH(O107,0)+1</f>
        <v>45901</v>
      </c>
      <c r="Q107" s="189">
        <f t="shared" ref="Q107" si="455">EOMONTH(P107,0)+1</f>
        <v>45931</v>
      </c>
      <c r="R107" s="189">
        <f t="shared" ref="R107" si="456">EOMONTH(Q107,0)+1</f>
        <v>45962</v>
      </c>
      <c r="S107" s="189">
        <f t="shared" ref="S107" si="457">EOMONTH(R107,0)+1</f>
        <v>45992</v>
      </c>
      <c r="T107" s="189">
        <f t="shared" ref="T107" si="458">EOMONTH(S107,0)+1</f>
        <v>46023</v>
      </c>
      <c r="U107" s="189">
        <f t="shared" ref="U107" si="459">EOMONTH(T107,0)+1</f>
        <v>46054</v>
      </c>
      <c r="V107" s="189">
        <f t="shared" ref="V107" si="460">EOMONTH(U107,0)+1</f>
        <v>46082</v>
      </c>
      <c r="W107" s="189">
        <f t="shared" ref="W107" si="461">EOMONTH(V107,0)+1</f>
        <v>46113</v>
      </c>
      <c r="X107" s="189">
        <f t="shared" ref="X107" si="462">EOMONTH(W107,0)+1</f>
        <v>46143</v>
      </c>
      <c r="Y107" s="189">
        <f t="shared" ref="Y107" si="463">EOMONTH(X107,0)+1</f>
        <v>46174</v>
      </c>
      <c r="Z107" s="189">
        <f t="shared" ref="Z107" si="464">EOMONTH(Y107,0)+1</f>
        <v>46204</v>
      </c>
      <c r="AA107" s="189">
        <f t="shared" ref="AA107" si="465">EOMONTH(Z107,0)+1</f>
        <v>46235</v>
      </c>
      <c r="AB107" s="189">
        <f t="shared" ref="AB107" si="466">EOMONTH(AA107,0)+1</f>
        <v>46266</v>
      </c>
      <c r="AC107" s="184"/>
      <c r="AE107" s="184"/>
    </row>
    <row r="108" spans="2:31">
      <c r="B108" s="319" t="s">
        <v>1507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09" t="s">
        <v>1818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467">+I$19</f>
        <v>147.5</v>
      </c>
      <c r="J109" s="65">
        <f t="shared" si="467"/>
        <v>151</v>
      </c>
      <c r="K109" s="65">
        <f t="shared" si="467"/>
        <v>156.5</v>
      </c>
      <c r="L109" s="65">
        <f t="shared" si="467"/>
        <v>162</v>
      </c>
      <c r="M109" s="65">
        <f t="shared" si="467"/>
        <v>165</v>
      </c>
      <c r="N109" s="65">
        <f t="shared" si="467"/>
        <v>167</v>
      </c>
      <c r="O109" s="65">
        <f t="shared" si="467"/>
        <v>172</v>
      </c>
      <c r="P109" s="65">
        <f t="shared" si="467"/>
        <v>176</v>
      </c>
      <c r="Q109" s="65">
        <f t="shared" si="467"/>
        <v>179.5</v>
      </c>
      <c r="R109" s="65">
        <f t="shared" si="467"/>
        <v>181.5</v>
      </c>
      <c r="S109" s="65">
        <f t="shared" si="467"/>
        <v>180.5</v>
      </c>
      <c r="T109" s="65">
        <f t="shared" si="467"/>
        <v>183</v>
      </c>
      <c r="U109" s="65">
        <f t="shared" si="467"/>
        <v>189.5</v>
      </c>
      <c r="V109" s="65">
        <f t="shared" si="467"/>
        <v>192.5</v>
      </c>
      <c r="W109" s="65">
        <f t="shared" si="467"/>
        <v>195</v>
      </c>
      <c r="X109" s="65">
        <f t="shared" si="467"/>
        <v>193.5</v>
      </c>
      <c r="Y109" s="65">
        <f t="shared" si="467"/>
        <v>189</v>
      </c>
      <c r="Z109" s="65">
        <f t="shared" si="467"/>
        <v>181.5</v>
      </c>
      <c r="AA109" s="65">
        <f t="shared" si="467"/>
        <v>174.5</v>
      </c>
      <c r="AB109" s="65">
        <f t="shared" si="467"/>
        <v>177</v>
      </c>
      <c r="AC109" s="6"/>
      <c r="AD109" s="6"/>
      <c r="AE109" s="6"/>
    </row>
    <row r="110" spans="2:31" ht="3.95" customHeight="1">
      <c r="B110" s="308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1313</v>
      </c>
      <c r="C111" s="181">
        <f>+C114-C112-C113</f>
        <v>4</v>
      </c>
      <c r="D111" s="181">
        <f>+D114-D112-D113</f>
        <v>3</v>
      </c>
      <c r="F111" s="181">
        <f>+F114-F112-F113</f>
        <v>3</v>
      </c>
      <c r="H111" s="181">
        <f t="shared" ref="H111" si="468">+H114-H112-H113</f>
        <v>4</v>
      </c>
      <c r="I111" s="181">
        <f t="shared" ref="I111" si="469">+I114-I112-I113</f>
        <v>4</v>
      </c>
      <c r="J111" s="181">
        <f t="shared" ref="J111" si="470">+J114-J112-J113</f>
        <v>3</v>
      </c>
      <c r="K111" s="181">
        <f t="shared" ref="K111" si="471">+K114-K112-K113</f>
        <v>3</v>
      </c>
      <c r="L111" s="181">
        <f t="shared" ref="L111" si="472">+L114-L112-L113</f>
        <v>3</v>
      </c>
      <c r="M111" s="181">
        <f t="shared" ref="M111" si="473">+M114-M112-M113</f>
        <v>3</v>
      </c>
      <c r="N111" s="181">
        <f t="shared" ref="N111" si="474">+N114-N112-N113</f>
        <v>3</v>
      </c>
      <c r="O111" s="181">
        <f t="shared" ref="O111" si="475">+O114-O112-O113</f>
        <v>3</v>
      </c>
      <c r="P111" s="181">
        <f t="shared" ref="P111" si="476">+P114-P112-P113</f>
        <v>3</v>
      </c>
      <c r="Q111" s="181">
        <f t="shared" ref="Q111" si="477">+Q114-Q112-Q113</f>
        <v>3</v>
      </c>
      <c r="R111" s="181">
        <f t="shared" ref="R111" si="478">+R114-R112-R113</f>
        <v>3</v>
      </c>
      <c r="S111" s="181">
        <f t="shared" ref="S111" si="479">+S114-S112-S113</f>
        <v>3</v>
      </c>
      <c r="T111" s="181">
        <f t="shared" ref="T111" si="480">+T114-T112-T113</f>
        <v>3</v>
      </c>
      <c r="U111" s="181">
        <f t="shared" ref="U111" si="481">+U114-U112-U113</f>
        <v>3</v>
      </c>
      <c r="V111" s="181">
        <f t="shared" ref="V111" si="482">+V114-V112-V113</f>
        <v>3</v>
      </c>
      <c r="W111" s="181">
        <f t="shared" ref="W111" si="483">+W114-W112-W113</f>
        <v>3</v>
      </c>
      <c r="X111" s="181">
        <f t="shared" ref="X111" si="484">+X114-X112-X113</f>
        <v>3</v>
      </c>
      <c r="Y111" s="181">
        <f t="shared" ref="Y111" si="485">+Y114-Y112-Y113</f>
        <v>3</v>
      </c>
      <c r="Z111" s="181">
        <f t="shared" ref="Z111" si="486">+Z114-Z112-Z113</f>
        <v>3</v>
      </c>
      <c r="AA111" s="181">
        <f t="shared" ref="AA111" si="487">+AA114-AA112-AA113</f>
        <v>3</v>
      </c>
      <c r="AB111" s="181">
        <f t="shared" ref="AB111" si="488">+AB114-AB112-AB113</f>
        <v>3</v>
      </c>
    </row>
    <row r="112" spans="2:31">
      <c r="B112" s="188" t="s">
        <v>1814</v>
      </c>
      <c r="C112" s="194">
        <f>SUM(H112:S112)</f>
        <v>0</v>
      </c>
      <c r="D112" s="194">
        <f>SUM(T112:AB112)</f>
        <v>0</v>
      </c>
      <c r="F112" s="194">
        <f>SUM(Q112:AB112)</f>
        <v>0</v>
      </c>
      <c r="H112" s="192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2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2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2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2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2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2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2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2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2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2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2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2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2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2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2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2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2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2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2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2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88" t="s">
        <v>1815</v>
      </c>
      <c r="C113" s="194">
        <f>SUM(H113:S113)</f>
        <v>-1</v>
      </c>
      <c r="D113" s="194">
        <f>SUM(T113:AB113)</f>
        <v>0</v>
      </c>
      <c r="F113" s="194">
        <f>SUM(Q113:AB113)</f>
        <v>0</v>
      </c>
      <c r="H113" s="192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2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2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2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2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2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2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2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2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2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2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2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2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2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2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2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2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2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2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2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2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6" t="s">
        <v>1315</v>
      </c>
      <c r="C114" s="257">
        <f>+D111</f>
        <v>3</v>
      </c>
      <c r="D114" s="258">
        <f>+$AB114</f>
        <v>3</v>
      </c>
      <c r="F114" s="261">
        <f>+$AB114</f>
        <v>3</v>
      </c>
      <c r="H114" s="259">
        <f t="shared" ref="H114:AA114" si="489">+I111</f>
        <v>4</v>
      </c>
      <c r="I114" s="257">
        <f t="shared" si="489"/>
        <v>3</v>
      </c>
      <c r="J114" s="257">
        <f t="shared" si="489"/>
        <v>3</v>
      </c>
      <c r="K114" s="257">
        <f t="shared" si="489"/>
        <v>3</v>
      </c>
      <c r="L114" s="257">
        <f t="shared" si="489"/>
        <v>3</v>
      </c>
      <c r="M114" s="257">
        <f t="shared" si="489"/>
        <v>3</v>
      </c>
      <c r="N114" s="257">
        <f t="shared" si="489"/>
        <v>3</v>
      </c>
      <c r="O114" s="257">
        <f t="shared" si="489"/>
        <v>3</v>
      </c>
      <c r="P114" s="257">
        <f t="shared" si="489"/>
        <v>3</v>
      </c>
      <c r="Q114" s="257">
        <f t="shared" si="489"/>
        <v>3</v>
      </c>
      <c r="R114" s="257">
        <f t="shared" si="489"/>
        <v>3</v>
      </c>
      <c r="S114" s="257">
        <f t="shared" si="489"/>
        <v>3</v>
      </c>
      <c r="T114" s="257">
        <f t="shared" si="489"/>
        <v>3</v>
      </c>
      <c r="U114" s="257">
        <f t="shared" si="489"/>
        <v>3</v>
      </c>
      <c r="V114" s="257">
        <f t="shared" si="489"/>
        <v>3</v>
      </c>
      <c r="W114" s="257">
        <f t="shared" si="489"/>
        <v>3</v>
      </c>
      <c r="X114" s="257">
        <f t="shared" si="489"/>
        <v>3</v>
      </c>
      <c r="Y114" s="257">
        <f t="shared" si="489"/>
        <v>3</v>
      </c>
      <c r="Z114" s="257">
        <f t="shared" si="489"/>
        <v>3</v>
      </c>
      <c r="AA114" s="257">
        <f t="shared" si="489"/>
        <v>3</v>
      </c>
      <c r="AB114" s="307">
        <f>COUNTIFS('Combined Employee Worksheet'!$H:$H,"Active",'Combined Employee Worksheet'!$D:$D,'Employee Retention'!B108)</f>
        <v>3</v>
      </c>
    </row>
    <row r="115" spans="2:31" ht="3.95" customHeight="1">
      <c r="B115" s="179"/>
      <c r="C115" s="229"/>
      <c r="D115" s="229"/>
      <c r="F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314"/>
    </row>
    <row r="116" spans="2:31" ht="12" customHeight="1">
      <c r="B116" s="231" t="s">
        <v>1817</v>
      </c>
      <c r="C116" s="315">
        <f>AVERAGE(C111,C114)</f>
        <v>3.5</v>
      </c>
      <c r="D116" s="316">
        <f>AVERAGE(D111,D114)</f>
        <v>3</v>
      </c>
      <c r="F116" s="317">
        <f>AVERAGE(F111,F114)</f>
        <v>3</v>
      </c>
      <c r="H116" s="318">
        <f t="shared" ref="H116" si="490">AVERAGE(H111,H114)</f>
        <v>4</v>
      </c>
      <c r="I116" s="315">
        <f t="shared" ref="I116" si="491">AVERAGE(I111,I114)</f>
        <v>3.5</v>
      </c>
      <c r="J116" s="315">
        <f t="shared" ref="J116" si="492">AVERAGE(J111,J114)</f>
        <v>3</v>
      </c>
      <c r="K116" s="315">
        <f t="shared" ref="K116" si="493">AVERAGE(K111,K114)</f>
        <v>3</v>
      </c>
      <c r="L116" s="315">
        <f t="shared" ref="L116" si="494">AVERAGE(L111,L114)</f>
        <v>3</v>
      </c>
      <c r="M116" s="315">
        <f t="shared" ref="M116" si="495">AVERAGE(M111,M114)</f>
        <v>3</v>
      </c>
      <c r="N116" s="315">
        <f t="shared" ref="N116" si="496">AVERAGE(N111,N114)</f>
        <v>3</v>
      </c>
      <c r="O116" s="315">
        <f t="shared" ref="O116" si="497">AVERAGE(O111,O114)</f>
        <v>3</v>
      </c>
      <c r="P116" s="315">
        <f t="shared" ref="P116" si="498">AVERAGE(P111,P114)</f>
        <v>3</v>
      </c>
      <c r="Q116" s="315">
        <f t="shared" ref="Q116" si="499">AVERAGE(Q111,Q114)</f>
        <v>3</v>
      </c>
      <c r="R116" s="315">
        <f t="shared" ref="R116" si="500">AVERAGE(R111,R114)</f>
        <v>3</v>
      </c>
      <c r="S116" s="315">
        <f t="shared" ref="S116" si="501">AVERAGE(S111,S114)</f>
        <v>3</v>
      </c>
      <c r="T116" s="315">
        <f t="shared" ref="T116" si="502">AVERAGE(T111,T114)</f>
        <v>3</v>
      </c>
      <c r="U116" s="315">
        <f t="shared" ref="U116" si="503">AVERAGE(U111,U114)</f>
        <v>3</v>
      </c>
      <c r="V116" s="315">
        <f t="shared" ref="V116" si="504">AVERAGE(V111,V114)</f>
        <v>3</v>
      </c>
      <c r="W116" s="315">
        <f t="shared" ref="W116" si="505">AVERAGE(W111,W114)</f>
        <v>3</v>
      </c>
      <c r="X116" s="315">
        <f t="shared" ref="X116" si="506">AVERAGE(X111,X114)</f>
        <v>3</v>
      </c>
      <c r="Y116" s="315">
        <f t="shared" ref="Y116" si="507">AVERAGE(Y111,Y114)</f>
        <v>3</v>
      </c>
      <c r="Z116" s="315">
        <f t="shared" ref="Z116" si="508">AVERAGE(Z111,Z114)</f>
        <v>3</v>
      </c>
      <c r="AA116" s="315">
        <f t="shared" ref="AA116" si="509">AVERAGE(AA111,AA114)</f>
        <v>3</v>
      </c>
      <c r="AB116" s="316">
        <f t="shared" ref="AB116" si="510">AVERAGE(AB111,AB114)</f>
        <v>3</v>
      </c>
    </row>
    <row r="117" spans="2:31" ht="12" customHeight="1">
      <c r="B117" s="234" t="s">
        <v>1816</v>
      </c>
      <c r="C117" s="310">
        <f>C109/C116</f>
        <v>46.428571428571431</v>
      </c>
      <c r="D117" s="311">
        <f>D109/D116</f>
        <v>59.833333333333336</v>
      </c>
      <c r="E117" s="181"/>
      <c r="F117" s="312">
        <f>F109/F116</f>
        <v>59.333333333333336</v>
      </c>
      <c r="G117" s="181"/>
      <c r="H117" s="313">
        <f t="shared" ref="H117" si="511">H109/H116</f>
        <v>36.5</v>
      </c>
      <c r="I117" s="310">
        <f t="shared" ref="I117" si="512">I109/I116</f>
        <v>42.142857142857146</v>
      </c>
      <c r="J117" s="310">
        <f t="shared" ref="J117" si="513">J109/J116</f>
        <v>50.333333333333336</v>
      </c>
      <c r="K117" s="310">
        <f t="shared" ref="K117" si="514">K109/K116</f>
        <v>52.166666666666664</v>
      </c>
      <c r="L117" s="310">
        <f t="shared" ref="L117" si="515">L109/L116</f>
        <v>54</v>
      </c>
      <c r="M117" s="310">
        <f t="shared" ref="M117" si="516">M109/M116</f>
        <v>55</v>
      </c>
      <c r="N117" s="310">
        <f t="shared" ref="N117" si="517">N109/N116</f>
        <v>55.666666666666664</v>
      </c>
      <c r="O117" s="310">
        <f t="shared" ref="O117" si="518">O109/O116</f>
        <v>57.333333333333336</v>
      </c>
      <c r="P117" s="310">
        <f t="shared" ref="P117" si="519">P109/P116</f>
        <v>58.666666666666664</v>
      </c>
      <c r="Q117" s="310">
        <f t="shared" ref="Q117" si="520">Q109/Q116</f>
        <v>59.833333333333336</v>
      </c>
      <c r="R117" s="310">
        <f t="shared" ref="R117" si="521">R109/R116</f>
        <v>60.5</v>
      </c>
      <c r="S117" s="310">
        <f t="shared" ref="S117" si="522">S109/S116</f>
        <v>60.166666666666664</v>
      </c>
      <c r="T117" s="310">
        <f t="shared" ref="T117" si="523">T109/T116</f>
        <v>61</v>
      </c>
      <c r="U117" s="310">
        <f t="shared" ref="U117" si="524">U109/U116</f>
        <v>63.166666666666664</v>
      </c>
      <c r="V117" s="310">
        <f t="shared" ref="V117" si="525">V109/V116</f>
        <v>64.166666666666671</v>
      </c>
      <c r="W117" s="310">
        <f t="shared" ref="W117" si="526">W109/W116</f>
        <v>65</v>
      </c>
      <c r="X117" s="310">
        <f t="shared" ref="X117" si="527">X109/X116</f>
        <v>64.5</v>
      </c>
      <c r="Y117" s="310">
        <f t="shared" ref="Y117" si="528">Y109/Y116</f>
        <v>63</v>
      </c>
      <c r="Z117" s="310">
        <f t="shared" ref="Z117" si="529">Z109/Z116</f>
        <v>60.5</v>
      </c>
      <c r="AA117" s="310">
        <f t="shared" ref="AA117" si="530">AA109/AA116</f>
        <v>58.166666666666664</v>
      </c>
      <c r="AB117" s="311">
        <f t="shared" ref="AB117" si="531">AB109/AB116</f>
        <v>59</v>
      </c>
    </row>
    <row r="118" spans="2:31" ht="3.95" customHeight="1">
      <c r="B118" s="179"/>
      <c r="C118" s="229"/>
      <c r="D118" s="229"/>
      <c r="F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30"/>
      <c r="AA118" s="230"/>
      <c r="AB118" s="230"/>
    </row>
    <row r="119" spans="2:31" ht="12" customHeight="1">
      <c r="B119" s="231" t="s">
        <v>1813</v>
      </c>
      <c r="C119" s="233">
        <f>(C112+C111)/C111-1</f>
        <v>0</v>
      </c>
      <c r="D119" s="244">
        <f>(D112+D111)/D111-1</f>
        <v>0</v>
      </c>
      <c r="E119" s="245"/>
      <c r="F119" s="246">
        <f>(F112+F111)/F111-1</f>
        <v>0</v>
      </c>
      <c r="H119" s="243">
        <f t="shared" ref="H119:AB119" si="532">(H112+H111)/H111-1</f>
        <v>0</v>
      </c>
      <c r="I119" s="233">
        <f t="shared" si="532"/>
        <v>0</v>
      </c>
      <c r="J119" s="233">
        <f t="shared" si="532"/>
        <v>0</v>
      </c>
      <c r="K119" s="233">
        <f t="shared" si="532"/>
        <v>0</v>
      </c>
      <c r="L119" s="233">
        <f t="shared" si="532"/>
        <v>0</v>
      </c>
      <c r="M119" s="233">
        <f t="shared" si="532"/>
        <v>0</v>
      </c>
      <c r="N119" s="233">
        <f t="shared" si="532"/>
        <v>0</v>
      </c>
      <c r="O119" s="233">
        <f t="shared" si="532"/>
        <v>0</v>
      </c>
      <c r="P119" s="233">
        <f t="shared" si="532"/>
        <v>0</v>
      </c>
      <c r="Q119" s="243">
        <f t="shared" si="532"/>
        <v>0</v>
      </c>
      <c r="R119" s="233">
        <f t="shared" si="532"/>
        <v>0</v>
      </c>
      <c r="S119" s="233">
        <f t="shared" si="532"/>
        <v>0</v>
      </c>
      <c r="T119" s="233">
        <f t="shared" si="532"/>
        <v>0</v>
      </c>
      <c r="U119" s="233">
        <f t="shared" si="532"/>
        <v>0</v>
      </c>
      <c r="V119" s="233">
        <f t="shared" si="532"/>
        <v>0</v>
      </c>
      <c r="W119" s="233">
        <f t="shared" si="532"/>
        <v>0</v>
      </c>
      <c r="X119" s="233">
        <f t="shared" si="532"/>
        <v>0</v>
      </c>
      <c r="Y119" s="233">
        <f t="shared" si="532"/>
        <v>0</v>
      </c>
      <c r="Z119" s="233">
        <f t="shared" si="532"/>
        <v>0</v>
      </c>
      <c r="AA119" s="233">
        <f t="shared" si="532"/>
        <v>0</v>
      </c>
      <c r="AB119" s="244">
        <f t="shared" si="532"/>
        <v>0</v>
      </c>
    </row>
    <row r="120" spans="2:31">
      <c r="B120" s="234" t="s">
        <v>1812</v>
      </c>
      <c r="C120" s="236">
        <f>(C113+C116)/C116-1</f>
        <v>-0.2857142857142857</v>
      </c>
      <c r="D120" s="237">
        <f>(D113+D116)/D116-1</f>
        <v>0</v>
      </c>
      <c r="E120" s="245"/>
      <c r="F120" s="239">
        <f>(F113+F116)/F116-1</f>
        <v>0</v>
      </c>
      <c r="H120" s="238">
        <f t="shared" ref="H120:AB120" si="533">(H113+H116)/H116-1</f>
        <v>0</v>
      </c>
      <c r="I120" s="236">
        <f t="shared" si="533"/>
        <v>-0.2857142857142857</v>
      </c>
      <c r="J120" s="236">
        <f t="shared" si="533"/>
        <v>0</v>
      </c>
      <c r="K120" s="236">
        <f t="shared" si="533"/>
        <v>0</v>
      </c>
      <c r="L120" s="236">
        <f t="shared" si="533"/>
        <v>0</v>
      </c>
      <c r="M120" s="236">
        <f t="shared" si="533"/>
        <v>0</v>
      </c>
      <c r="N120" s="236">
        <f t="shared" si="533"/>
        <v>0</v>
      </c>
      <c r="O120" s="236">
        <f t="shared" si="533"/>
        <v>0</v>
      </c>
      <c r="P120" s="236">
        <f t="shared" si="533"/>
        <v>0</v>
      </c>
      <c r="Q120" s="238">
        <f t="shared" si="533"/>
        <v>0</v>
      </c>
      <c r="R120" s="236">
        <f t="shared" si="533"/>
        <v>0</v>
      </c>
      <c r="S120" s="236">
        <f t="shared" si="533"/>
        <v>0</v>
      </c>
      <c r="T120" s="236">
        <f t="shared" si="533"/>
        <v>0</v>
      </c>
      <c r="U120" s="236">
        <f t="shared" si="533"/>
        <v>0</v>
      </c>
      <c r="V120" s="236">
        <f t="shared" si="533"/>
        <v>0</v>
      </c>
      <c r="W120" s="236">
        <f t="shared" si="533"/>
        <v>0</v>
      </c>
      <c r="X120" s="236">
        <f t="shared" si="533"/>
        <v>0</v>
      </c>
      <c r="Y120" s="236">
        <f t="shared" si="533"/>
        <v>0</v>
      </c>
      <c r="Z120" s="236">
        <f t="shared" si="533"/>
        <v>0</v>
      </c>
      <c r="AA120" s="236">
        <f t="shared" si="533"/>
        <v>0</v>
      </c>
      <c r="AB120" s="237">
        <f t="shared" si="533"/>
        <v>0</v>
      </c>
    </row>
    <row r="121" spans="2:31" ht="3.95" customHeight="1">
      <c r="B121" s="179"/>
    </row>
    <row r="122" spans="2:31" ht="24">
      <c r="B122" s="159" t="s">
        <v>1811</v>
      </c>
      <c r="C122" s="176" t="s">
        <v>4</v>
      </c>
      <c r="D122" s="176" t="s">
        <v>1317</v>
      </c>
      <c r="E122" s="190"/>
      <c r="F122" s="176" t="s">
        <v>1527</v>
      </c>
      <c r="H122" s="189">
        <v>45658</v>
      </c>
      <c r="I122" s="189">
        <f t="shared" ref="I122" si="534">EOMONTH(H122,0)+1</f>
        <v>45689</v>
      </c>
      <c r="J122" s="189">
        <f t="shared" ref="J122" si="535">EOMONTH(I122,0)+1</f>
        <v>45717</v>
      </c>
      <c r="K122" s="189">
        <f t="shared" ref="K122" si="536">EOMONTH(J122,0)+1</f>
        <v>45748</v>
      </c>
      <c r="L122" s="189">
        <f t="shared" ref="L122" si="537">EOMONTH(K122,0)+1</f>
        <v>45778</v>
      </c>
      <c r="M122" s="189">
        <f t="shared" ref="M122" si="538">EOMONTH(L122,0)+1</f>
        <v>45809</v>
      </c>
      <c r="N122" s="189">
        <f t="shared" ref="N122" si="539">EOMONTH(M122,0)+1</f>
        <v>45839</v>
      </c>
      <c r="O122" s="189">
        <v>45870</v>
      </c>
      <c r="P122" s="189">
        <f t="shared" ref="P122" si="540">EOMONTH(O122,0)+1</f>
        <v>45901</v>
      </c>
      <c r="Q122" s="189">
        <f t="shared" ref="Q122" si="541">EOMONTH(P122,0)+1</f>
        <v>45931</v>
      </c>
      <c r="R122" s="189">
        <f t="shared" ref="R122" si="542">EOMONTH(Q122,0)+1</f>
        <v>45962</v>
      </c>
      <c r="S122" s="189">
        <f t="shared" ref="S122" si="543">EOMONTH(R122,0)+1</f>
        <v>45992</v>
      </c>
      <c r="T122" s="189">
        <f t="shared" ref="T122" si="544">EOMONTH(S122,0)+1</f>
        <v>46023</v>
      </c>
      <c r="U122" s="189">
        <f t="shared" ref="U122" si="545">EOMONTH(T122,0)+1</f>
        <v>46054</v>
      </c>
      <c r="V122" s="189">
        <f t="shared" ref="V122" si="546">EOMONTH(U122,0)+1</f>
        <v>46082</v>
      </c>
      <c r="W122" s="189">
        <f t="shared" ref="W122" si="547">EOMONTH(V122,0)+1</f>
        <v>46113</v>
      </c>
      <c r="X122" s="189">
        <f t="shared" ref="X122" si="548">EOMONTH(W122,0)+1</f>
        <v>46143</v>
      </c>
      <c r="Y122" s="189">
        <f t="shared" ref="Y122" si="549">EOMONTH(X122,0)+1</f>
        <v>46174</v>
      </c>
      <c r="Z122" s="189">
        <f t="shared" ref="Z122" si="550">EOMONTH(Y122,0)+1</f>
        <v>46204</v>
      </c>
      <c r="AA122" s="189">
        <f t="shared" ref="AA122" si="551">EOMONTH(Z122,0)+1</f>
        <v>46235</v>
      </c>
      <c r="AB122" s="189">
        <f t="shared" ref="AB122" si="552">EOMONTH(AA122,0)+1</f>
        <v>46266</v>
      </c>
      <c r="AC122" s="184"/>
      <c r="AE122" s="184"/>
    </row>
    <row r="123" spans="2:31">
      <c r="B123" s="319" t="s">
        <v>1508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1313</v>
      </c>
      <c r="C124" s="181">
        <f>+C127-C125-C126</f>
        <v>1</v>
      </c>
      <c r="D124" s="181">
        <f>+D127-D125-D126</f>
        <v>1</v>
      </c>
      <c r="F124" s="181">
        <f>+F127-F125-F126</f>
        <v>2</v>
      </c>
      <c r="H124" s="181">
        <f t="shared" ref="H124" si="553">+H127-H125-H126</f>
        <v>1</v>
      </c>
      <c r="I124" s="181">
        <f t="shared" ref="I124" si="554">+I127-I125-I126</f>
        <v>1</v>
      </c>
      <c r="J124" s="181">
        <f t="shared" ref="J124" si="555">+J127-J125-J126</f>
        <v>1</v>
      </c>
      <c r="K124" s="181">
        <f t="shared" ref="K124" si="556">+K127-K125-K126</f>
        <v>1</v>
      </c>
      <c r="L124" s="181">
        <f t="shared" ref="L124" si="557">+L127-L125-L126</f>
        <v>1</v>
      </c>
      <c r="M124" s="181">
        <f t="shared" ref="M124" si="558">+M127-M125-M126</f>
        <v>1</v>
      </c>
      <c r="N124" s="181">
        <f t="shared" ref="N124" si="559">+N127-N125-N126</f>
        <v>1</v>
      </c>
      <c r="O124" s="181">
        <f t="shared" ref="O124" si="560">+O127-O125-O126</f>
        <v>1</v>
      </c>
      <c r="P124" s="181">
        <f t="shared" ref="P124" si="561">+P127-P125-P126</f>
        <v>2</v>
      </c>
      <c r="Q124" s="181">
        <f t="shared" ref="Q124" si="562">+Q127-Q125-Q126</f>
        <v>2</v>
      </c>
      <c r="R124" s="181">
        <f t="shared" ref="R124" si="563">+R127-R125-R126</f>
        <v>2</v>
      </c>
      <c r="S124" s="181">
        <f t="shared" ref="S124" si="564">+S127-S125-S126</f>
        <v>2</v>
      </c>
      <c r="T124" s="181">
        <f t="shared" ref="T124" si="565">+T127-T125-T126</f>
        <v>1</v>
      </c>
      <c r="U124" s="181">
        <f t="shared" ref="U124" si="566">+U127-U125-U126</f>
        <v>1</v>
      </c>
      <c r="V124" s="181">
        <f t="shared" ref="V124" si="567">+V127-V125-V126</f>
        <v>2</v>
      </c>
      <c r="W124" s="181">
        <f t="shared" ref="W124" si="568">+W127-W125-W126</f>
        <v>3</v>
      </c>
      <c r="X124" s="181">
        <f t="shared" ref="X124" si="569">+X127-X125-X126</f>
        <v>4</v>
      </c>
      <c r="Y124" s="181">
        <f t="shared" ref="Y124" si="570">+Y127-Y125-Y126</f>
        <v>4</v>
      </c>
      <c r="Z124" s="181">
        <f t="shared" ref="Z124" si="571">+Z127-Z125-Z126</f>
        <v>4</v>
      </c>
      <c r="AA124" s="181">
        <f t="shared" ref="AA124" si="572">+AA127-AA125-AA126</f>
        <v>3</v>
      </c>
      <c r="AB124" s="181">
        <f t="shared" ref="AB124" si="573">+AB127-AB125-AB126</f>
        <v>3</v>
      </c>
    </row>
    <row r="125" spans="2:31">
      <c r="B125" s="188" t="s">
        <v>1814</v>
      </c>
      <c r="C125" s="194">
        <f>SUM(H125:S125)</f>
        <v>2</v>
      </c>
      <c r="D125" s="194">
        <f>SUM(T125:AB125)</f>
        <v>5</v>
      </c>
      <c r="F125" s="194">
        <f>SUM(Q125:AB125)</f>
        <v>6</v>
      </c>
      <c r="H125" s="192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2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2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2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2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2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2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2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2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2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2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2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2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2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2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2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2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2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2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2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2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88" t="s">
        <v>1815</v>
      </c>
      <c r="C126" s="194">
        <f>SUM(H126:S126)</f>
        <v>-2</v>
      </c>
      <c r="D126" s="194">
        <f>SUM(T126:AB126)</f>
        <v>-2</v>
      </c>
      <c r="F126" s="194">
        <f>SUM(Q126:AB126)</f>
        <v>-4</v>
      </c>
      <c r="H126" s="192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2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2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2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2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2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2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2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2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2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2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2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2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2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2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2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2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2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2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2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2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6" t="s">
        <v>1315</v>
      </c>
      <c r="C127" s="257">
        <f>+D124</f>
        <v>1</v>
      </c>
      <c r="D127" s="258">
        <f>+$AB127</f>
        <v>4</v>
      </c>
      <c r="F127" s="261">
        <f>+$AB127</f>
        <v>4</v>
      </c>
      <c r="H127" s="259">
        <f t="shared" ref="H127:AA127" si="574">+I124</f>
        <v>1</v>
      </c>
      <c r="I127" s="257">
        <f t="shared" si="574"/>
        <v>1</v>
      </c>
      <c r="J127" s="257">
        <f t="shared" si="574"/>
        <v>1</v>
      </c>
      <c r="K127" s="257">
        <f t="shared" si="574"/>
        <v>1</v>
      </c>
      <c r="L127" s="257">
        <f t="shared" si="574"/>
        <v>1</v>
      </c>
      <c r="M127" s="257">
        <f t="shared" si="574"/>
        <v>1</v>
      </c>
      <c r="N127" s="257">
        <f t="shared" si="574"/>
        <v>1</v>
      </c>
      <c r="O127" s="257">
        <f t="shared" si="574"/>
        <v>2</v>
      </c>
      <c r="P127" s="257">
        <f t="shared" si="574"/>
        <v>2</v>
      </c>
      <c r="Q127" s="257">
        <f t="shared" si="574"/>
        <v>2</v>
      </c>
      <c r="R127" s="257">
        <f t="shared" si="574"/>
        <v>2</v>
      </c>
      <c r="S127" s="257">
        <f t="shared" si="574"/>
        <v>1</v>
      </c>
      <c r="T127" s="257">
        <f t="shared" si="574"/>
        <v>1</v>
      </c>
      <c r="U127" s="257">
        <f t="shared" si="574"/>
        <v>2</v>
      </c>
      <c r="V127" s="257">
        <f t="shared" si="574"/>
        <v>3</v>
      </c>
      <c r="W127" s="257">
        <f t="shared" si="574"/>
        <v>4</v>
      </c>
      <c r="X127" s="257">
        <f t="shared" si="574"/>
        <v>4</v>
      </c>
      <c r="Y127" s="257">
        <f t="shared" si="574"/>
        <v>4</v>
      </c>
      <c r="Z127" s="257">
        <f t="shared" si="574"/>
        <v>3</v>
      </c>
      <c r="AA127" s="257">
        <f t="shared" si="574"/>
        <v>3</v>
      </c>
      <c r="AB127" s="307">
        <f>COUNTIFS('Combined Employee Worksheet'!$H:$H,"Active",'Combined Employee Worksheet'!$D:$D,'Employee Retention'!B123)</f>
        <v>4</v>
      </c>
    </row>
    <row r="128" spans="2:31" ht="3.95" customHeight="1">
      <c r="B128" s="179"/>
      <c r="C128" s="229"/>
      <c r="D128" s="229"/>
      <c r="F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314"/>
    </row>
    <row r="129" spans="1:35" ht="12" customHeight="1">
      <c r="B129" s="256" t="s">
        <v>1817</v>
      </c>
      <c r="C129" s="320">
        <f>AVERAGE(C124,C127)</f>
        <v>1</v>
      </c>
      <c r="D129" s="321">
        <f>AVERAGE(D124,D127)</f>
        <v>2.5</v>
      </c>
      <c r="F129" s="322">
        <f>AVERAGE(F124,F127)</f>
        <v>3</v>
      </c>
      <c r="H129" s="323">
        <f t="shared" ref="H129" si="575">AVERAGE(H124,H127)</f>
        <v>1</v>
      </c>
      <c r="I129" s="320">
        <f t="shared" ref="I129" si="576">AVERAGE(I124,I127)</f>
        <v>1</v>
      </c>
      <c r="J129" s="320">
        <f t="shared" ref="J129" si="577">AVERAGE(J124,J127)</f>
        <v>1</v>
      </c>
      <c r="K129" s="320">
        <f t="shared" ref="K129" si="578">AVERAGE(K124,K127)</f>
        <v>1</v>
      </c>
      <c r="L129" s="320">
        <f t="shared" ref="L129" si="579">AVERAGE(L124,L127)</f>
        <v>1</v>
      </c>
      <c r="M129" s="320">
        <f t="shared" ref="M129" si="580">AVERAGE(M124,M127)</f>
        <v>1</v>
      </c>
      <c r="N129" s="320">
        <f t="shared" ref="N129" si="581">AVERAGE(N124,N127)</f>
        <v>1</v>
      </c>
      <c r="O129" s="320">
        <f t="shared" ref="O129" si="582">AVERAGE(O124,O127)</f>
        <v>1.5</v>
      </c>
      <c r="P129" s="320">
        <f t="shared" ref="P129" si="583">AVERAGE(P124,P127)</f>
        <v>2</v>
      </c>
      <c r="Q129" s="320">
        <f t="shared" ref="Q129" si="584">AVERAGE(Q124,Q127)</f>
        <v>2</v>
      </c>
      <c r="R129" s="320">
        <f t="shared" ref="R129" si="585">AVERAGE(R124,R127)</f>
        <v>2</v>
      </c>
      <c r="S129" s="320">
        <f t="shared" ref="S129" si="586">AVERAGE(S124,S127)</f>
        <v>1.5</v>
      </c>
      <c r="T129" s="320">
        <f t="shared" ref="T129" si="587">AVERAGE(T124,T127)</f>
        <v>1</v>
      </c>
      <c r="U129" s="320">
        <f t="shared" ref="U129" si="588">AVERAGE(U124,U127)</f>
        <v>1.5</v>
      </c>
      <c r="V129" s="320">
        <f t="shared" ref="V129" si="589">AVERAGE(V124,V127)</f>
        <v>2.5</v>
      </c>
      <c r="W129" s="320">
        <f t="shared" ref="W129" si="590">AVERAGE(W124,W127)</f>
        <v>3.5</v>
      </c>
      <c r="X129" s="320">
        <f t="shared" ref="X129" si="591">AVERAGE(X124,X127)</f>
        <v>4</v>
      </c>
      <c r="Y129" s="320">
        <f t="shared" ref="Y129" si="592">AVERAGE(Y124,Y127)</f>
        <v>4</v>
      </c>
      <c r="Z129" s="320">
        <f t="shared" ref="Z129" si="593">AVERAGE(Z124,Z127)</f>
        <v>3.5</v>
      </c>
      <c r="AA129" s="320">
        <f t="shared" ref="AA129" si="594">AVERAGE(AA124,AA127)</f>
        <v>3</v>
      </c>
      <c r="AB129" s="321">
        <f t="shared" ref="AB129" si="595">AVERAGE(AB124,AB127)</f>
        <v>3.5</v>
      </c>
    </row>
    <row r="130" spans="1:35" ht="3.95" customHeight="1">
      <c r="B130" s="179"/>
      <c r="C130" s="229"/>
      <c r="D130" s="229"/>
      <c r="F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30"/>
      <c r="AA130" s="230"/>
      <c r="AB130" s="230"/>
    </row>
    <row r="131" spans="1:35" ht="12" customHeight="1">
      <c r="B131" s="231" t="s">
        <v>1813</v>
      </c>
      <c r="C131" s="233">
        <f>(C125+C124)/C124-1</f>
        <v>2</v>
      </c>
      <c r="D131" s="244">
        <f>(D125+D124)/D124-1</f>
        <v>5</v>
      </c>
      <c r="E131" s="245"/>
      <c r="F131" s="246">
        <f>(F125+F124)/F124-1</f>
        <v>3</v>
      </c>
      <c r="H131" s="243">
        <f t="shared" ref="H131:AB131" si="596">(H125+H124)/H124-1</f>
        <v>0</v>
      </c>
      <c r="I131" s="233">
        <f t="shared" si="596"/>
        <v>0</v>
      </c>
      <c r="J131" s="233">
        <f t="shared" si="596"/>
        <v>0</v>
      </c>
      <c r="K131" s="233">
        <f t="shared" si="596"/>
        <v>0</v>
      </c>
      <c r="L131" s="233">
        <f t="shared" si="596"/>
        <v>0</v>
      </c>
      <c r="M131" s="233">
        <f t="shared" si="596"/>
        <v>0</v>
      </c>
      <c r="N131" s="233">
        <f t="shared" si="596"/>
        <v>0</v>
      </c>
      <c r="O131" s="233">
        <f t="shared" si="596"/>
        <v>1</v>
      </c>
      <c r="P131" s="233">
        <f t="shared" si="596"/>
        <v>0</v>
      </c>
      <c r="Q131" s="243">
        <f t="shared" si="596"/>
        <v>0</v>
      </c>
      <c r="R131" s="233">
        <f t="shared" si="596"/>
        <v>0.5</v>
      </c>
      <c r="S131" s="233">
        <f t="shared" si="596"/>
        <v>0</v>
      </c>
      <c r="T131" s="233">
        <f t="shared" si="596"/>
        <v>1</v>
      </c>
      <c r="U131" s="233">
        <f t="shared" si="596"/>
        <v>1</v>
      </c>
      <c r="V131" s="233">
        <f t="shared" si="596"/>
        <v>0.5</v>
      </c>
      <c r="W131" s="233">
        <f t="shared" si="596"/>
        <v>0.33333333333333326</v>
      </c>
      <c r="X131" s="233">
        <f t="shared" si="596"/>
        <v>0</v>
      </c>
      <c r="Y131" s="233">
        <f t="shared" si="596"/>
        <v>0</v>
      </c>
      <c r="Z131" s="233">
        <f t="shared" si="596"/>
        <v>0</v>
      </c>
      <c r="AA131" s="233">
        <f t="shared" si="596"/>
        <v>0</v>
      </c>
      <c r="AB131" s="244">
        <f t="shared" si="596"/>
        <v>0.33333333333333326</v>
      </c>
    </row>
    <row r="132" spans="1:35">
      <c r="B132" s="234" t="s">
        <v>1812</v>
      </c>
      <c r="C132" s="236">
        <f>(C126+C129)/C129-1</f>
        <v>-2</v>
      </c>
      <c r="D132" s="237">
        <f>(D126+D129)/D129-1</f>
        <v>-0.8</v>
      </c>
      <c r="E132" s="245"/>
      <c r="F132" s="239">
        <f>(F126+F129)/F129-1</f>
        <v>-1.3333333333333333</v>
      </c>
      <c r="H132" s="238">
        <f t="shared" ref="H132:AB132" si="597">(H126+H129)/H129-1</f>
        <v>0</v>
      </c>
      <c r="I132" s="236">
        <f t="shared" si="597"/>
        <v>0</v>
      </c>
      <c r="J132" s="236">
        <f t="shared" si="597"/>
        <v>0</v>
      </c>
      <c r="K132" s="236">
        <f t="shared" si="597"/>
        <v>0</v>
      </c>
      <c r="L132" s="236">
        <f t="shared" si="597"/>
        <v>0</v>
      </c>
      <c r="M132" s="236">
        <f t="shared" si="597"/>
        <v>0</v>
      </c>
      <c r="N132" s="236">
        <f t="shared" si="597"/>
        <v>0</v>
      </c>
      <c r="O132" s="236">
        <f t="shared" si="597"/>
        <v>0</v>
      </c>
      <c r="P132" s="236">
        <f t="shared" si="597"/>
        <v>0</v>
      </c>
      <c r="Q132" s="238">
        <f t="shared" si="597"/>
        <v>0</v>
      </c>
      <c r="R132" s="236">
        <f t="shared" si="597"/>
        <v>-0.5</v>
      </c>
      <c r="S132" s="236">
        <f t="shared" si="597"/>
        <v>-0.66666666666666674</v>
      </c>
      <c r="T132" s="236">
        <f t="shared" si="597"/>
        <v>-1</v>
      </c>
      <c r="U132" s="236">
        <f t="shared" si="597"/>
        <v>0</v>
      </c>
      <c r="V132" s="236">
        <f t="shared" si="597"/>
        <v>0</v>
      </c>
      <c r="W132" s="236">
        <f t="shared" si="597"/>
        <v>0</v>
      </c>
      <c r="X132" s="236">
        <f t="shared" si="597"/>
        <v>0</v>
      </c>
      <c r="Y132" s="236">
        <f t="shared" si="597"/>
        <v>0</v>
      </c>
      <c r="Z132" s="236">
        <f t="shared" si="597"/>
        <v>-0.2857142857142857</v>
      </c>
      <c r="AA132" s="236">
        <f t="shared" si="597"/>
        <v>0</v>
      </c>
      <c r="AB132" s="237">
        <f t="shared" si="59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44" priority="184">
      <formula>$AE$3=1</formula>
    </cfRule>
  </conditionalFormatting>
  <conditionalFormatting sqref="A33:XFD45">
    <cfRule type="expression" dxfId="43" priority="6">
      <formula>$AE$3=1</formula>
    </cfRule>
  </conditionalFormatting>
  <conditionalFormatting sqref="A48:XFD60">
    <cfRule type="expression" dxfId="42" priority="5">
      <formula>$AE$3=1</formula>
    </cfRule>
  </conditionalFormatting>
  <conditionalFormatting sqref="A63:XFD75">
    <cfRule type="expression" dxfId="41" priority="4">
      <formula>$AE$3=1</formula>
    </cfRule>
  </conditionalFormatting>
  <conditionalFormatting sqref="A78:XFD90">
    <cfRule type="expression" dxfId="40" priority="3">
      <formula>$AE$3=1</formula>
    </cfRule>
  </conditionalFormatting>
  <conditionalFormatting sqref="A93:XFD105">
    <cfRule type="expression" dxfId="39" priority="2">
      <formula>$AE$3=1</formula>
    </cfRule>
  </conditionalFormatting>
  <conditionalFormatting sqref="A108:XFD120">
    <cfRule type="expression" dxfId="38" priority="1">
      <formula>$AE$3=1</formula>
    </cfRule>
  </conditionalFormatting>
  <conditionalFormatting sqref="A123:XFD132">
    <cfRule type="expression" dxfId="37" priority="12">
      <formula>$AE$3=1</formula>
    </cfRule>
  </conditionalFormatting>
  <conditionalFormatting sqref="B6:F6 H6:AF6 B18:F20">
    <cfRule type="expression" dxfId="36" priority="136">
      <formula>$W$3=1</formula>
    </cfRule>
  </conditionalFormatting>
  <conditionalFormatting sqref="B33:F35">
    <cfRule type="expression" dxfId="35" priority="61">
      <formula>$W$3=1</formula>
    </cfRule>
  </conditionalFormatting>
  <conditionalFormatting sqref="B48:F50">
    <cfRule type="expression" dxfId="34" priority="59">
      <formula>$W$3=1</formula>
    </cfRule>
  </conditionalFormatting>
  <conditionalFormatting sqref="B63:F65">
    <cfRule type="expression" dxfId="33" priority="57">
      <formula>$W$3=1</formula>
    </cfRule>
  </conditionalFormatting>
  <conditionalFormatting sqref="B78:F80">
    <cfRule type="expression" dxfId="32" priority="55">
      <formula>$W$3=1</formula>
    </cfRule>
  </conditionalFormatting>
  <conditionalFormatting sqref="B93:F95">
    <cfRule type="expression" dxfId="31" priority="40">
      <formula>$W$3=1</formula>
    </cfRule>
  </conditionalFormatting>
  <conditionalFormatting sqref="B108:F110">
    <cfRule type="expression" dxfId="30" priority="25">
      <formula>$W$3=1</formula>
    </cfRule>
  </conditionalFormatting>
  <conditionalFormatting sqref="B123:F123">
    <cfRule type="expression" dxfId="29" priority="23">
      <formula>$W$3=1</formula>
    </cfRule>
  </conditionalFormatting>
  <conditionalFormatting sqref="C19:D19">
    <cfRule type="expression" dxfId="28" priority="7">
      <formula>$W$3=1</formula>
    </cfRule>
  </conditionalFormatting>
  <conditionalFormatting sqref="F19">
    <cfRule type="expression" dxfId="27" priority="9">
      <formula>$W$3=1</formula>
    </cfRule>
  </conditionalFormatting>
  <conditionalFormatting sqref="H18:AF20">
    <cfRule type="expression" dxfId="26" priority="135">
      <formula>$W$3=1</formula>
    </cfRule>
  </conditionalFormatting>
  <conditionalFormatting sqref="H33:AF35">
    <cfRule type="expression" dxfId="25" priority="112">
      <formula>$W$3=1</formula>
    </cfRule>
  </conditionalFormatting>
  <conditionalFormatting sqref="H48:AF50">
    <cfRule type="expression" dxfId="24" priority="100">
      <formula>$W$3=1</formula>
    </cfRule>
  </conditionalFormatting>
  <conditionalFormatting sqref="H63:AF65">
    <cfRule type="expression" dxfId="23" priority="88">
      <formula>$W$3=1</formula>
    </cfRule>
  </conditionalFormatting>
  <conditionalFormatting sqref="H78:AF80">
    <cfRule type="expression" dxfId="22" priority="76">
      <formula>$W$3=1</formula>
    </cfRule>
  </conditionalFormatting>
  <conditionalFormatting sqref="H93:AF95">
    <cfRule type="expression" dxfId="21" priority="52">
      <formula>$W$3=1</formula>
    </cfRule>
  </conditionalFormatting>
  <conditionalFormatting sqref="H108:AF110">
    <cfRule type="expression" dxfId="20" priority="37">
      <formula>$W$3=1</formula>
    </cfRule>
  </conditionalFormatting>
  <conditionalFormatting sqref="H123:AF123">
    <cfRule type="expression" dxfId="19" priority="22">
      <formula>$W$3=1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EA9C-F4C6-4E28-8A85-E5C4B84B589A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V6" sqref="V6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1:32">
      <c r="A1" s="417"/>
      <c r="B1" s="417"/>
      <c r="C1" s="417"/>
      <c r="D1" s="417"/>
      <c r="E1" s="417"/>
      <c r="F1" s="417"/>
      <c r="G1" s="417"/>
      <c r="H1" s="458">
        <f t="shared" ref="H1:N1" si="0">EOMONTH(H5,0)</f>
        <v>45688</v>
      </c>
      <c r="I1" s="458">
        <f t="shared" si="0"/>
        <v>45716</v>
      </c>
      <c r="J1" s="458">
        <f t="shared" si="0"/>
        <v>45747</v>
      </c>
      <c r="K1" s="458">
        <f t="shared" si="0"/>
        <v>45777</v>
      </c>
      <c r="L1" s="458">
        <f t="shared" si="0"/>
        <v>45808</v>
      </c>
      <c r="M1" s="458">
        <f t="shared" si="0"/>
        <v>45838</v>
      </c>
      <c r="N1" s="458">
        <f t="shared" si="0"/>
        <v>45869</v>
      </c>
      <c r="O1" s="458">
        <f>EOMONTH(O5,0)</f>
        <v>45900</v>
      </c>
      <c r="P1" s="458">
        <f t="shared" ref="P1:AB1" si="1">EOMONTH(P5,0)</f>
        <v>45930</v>
      </c>
      <c r="Q1" s="458">
        <f t="shared" si="1"/>
        <v>45961</v>
      </c>
      <c r="R1" s="458">
        <f t="shared" si="1"/>
        <v>45991</v>
      </c>
      <c r="S1" s="458">
        <f t="shared" si="1"/>
        <v>46022</v>
      </c>
      <c r="T1" s="458">
        <f t="shared" si="1"/>
        <v>46053</v>
      </c>
      <c r="U1" s="458">
        <f t="shared" si="1"/>
        <v>46081</v>
      </c>
      <c r="V1" s="458">
        <f t="shared" si="1"/>
        <v>46112</v>
      </c>
      <c r="W1" s="458">
        <f t="shared" si="1"/>
        <v>46142</v>
      </c>
      <c r="X1" s="458">
        <f t="shared" si="1"/>
        <v>46173</v>
      </c>
      <c r="Y1" s="458">
        <f t="shared" si="1"/>
        <v>46203</v>
      </c>
      <c r="Z1" s="458">
        <f t="shared" si="1"/>
        <v>46234</v>
      </c>
      <c r="AA1" s="458">
        <f t="shared" si="1"/>
        <v>46265</v>
      </c>
      <c r="AB1" s="458">
        <f t="shared" si="1"/>
        <v>46295</v>
      </c>
      <c r="AC1" s="417"/>
      <c r="AD1" s="417"/>
      <c r="AE1" s="417"/>
    </row>
    <row r="2" spans="1:32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  <c r="AD2" s="417"/>
      <c r="AE2" s="417"/>
    </row>
    <row r="3" spans="1:32">
      <c r="A3" s="417"/>
      <c r="B3" s="459" t="s">
        <v>1991</v>
      </c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  <c r="N3" s="460"/>
      <c r="O3" s="460"/>
      <c r="P3" s="460"/>
      <c r="Q3" s="460"/>
      <c r="R3" s="460"/>
      <c r="S3" s="460"/>
      <c r="T3" s="460"/>
      <c r="U3" s="460"/>
      <c r="V3" s="460"/>
      <c r="W3" s="460"/>
      <c r="X3" s="460"/>
      <c r="Y3" s="460"/>
      <c r="Z3" s="460"/>
      <c r="AA3" s="460"/>
      <c r="AB3" s="460"/>
      <c r="AC3" s="417"/>
      <c r="AD3" s="417" t="s">
        <v>276</v>
      </c>
      <c r="AE3" s="461">
        <v>1</v>
      </c>
    </row>
    <row r="4" spans="1:32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</row>
    <row r="5" spans="1:32" ht="24">
      <c r="A5" s="417"/>
      <c r="B5" s="462" t="s">
        <v>1997</v>
      </c>
      <c r="C5" s="463" t="s">
        <v>4</v>
      </c>
      <c r="D5" s="463" t="s">
        <v>1317</v>
      </c>
      <c r="E5" s="464"/>
      <c r="F5" s="463" t="s">
        <v>1527</v>
      </c>
      <c r="G5" s="417"/>
      <c r="H5" s="465">
        <v>45658</v>
      </c>
      <c r="I5" s="465">
        <f t="shared" ref="I5:N5" si="2">EOMONTH(H5,0)+1</f>
        <v>45689</v>
      </c>
      <c r="J5" s="465">
        <f t="shared" si="2"/>
        <v>45717</v>
      </c>
      <c r="K5" s="465">
        <f t="shared" si="2"/>
        <v>45748</v>
      </c>
      <c r="L5" s="465">
        <f t="shared" si="2"/>
        <v>45778</v>
      </c>
      <c r="M5" s="465">
        <f t="shared" si="2"/>
        <v>45809</v>
      </c>
      <c r="N5" s="465">
        <f t="shared" si="2"/>
        <v>45839</v>
      </c>
      <c r="O5" s="465">
        <v>45870</v>
      </c>
      <c r="P5" s="465">
        <f t="shared" ref="P5:AB5" si="3">EOMONTH(O5,0)+1</f>
        <v>45901</v>
      </c>
      <c r="Q5" s="465">
        <f t="shared" si="3"/>
        <v>45931</v>
      </c>
      <c r="R5" s="465">
        <f t="shared" si="3"/>
        <v>45962</v>
      </c>
      <c r="S5" s="465">
        <f t="shared" si="3"/>
        <v>45992</v>
      </c>
      <c r="T5" s="465">
        <f t="shared" si="3"/>
        <v>46023</v>
      </c>
      <c r="U5" s="465">
        <f t="shared" si="3"/>
        <v>46054</v>
      </c>
      <c r="V5" s="465">
        <f t="shared" si="3"/>
        <v>46082</v>
      </c>
      <c r="W5" s="465">
        <f t="shared" si="3"/>
        <v>46113</v>
      </c>
      <c r="X5" s="465">
        <f t="shared" si="3"/>
        <v>46143</v>
      </c>
      <c r="Y5" s="465">
        <f t="shared" si="3"/>
        <v>46174</v>
      </c>
      <c r="Z5" s="465">
        <f t="shared" si="3"/>
        <v>46204</v>
      </c>
      <c r="AA5" s="465">
        <f t="shared" si="3"/>
        <v>46235</v>
      </c>
      <c r="AB5" s="465">
        <f t="shared" si="3"/>
        <v>46266</v>
      </c>
      <c r="AC5" s="466"/>
      <c r="AD5" s="466"/>
      <c r="AE5" s="466"/>
      <c r="AF5" s="184"/>
    </row>
    <row r="6" spans="1:32">
      <c r="A6" s="417"/>
      <c r="B6" s="467" t="s">
        <v>134</v>
      </c>
      <c r="C6" s="468"/>
      <c r="D6" s="468"/>
      <c r="E6" s="469"/>
      <c r="F6" s="468"/>
      <c r="G6" s="417"/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9"/>
      <c r="AD6" s="469"/>
      <c r="AE6" s="469"/>
      <c r="AF6" s="6"/>
    </row>
    <row r="7" spans="1:32">
      <c r="A7" s="417"/>
      <c r="B7" s="417" t="s">
        <v>1313</v>
      </c>
      <c r="C7" s="470">
        <f ca="1">+C10-C8-C9</f>
        <v>43</v>
      </c>
      <c r="D7" s="470">
        <f ca="1">+D10-D8-D9</f>
        <v>70</v>
      </c>
      <c r="E7" s="417"/>
      <c r="F7" s="470">
        <f ca="1">+F10-F8-F9</f>
        <v>62</v>
      </c>
      <c r="G7" s="417"/>
      <c r="H7" s="470">
        <f t="shared" ref="H7:AB7" ca="1" si="4">+H10-H8-H9</f>
        <v>43</v>
      </c>
      <c r="I7" s="470">
        <f t="shared" ca="1" si="4"/>
        <v>45</v>
      </c>
      <c r="J7" s="470">
        <f t="shared" ca="1" si="4"/>
        <v>42</v>
      </c>
      <c r="K7" s="470">
        <f t="shared" ca="1" si="4"/>
        <v>45</v>
      </c>
      <c r="L7" s="470">
        <f t="shared" ca="1" si="4"/>
        <v>47</v>
      </c>
      <c r="M7" s="470">
        <f t="shared" ca="1" si="4"/>
        <v>48</v>
      </c>
      <c r="N7" s="470">
        <f t="shared" ca="1" si="4"/>
        <v>53</v>
      </c>
      <c r="O7" s="470">
        <f t="shared" ca="1" si="4"/>
        <v>57</v>
      </c>
      <c r="P7" s="470">
        <f t="shared" ca="1" si="4"/>
        <v>61</v>
      </c>
      <c r="Q7" s="470">
        <f t="shared" ca="1" si="4"/>
        <v>62</v>
      </c>
      <c r="R7" s="470">
        <f t="shared" ca="1" si="4"/>
        <v>65</v>
      </c>
      <c r="S7" s="470">
        <f t="shared" ca="1" si="4"/>
        <v>66</v>
      </c>
      <c r="T7" s="470">
        <f t="shared" ca="1" si="4"/>
        <v>70</v>
      </c>
      <c r="U7" s="470">
        <f t="shared" ca="1" si="4"/>
        <v>72</v>
      </c>
      <c r="V7" s="470">
        <f t="shared" ca="1" si="4"/>
        <v>77</v>
      </c>
      <c r="W7" s="470">
        <f t="shared" ca="1" si="4"/>
        <v>80</v>
      </c>
      <c r="X7" s="470">
        <f t="shared" ca="1" si="4"/>
        <v>82</v>
      </c>
      <c r="Y7" s="470">
        <f t="shared" ca="1" si="4"/>
        <v>79</v>
      </c>
      <c r="Z7" s="470">
        <f t="shared" ca="1" si="4"/>
        <v>83</v>
      </c>
      <c r="AA7" s="470">
        <f t="shared" ca="1" si="4"/>
        <v>85</v>
      </c>
      <c r="AB7" s="470">
        <f t="shared" ca="1" si="4"/>
        <v>86</v>
      </c>
      <c r="AC7" s="417"/>
      <c r="AD7" s="417"/>
      <c r="AE7" s="417"/>
    </row>
    <row r="8" spans="1:32">
      <c r="A8" s="417"/>
      <c r="B8" s="471" t="s">
        <v>1814</v>
      </c>
      <c r="C8" s="433">
        <f ca="1">SUM(H8:S8)</f>
        <v>39</v>
      </c>
      <c r="D8" s="433">
        <f ca="1">SUM(T8:AB8)</f>
        <v>34</v>
      </c>
      <c r="E8" s="417"/>
      <c r="F8" s="433">
        <f ca="1">SUM(Q8:AB8)</f>
        <v>46</v>
      </c>
      <c r="G8" s="417"/>
      <c r="H8" s="472">
        <f ca="1">COUNTIFS('Combined Employee Worksheet'!$I:$I,"&gt;="&amp;'Adj. Employee Retention'!H$5,'Combined Employee Worksheet'!$I:$I,"&lt;="&amp;'Adj. Employee Retention'!H$1)-COUNTIFS('Combined Employee Worksheet'!$I:$I,"&gt;="&amp;'Adj. Employee Retention'!H$5,'Combined Employee Worksheet'!$I:$I,"&lt;="&amp;'Adj. Employee Retention'!H$1,'Combined Employee Worksheet'!$K:$K,"&lt;="&amp;$C$138,'Combined Employee Worksheet'!$J:$J,"&lt;&gt;")</f>
        <v>3</v>
      </c>
      <c r="I8" s="472">
        <f ca="1">COUNTIFS('Combined Employee Worksheet'!$I:$I,"&gt;="&amp;'Adj. Employee Retention'!I$5,'Combined Employee Worksheet'!$I:$I,"&lt;="&amp;'Adj. Employee Retention'!I$1)-COUNTIFS('Combined Employee Worksheet'!$I:$I,"&gt;="&amp;'Adj. Employee Retention'!I$5,'Combined Employee Worksheet'!$I:$I,"&lt;="&amp;'Adj. Employee Retention'!I$1,'Combined Employee Worksheet'!$K:$K,"&lt;="&amp;$C$138,'Combined Employee Worksheet'!$J:$J,"&lt;&gt;")</f>
        <v>0</v>
      </c>
      <c r="J8" s="472">
        <f ca="1">COUNTIFS('Combined Employee Worksheet'!$I:$I,"&gt;="&amp;'Adj. Employee Retention'!J$5,'Combined Employee Worksheet'!$I:$I,"&lt;="&amp;'Adj. Employee Retention'!J$1)-COUNTIFS('Combined Employee Worksheet'!$I:$I,"&gt;="&amp;'Adj. Employee Retention'!J$5,'Combined Employee Worksheet'!$I:$I,"&lt;="&amp;'Adj. Employee Retention'!J$1,'Combined Employee Worksheet'!$K:$K,"&lt;="&amp;$C$138,'Combined Employee Worksheet'!$J:$J,"&lt;&gt;")</f>
        <v>4</v>
      </c>
      <c r="K8" s="472">
        <f ca="1">COUNTIFS('Combined Employee Worksheet'!$I:$I,"&gt;="&amp;'Adj. Employee Retention'!K$5,'Combined Employee Worksheet'!$I:$I,"&lt;="&amp;'Adj. Employee Retention'!K$1)-COUNTIFS('Combined Employee Worksheet'!$I:$I,"&gt;="&amp;'Adj. Employee Retention'!K$5,'Combined Employee Worksheet'!$I:$I,"&lt;="&amp;'Adj. Employee Retention'!K$1,'Combined Employee Worksheet'!$K:$K,"&lt;="&amp;$C$138,'Combined Employee Worksheet'!$J:$J,"&lt;&gt;")</f>
        <v>2</v>
      </c>
      <c r="L8" s="472">
        <f ca="1">COUNTIFS('Combined Employee Worksheet'!$I:$I,"&gt;="&amp;'Adj. Employee Retention'!L$5,'Combined Employee Worksheet'!$I:$I,"&lt;="&amp;'Adj. Employee Retention'!L$1)-COUNTIFS('Combined Employee Worksheet'!$I:$I,"&gt;="&amp;'Adj. Employee Retention'!L$5,'Combined Employee Worksheet'!$I:$I,"&lt;="&amp;'Adj. Employee Retention'!L$1,'Combined Employee Worksheet'!$K:$K,"&lt;="&amp;$C$138,'Combined Employee Worksheet'!$J:$J,"&lt;&gt;")</f>
        <v>2</v>
      </c>
      <c r="M8" s="472">
        <f ca="1">COUNTIFS('Combined Employee Worksheet'!$I:$I,"&gt;="&amp;'Adj. Employee Retention'!M$5,'Combined Employee Worksheet'!$I:$I,"&lt;="&amp;'Adj. Employee Retention'!M$1)-COUNTIFS('Combined Employee Worksheet'!$I:$I,"&gt;="&amp;'Adj. Employee Retention'!M$5,'Combined Employee Worksheet'!$I:$I,"&lt;="&amp;'Adj. Employee Retention'!M$1,'Combined Employee Worksheet'!$K:$K,"&lt;="&amp;$C$138,'Combined Employee Worksheet'!$J:$J,"&lt;&gt;")</f>
        <v>6</v>
      </c>
      <c r="N8" s="472">
        <f ca="1">COUNTIFS('Combined Employee Worksheet'!$I:$I,"&gt;="&amp;'Adj. Employee Retention'!N$5,'Combined Employee Worksheet'!$I:$I,"&lt;="&amp;'Adj. Employee Retention'!N$1)-COUNTIFS('Combined Employee Worksheet'!$I:$I,"&gt;="&amp;'Adj. Employee Retention'!N$5,'Combined Employee Worksheet'!$I:$I,"&lt;="&amp;'Adj. Employee Retention'!N$1,'Combined Employee Worksheet'!$K:$K,"&lt;="&amp;$C$138,'Combined Employee Worksheet'!$J:$J,"&lt;&gt;")</f>
        <v>4</v>
      </c>
      <c r="O8" s="472">
        <f ca="1">COUNTIFS('Combined Employee Worksheet'!$I:$I,"&gt;="&amp;'Adj. Employee Retention'!O$5,'Combined Employee Worksheet'!$I:$I,"&lt;="&amp;'Adj. Employee Retention'!O$1)-COUNTIFS('Combined Employee Worksheet'!$I:$I,"&gt;="&amp;'Adj. Employee Retention'!O$5,'Combined Employee Worksheet'!$I:$I,"&lt;="&amp;'Adj. Employee Retention'!O$1,'Combined Employee Worksheet'!$K:$K,"&lt;="&amp;$C$138,'Combined Employee Worksheet'!$J:$J,"&lt;&gt;")</f>
        <v>5</v>
      </c>
      <c r="P8" s="472">
        <f ca="1">COUNTIFS('Combined Employee Worksheet'!$I:$I,"&gt;="&amp;'Adj. Employee Retention'!P$5,'Combined Employee Worksheet'!$I:$I,"&lt;="&amp;'Adj. Employee Retention'!P$1)-COUNTIFS('Combined Employee Worksheet'!$I:$I,"&gt;="&amp;'Adj. Employee Retention'!P$5,'Combined Employee Worksheet'!$I:$I,"&lt;="&amp;'Adj. Employee Retention'!P$1,'Combined Employee Worksheet'!$K:$K,"&lt;="&amp;$C$138,'Combined Employee Worksheet'!$J:$J,"&lt;&gt;")</f>
        <v>1</v>
      </c>
      <c r="Q8" s="472">
        <f ca="1">COUNTIFS('Combined Employee Worksheet'!$I:$I,"&gt;="&amp;'Adj. Employee Retention'!Q$5,'Combined Employee Worksheet'!$I:$I,"&lt;="&amp;'Adj. Employee Retention'!Q$1)-COUNTIFS('Combined Employee Worksheet'!$I:$I,"&gt;="&amp;'Adj. Employee Retention'!Q$5,'Combined Employee Worksheet'!$I:$I,"&lt;="&amp;'Adj. Employee Retention'!Q$1,'Combined Employee Worksheet'!$K:$K,"&lt;="&amp;$C$138,'Combined Employee Worksheet'!$J:$J,"&lt;&gt;")</f>
        <v>3</v>
      </c>
      <c r="R8" s="472">
        <f ca="1">COUNTIFS('Combined Employee Worksheet'!$I:$I,"&gt;="&amp;'Adj. Employee Retention'!R$5,'Combined Employee Worksheet'!$I:$I,"&lt;="&amp;'Adj. Employee Retention'!R$1)-COUNTIFS('Combined Employee Worksheet'!$I:$I,"&gt;="&amp;'Adj. Employee Retention'!R$5,'Combined Employee Worksheet'!$I:$I,"&lt;="&amp;'Adj. Employee Retention'!R$1,'Combined Employee Worksheet'!$K:$K,"&lt;="&amp;$C$138,'Combined Employee Worksheet'!$J:$J,"&lt;&gt;")</f>
        <v>4</v>
      </c>
      <c r="S8" s="472">
        <f ca="1">COUNTIFS('Combined Employee Worksheet'!$I:$I,"&gt;="&amp;'Adj. Employee Retention'!S$5,'Combined Employee Worksheet'!$I:$I,"&lt;="&amp;'Adj. Employee Retention'!S$1)-COUNTIFS('Combined Employee Worksheet'!$I:$I,"&gt;="&amp;'Adj. Employee Retention'!S$5,'Combined Employee Worksheet'!$I:$I,"&lt;="&amp;'Adj. Employee Retention'!S$1,'Combined Employee Worksheet'!$K:$K,"&lt;="&amp;$C$138,'Combined Employee Worksheet'!$J:$J,"&lt;&gt;")</f>
        <v>5</v>
      </c>
      <c r="T8" s="472">
        <f ca="1">COUNTIFS('Combined Employee Worksheet'!$I:$I,"&gt;="&amp;'Adj. Employee Retention'!T$5,'Combined Employee Worksheet'!$I:$I,"&lt;="&amp;'Adj. Employee Retention'!T$1)-COUNTIFS('Combined Employee Worksheet'!$I:$I,"&gt;="&amp;'Adj. Employee Retention'!T$5,'Combined Employee Worksheet'!$I:$I,"&lt;="&amp;'Adj. Employee Retention'!T$1,'Combined Employee Worksheet'!$K:$K,"&lt;="&amp;$C$138,'Combined Employee Worksheet'!$J:$J,"&lt;&gt;")</f>
        <v>3</v>
      </c>
      <c r="U8" s="472">
        <f ca="1">COUNTIFS('Combined Employee Worksheet'!$I:$I,"&gt;="&amp;'Adj. Employee Retention'!U$5,'Combined Employee Worksheet'!$I:$I,"&lt;="&amp;'Adj. Employee Retention'!U$1)-COUNTIFS('Combined Employee Worksheet'!$I:$I,"&gt;="&amp;'Adj. Employee Retention'!U$5,'Combined Employee Worksheet'!$I:$I,"&lt;="&amp;'Adj. Employee Retention'!U$1,'Combined Employee Worksheet'!$K:$K,"&lt;="&amp;$C$138,'Combined Employee Worksheet'!$J:$J,"&lt;&gt;")</f>
        <v>6</v>
      </c>
      <c r="V8" s="472">
        <f ca="1">COUNTIFS('Combined Employee Worksheet'!$I:$I,"&gt;="&amp;'Adj. Employee Retention'!V$5,'Combined Employee Worksheet'!$I:$I,"&lt;="&amp;'Adj. Employee Retention'!V$1)-COUNTIFS('Combined Employee Worksheet'!$I:$I,"&gt;="&amp;'Adj. Employee Retention'!V$5,'Combined Employee Worksheet'!$I:$I,"&lt;="&amp;'Adj. Employee Retention'!V$1,'Combined Employee Worksheet'!$K:$K,"&lt;="&amp;$C$138,'Combined Employee Worksheet'!$J:$J,"&lt;&gt;")</f>
        <v>3</v>
      </c>
      <c r="W8" s="472">
        <f ca="1">COUNTIFS('Combined Employee Worksheet'!$I:$I,"&gt;="&amp;'Adj. Employee Retention'!W$5,'Combined Employee Worksheet'!$I:$I,"&lt;="&amp;'Adj. Employee Retention'!W$1)-COUNTIFS('Combined Employee Worksheet'!$I:$I,"&gt;="&amp;'Adj. Employee Retention'!W$5,'Combined Employee Worksheet'!$I:$I,"&lt;="&amp;'Adj. Employee Retention'!W$1,'Combined Employee Worksheet'!$K:$K,"&lt;="&amp;$C$138,'Combined Employee Worksheet'!$J:$J,"&lt;&gt;")</f>
        <v>3</v>
      </c>
      <c r="X8" s="472">
        <f ca="1">COUNTIFS('Combined Employee Worksheet'!$I:$I,"&gt;="&amp;'Adj. Employee Retention'!X$5,'Combined Employee Worksheet'!$I:$I,"&lt;="&amp;'Adj. Employee Retention'!X$1)-COUNTIFS('Combined Employee Worksheet'!$I:$I,"&gt;="&amp;'Adj. Employee Retention'!X$5,'Combined Employee Worksheet'!$I:$I,"&lt;="&amp;'Adj. Employee Retention'!X$1,'Combined Employee Worksheet'!$K:$K,"&lt;="&amp;$C$138,'Combined Employee Worksheet'!$J:$J,"&lt;&gt;")</f>
        <v>2</v>
      </c>
      <c r="Y8" s="472">
        <f ca="1">COUNTIFS('Combined Employee Worksheet'!$I:$I,"&gt;="&amp;'Adj. Employee Retention'!Y$5,'Combined Employee Worksheet'!$I:$I,"&lt;="&amp;'Adj. Employee Retention'!Y$1)-COUNTIFS('Combined Employee Worksheet'!$I:$I,"&gt;="&amp;'Adj. Employee Retention'!Y$5,'Combined Employee Worksheet'!$I:$I,"&lt;="&amp;'Adj. Employee Retention'!Y$1,'Combined Employee Worksheet'!$K:$K,"&lt;="&amp;$C$138,'Combined Employee Worksheet'!$J:$J,"&lt;&gt;")</f>
        <v>5</v>
      </c>
      <c r="Z8" s="472">
        <f ca="1">COUNTIFS('Combined Employee Worksheet'!$I:$I,"&gt;="&amp;'Adj. Employee Retention'!Z$5,'Combined Employee Worksheet'!$I:$I,"&lt;="&amp;'Adj. Employee Retention'!Z$1)-COUNTIFS('Combined Employee Worksheet'!$I:$I,"&gt;="&amp;'Adj. Employee Retention'!Z$5,'Combined Employee Worksheet'!$I:$I,"&lt;="&amp;'Adj. Employee Retention'!Z$1,'Combined Employee Worksheet'!$K:$K,"&lt;="&amp;$C$138,'Combined Employee Worksheet'!$J:$J,"&lt;&gt;")</f>
        <v>4</v>
      </c>
      <c r="AA8" s="472">
        <f ca="1">COUNTIFS('Combined Employee Worksheet'!$I:$I,"&gt;="&amp;'Adj. Employee Retention'!AA$5,'Combined Employee Worksheet'!$I:$I,"&lt;="&amp;'Adj. Employee Retention'!AA$1)-COUNTIFS('Combined Employee Worksheet'!$I:$I,"&gt;="&amp;'Adj. Employee Retention'!AA$5,'Combined Employee Worksheet'!$I:$I,"&lt;="&amp;'Adj. Employee Retention'!AA$1,'Combined Employee Worksheet'!$K:$K,"&lt;="&amp;$C$138,'Combined Employee Worksheet'!$J:$J,"&lt;&gt;")</f>
        <v>5</v>
      </c>
      <c r="AB8" s="472">
        <f ca="1">COUNTIFS('Combined Employee Worksheet'!$I:$I,"&gt;="&amp;'Adj. Employee Retention'!AB$5,'Combined Employee Worksheet'!$I:$I,"&lt;="&amp;'Adj. Employee Retention'!AB$1)-COUNTIFS('Combined Employee Worksheet'!$I:$I,"&gt;="&amp;'Adj. Employee Retention'!AB$5,'Combined Employee Worksheet'!$I:$I,"&lt;="&amp;'Adj. Employee Retention'!AB$1,'Combined Employee Worksheet'!$K:$K,"&lt;="&amp;$C$138,'Combined Employee Worksheet'!$J:$J,"&lt;&gt;")</f>
        <v>3</v>
      </c>
      <c r="AC8" s="417"/>
      <c r="AD8" s="417"/>
      <c r="AE8" s="417"/>
    </row>
    <row r="9" spans="1:32" ht="12" customHeight="1">
      <c r="A9" s="417"/>
      <c r="B9" s="471" t="s">
        <v>1815</v>
      </c>
      <c r="C9" s="433">
        <f ca="1">SUM(H9:S9)</f>
        <v>-12</v>
      </c>
      <c r="D9" s="433">
        <f ca="1">SUM(T9:AB9)</f>
        <v>-17</v>
      </c>
      <c r="E9" s="417"/>
      <c r="F9" s="433">
        <f ca="1">SUM(Q9:AB9)</f>
        <v>-21</v>
      </c>
      <c r="G9" s="417"/>
      <c r="H9" s="472">
        <f ca="1">-COUNTIFS('Combined Employee Worksheet'!$J:$J,"&gt;="&amp;'Adj. Employee Retention'!H$5,'Combined Employee Worksheet'!$J:$J,"&lt;="&amp;'Adj. Employee Retention'!H$1,'Combined Employee Worksheet'!$K:$K,"&gt;"&amp;$C$138)</f>
        <v>-1</v>
      </c>
      <c r="I9" s="472">
        <f ca="1">-COUNTIFS('Combined Employee Worksheet'!$J:$J,"&gt;="&amp;'Adj. Employee Retention'!I$5,'Combined Employee Worksheet'!$J:$J,"&lt;="&amp;'Adj. Employee Retention'!I$1,'Combined Employee Worksheet'!$K:$K,"&gt;"&amp;$C$138)</f>
        <v>-3</v>
      </c>
      <c r="J9" s="472">
        <f ca="1">-COUNTIFS('Combined Employee Worksheet'!$J:$J,"&gt;="&amp;'Adj. Employee Retention'!J$5,'Combined Employee Worksheet'!$J:$J,"&lt;="&amp;'Adj. Employee Retention'!J$1,'Combined Employee Worksheet'!$K:$K,"&gt;"&amp;$C$138)</f>
        <v>-1</v>
      </c>
      <c r="K9" s="472">
        <f>-COUNTIFS('Combined Employee Worksheet'!$J:$J,"&gt;="&amp;'Adj. Employee Retention'!K$5,'Combined Employee Worksheet'!$J:$J,"&lt;="&amp;'Adj. Employee Retention'!K$1,'Combined Employee Worksheet'!$K:$K,"&gt;"&amp;$C$138)</f>
        <v>0</v>
      </c>
      <c r="L9" s="472">
        <f ca="1">-COUNTIFS('Combined Employee Worksheet'!$J:$J,"&gt;="&amp;'Adj. Employee Retention'!L$5,'Combined Employee Worksheet'!$J:$J,"&lt;="&amp;'Adj. Employee Retention'!L$1,'Combined Employee Worksheet'!$K:$K,"&gt;"&amp;$C$138)</f>
        <v>-1</v>
      </c>
      <c r="M9" s="472">
        <f ca="1">-COUNTIFS('Combined Employee Worksheet'!$J:$J,"&gt;="&amp;'Adj. Employee Retention'!M$5,'Combined Employee Worksheet'!$J:$J,"&lt;="&amp;'Adj. Employee Retention'!M$1,'Combined Employee Worksheet'!$K:$K,"&gt;"&amp;$C$138)</f>
        <v>-1</v>
      </c>
      <c r="N9" s="472">
        <f>-COUNTIFS('Combined Employee Worksheet'!$J:$J,"&gt;="&amp;'Adj. Employee Retention'!N$5,'Combined Employee Worksheet'!$J:$J,"&lt;="&amp;'Adj. Employee Retention'!N$1,'Combined Employee Worksheet'!$K:$K,"&gt;"&amp;$C$138)</f>
        <v>0</v>
      </c>
      <c r="O9" s="472">
        <f ca="1">-COUNTIFS('Combined Employee Worksheet'!$J:$J,"&gt;="&amp;'Adj. Employee Retention'!O$5,'Combined Employee Worksheet'!$J:$J,"&lt;="&amp;'Adj. Employee Retention'!O$1,'Combined Employee Worksheet'!$K:$K,"&gt;"&amp;$C$138)</f>
        <v>-1</v>
      </c>
      <c r="P9" s="472">
        <f>-COUNTIFS('Combined Employee Worksheet'!$J:$J,"&gt;="&amp;'Adj. Employee Retention'!P$5,'Combined Employee Worksheet'!$J:$J,"&lt;="&amp;'Adj. Employee Retention'!P$1,'Combined Employee Worksheet'!$K:$K,"&gt;"&amp;$C$138)</f>
        <v>0</v>
      </c>
      <c r="Q9" s="472">
        <f>-COUNTIFS('Combined Employee Worksheet'!$J:$J,"&gt;="&amp;'Adj. Employee Retention'!Q$5,'Combined Employee Worksheet'!$J:$J,"&lt;="&amp;'Adj. Employee Retention'!Q$1,'Combined Employee Worksheet'!$K:$K,"&gt;"&amp;$C$138)</f>
        <v>0</v>
      </c>
      <c r="R9" s="472">
        <f ca="1">-COUNTIFS('Combined Employee Worksheet'!$J:$J,"&gt;="&amp;'Adj. Employee Retention'!R$5,'Combined Employee Worksheet'!$J:$J,"&lt;="&amp;'Adj. Employee Retention'!R$1,'Combined Employee Worksheet'!$K:$K,"&gt;"&amp;$C$138)</f>
        <v>-3</v>
      </c>
      <c r="S9" s="472">
        <f ca="1">-COUNTIFS('Combined Employee Worksheet'!$J:$J,"&gt;="&amp;'Adj. Employee Retention'!S$5,'Combined Employee Worksheet'!$J:$J,"&lt;="&amp;'Adj. Employee Retention'!S$1,'Combined Employee Worksheet'!$K:$K,"&gt;"&amp;$C$138)</f>
        <v>-1</v>
      </c>
      <c r="T9" s="472">
        <f ca="1">-COUNTIFS('Combined Employee Worksheet'!$J:$J,"&gt;="&amp;'Adj. Employee Retention'!T$5,'Combined Employee Worksheet'!$J:$J,"&lt;="&amp;'Adj. Employee Retention'!T$1,'Combined Employee Worksheet'!$K:$K,"&gt;"&amp;$C$138)</f>
        <v>-1</v>
      </c>
      <c r="U9" s="472">
        <f ca="1">-COUNTIFS('Combined Employee Worksheet'!$J:$J,"&gt;="&amp;'Adj. Employee Retention'!U$5,'Combined Employee Worksheet'!$J:$J,"&lt;="&amp;'Adj. Employee Retention'!U$1,'Combined Employee Worksheet'!$K:$K,"&gt;"&amp;$C$138)</f>
        <v>-1</v>
      </c>
      <c r="V9" s="472">
        <f>-COUNTIFS('Combined Employee Worksheet'!$J:$J,"&gt;="&amp;'Adj. Employee Retention'!V$5,'Combined Employee Worksheet'!$J:$J,"&lt;="&amp;'Adj. Employee Retention'!V$1,'Combined Employee Worksheet'!$K:$K,"&gt;"&amp;$C$138)</f>
        <v>0</v>
      </c>
      <c r="W9" s="472">
        <f ca="1">-COUNTIFS('Combined Employee Worksheet'!$J:$J,"&gt;="&amp;'Adj. Employee Retention'!W$5,'Combined Employee Worksheet'!$J:$J,"&lt;="&amp;'Adj. Employee Retention'!W$1,'Combined Employee Worksheet'!$K:$K,"&gt;"&amp;$C$138)</f>
        <v>-1</v>
      </c>
      <c r="X9" s="472">
        <f ca="1">-COUNTIFS('Combined Employee Worksheet'!$J:$J,"&gt;="&amp;'Adj. Employee Retention'!X$5,'Combined Employee Worksheet'!$J:$J,"&lt;="&amp;'Adj. Employee Retention'!X$1,'Combined Employee Worksheet'!$K:$K,"&gt;"&amp;$C$138)</f>
        <v>-5</v>
      </c>
      <c r="Y9" s="472">
        <f ca="1">-COUNTIFS('Combined Employee Worksheet'!$J:$J,"&gt;="&amp;'Adj. Employee Retention'!Y$5,'Combined Employee Worksheet'!$J:$J,"&lt;="&amp;'Adj. Employee Retention'!Y$1,'Combined Employee Worksheet'!$K:$K,"&gt;"&amp;$C$138)</f>
        <v>-1</v>
      </c>
      <c r="Z9" s="472">
        <f ca="1">-COUNTIFS('Combined Employee Worksheet'!$J:$J,"&gt;="&amp;'Adj. Employee Retention'!Z$5,'Combined Employee Worksheet'!$J:$J,"&lt;="&amp;'Adj. Employee Retention'!Z$1,'Combined Employee Worksheet'!$K:$K,"&gt;"&amp;$C$138)</f>
        <v>-2</v>
      </c>
      <c r="AA9" s="472">
        <f ca="1">-COUNTIFS('Combined Employee Worksheet'!$J:$J,"&gt;="&amp;'Adj. Employee Retention'!AA$5,'Combined Employee Worksheet'!$J:$J,"&lt;="&amp;'Adj. Employee Retention'!AA$1,'Combined Employee Worksheet'!$K:$K,"&gt;"&amp;$C$138)</f>
        <v>-4</v>
      </c>
      <c r="AB9" s="472">
        <f ca="1">-COUNTIFS('Combined Employee Worksheet'!$J:$J,"&gt;="&amp;'Adj. Employee Retention'!AB$5,'Combined Employee Worksheet'!$J:$J,"&lt;="&amp;'Adj. Employee Retention'!AB$1,'Combined Employee Worksheet'!$K:$K,"&gt;"&amp;$C$138)</f>
        <v>-2</v>
      </c>
      <c r="AC9" s="417"/>
      <c r="AD9" s="473">
        <f ca="1">AB10/H7-1</f>
        <v>1.0232558139534884</v>
      </c>
      <c r="AE9" s="417"/>
    </row>
    <row r="10" spans="1:32">
      <c r="A10" s="417"/>
      <c r="B10" s="474" t="s">
        <v>1315</v>
      </c>
      <c r="C10" s="475">
        <f ca="1">+D7</f>
        <v>70</v>
      </c>
      <c r="D10" s="476">
        <f>+$AB10</f>
        <v>87</v>
      </c>
      <c r="E10" s="417"/>
      <c r="F10" s="477">
        <f>+$AB10</f>
        <v>87</v>
      </c>
      <c r="G10" s="417"/>
      <c r="H10" s="478">
        <f t="shared" ref="H10:AA10" ca="1" si="5">+I7</f>
        <v>45</v>
      </c>
      <c r="I10" s="475">
        <f t="shared" ca="1" si="5"/>
        <v>42</v>
      </c>
      <c r="J10" s="475">
        <f t="shared" ca="1" si="5"/>
        <v>45</v>
      </c>
      <c r="K10" s="475">
        <f t="shared" ca="1" si="5"/>
        <v>47</v>
      </c>
      <c r="L10" s="475">
        <f t="shared" ca="1" si="5"/>
        <v>48</v>
      </c>
      <c r="M10" s="475">
        <f t="shared" ca="1" si="5"/>
        <v>53</v>
      </c>
      <c r="N10" s="475">
        <f t="shared" ca="1" si="5"/>
        <v>57</v>
      </c>
      <c r="O10" s="475">
        <f t="shared" ca="1" si="5"/>
        <v>61</v>
      </c>
      <c r="P10" s="475">
        <f t="shared" ca="1" si="5"/>
        <v>62</v>
      </c>
      <c r="Q10" s="478">
        <f t="shared" ca="1" si="5"/>
        <v>65</v>
      </c>
      <c r="R10" s="475">
        <f t="shared" ca="1" si="5"/>
        <v>66</v>
      </c>
      <c r="S10" s="475">
        <f t="shared" ca="1" si="5"/>
        <v>70</v>
      </c>
      <c r="T10" s="475">
        <f t="shared" ca="1" si="5"/>
        <v>72</v>
      </c>
      <c r="U10" s="475">
        <f t="shared" ca="1" si="5"/>
        <v>77</v>
      </c>
      <c r="V10" s="475">
        <f t="shared" ca="1" si="5"/>
        <v>80</v>
      </c>
      <c r="W10" s="475">
        <f t="shared" ca="1" si="5"/>
        <v>82</v>
      </c>
      <c r="X10" s="475">
        <f t="shared" ca="1" si="5"/>
        <v>79</v>
      </c>
      <c r="Y10" s="475">
        <f t="shared" ca="1" si="5"/>
        <v>83</v>
      </c>
      <c r="Z10" s="475">
        <f t="shared" ca="1" si="5"/>
        <v>85</v>
      </c>
      <c r="AA10" s="475">
        <f t="shared" ca="1" si="5"/>
        <v>86</v>
      </c>
      <c r="AB10" s="479">
        <f>COUNTIFS('Combined Employee Worksheet'!$H:$H,"Active")</f>
        <v>87</v>
      </c>
      <c r="AC10" s="417"/>
      <c r="AD10" s="470">
        <f ca="1">AB10-H7</f>
        <v>44</v>
      </c>
      <c r="AE10" s="417"/>
    </row>
    <row r="11" spans="1:32" ht="3.95" customHeight="1">
      <c r="A11" s="417"/>
      <c r="B11" s="480"/>
      <c r="C11" s="481"/>
      <c r="D11" s="481"/>
      <c r="E11" s="417"/>
      <c r="F11" s="481"/>
      <c r="G11" s="417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2"/>
      <c r="AA11" s="482"/>
      <c r="AB11" s="482"/>
      <c r="AC11" s="417"/>
      <c r="AD11" s="417"/>
      <c r="AE11" s="417"/>
    </row>
    <row r="12" spans="1:32" ht="12" customHeight="1">
      <c r="A12" s="417"/>
      <c r="B12" s="474" t="s">
        <v>1817</v>
      </c>
      <c r="C12" s="483">
        <f ca="1">AVERAGE(C7,C10)</f>
        <v>56.5</v>
      </c>
      <c r="D12" s="484">
        <f ca="1">AVERAGE(D7,D10)</f>
        <v>78.5</v>
      </c>
      <c r="E12" s="417"/>
      <c r="F12" s="485">
        <f ca="1">AVERAGE(F7,F10)</f>
        <v>74.5</v>
      </c>
      <c r="G12" s="417"/>
      <c r="H12" s="486">
        <f t="shared" ref="H12:AB12" ca="1" si="6">AVERAGE(H7,H10)</f>
        <v>44</v>
      </c>
      <c r="I12" s="483">
        <f t="shared" ca="1" si="6"/>
        <v>43.5</v>
      </c>
      <c r="J12" s="483">
        <f t="shared" ca="1" si="6"/>
        <v>43.5</v>
      </c>
      <c r="K12" s="483">
        <f t="shared" ca="1" si="6"/>
        <v>46</v>
      </c>
      <c r="L12" s="483">
        <f t="shared" ca="1" si="6"/>
        <v>47.5</v>
      </c>
      <c r="M12" s="483">
        <f t="shared" ca="1" si="6"/>
        <v>50.5</v>
      </c>
      <c r="N12" s="483">
        <f t="shared" ca="1" si="6"/>
        <v>55</v>
      </c>
      <c r="O12" s="483">
        <f t="shared" ca="1" si="6"/>
        <v>59</v>
      </c>
      <c r="P12" s="483">
        <f t="shared" ca="1" si="6"/>
        <v>61.5</v>
      </c>
      <c r="Q12" s="486">
        <f t="shared" ca="1" si="6"/>
        <v>63.5</v>
      </c>
      <c r="R12" s="483">
        <f t="shared" ca="1" si="6"/>
        <v>65.5</v>
      </c>
      <c r="S12" s="483">
        <f t="shared" ca="1" si="6"/>
        <v>68</v>
      </c>
      <c r="T12" s="483">
        <f t="shared" ca="1" si="6"/>
        <v>71</v>
      </c>
      <c r="U12" s="483">
        <f t="shared" ca="1" si="6"/>
        <v>74.5</v>
      </c>
      <c r="V12" s="483">
        <f t="shared" ca="1" si="6"/>
        <v>78.5</v>
      </c>
      <c r="W12" s="483">
        <f t="shared" ca="1" si="6"/>
        <v>81</v>
      </c>
      <c r="X12" s="483">
        <f t="shared" ca="1" si="6"/>
        <v>80.5</v>
      </c>
      <c r="Y12" s="483">
        <f t="shared" ca="1" si="6"/>
        <v>81</v>
      </c>
      <c r="Z12" s="483">
        <f t="shared" ca="1" si="6"/>
        <v>84</v>
      </c>
      <c r="AA12" s="483">
        <f t="shared" ca="1" si="6"/>
        <v>85.5</v>
      </c>
      <c r="AB12" s="484">
        <f t="shared" ca="1" si="6"/>
        <v>86.5</v>
      </c>
      <c r="AC12" s="417"/>
      <c r="AD12" s="417"/>
      <c r="AE12" s="417"/>
    </row>
    <row r="13" spans="1:32" ht="3.95" customHeight="1">
      <c r="A13" s="417"/>
      <c r="B13" s="480"/>
      <c r="C13" s="481"/>
      <c r="D13" s="481"/>
      <c r="E13" s="417"/>
      <c r="F13" s="481"/>
      <c r="G13" s="417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2"/>
      <c r="AA13" s="482"/>
      <c r="AB13" s="482"/>
      <c r="AC13" s="417"/>
      <c r="AD13" s="417"/>
      <c r="AE13" s="417"/>
    </row>
    <row r="14" spans="1:32">
      <c r="A14" s="417"/>
      <c r="B14" s="487" t="s">
        <v>1813</v>
      </c>
      <c r="C14" s="488">
        <f ca="1">(C8+C7)/C7-1</f>
        <v>0.90697674418604657</v>
      </c>
      <c r="D14" s="489">
        <f ca="1">(D8+D7)/D7-1</f>
        <v>0.48571428571428577</v>
      </c>
      <c r="E14" s="490"/>
      <c r="F14" s="491">
        <f ca="1">(F8+F7)/F7-1</f>
        <v>0.74193548387096775</v>
      </c>
      <c r="G14" s="417"/>
      <c r="H14" s="492">
        <f t="shared" ref="H14:AB14" ca="1" si="7">(H8+H7)/H7-1</f>
        <v>6.9767441860465018E-2</v>
      </c>
      <c r="I14" s="488">
        <f t="shared" ca="1" si="7"/>
        <v>0</v>
      </c>
      <c r="J14" s="488">
        <f t="shared" ca="1" si="7"/>
        <v>9.5238095238095344E-2</v>
      </c>
      <c r="K14" s="488">
        <f t="shared" ca="1" si="7"/>
        <v>4.4444444444444509E-2</v>
      </c>
      <c r="L14" s="488">
        <f t="shared" ca="1" si="7"/>
        <v>4.2553191489361764E-2</v>
      </c>
      <c r="M14" s="488">
        <f t="shared" ca="1" si="7"/>
        <v>0.125</v>
      </c>
      <c r="N14" s="488">
        <f t="shared" ca="1" si="7"/>
        <v>7.547169811320753E-2</v>
      </c>
      <c r="O14" s="488">
        <f t="shared" ca="1" si="7"/>
        <v>8.7719298245614086E-2</v>
      </c>
      <c r="P14" s="488">
        <f t="shared" ca="1" si="7"/>
        <v>1.6393442622950838E-2</v>
      </c>
      <c r="Q14" s="492">
        <f t="shared" ca="1" si="7"/>
        <v>4.8387096774193505E-2</v>
      </c>
      <c r="R14" s="488">
        <f t="shared" ca="1" si="7"/>
        <v>6.1538461538461542E-2</v>
      </c>
      <c r="S14" s="488">
        <f t="shared" ca="1" si="7"/>
        <v>7.575757575757569E-2</v>
      </c>
      <c r="T14" s="488">
        <f t="shared" ca="1" si="7"/>
        <v>4.2857142857142927E-2</v>
      </c>
      <c r="U14" s="488">
        <f t="shared" ca="1" si="7"/>
        <v>8.3333333333333259E-2</v>
      </c>
      <c r="V14" s="488">
        <f t="shared" ca="1" si="7"/>
        <v>3.8961038961038863E-2</v>
      </c>
      <c r="W14" s="488">
        <f t="shared" ca="1" si="7"/>
        <v>3.7500000000000089E-2</v>
      </c>
      <c r="X14" s="488">
        <f t="shared" ca="1" si="7"/>
        <v>2.4390243902439046E-2</v>
      </c>
      <c r="Y14" s="488">
        <f t="shared" ca="1" si="7"/>
        <v>6.3291139240506222E-2</v>
      </c>
      <c r="Z14" s="488">
        <f t="shared" ca="1" si="7"/>
        <v>4.8192771084337283E-2</v>
      </c>
      <c r="AA14" s="488">
        <f t="shared" ca="1" si="7"/>
        <v>5.8823529411764719E-2</v>
      </c>
      <c r="AB14" s="489">
        <f t="shared" ca="1" si="7"/>
        <v>3.488372093023262E-2</v>
      </c>
      <c r="AC14" s="417"/>
      <c r="AD14" s="417"/>
      <c r="AE14" s="417"/>
    </row>
    <row r="15" spans="1:32">
      <c r="A15" s="417"/>
      <c r="B15" s="493" t="s">
        <v>1812</v>
      </c>
      <c r="C15" s="494">
        <f t="shared" ref="C15:D15" ca="1" si="8">(C9+C12)/C12-1</f>
        <v>-0.21238938053097345</v>
      </c>
      <c r="D15" s="495">
        <f t="shared" ca="1" si="8"/>
        <v>-0.21656050955414008</v>
      </c>
      <c r="E15" s="490"/>
      <c r="F15" s="496">
        <f ca="1">(F9+F12)/F12-1</f>
        <v>-0.28187919463087252</v>
      </c>
      <c r="G15" s="417"/>
      <c r="H15" s="497">
        <f t="shared" ref="H15:AB15" ca="1" si="9">(H9+H12)/H12-1</f>
        <v>-2.2727272727272707E-2</v>
      </c>
      <c r="I15" s="494">
        <f t="shared" ca="1" si="9"/>
        <v>-6.8965517241379337E-2</v>
      </c>
      <c r="J15" s="494">
        <f t="shared" ca="1" si="9"/>
        <v>-2.2988505747126409E-2</v>
      </c>
      <c r="K15" s="494">
        <f t="shared" ca="1" si="9"/>
        <v>0</v>
      </c>
      <c r="L15" s="494">
        <f t="shared" ca="1" si="9"/>
        <v>-2.1052631578947323E-2</v>
      </c>
      <c r="M15" s="494">
        <f t="shared" ca="1" si="9"/>
        <v>-1.980198019801982E-2</v>
      </c>
      <c r="N15" s="494">
        <f t="shared" ca="1" si="9"/>
        <v>0</v>
      </c>
      <c r="O15" s="494">
        <f t="shared" ca="1" si="9"/>
        <v>-1.6949152542372836E-2</v>
      </c>
      <c r="P15" s="494">
        <f t="shared" ca="1" si="9"/>
        <v>0</v>
      </c>
      <c r="Q15" s="497">
        <f t="shared" ca="1" si="9"/>
        <v>0</v>
      </c>
      <c r="R15" s="494">
        <f t="shared" ca="1" si="9"/>
        <v>-4.5801526717557217E-2</v>
      </c>
      <c r="S15" s="494">
        <f t="shared" ca="1" si="9"/>
        <v>-1.4705882352941124E-2</v>
      </c>
      <c r="T15" s="494">
        <f t="shared" ca="1" si="9"/>
        <v>-1.4084507042253502E-2</v>
      </c>
      <c r="U15" s="494">
        <f t="shared" ca="1" si="9"/>
        <v>-1.3422818791946289E-2</v>
      </c>
      <c r="V15" s="494">
        <f t="shared" ca="1" si="9"/>
        <v>0</v>
      </c>
      <c r="W15" s="494">
        <f t="shared" ca="1" si="9"/>
        <v>-1.2345679012345734E-2</v>
      </c>
      <c r="X15" s="494">
        <f t="shared" ca="1" si="9"/>
        <v>-6.2111801242236031E-2</v>
      </c>
      <c r="Y15" s="494">
        <f t="shared" ca="1" si="9"/>
        <v>-1.2345679012345734E-2</v>
      </c>
      <c r="Z15" s="494">
        <f t="shared" ca="1" si="9"/>
        <v>-2.3809523809523836E-2</v>
      </c>
      <c r="AA15" s="494">
        <f t="shared" ca="1" si="9"/>
        <v>-4.6783625730994149E-2</v>
      </c>
      <c r="AB15" s="495">
        <f t="shared" ca="1" si="9"/>
        <v>-2.3121387283236983E-2</v>
      </c>
      <c r="AC15" s="417"/>
      <c r="AD15" s="417"/>
      <c r="AE15" s="417"/>
    </row>
    <row r="16" spans="1:32" ht="3.95" customHeight="1">
      <c r="A16" s="417"/>
      <c r="B16" s="480"/>
      <c r="C16" s="417"/>
      <c r="D16" s="417"/>
      <c r="E16" s="417"/>
      <c r="F16" s="417"/>
      <c r="G16" s="417"/>
      <c r="H16" s="417"/>
      <c r="I16" s="417"/>
      <c r="J16" s="417"/>
      <c r="K16" s="417"/>
      <c r="L16" s="417"/>
      <c r="M16" s="417"/>
      <c r="N16" s="417"/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</row>
    <row r="17" spans="1:31" ht="24">
      <c r="A17" s="417"/>
      <c r="B17" s="462" t="s">
        <v>1997</v>
      </c>
      <c r="C17" s="463" t="s">
        <v>4</v>
      </c>
      <c r="D17" s="463" t="s">
        <v>1317</v>
      </c>
      <c r="E17" s="464"/>
      <c r="F17" s="463" t="s">
        <v>1527</v>
      </c>
      <c r="G17" s="417"/>
      <c r="H17" s="465">
        <v>45658</v>
      </c>
      <c r="I17" s="465">
        <f t="shared" ref="I17:N17" si="10">EOMONTH(H17,0)+1</f>
        <v>45689</v>
      </c>
      <c r="J17" s="465">
        <f t="shared" si="10"/>
        <v>45717</v>
      </c>
      <c r="K17" s="465">
        <f t="shared" si="10"/>
        <v>45748</v>
      </c>
      <c r="L17" s="465">
        <f t="shared" si="10"/>
        <v>45778</v>
      </c>
      <c r="M17" s="465">
        <f t="shared" si="10"/>
        <v>45809</v>
      </c>
      <c r="N17" s="465">
        <f t="shared" si="10"/>
        <v>45839</v>
      </c>
      <c r="O17" s="465">
        <v>45870</v>
      </c>
      <c r="P17" s="465">
        <f t="shared" ref="P17:AB17" si="11">EOMONTH(O17,0)+1</f>
        <v>45901</v>
      </c>
      <c r="Q17" s="465">
        <f t="shared" si="11"/>
        <v>45931</v>
      </c>
      <c r="R17" s="465">
        <f t="shared" si="11"/>
        <v>45962</v>
      </c>
      <c r="S17" s="465">
        <f t="shared" si="11"/>
        <v>45992</v>
      </c>
      <c r="T17" s="465">
        <f t="shared" si="11"/>
        <v>46023</v>
      </c>
      <c r="U17" s="465">
        <f t="shared" si="11"/>
        <v>46054</v>
      </c>
      <c r="V17" s="465">
        <f t="shared" si="11"/>
        <v>46082</v>
      </c>
      <c r="W17" s="465">
        <f t="shared" si="11"/>
        <v>46113</v>
      </c>
      <c r="X17" s="465">
        <f t="shared" si="11"/>
        <v>46143</v>
      </c>
      <c r="Y17" s="465">
        <f t="shared" si="11"/>
        <v>46174</v>
      </c>
      <c r="Z17" s="465">
        <f t="shared" si="11"/>
        <v>46204</v>
      </c>
      <c r="AA17" s="465">
        <f t="shared" si="11"/>
        <v>46235</v>
      </c>
      <c r="AB17" s="465">
        <f t="shared" si="11"/>
        <v>46266</v>
      </c>
      <c r="AC17" s="466"/>
      <c r="AD17" s="417"/>
      <c r="AE17" s="466"/>
    </row>
    <row r="18" spans="1:31">
      <c r="A18" s="417"/>
      <c r="B18" s="498" t="s">
        <v>490</v>
      </c>
      <c r="C18" s="468"/>
      <c r="D18" s="468"/>
      <c r="E18" s="469"/>
      <c r="F18" s="468"/>
      <c r="G18" s="417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9"/>
      <c r="AD18" s="469"/>
      <c r="AE18" s="469"/>
    </row>
    <row r="19" spans="1:31">
      <c r="A19" s="417"/>
      <c r="B19" s="469" t="s">
        <v>1818</v>
      </c>
      <c r="C19" s="499">
        <f>AVERAGE(('Client Retention'!E7-'Client Retention'!E97),('Client Retention'!E13-'Client Retention'!E103))</f>
        <v>162.5</v>
      </c>
      <c r="D19" s="499">
        <f>AVERAGE(('Client Retention'!F7-'Client Retention'!F97),('Client Retention'!F13-'Client Retention'!F103))</f>
        <v>179.5</v>
      </c>
      <c r="E19" s="469"/>
      <c r="F19" s="499">
        <f>AVERAGE(('Client Retention'!H7-'Client Retention'!H97),('Client Retention'!H13-'Client Retention'!H103))</f>
        <v>178</v>
      </c>
      <c r="G19" s="417"/>
      <c r="H19" s="499">
        <f>AVERAGE(('Client Retention'!J7-'Client Retention'!J97),('Client Retention'!J13-'Client Retention'!J103))</f>
        <v>146</v>
      </c>
      <c r="I19" s="499">
        <f>AVERAGE(('Client Retention'!K7-'Client Retention'!K97),('Client Retention'!K13-'Client Retention'!K103))</f>
        <v>147.5</v>
      </c>
      <c r="J19" s="499">
        <f>AVERAGE(('Client Retention'!L7-'Client Retention'!L97),('Client Retention'!L13-'Client Retention'!L103))</f>
        <v>151</v>
      </c>
      <c r="K19" s="499">
        <f>AVERAGE(('Client Retention'!M7-'Client Retention'!M97),('Client Retention'!M13-'Client Retention'!M103))</f>
        <v>156.5</v>
      </c>
      <c r="L19" s="499">
        <f>AVERAGE(('Client Retention'!N7-'Client Retention'!N97),('Client Retention'!N13-'Client Retention'!N103))</f>
        <v>162</v>
      </c>
      <c r="M19" s="499">
        <f>AVERAGE(('Client Retention'!O7-'Client Retention'!O97),('Client Retention'!O13-'Client Retention'!O103))</f>
        <v>165</v>
      </c>
      <c r="N19" s="499">
        <f>AVERAGE(('Client Retention'!P7-'Client Retention'!P97),('Client Retention'!P13-'Client Retention'!P103))</f>
        <v>167</v>
      </c>
      <c r="O19" s="499">
        <f>AVERAGE(('Client Retention'!Q7-'Client Retention'!Q97),('Client Retention'!Q13-'Client Retention'!Q103))</f>
        <v>172</v>
      </c>
      <c r="P19" s="499">
        <f>AVERAGE(('Client Retention'!R7-'Client Retention'!R97),('Client Retention'!R13-'Client Retention'!R103))</f>
        <v>176</v>
      </c>
      <c r="Q19" s="499">
        <f>AVERAGE(('Client Retention'!S7-'Client Retention'!S97),('Client Retention'!S13-'Client Retention'!S103))</f>
        <v>179.5</v>
      </c>
      <c r="R19" s="499">
        <f>AVERAGE(('Client Retention'!T7-'Client Retention'!T97),('Client Retention'!T13-'Client Retention'!T103))</f>
        <v>181.5</v>
      </c>
      <c r="S19" s="499">
        <f>AVERAGE(('Client Retention'!U7-'Client Retention'!U97),('Client Retention'!U13-'Client Retention'!U103))</f>
        <v>180.5</v>
      </c>
      <c r="T19" s="499">
        <f>AVERAGE(('Client Retention'!V7-'Client Retention'!V97),('Client Retention'!V13-'Client Retention'!V103))</f>
        <v>183</v>
      </c>
      <c r="U19" s="499">
        <f>AVERAGE(('Client Retention'!W7-'Client Retention'!W97),('Client Retention'!W13-'Client Retention'!W103))</f>
        <v>189.5</v>
      </c>
      <c r="V19" s="499">
        <f>AVERAGE(('Client Retention'!X7-'Client Retention'!X97),('Client Retention'!X13-'Client Retention'!X103))</f>
        <v>192.5</v>
      </c>
      <c r="W19" s="499">
        <f>AVERAGE(('Client Retention'!Y7-'Client Retention'!Y97),('Client Retention'!Y13-'Client Retention'!Y103))</f>
        <v>195</v>
      </c>
      <c r="X19" s="499">
        <f>AVERAGE(('Client Retention'!Z7-'Client Retention'!Z97),('Client Retention'!Z13-'Client Retention'!Z103))</f>
        <v>193.5</v>
      </c>
      <c r="Y19" s="499">
        <f>AVERAGE(('Client Retention'!AA7-'Client Retention'!AA97),('Client Retention'!AA13-'Client Retention'!AA103))</f>
        <v>189</v>
      </c>
      <c r="Z19" s="499">
        <f>AVERAGE(('Client Retention'!AB7-'Client Retention'!AB97),('Client Retention'!AB13-'Client Retention'!AB103))</f>
        <v>181.5</v>
      </c>
      <c r="AA19" s="499">
        <f>AVERAGE(('Client Retention'!AC7-'Client Retention'!AC97),('Client Retention'!AC13-'Client Retention'!AC103))</f>
        <v>174.5</v>
      </c>
      <c r="AB19" s="499">
        <f>AVERAGE(('Client Retention'!AD7-'Client Retention'!AD97),('Client Retention'!AD13-'Client Retention'!AD103))</f>
        <v>177</v>
      </c>
      <c r="AC19" s="469"/>
      <c r="AD19" s="469"/>
      <c r="AE19" s="469"/>
    </row>
    <row r="20" spans="1:31" ht="3.95" customHeight="1">
      <c r="A20" s="417"/>
      <c r="B20" s="500"/>
      <c r="C20" s="469"/>
      <c r="D20" s="469"/>
      <c r="E20" s="469"/>
      <c r="F20" s="469"/>
      <c r="G20" s="417"/>
      <c r="H20" s="469"/>
      <c r="I20" s="469"/>
      <c r="J20" s="469"/>
      <c r="K20" s="469"/>
      <c r="L20" s="469"/>
      <c r="M20" s="469"/>
      <c r="N20" s="469"/>
      <c r="O20" s="469"/>
      <c r="P20" s="469"/>
      <c r="Q20" s="469"/>
      <c r="R20" s="469"/>
      <c r="S20" s="469"/>
      <c r="T20" s="469"/>
      <c r="U20" s="469"/>
      <c r="V20" s="469"/>
      <c r="W20" s="469"/>
      <c r="X20" s="469"/>
      <c r="Y20" s="469"/>
      <c r="Z20" s="469"/>
      <c r="AA20" s="469"/>
      <c r="AB20" s="469"/>
      <c r="AC20" s="469"/>
      <c r="AD20" s="469"/>
      <c r="AE20" s="469"/>
    </row>
    <row r="21" spans="1:31">
      <c r="A21" s="417"/>
      <c r="B21" s="417" t="s">
        <v>1313</v>
      </c>
      <c r="C21" s="470">
        <f ca="1">+C24-C22-C23</f>
        <v>13</v>
      </c>
      <c r="D21" s="470">
        <f ca="1">+D24-D22-D23</f>
        <v>31</v>
      </c>
      <c r="E21" s="417"/>
      <c r="F21" s="470">
        <f ca="1">+F24-F22-F23</f>
        <v>26</v>
      </c>
      <c r="G21" s="417"/>
      <c r="H21" s="470">
        <f t="shared" ref="H21:AB21" ca="1" si="12">+H24-H22-H23</f>
        <v>13</v>
      </c>
      <c r="I21" s="470">
        <f t="shared" ca="1" si="12"/>
        <v>13</v>
      </c>
      <c r="J21" s="470">
        <f t="shared" ca="1" si="12"/>
        <v>13</v>
      </c>
      <c r="K21" s="470">
        <f t="shared" ca="1" si="12"/>
        <v>14</v>
      </c>
      <c r="L21" s="470">
        <f t="shared" ca="1" si="12"/>
        <v>15</v>
      </c>
      <c r="M21" s="470">
        <f t="shared" ca="1" si="12"/>
        <v>15</v>
      </c>
      <c r="N21" s="470">
        <f t="shared" ca="1" si="12"/>
        <v>20</v>
      </c>
      <c r="O21" s="470">
        <f t="shared" ca="1" si="12"/>
        <v>24</v>
      </c>
      <c r="P21" s="470">
        <f t="shared" ca="1" si="12"/>
        <v>26</v>
      </c>
      <c r="Q21" s="470">
        <f t="shared" ca="1" si="12"/>
        <v>26</v>
      </c>
      <c r="R21" s="470">
        <f t="shared" ca="1" si="12"/>
        <v>28</v>
      </c>
      <c r="S21" s="470">
        <f t="shared" ca="1" si="12"/>
        <v>30</v>
      </c>
      <c r="T21" s="470">
        <f t="shared" ca="1" si="12"/>
        <v>31</v>
      </c>
      <c r="U21" s="470">
        <f t="shared" ca="1" si="12"/>
        <v>32</v>
      </c>
      <c r="V21" s="470">
        <f t="shared" ca="1" si="12"/>
        <v>32</v>
      </c>
      <c r="W21" s="470">
        <f t="shared" ca="1" si="12"/>
        <v>32</v>
      </c>
      <c r="X21" s="470">
        <f t="shared" ca="1" si="12"/>
        <v>34</v>
      </c>
      <c r="Y21" s="470">
        <f t="shared" ca="1" si="12"/>
        <v>33</v>
      </c>
      <c r="Z21" s="470">
        <f t="shared" ca="1" si="12"/>
        <v>37</v>
      </c>
      <c r="AA21" s="470">
        <f t="shared" ca="1" si="12"/>
        <v>39</v>
      </c>
      <c r="AB21" s="470">
        <f t="shared" ca="1" si="12"/>
        <v>38</v>
      </c>
      <c r="AC21" s="417"/>
      <c r="AD21" s="417"/>
      <c r="AE21" s="417"/>
    </row>
    <row r="22" spans="1:31">
      <c r="A22" s="417"/>
      <c r="B22" s="471" t="s">
        <v>1814</v>
      </c>
      <c r="C22" s="433">
        <f ca="1">SUM(H22:S22)</f>
        <v>21</v>
      </c>
      <c r="D22" s="433">
        <f ca="1">SUM(T22:AB22)</f>
        <v>15</v>
      </c>
      <c r="E22" s="417"/>
      <c r="F22" s="433">
        <f ca="1">SUM(Q22:AB22)</f>
        <v>21</v>
      </c>
      <c r="G22" s="417"/>
      <c r="H22" s="472">
        <f>COUNTIFS('Combined Employee Worksheet'!$I:$I,"&gt;="&amp;'Adj. Employee Retention'!H$5,'Combined Employee Worksheet'!$I:$I,"&lt;="&amp;'Adj. Employee Retention'!H$1,'Combined Employee Worksheet'!$D:$D,'Adj. Employee Retention'!$B18)-COUNTIFS('Combined Employee Worksheet'!$I:$I,"&gt;="&amp;'Adj. Employee Retention'!H$5,'Combined Employee Worksheet'!$I:$I,"&lt;="&amp;'Adj. Employee Retention'!H$1,'Combined Employee Worksheet'!$D:$D,'Adj. Employee Retention'!$B18,'Combined Employee Worksheet'!$K:$K,"&lt;="&amp;$C$138,'Combined Employee Worksheet'!$J:$J,"&lt;&gt;")</f>
        <v>0</v>
      </c>
      <c r="I22" s="472">
        <f ca="1">COUNTIFS('Combined Employee Worksheet'!$I:$I,"&gt;="&amp;'Adj. Employee Retention'!I$5,'Combined Employee Worksheet'!$I:$I,"&lt;="&amp;'Adj. Employee Retention'!I$1,'Combined Employee Worksheet'!$D:$D,'Adj. Employee Retention'!$B18)-COUNTIFS('Combined Employee Worksheet'!$I:$I,"&gt;="&amp;'Adj. Employee Retention'!I$5,'Combined Employee Worksheet'!$I:$I,"&lt;="&amp;'Adj. Employee Retention'!I$1,'Combined Employee Worksheet'!$D:$D,'Adj. Employee Retention'!$B18,'Combined Employee Worksheet'!$K:$K,"&lt;="&amp;$C$138,'Combined Employee Worksheet'!$J:$J,"&lt;&gt;")</f>
        <v>0</v>
      </c>
      <c r="J22" s="472">
        <f ca="1">COUNTIFS('Combined Employee Worksheet'!$I:$I,"&gt;="&amp;'Adj. Employee Retention'!J$5,'Combined Employee Worksheet'!$I:$I,"&lt;="&amp;'Adj. Employee Retention'!J$1,'Combined Employee Worksheet'!$D:$D,'Adj. Employee Retention'!$B18)-COUNTIFS('Combined Employee Worksheet'!$I:$I,"&gt;="&amp;'Adj. Employee Retention'!J$5,'Combined Employee Worksheet'!$I:$I,"&lt;="&amp;'Adj. Employee Retention'!J$1,'Combined Employee Worksheet'!$D:$D,'Adj. Employee Retention'!$B18,'Combined Employee Worksheet'!$K:$K,"&lt;="&amp;$C$138,'Combined Employee Worksheet'!$J:$J,"&lt;&gt;")</f>
        <v>1</v>
      </c>
      <c r="K22" s="472">
        <f ca="1">COUNTIFS('Combined Employee Worksheet'!$I:$I,"&gt;="&amp;'Adj. Employee Retention'!K$5,'Combined Employee Worksheet'!$I:$I,"&lt;="&amp;'Adj. Employee Retention'!K$1,'Combined Employee Worksheet'!$D:$D,'Adj. Employee Retention'!$B18)-COUNTIFS('Combined Employee Worksheet'!$I:$I,"&gt;="&amp;'Adj. Employee Retention'!K$5,'Combined Employee Worksheet'!$I:$I,"&lt;="&amp;'Adj. Employee Retention'!K$1,'Combined Employee Worksheet'!$D:$D,'Adj. Employee Retention'!$B18,'Combined Employee Worksheet'!$K:$K,"&lt;="&amp;$C$138,'Combined Employee Worksheet'!$J:$J,"&lt;&gt;")</f>
        <v>1</v>
      </c>
      <c r="L22" s="472">
        <f ca="1">COUNTIFS('Combined Employee Worksheet'!$I:$I,"&gt;="&amp;'Adj. Employee Retention'!L$5,'Combined Employee Worksheet'!$I:$I,"&lt;="&amp;'Adj. Employee Retention'!L$1,'Combined Employee Worksheet'!$D:$D,'Adj. Employee Retention'!$B18)-COUNTIFS('Combined Employee Worksheet'!$I:$I,"&gt;="&amp;'Adj. Employee Retention'!L$5,'Combined Employee Worksheet'!$I:$I,"&lt;="&amp;'Adj. Employee Retention'!L$1,'Combined Employee Worksheet'!$D:$D,'Adj. Employee Retention'!$B18,'Combined Employee Worksheet'!$K:$K,"&lt;="&amp;$C$138,'Combined Employee Worksheet'!$J:$J,"&lt;&gt;")</f>
        <v>1</v>
      </c>
      <c r="M22" s="472">
        <f ca="1">COUNTIFS('Combined Employee Worksheet'!$I:$I,"&gt;="&amp;'Adj. Employee Retention'!M$5,'Combined Employee Worksheet'!$I:$I,"&lt;="&amp;'Adj. Employee Retention'!M$1,'Combined Employee Worksheet'!$D:$D,'Adj. Employee Retention'!$B18)-COUNTIFS('Combined Employee Worksheet'!$I:$I,"&gt;="&amp;'Adj. Employee Retention'!M$5,'Combined Employee Worksheet'!$I:$I,"&lt;="&amp;'Adj. Employee Retention'!M$1,'Combined Employee Worksheet'!$D:$D,'Adj. Employee Retention'!$B18,'Combined Employee Worksheet'!$K:$K,"&lt;="&amp;$C$138,'Combined Employee Worksheet'!$J:$J,"&lt;&gt;")</f>
        <v>5</v>
      </c>
      <c r="N22" s="472">
        <f ca="1">COUNTIFS('Combined Employee Worksheet'!$I:$I,"&gt;="&amp;'Adj. Employee Retention'!N$5,'Combined Employee Worksheet'!$I:$I,"&lt;="&amp;'Adj. Employee Retention'!N$1,'Combined Employee Worksheet'!$D:$D,'Adj. Employee Retention'!$B18)-COUNTIFS('Combined Employee Worksheet'!$I:$I,"&gt;="&amp;'Adj. Employee Retention'!N$5,'Combined Employee Worksheet'!$I:$I,"&lt;="&amp;'Adj. Employee Retention'!N$1,'Combined Employee Worksheet'!$D:$D,'Adj. Employee Retention'!$B18,'Combined Employee Worksheet'!$K:$K,"&lt;="&amp;$C$138,'Combined Employee Worksheet'!$J:$J,"&lt;&gt;")</f>
        <v>4</v>
      </c>
      <c r="O22" s="472">
        <f ca="1">COUNTIFS('Combined Employee Worksheet'!$I:$I,"&gt;="&amp;'Adj. Employee Retention'!O$5,'Combined Employee Worksheet'!$I:$I,"&lt;="&amp;'Adj. Employee Retention'!O$1,'Combined Employee Worksheet'!$D:$D,'Adj. Employee Retention'!$B18)-COUNTIFS('Combined Employee Worksheet'!$I:$I,"&gt;="&amp;'Adj. Employee Retention'!O$5,'Combined Employee Worksheet'!$I:$I,"&lt;="&amp;'Adj. Employee Retention'!O$1,'Combined Employee Worksheet'!$D:$D,'Adj. Employee Retention'!$B18,'Combined Employee Worksheet'!$K:$K,"&lt;="&amp;$C$138,'Combined Employee Worksheet'!$J:$J,"&lt;&gt;")</f>
        <v>3</v>
      </c>
      <c r="P22" s="472">
        <f ca="1">COUNTIFS('Combined Employee Worksheet'!$I:$I,"&gt;="&amp;'Adj. Employee Retention'!P$5,'Combined Employee Worksheet'!$I:$I,"&lt;="&amp;'Adj. Employee Retention'!P$1,'Combined Employee Worksheet'!$D:$D,'Adj. Employee Retention'!$B18)-COUNTIFS('Combined Employee Worksheet'!$I:$I,"&gt;="&amp;'Adj. Employee Retention'!P$5,'Combined Employee Worksheet'!$I:$I,"&lt;="&amp;'Adj. Employee Retention'!P$1,'Combined Employee Worksheet'!$D:$D,'Adj. Employee Retention'!$B18,'Combined Employee Worksheet'!$K:$K,"&lt;="&amp;$C$138,'Combined Employee Worksheet'!$J:$J,"&lt;&gt;")</f>
        <v>0</v>
      </c>
      <c r="Q22" s="472">
        <f ca="1">COUNTIFS('Combined Employee Worksheet'!$I:$I,"&gt;="&amp;'Adj. Employee Retention'!Q$5,'Combined Employee Worksheet'!$I:$I,"&lt;="&amp;'Adj. Employee Retention'!Q$1,'Combined Employee Worksheet'!$D:$D,'Adj. Employee Retention'!$B18)-COUNTIFS('Combined Employee Worksheet'!$I:$I,"&gt;="&amp;'Adj. Employee Retention'!Q$5,'Combined Employee Worksheet'!$I:$I,"&lt;="&amp;'Adj. Employee Retention'!Q$1,'Combined Employee Worksheet'!$D:$D,'Adj. Employee Retention'!$B18,'Combined Employee Worksheet'!$K:$K,"&lt;="&amp;$C$138,'Combined Employee Worksheet'!$J:$J,"&lt;&gt;")</f>
        <v>2</v>
      </c>
      <c r="R22" s="472">
        <f ca="1">COUNTIFS('Combined Employee Worksheet'!$I:$I,"&gt;="&amp;'Adj. Employee Retention'!R$5,'Combined Employee Worksheet'!$I:$I,"&lt;="&amp;'Adj. Employee Retention'!R$1,'Combined Employee Worksheet'!$D:$D,'Adj. Employee Retention'!$B18)-COUNTIFS('Combined Employee Worksheet'!$I:$I,"&gt;="&amp;'Adj. Employee Retention'!R$5,'Combined Employee Worksheet'!$I:$I,"&lt;="&amp;'Adj. Employee Retention'!R$1,'Combined Employee Worksheet'!$D:$D,'Adj. Employee Retention'!$B18,'Combined Employee Worksheet'!$K:$K,"&lt;="&amp;$C$138,'Combined Employee Worksheet'!$J:$J,"&lt;&gt;")</f>
        <v>3</v>
      </c>
      <c r="S22" s="472">
        <f ca="1">COUNTIFS('Combined Employee Worksheet'!$I:$I,"&gt;="&amp;'Adj. Employee Retention'!S$5,'Combined Employee Worksheet'!$I:$I,"&lt;="&amp;'Adj. Employee Retention'!S$1,'Combined Employee Worksheet'!$D:$D,'Adj. Employee Retention'!$B18)-COUNTIFS('Combined Employee Worksheet'!$I:$I,"&gt;="&amp;'Adj. Employee Retention'!S$5,'Combined Employee Worksheet'!$I:$I,"&lt;="&amp;'Adj. Employee Retention'!S$1,'Combined Employee Worksheet'!$D:$D,'Adj. Employee Retention'!$B18,'Combined Employee Worksheet'!$K:$K,"&lt;="&amp;$C$138,'Combined Employee Worksheet'!$J:$J,"&lt;&gt;")</f>
        <v>1</v>
      </c>
      <c r="T22" s="472">
        <f ca="1">COUNTIFS('Combined Employee Worksheet'!$I:$I,"&gt;="&amp;'Adj. Employee Retention'!T$5,'Combined Employee Worksheet'!$I:$I,"&lt;="&amp;'Adj. Employee Retention'!T$1,'Combined Employee Worksheet'!$D:$D,'Adj. Employee Retention'!$B18)-COUNTIFS('Combined Employee Worksheet'!$I:$I,"&gt;="&amp;'Adj. Employee Retention'!T$5,'Combined Employee Worksheet'!$I:$I,"&lt;="&amp;'Adj. Employee Retention'!T$1,'Combined Employee Worksheet'!$D:$D,'Adj. Employee Retention'!$B18,'Combined Employee Worksheet'!$K:$K,"&lt;="&amp;$C$138,'Combined Employee Worksheet'!$J:$J,"&lt;&gt;")</f>
        <v>1</v>
      </c>
      <c r="U22" s="472">
        <f>COUNTIFS('Combined Employee Worksheet'!$I:$I,"&gt;="&amp;'Adj. Employee Retention'!U$5,'Combined Employee Worksheet'!$I:$I,"&lt;="&amp;'Adj. Employee Retention'!U$1,'Combined Employee Worksheet'!$D:$D,'Adj. Employee Retention'!$B18)-COUNTIFS('Combined Employee Worksheet'!$I:$I,"&gt;="&amp;'Adj. Employee Retention'!U$5,'Combined Employee Worksheet'!$I:$I,"&lt;="&amp;'Adj. Employee Retention'!U$1,'Combined Employee Worksheet'!$D:$D,'Adj. Employee Retention'!$B18,'Combined Employee Worksheet'!$K:$K,"&lt;="&amp;$C$138,'Combined Employee Worksheet'!$J:$J,"&lt;&gt;")</f>
        <v>0</v>
      </c>
      <c r="V22" s="472">
        <f>COUNTIFS('Combined Employee Worksheet'!$I:$I,"&gt;="&amp;'Adj. Employee Retention'!V$5,'Combined Employee Worksheet'!$I:$I,"&lt;="&amp;'Adj. Employee Retention'!V$1,'Combined Employee Worksheet'!$D:$D,'Adj. Employee Retention'!$B18)-COUNTIFS('Combined Employee Worksheet'!$I:$I,"&gt;="&amp;'Adj. Employee Retention'!V$5,'Combined Employee Worksheet'!$I:$I,"&lt;="&amp;'Adj. Employee Retention'!V$1,'Combined Employee Worksheet'!$D:$D,'Adj. Employee Retention'!$B18,'Combined Employee Worksheet'!$K:$K,"&lt;="&amp;$C$138,'Combined Employee Worksheet'!$J:$J,"&lt;&gt;")</f>
        <v>0</v>
      </c>
      <c r="W22" s="472">
        <f ca="1">COUNTIFS('Combined Employee Worksheet'!$I:$I,"&gt;="&amp;'Adj. Employee Retention'!W$5,'Combined Employee Worksheet'!$I:$I,"&lt;="&amp;'Adj. Employee Retention'!W$1,'Combined Employee Worksheet'!$D:$D,'Adj. Employee Retention'!$B18)-COUNTIFS('Combined Employee Worksheet'!$I:$I,"&gt;="&amp;'Adj. Employee Retention'!W$5,'Combined Employee Worksheet'!$I:$I,"&lt;="&amp;'Adj. Employee Retention'!W$1,'Combined Employee Worksheet'!$D:$D,'Adj. Employee Retention'!$B18,'Combined Employee Worksheet'!$K:$K,"&lt;="&amp;$C$138,'Combined Employee Worksheet'!$J:$J,"&lt;&gt;")</f>
        <v>2</v>
      </c>
      <c r="X22" s="472">
        <f ca="1">COUNTIFS('Combined Employee Worksheet'!$I:$I,"&gt;="&amp;'Adj. Employee Retention'!X$5,'Combined Employee Worksheet'!$I:$I,"&lt;="&amp;'Adj. Employee Retention'!X$1,'Combined Employee Worksheet'!$D:$D,'Adj. Employee Retention'!$B18)-COUNTIFS('Combined Employee Worksheet'!$I:$I,"&gt;="&amp;'Adj. Employee Retention'!X$5,'Combined Employee Worksheet'!$I:$I,"&lt;="&amp;'Adj. Employee Retention'!X$1,'Combined Employee Worksheet'!$D:$D,'Adj. Employee Retention'!$B18,'Combined Employee Worksheet'!$K:$K,"&lt;="&amp;$C$138,'Combined Employee Worksheet'!$J:$J,"&lt;&gt;")</f>
        <v>1</v>
      </c>
      <c r="Y22" s="472">
        <f ca="1">COUNTIFS('Combined Employee Worksheet'!$I:$I,"&gt;="&amp;'Adj. Employee Retention'!Y$5,'Combined Employee Worksheet'!$I:$I,"&lt;="&amp;'Adj. Employee Retention'!Y$1,'Combined Employee Worksheet'!$D:$D,'Adj. Employee Retention'!$B18)-COUNTIFS('Combined Employee Worksheet'!$I:$I,"&gt;="&amp;'Adj. Employee Retention'!Y$5,'Combined Employee Worksheet'!$I:$I,"&lt;="&amp;'Adj. Employee Retention'!Y$1,'Combined Employee Worksheet'!$D:$D,'Adj. Employee Retention'!$B18,'Combined Employee Worksheet'!$K:$K,"&lt;="&amp;$C$138,'Combined Employee Worksheet'!$J:$J,"&lt;&gt;")</f>
        <v>5</v>
      </c>
      <c r="Z22" s="472">
        <f ca="1">COUNTIFS('Combined Employee Worksheet'!$I:$I,"&gt;="&amp;'Adj. Employee Retention'!Z$5,'Combined Employee Worksheet'!$I:$I,"&lt;="&amp;'Adj. Employee Retention'!Z$1,'Combined Employee Worksheet'!$D:$D,'Adj. Employee Retention'!$B18)-COUNTIFS('Combined Employee Worksheet'!$I:$I,"&gt;="&amp;'Adj. Employee Retention'!Z$5,'Combined Employee Worksheet'!$I:$I,"&lt;="&amp;'Adj. Employee Retention'!Z$1,'Combined Employee Worksheet'!$D:$D,'Adj. Employee Retention'!$B18,'Combined Employee Worksheet'!$K:$K,"&lt;="&amp;$C$138,'Combined Employee Worksheet'!$J:$J,"&lt;&gt;")</f>
        <v>2</v>
      </c>
      <c r="AA22" s="472">
        <f ca="1">COUNTIFS('Combined Employee Worksheet'!$I:$I,"&gt;="&amp;'Adj. Employee Retention'!AA$5,'Combined Employee Worksheet'!$I:$I,"&lt;="&amp;'Adj. Employee Retention'!AA$1,'Combined Employee Worksheet'!$D:$D,'Adj. Employee Retention'!$B18)-COUNTIFS('Combined Employee Worksheet'!$I:$I,"&gt;="&amp;'Adj. Employee Retention'!AA$5,'Combined Employee Worksheet'!$I:$I,"&lt;="&amp;'Adj. Employee Retention'!AA$1,'Combined Employee Worksheet'!$D:$D,'Adj. Employee Retention'!$B18,'Combined Employee Worksheet'!$K:$K,"&lt;="&amp;$C$138,'Combined Employee Worksheet'!$J:$J,"&lt;&gt;")</f>
        <v>2</v>
      </c>
      <c r="AB22" s="472">
        <f ca="1">COUNTIFS('Combined Employee Worksheet'!$I:$I,"&gt;="&amp;'Adj. Employee Retention'!AB$5,'Combined Employee Worksheet'!$I:$I,"&lt;="&amp;'Adj. Employee Retention'!AB$1,'Combined Employee Worksheet'!$D:$D,'Adj. Employee Retention'!$B18)-COUNTIFS('Combined Employee Worksheet'!$I:$I,"&gt;="&amp;'Adj. Employee Retention'!AB$5,'Combined Employee Worksheet'!$I:$I,"&lt;="&amp;'Adj. Employee Retention'!AB$1,'Combined Employee Worksheet'!$D:$D,'Adj. Employee Retention'!$B18,'Combined Employee Worksheet'!$K:$K,"&lt;="&amp;$C$138,'Combined Employee Worksheet'!$J:$J,"&lt;&gt;")</f>
        <v>2</v>
      </c>
      <c r="AC22" s="417"/>
      <c r="AD22" s="417"/>
      <c r="AE22" s="417"/>
    </row>
    <row r="23" spans="1:31" ht="12" customHeight="1">
      <c r="A23" s="417"/>
      <c r="B23" s="471" t="s">
        <v>1815</v>
      </c>
      <c r="C23" s="433">
        <f ca="1">SUM(H23:S23)</f>
        <v>-3</v>
      </c>
      <c r="D23" s="433">
        <f ca="1">SUM(T23:AB23)</f>
        <v>-6</v>
      </c>
      <c r="E23" s="417"/>
      <c r="F23" s="433">
        <f ca="1">SUM(Q23:AB23)</f>
        <v>-7</v>
      </c>
      <c r="G23" s="417"/>
      <c r="H23" s="472">
        <f>-COUNTIFS('Combined Employee Worksheet'!$J:$J,"&gt;="&amp;'Adj. Employee Retention'!H$5,'Combined Employee Worksheet'!$J:$J,"&lt;="&amp;'Adj. Employee Retention'!H$1,'Combined Employee Worksheet'!$D:$D,'Adj. Employee Retention'!$B18,'Combined Employee Worksheet'!$K:$K,"&gt;"&amp;$C$138)</f>
        <v>0</v>
      </c>
      <c r="I23" s="472">
        <f ca="1">-COUNTIFS('Combined Employee Worksheet'!$J:$J,"&gt;="&amp;'Adj. Employee Retention'!I$5,'Combined Employee Worksheet'!$J:$J,"&lt;="&amp;'Adj. Employee Retention'!I$1,'Combined Employee Worksheet'!$D:$D,'Adj. Employee Retention'!$B18,'Combined Employee Worksheet'!$K:$K,"&gt;"&amp;$C$138)</f>
        <v>0</v>
      </c>
      <c r="J23" s="472">
        <f ca="1">-COUNTIFS('Combined Employee Worksheet'!$J:$J,"&gt;="&amp;'Adj. Employee Retention'!J$5,'Combined Employee Worksheet'!$J:$J,"&lt;="&amp;'Adj. Employee Retention'!J$1,'Combined Employee Worksheet'!$D:$D,'Adj. Employee Retention'!$B18,'Combined Employee Worksheet'!$K:$K,"&gt;"&amp;$C$138)</f>
        <v>0</v>
      </c>
      <c r="K23" s="472">
        <f>-COUNTIFS('Combined Employee Worksheet'!$J:$J,"&gt;="&amp;'Adj. Employee Retention'!K$5,'Combined Employee Worksheet'!$J:$J,"&lt;="&amp;'Adj. Employee Retention'!K$1,'Combined Employee Worksheet'!$D:$D,'Adj. Employee Retention'!$B18,'Combined Employee Worksheet'!$K:$K,"&gt;"&amp;$C$138)</f>
        <v>0</v>
      </c>
      <c r="L23" s="472">
        <f ca="1">-COUNTIFS('Combined Employee Worksheet'!$J:$J,"&gt;="&amp;'Adj. Employee Retention'!L$5,'Combined Employee Worksheet'!$J:$J,"&lt;="&amp;'Adj. Employee Retention'!L$1,'Combined Employee Worksheet'!$D:$D,'Adj. Employee Retention'!$B18,'Combined Employee Worksheet'!$K:$K,"&gt;"&amp;$C$138)</f>
        <v>-1</v>
      </c>
      <c r="M23" s="472">
        <f ca="1">-COUNTIFS('Combined Employee Worksheet'!$J:$J,"&gt;="&amp;'Adj. Employee Retention'!M$5,'Combined Employee Worksheet'!$J:$J,"&lt;="&amp;'Adj. Employee Retention'!M$1,'Combined Employee Worksheet'!$D:$D,'Adj. Employee Retention'!$B18,'Combined Employee Worksheet'!$K:$K,"&gt;"&amp;$C$138)</f>
        <v>0</v>
      </c>
      <c r="N23" s="472">
        <f>-COUNTIFS('Combined Employee Worksheet'!$J:$J,"&gt;="&amp;'Adj. Employee Retention'!N$5,'Combined Employee Worksheet'!$J:$J,"&lt;="&amp;'Adj. Employee Retention'!N$1,'Combined Employee Worksheet'!$D:$D,'Adj. Employee Retention'!$B18,'Combined Employee Worksheet'!$K:$K,"&gt;"&amp;$C$138)</f>
        <v>0</v>
      </c>
      <c r="O23" s="472">
        <f ca="1">-COUNTIFS('Combined Employee Worksheet'!$J:$J,"&gt;="&amp;'Adj. Employee Retention'!O$5,'Combined Employee Worksheet'!$J:$J,"&lt;="&amp;'Adj. Employee Retention'!O$1,'Combined Employee Worksheet'!$D:$D,'Adj. Employee Retention'!$B18,'Combined Employee Worksheet'!$K:$K,"&gt;"&amp;$C$138)</f>
        <v>-1</v>
      </c>
      <c r="P23" s="472">
        <f>-COUNTIFS('Combined Employee Worksheet'!$J:$J,"&gt;="&amp;'Adj. Employee Retention'!P$5,'Combined Employee Worksheet'!$J:$J,"&lt;="&amp;'Adj. Employee Retention'!P$1,'Combined Employee Worksheet'!$D:$D,'Adj. Employee Retention'!$B18,'Combined Employee Worksheet'!$K:$K,"&gt;"&amp;$C$138)</f>
        <v>0</v>
      </c>
      <c r="Q23" s="472">
        <f>-COUNTIFS('Combined Employee Worksheet'!$J:$J,"&gt;="&amp;'Adj. Employee Retention'!Q$5,'Combined Employee Worksheet'!$J:$J,"&lt;="&amp;'Adj. Employee Retention'!Q$1,'Combined Employee Worksheet'!$D:$D,'Adj. Employee Retention'!$B18,'Combined Employee Worksheet'!$K:$K,"&gt;"&amp;$C$138)</f>
        <v>0</v>
      </c>
      <c r="R23" s="472">
        <f ca="1">-COUNTIFS('Combined Employee Worksheet'!$J:$J,"&gt;="&amp;'Adj. Employee Retention'!R$5,'Combined Employee Worksheet'!$J:$J,"&lt;="&amp;'Adj. Employee Retention'!R$1,'Combined Employee Worksheet'!$D:$D,'Adj. Employee Retention'!$B18,'Combined Employee Worksheet'!$K:$K,"&gt;"&amp;$C$138)</f>
        <v>-1</v>
      </c>
      <c r="S23" s="472">
        <f>-COUNTIFS('Combined Employee Worksheet'!$J:$J,"&gt;="&amp;'Adj. Employee Retention'!S$5,'Combined Employee Worksheet'!$J:$J,"&lt;="&amp;'Adj. Employee Retention'!S$1,'Combined Employee Worksheet'!$D:$D,'Adj. Employee Retention'!$B18,'Combined Employee Worksheet'!$K:$K,"&gt;"&amp;$C$138)</f>
        <v>0</v>
      </c>
      <c r="T23" s="472">
        <f>-COUNTIFS('Combined Employee Worksheet'!$J:$J,"&gt;="&amp;'Adj. Employee Retention'!T$5,'Combined Employee Worksheet'!$J:$J,"&lt;="&amp;'Adj. Employee Retention'!T$1,'Combined Employee Worksheet'!$D:$D,'Adj. Employee Retention'!$B18,'Combined Employee Worksheet'!$K:$K,"&gt;"&amp;$C$138)</f>
        <v>0</v>
      </c>
      <c r="U23" s="472">
        <f>-COUNTIFS('Combined Employee Worksheet'!$J:$J,"&gt;="&amp;'Adj. Employee Retention'!U$5,'Combined Employee Worksheet'!$J:$J,"&lt;="&amp;'Adj. Employee Retention'!U$1,'Combined Employee Worksheet'!$D:$D,'Adj. Employee Retention'!$B18,'Combined Employee Worksheet'!$K:$K,"&gt;"&amp;$C$138)</f>
        <v>0</v>
      </c>
      <c r="V23" s="472">
        <f>-COUNTIFS('Combined Employee Worksheet'!$J:$J,"&gt;="&amp;'Adj. Employee Retention'!V$5,'Combined Employee Worksheet'!$J:$J,"&lt;="&amp;'Adj. Employee Retention'!V$1,'Combined Employee Worksheet'!$D:$D,'Adj. Employee Retention'!$B18,'Combined Employee Worksheet'!$K:$K,"&gt;"&amp;$C$138)</f>
        <v>0</v>
      </c>
      <c r="W23" s="472">
        <f>-COUNTIFS('Combined Employee Worksheet'!$J:$J,"&gt;="&amp;'Adj. Employee Retention'!W$5,'Combined Employee Worksheet'!$J:$J,"&lt;="&amp;'Adj. Employee Retention'!W$1,'Combined Employee Worksheet'!$D:$D,'Adj. Employee Retention'!$B18,'Combined Employee Worksheet'!$K:$K,"&gt;"&amp;$C$138)</f>
        <v>0</v>
      </c>
      <c r="X23" s="472">
        <f ca="1">-COUNTIFS('Combined Employee Worksheet'!$J:$J,"&gt;="&amp;'Adj. Employee Retention'!X$5,'Combined Employee Worksheet'!$J:$J,"&lt;="&amp;'Adj. Employee Retention'!X$1,'Combined Employee Worksheet'!$D:$D,'Adj. Employee Retention'!$B18,'Combined Employee Worksheet'!$K:$K,"&gt;"&amp;$C$138)</f>
        <v>-2</v>
      </c>
      <c r="Y23" s="472">
        <f ca="1">-COUNTIFS('Combined Employee Worksheet'!$J:$J,"&gt;="&amp;'Adj. Employee Retention'!Y$5,'Combined Employee Worksheet'!$J:$J,"&lt;="&amp;'Adj. Employee Retention'!Y$1,'Combined Employee Worksheet'!$D:$D,'Adj. Employee Retention'!$B18,'Combined Employee Worksheet'!$K:$K,"&gt;"&amp;$C$138)</f>
        <v>-1</v>
      </c>
      <c r="Z23" s="472">
        <f ca="1">-COUNTIFS('Combined Employee Worksheet'!$J:$J,"&gt;="&amp;'Adj. Employee Retention'!Z$5,'Combined Employee Worksheet'!$J:$J,"&lt;="&amp;'Adj. Employee Retention'!Z$1,'Combined Employee Worksheet'!$D:$D,'Adj. Employee Retention'!$B18,'Combined Employee Worksheet'!$K:$K,"&gt;"&amp;$C$138)</f>
        <v>0</v>
      </c>
      <c r="AA23" s="472">
        <f ca="1">-COUNTIFS('Combined Employee Worksheet'!$J:$J,"&gt;="&amp;'Adj. Employee Retention'!AA$5,'Combined Employee Worksheet'!$J:$J,"&lt;="&amp;'Adj. Employee Retention'!AA$1,'Combined Employee Worksheet'!$D:$D,'Adj. Employee Retention'!$B18,'Combined Employee Worksheet'!$K:$K,"&gt;"&amp;$C$138)</f>
        <v>-3</v>
      </c>
      <c r="AB23" s="472">
        <f ca="1">-COUNTIFS('Combined Employee Worksheet'!$J:$J,"&gt;="&amp;'Adj. Employee Retention'!AB$5,'Combined Employee Worksheet'!$J:$J,"&lt;="&amp;'Adj. Employee Retention'!AB$1,'Combined Employee Worksheet'!$D:$D,'Adj. Employee Retention'!$B18,'Combined Employee Worksheet'!$K:$K,"&gt;"&amp;$C$138)</f>
        <v>0</v>
      </c>
      <c r="AC23" s="417"/>
      <c r="AD23" s="417"/>
      <c r="AE23" s="417"/>
    </row>
    <row r="24" spans="1:31" ht="12" customHeight="1">
      <c r="A24" s="417"/>
      <c r="B24" s="474" t="s">
        <v>1315</v>
      </c>
      <c r="C24" s="475">
        <f ca="1">+D21</f>
        <v>31</v>
      </c>
      <c r="D24" s="476">
        <f>+$AB24</f>
        <v>40</v>
      </c>
      <c r="E24" s="417"/>
      <c r="F24" s="477">
        <f>+$AB24</f>
        <v>40</v>
      </c>
      <c r="G24" s="417"/>
      <c r="H24" s="478">
        <f t="shared" ref="H24:AA24" ca="1" si="13">+I21</f>
        <v>13</v>
      </c>
      <c r="I24" s="475">
        <f t="shared" ca="1" si="13"/>
        <v>13</v>
      </c>
      <c r="J24" s="475">
        <f t="shared" ca="1" si="13"/>
        <v>14</v>
      </c>
      <c r="K24" s="475">
        <f t="shared" ca="1" si="13"/>
        <v>15</v>
      </c>
      <c r="L24" s="475">
        <f t="shared" ca="1" si="13"/>
        <v>15</v>
      </c>
      <c r="M24" s="475">
        <f t="shared" ca="1" si="13"/>
        <v>20</v>
      </c>
      <c r="N24" s="475">
        <f t="shared" ca="1" si="13"/>
        <v>24</v>
      </c>
      <c r="O24" s="475">
        <f t="shared" ca="1" si="13"/>
        <v>26</v>
      </c>
      <c r="P24" s="475">
        <f t="shared" ca="1" si="13"/>
        <v>26</v>
      </c>
      <c r="Q24" s="478">
        <f t="shared" ca="1" si="13"/>
        <v>28</v>
      </c>
      <c r="R24" s="475">
        <f t="shared" ca="1" si="13"/>
        <v>30</v>
      </c>
      <c r="S24" s="475">
        <f t="shared" ca="1" si="13"/>
        <v>31</v>
      </c>
      <c r="T24" s="475">
        <f t="shared" ca="1" si="13"/>
        <v>32</v>
      </c>
      <c r="U24" s="475">
        <f t="shared" ca="1" si="13"/>
        <v>32</v>
      </c>
      <c r="V24" s="475">
        <f t="shared" ca="1" si="13"/>
        <v>32</v>
      </c>
      <c r="W24" s="475">
        <f t="shared" ca="1" si="13"/>
        <v>34</v>
      </c>
      <c r="X24" s="475">
        <f t="shared" ca="1" si="13"/>
        <v>33</v>
      </c>
      <c r="Y24" s="475">
        <f t="shared" ca="1" si="13"/>
        <v>37</v>
      </c>
      <c r="Z24" s="475">
        <f t="shared" ca="1" si="13"/>
        <v>39</v>
      </c>
      <c r="AA24" s="475">
        <f t="shared" ca="1" si="13"/>
        <v>38</v>
      </c>
      <c r="AB24" s="479">
        <f>COUNTIFS('Combined Employee Worksheet'!$H:$H,"Active",'Combined Employee Worksheet'!$D:$D,'Adj. Employee Retention'!B18)</f>
        <v>40</v>
      </c>
      <c r="AC24" s="417"/>
      <c r="AD24" s="417"/>
      <c r="AE24" s="417"/>
    </row>
    <row r="25" spans="1:31" ht="3.95" customHeight="1">
      <c r="A25" s="417"/>
      <c r="B25" s="480"/>
      <c r="C25" s="481"/>
      <c r="D25" s="481"/>
      <c r="E25" s="417"/>
      <c r="F25" s="481"/>
      <c r="G25" s="417"/>
      <c r="H25" s="481"/>
      <c r="I25" s="481"/>
      <c r="J25" s="481"/>
      <c r="K25" s="481"/>
      <c r="L25" s="481"/>
      <c r="M25" s="481"/>
      <c r="N25" s="481"/>
      <c r="O25" s="481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  <c r="AA25" s="481"/>
      <c r="AB25" s="501"/>
      <c r="AC25" s="417"/>
      <c r="AD25" s="417"/>
      <c r="AE25" s="417"/>
    </row>
    <row r="26" spans="1:31" ht="12" customHeight="1">
      <c r="A26" s="417"/>
      <c r="B26" s="487" t="s">
        <v>1817</v>
      </c>
      <c r="C26" s="502">
        <f ca="1">AVERAGE(C21,C24)</f>
        <v>22</v>
      </c>
      <c r="D26" s="503">
        <f ca="1">AVERAGE(D21,D24)</f>
        <v>35.5</v>
      </c>
      <c r="E26" s="417"/>
      <c r="F26" s="504">
        <f ca="1">AVERAGE(F21,F24)</f>
        <v>33</v>
      </c>
      <c r="G26" s="417"/>
      <c r="H26" s="505">
        <f t="shared" ref="H26:AB26" ca="1" si="14">AVERAGE(H21,H24)</f>
        <v>13</v>
      </c>
      <c r="I26" s="502">
        <f t="shared" ca="1" si="14"/>
        <v>13</v>
      </c>
      <c r="J26" s="502">
        <f t="shared" ca="1" si="14"/>
        <v>13.5</v>
      </c>
      <c r="K26" s="502">
        <f t="shared" ca="1" si="14"/>
        <v>14.5</v>
      </c>
      <c r="L26" s="502">
        <f t="shared" ca="1" si="14"/>
        <v>15</v>
      </c>
      <c r="M26" s="502">
        <f t="shared" ca="1" si="14"/>
        <v>17.5</v>
      </c>
      <c r="N26" s="502">
        <f t="shared" ca="1" si="14"/>
        <v>22</v>
      </c>
      <c r="O26" s="502">
        <f t="shared" ca="1" si="14"/>
        <v>25</v>
      </c>
      <c r="P26" s="502">
        <f t="shared" ca="1" si="14"/>
        <v>26</v>
      </c>
      <c r="Q26" s="505">
        <f t="shared" ca="1" si="14"/>
        <v>27</v>
      </c>
      <c r="R26" s="502">
        <f t="shared" ca="1" si="14"/>
        <v>29</v>
      </c>
      <c r="S26" s="502">
        <f t="shared" ca="1" si="14"/>
        <v>30.5</v>
      </c>
      <c r="T26" s="502">
        <f t="shared" ca="1" si="14"/>
        <v>31.5</v>
      </c>
      <c r="U26" s="502">
        <f t="shared" ca="1" si="14"/>
        <v>32</v>
      </c>
      <c r="V26" s="502">
        <f t="shared" ca="1" si="14"/>
        <v>32</v>
      </c>
      <c r="W26" s="502">
        <f t="shared" ca="1" si="14"/>
        <v>33</v>
      </c>
      <c r="X26" s="502">
        <f t="shared" ca="1" si="14"/>
        <v>33.5</v>
      </c>
      <c r="Y26" s="502">
        <f t="shared" ca="1" si="14"/>
        <v>35</v>
      </c>
      <c r="Z26" s="502">
        <f t="shared" ca="1" si="14"/>
        <v>38</v>
      </c>
      <c r="AA26" s="502">
        <f t="shared" ca="1" si="14"/>
        <v>38.5</v>
      </c>
      <c r="AB26" s="503">
        <f t="shared" ca="1" si="14"/>
        <v>39</v>
      </c>
      <c r="AC26" s="417"/>
      <c r="AD26" s="417"/>
      <c r="AE26" s="417"/>
    </row>
    <row r="27" spans="1:31" ht="12" customHeight="1">
      <c r="A27" s="417"/>
      <c r="B27" s="493" t="s">
        <v>1816</v>
      </c>
      <c r="C27" s="506">
        <f ca="1">C19/C26</f>
        <v>7.3863636363636367</v>
      </c>
      <c r="D27" s="507">
        <f ca="1">D19/D26</f>
        <v>5.056338028169014</v>
      </c>
      <c r="E27" s="470"/>
      <c r="F27" s="508">
        <f ca="1">F19/F26</f>
        <v>5.3939393939393936</v>
      </c>
      <c r="G27" s="470"/>
      <c r="H27" s="509">
        <f t="shared" ref="H27:AB27" ca="1" si="15">H19/H26</f>
        <v>11.23076923076923</v>
      </c>
      <c r="I27" s="506">
        <f t="shared" ca="1" si="15"/>
        <v>11.346153846153847</v>
      </c>
      <c r="J27" s="506">
        <f t="shared" ca="1" si="15"/>
        <v>11.185185185185185</v>
      </c>
      <c r="K27" s="506">
        <f t="shared" ca="1" si="15"/>
        <v>10.793103448275861</v>
      </c>
      <c r="L27" s="506">
        <f t="shared" ca="1" si="15"/>
        <v>10.8</v>
      </c>
      <c r="M27" s="506">
        <f t="shared" ca="1" si="15"/>
        <v>9.4285714285714288</v>
      </c>
      <c r="N27" s="506">
        <f t="shared" ca="1" si="15"/>
        <v>7.5909090909090908</v>
      </c>
      <c r="O27" s="506">
        <f t="shared" ca="1" si="15"/>
        <v>6.88</v>
      </c>
      <c r="P27" s="506">
        <f t="shared" ca="1" si="15"/>
        <v>6.7692307692307692</v>
      </c>
      <c r="Q27" s="509">
        <f t="shared" ca="1" si="15"/>
        <v>6.6481481481481479</v>
      </c>
      <c r="R27" s="506">
        <f t="shared" ca="1" si="15"/>
        <v>6.2586206896551726</v>
      </c>
      <c r="S27" s="506">
        <f t="shared" ca="1" si="15"/>
        <v>5.918032786885246</v>
      </c>
      <c r="T27" s="506">
        <f t="shared" ca="1" si="15"/>
        <v>5.8095238095238093</v>
      </c>
      <c r="U27" s="506">
        <f t="shared" ca="1" si="15"/>
        <v>5.921875</v>
      </c>
      <c r="V27" s="506">
        <f t="shared" ca="1" si="15"/>
        <v>6.015625</v>
      </c>
      <c r="W27" s="506">
        <f t="shared" ca="1" si="15"/>
        <v>5.9090909090909092</v>
      </c>
      <c r="X27" s="506">
        <f t="shared" ca="1" si="15"/>
        <v>5.7761194029850742</v>
      </c>
      <c r="Y27" s="506">
        <f t="shared" ca="1" si="15"/>
        <v>5.4</v>
      </c>
      <c r="Z27" s="506">
        <f t="shared" ca="1" si="15"/>
        <v>4.7763157894736841</v>
      </c>
      <c r="AA27" s="506">
        <f t="shared" ca="1" si="15"/>
        <v>4.5324675324675328</v>
      </c>
      <c r="AB27" s="507">
        <f t="shared" ca="1" si="15"/>
        <v>4.5384615384615383</v>
      </c>
      <c r="AC27" s="417"/>
      <c r="AD27" s="417"/>
      <c r="AE27" s="417"/>
    </row>
    <row r="28" spans="1:31" ht="3.95" customHeight="1">
      <c r="A28" s="417"/>
      <c r="B28" s="480"/>
      <c r="C28" s="481"/>
      <c r="D28" s="481"/>
      <c r="E28" s="417"/>
      <c r="F28" s="481"/>
      <c r="G28" s="417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2"/>
      <c r="AA28" s="482"/>
      <c r="AB28" s="482"/>
      <c r="AC28" s="417"/>
      <c r="AD28" s="417"/>
      <c r="AE28" s="417"/>
    </row>
    <row r="29" spans="1:31" ht="12" customHeight="1">
      <c r="A29" s="417"/>
      <c r="B29" s="487" t="s">
        <v>1813</v>
      </c>
      <c r="C29" s="488">
        <f ca="1">(C22+C21)/C21-1</f>
        <v>1.6153846153846154</v>
      </c>
      <c r="D29" s="489">
        <f ca="1">(D22+D21)/D21-1</f>
        <v>0.4838709677419355</v>
      </c>
      <c r="E29" s="490"/>
      <c r="F29" s="491">
        <f ca="1">(F22+F21)/F21-1</f>
        <v>0.80769230769230771</v>
      </c>
      <c r="G29" s="417"/>
      <c r="H29" s="492">
        <f t="shared" ref="H29:AB29" ca="1" si="16">(H22+H21)/H21-1</f>
        <v>0</v>
      </c>
      <c r="I29" s="488">
        <f t="shared" ca="1" si="16"/>
        <v>0</v>
      </c>
      <c r="J29" s="488">
        <f t="shared" ca="1" si="16"/>
        <v>7.6923076923076872E-2</v>
      </c>
      <c r="K29" s="488">
        <f t="shared" ca="1" si="16"/>
        <v>7.1428571428571397E-2</v>
      </c>
      <c r="L29" s="488">
        <f t="shared" ca="1" si="16"/>
        <v>6.6666666666666652E-2</v>
      </c>
      <c r="M29" s="488">
        <f t="shared" ca="1" si="16"/>
        <v>0.33333333333333326</v>
      </c>
      <c r="N29" s="488">
        <f t="shared" ca="1" si="16"/>
        <v>0.19999999999999996</v>
      </c>
      <c r="O29" s="488">
        <f t="shared" ca="1" si="16"/>
        <v>0.125</v>
      </c>
      <c r="P29" s="488">
        <f t="shared" ca="1" si="16"/>
        <v>0</v>
      </c>
      <c r="Q29" s="492">
        <f t="shared" ca="1" si="16"/>
        <v>7.6923076923076872E-2</v>
      </c>
      <c r="R29" s="488">
        <f t="shared" ca="1" si="16"/>
        <v>0.10714285714285721</v>
      </c>
      <c r="S29" s="488">
        <f t="shared" ca="1" si="16"/>
        <v>3.3333333333333437E-2</v>
      </c>
      <c r="T29" s="488">
        <f t="shared" ca="1" si="16"/>
        <v>3.2258064516129004E-2</v>
      </c>
      <c r="U29" s="488">
        <f t="shared" ca="1" si="16"/>
        <v>0</v>
      </c>
      <c r="V29" s="488">
        <f t="shared" ca="1" si="16"/>
        <v>0</v>
      </c>
      <c r="W29" s="488">
        <f t="shared" ca="1" si="16"/>
        <v>6.25E-2</v>
      </c>
      <c r="X29" s="488">
        <f t="shared" ca="1" si="16"/>
        <v>2.9411764705882248E-2</v>
      </c>
      <c r="Y29" s="488">
        <f t="shared" ca="1" si="16"/>
        <v>0.1515151515151516</v>
      </c>
      <c r="Z29" s="488">
        <f t="shared" ca="1" si="16"/>
        <v>5.4054054054053946E-2</v>
      </c>
      <c r="AA29" s="488">
        <f t="shared" ca="1" si="16"/>
        <v>5.1282051282051322E-2</v>
      </c>
      <c r="AB29" s="489">
        <f t="shared" ca="1" si="16"/>
        <v>5.2631578947368363E-2</v>
      </c>
      <c r="AC29" s="417"/>
      <c r="AD29" s="417"/>
      <c r="AE29" s="417"/>
    </row>
    <row r="30" spans="1:31">
      <c r="A30" s="417"/>
      <c r="B30" s="493" t="s">
        <v>1812</v>
      </c>
      <c r="C30" s="494">
        <f ca="1">(C23+C26)/C26-1</f>
        <v>-0.13636363636363635</v>
      </c>
      <c r="D30" s="495">
        <f ca="1">(D23+D26)/D26-1</f>
        <v>-0.16901408450704225</v>
      </c>
      <c r="E30" s="490"/>
      <c r="F30" s="496">
        <f ca="1">(F23+F26)/F26-1</f>
        <v>-0.21212121212121215</v>
      </c>
      <c r="G30" s="417"/>
      <c r="H30" s="497">
        <f t="shared" ref="H30:AB30" ca="1" si="17">(H23+H26)/H26-1</f>
        <v>0</v>
      </c>
      <c r="I30" s="494">
        <f t="shared" ca="1" si="17"/>
        <v>0</v>
      </c>
      <c r="J30" s="494">
        <f t="shared" ca="1" si="17"/>
        <v>0</v>
      </c>
      <c r="K30" s="494">
        <f t="shared" ca="1" si="17"/>
        <v>0</v>
      </c>
      <c r="L30" s="494">
        <f t="shared" ca="1" si="17"/>
        <v>-6.6666666666666652E-2</v>
      </c>
      <c r="M30" s="494">
        <f t="shared" ca="1" si="17"/>
        <v>0</v>
      </c>
      <c r="N30" s="494">
        <f t="shared" ca="1" si="17"/>
        <v>0</v>
      </c>
      <c r="O30" s="494">
        <f t="shared" ca="1" si="17"/>
        <v>-4.0000000000000036E-2</v>
      </c>
      <c r="P30" s="494">
        <f t="shared" ca="1" si="17"/>
        <v>0</v>
      </c>
      <c r="Q30" s="497">
        <f t="shared" ca="1" si="17"/>
        <v>0</v>
      </c>
      <c r="R30" s="494">
        <f t="shared" ca="1" si="17"/>
        <v>-3.4482758620689613E-2</v>
      </c>
      <c r="S30" s="494">
        <f t="shared" ca="1" si="17"/>
        <v>0</v>
      </c>
      <c r="T30" s="494">
        <f t="shared" ca="1" si="17"/>
        <v>0</v>
      </c>
      <c r="U30" s="494">
        <f t="shared" ca="1" si="17"/>
        <v>0</v>
      </c>
      <c r="V30" s="494">
        <f t="shared" ca="1" si="17"/>
        <v>0</v>
      </c>
      <c r="W30" s="494">
        <f t="shared" ca="1" si="17"/>
        <v>0</v>
      </c>
      <c r="X30" s="494">
        <f t="shared" ca="1" si="17"/>
        <v>-5.9701492537313383E-2</v>
      </c>
      <c r="Y30" s="494">
        <f t="shared" ca="1" si="17"/>
        <v>-2.8571428571428581E-2</v>
      </c>
      <c r="Z30" s="494">
        <f t="shared" ca="1" si="17"/>
        <v>0</v>
      </c>
      <c r="AA30" s="494">
        <f t="shared" ca="1" si="17"/>
        <v>-7.7922077922077948E-2</v>
      </c>
      <c r="AB30" s="495">
        <f t="shared" ca="1" si="17"/>
        <v>0</v>
      </c>
      <c r="AC30" s="417"/>
      <c r="AD30" s="417"/>
      <c r="AE30" s="417"/>
    </row>
    <row r="31" spans="1:31" ht="3.95" customHeight="1">
      <c r="A31" s="417"/>
      <c r="B31" s="480"/>
      <c r="C31" s="417"/>
      <c r="D31" s="417"/>
      <c r="E31" s="417"/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</row>
    <row r="32" spans="1:31" ht="24">
      <c r="A32" s="417"/>
      <c r="B32" s="462" t="s">
        <v>1997</v>
      </c>
      <c r="C32" s="463" t="s">
        <v>4</v>
      </c>
      <c r="D32" s="463" t="s">
        <v>1317</v>
      </c>
      <c r="E32" s="464"/>
      <c r="F32" s="463" t="s">
        <v>1527</v>
      </c>
      <c r="G32" s="417"/>
      <c r="H32" s="465">
        <v>45658</v>
      </c>
      <c r="I32" s="465">
        <f t="shared" ref="I32:N32" si="18">EOMONTH(H32,0)+1</f>
        <v>45689</v>
      </c>
      <c r="J32" s="465">
        <f t="shared" si="18"/>
        <v>45717</v>
      </c>
      <c r="K32" s="465">
        <f t="shared" si="18"/>
        <v>45748</v>
      </c>
      <c r="L32" s="465">
        <f t="shared" si="18"/>
        <v>45778</v>
      </c>
      <c r="M32" s="465">
        <f t="shared" si="18"/>
        <v>45809</v>
      </c>
      <c r="N32" s="465">
        <f t="shared" si="18"/>
        <v>45839</v>
      </c>
      <c r="O32" s="465">
        <v>45870</v>
      </c>
      <c r="P32" s="465">
        <f t="shared" ref="P32:AB32" si="19">EOMONTH(O32,0)+1</f>
        <v>45901</v>
      </c>
      <c r="Q32" s="465">
        <f t="shared" si="19"/>
        <v>45931</v>
      </c>
      <c r="R32" s="465">
        <f t="shared" si="19"/>
        <v>45962</v>
      </c>
      <c r="S32" s="465">
        <f t="shared" si="19"/>
        <v>45992</v>
      </c>
      <c r="T32" s="465">
        <f t="shared" si="19"/>
        <v>46023</v>
      </c>
      <c r="U32" s="465">
        <f t="shared" si="19"/>
        <v>46054</v>
      </c>
      <c r="V32" s="465">
        <f t="shared" si="19"/>
        <v>46082</v>
      </c>
      <c r="W32" s="465">
        <f t="shared" si="19"/>
        <v>46113</v>
      </c>
      <c r="X32" s="465">
        <f t="shared" si="19"/>
        <v>46143</v>
      </c>
      <c r="Y32" s="465">
        <f t="shared" si="19"/>
        <v>46174</v>
      </c>
      <c r="Z32" s="465">
        <f t="shared" si="19"/>
        <v>46204</v>
      </c>
      <c r="AA32" s="465">
        <f t="shared" si="19"/>
        <v>46235</v>
      </c>
      <c r="AB32" s="465">
        <f t="shared" si="19"/>
        <v>46266</v>
      </c>
      <c r="AC32" s="466"/>
      <c r="AD32" s="417"/>
      <c r="AE32" s="466"/>
    </row>
    <row r="33" spans="1:31">
      <c r="A33" s="417"/>
      <c r="B33" s="498" t="s">
        <v>491</v>
      </c>
      <c r="C33" s="468"/>
      <c r="D33" s="468"/>
      <c r="E33" s="469"/>
      <c r="F33" s="468"/>
      <c r="G33" s="417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9"/>
      <c r="AD33" s="469"/>
      <c r="AE33" s="469"/>
    </row>
    <row r="34" spans="1:31">
      <c r="A34" s="417"/>
      <c r="B34" s="469" t="s">
        <v>1818</v>
      </c>
      <c r="C34" s="510">
        <f>+C$19</f>
        <v>162.5</v>
      </c>
      <c r="D34" s="510">
        <f>+D$19</f>
        <v>179.5</v>
      </c>
      <c r="E34" s="469"/>
      <c r="F34" s="510">
        <f>+F$19</f>
        <v>178</v>
      </c>
      <c r="G34" s="417"/>
      <c r="H34" s="510">
        <f>+H$19</f>
        <v>146</v>
      </c>
      <c r="I34" s="510">
        <f t="shared" ref="I34:AB34" si="20">+I$19</f>
        <v>147.5</v>
      </c>
      <c r="J34" s="510">
        <f t="shared" si="20"/>
        <v>151</v>
      </c>
      <c r="K34" s="510">
        <f t="shared" si="20"/>
        <v>156.5</v>
      </c>
      <c r="L34" s="510">
        <f t="shared" si="20"/>
        <v>162</v>
      </c>
      <c r="M34" s="510">
        <f t="shared" si="20"/>
        <v>165</v>
      </c>
      <c r="N34" s="510">
        <f t="shared" si="20"/>
        <v>167</v>
      </c>
      <c r="O34" s="510">
        <f t="shared" si="20"/>
        <v>172</v>
      </c>
      <c r="P34" s="510">
        <f t="shared" si="20"/>
        <v>176</v>
      </c>
      <c r="Q34" s="510">
        <f t="shared" si="20"/>
        <v>179.5</v>
      </c>
      <c r="R34" s="510">
        <f t="shared" si="20"/>
        <v>181.5</v>
      </c>
      <c r="S34" s="510">
        <f t="shared" si="20"/>
        <v>180.5</v>
      </c>
      <c r="T34" s="510">
        <f t="shared" si="20"/>
        <v>183</v>
      </c>
      <c r="U34" s="510">
        <f t="shared" si="20"/>
        <v>189.5</v>
      </c>
      <c r="V34" s="510">
        <f t="shared" si="20"/>
        <v>192.5</v>
      </c>
      <c r="W34" s="510">
        <f t="shared" si="20"/>
        <v>195</v>
      </c>
      <c r="X34" s="510">
        <f t="shared" si="20"/>
        <v>193.5</v>
      </c>
      <c r="Y34" s="510">
        <f t="shared" si="20"/>
        <v>189</v>
      </c>
      <c r="Z34" s="510">
        <f t="shared" si="20"/>
        <v>181.5</v>
      </c>
      <c r="AA34" s="510">
        <f t="shared" si="20"/>
        <v>174.5</v>
      </c>
      <c r="AB34" s="510">
        <f t="shared" si="20"/>
        <v>177</v>
      </c>
      <c r="AC34" s="469"/>
      <c r="AD34" s="469"/>
      <c r="AE34" s="469"/>
    </row>
    <row r="35" spans="1:31" ht="3.95" customHeight="1">
      <c r="A35" s="417"/>
      <c r="B35" s="500"/>
      <c r="C35" s="469"/>
      <c r="D35" s="469"/>
      <c r="E35" s="469"/>
      <c r="F35" s="469"/>
      <c r="G35" s="417"/>
      <c r="H35" s="469"/>
      <c r="I35" s="469"/>
      <c r="J35" s="469"/>
      <c r="K35" s="469"/>
      <c r="L35" s="46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  <c r="Y35" s="469"/>
      <c r="Z35" s="469"/>
      <c r="AA35" s="469"/>
      <c r="AB35" s="469"/>
      <c r="AC35" s="469"/>
      <c r="AD35" s="469"/>
      <c r="AE35" s="469"/>
    </row>
    <row r="36" spans="1:31">
      <c r="A36" s="417"/>
      <c r="B36" s="417" t="s">
        <v>1313</v>
      </c>
      <c r="C36" s="470">
        <f ca="1">+C39-C37-C38</f>
        <v>13</v>
      </c>
      <c r="D36" s="470">
        <f ca="1">+D39-D37-D38</f>
        <v>13</v>
      </c>
      <c r="E36" s="417"/>
      <c r="F36" s="470">
        <f ca="1">+F39-F37-F38</f>
        <v>12</v>
      </c>
      <c r="G36" s="417"/>
      <c r="H36" s="470">
        <f t="shared" ref="H36:AB36" ca="1" si="21">+H39-H37-H38</f>
        <v>13</v>
      </c>
      <c r="I36" s="470">
        <f t="shared" ca="1" si="21"/>
        <v>14</v>
      </c>
      <c r="J36" s="470">
        <f t="shared" ca="1" si="21"/>
        <v>12</v>
      </c>
      <c r="K36" s="470">
        <f t="shared" ca="1" si="21"/>
        <v>13</v>
      </c>
      <c r="L36" s="470">
        <f t="shared" ca="1" si="21"/>
        <v>13</v>
      </c>
      <c r="M36" s="470">
        <f t="shared" ca="1" si="21"/>
        <v>13</v>
      </c>
      <c r="N36" s="470">
        <f t="shared" ca="1" si="21"/>
        <v>12</v>
      </c>
      <c r="O36" s="470">
        <f t="shared" ca="1" si="21"/>
        <v>12</v>
      </c>
      <c r="P36" s="470">
        <f t="shared" ca="1" si="21"/>
        <v>12</v>
      </c>
      <c r="Q36" s="470">
        <f t="shared" ca="1" si="21"/>
        <v>12</v>
      </c>
      <c r="R36" s="470">
        <f t="shared" ca="1" si="21"/>
        <v>12</v>
      </c>
      <c r="S36" s="470">
        <f t="shared" ca="1" si="21"/>
        <v>13</v>
      </c>
      <c r="T36" s="470">
        <f t="shared" ca="1" si="21"/>
        <v>13</v>
      </c>
      <c r="U36" s="470">
        <f t="shared" ca="1" si="21"/>
        <v>13</v>
      </c>
      <c r="V36" s="470">
        <f t="shared" ca="1" si="21"/>
        <v>14</v>
      </c>
      <c r="W36" s="470">
        <f t="shared" ca="1" si="21"/>
        <v>15</v>
      </c>
      <c r="X36" s="470">
        <f t="shared" ca="1" si="21"/>
        <v>15</v>
      </c>
      <c r="Y36" s="470">
        <f t="shared" ca="1" si="21"/>
        <v>16</v>
      </c>
      <c r="Z36" s="470">
        <f t="shared" ca="1" si="21"/>
        <v>16</v>
      </c>
      <c r="AA36" s="470">
        <f t="shared" ca="1" si="21"/>
        <v>17</v>
      </c>
      <c r="AB36" s="470">
        <f t="shared" ca="1" si="21"/>
        <v>18</v>
      </c>
      <c r="AC36" s="417"/>
      <c r="AD36" s="417"/>
      <c r="AE36" s="417"/>
    </row>
    <row r="37" spans="1:31">
      <c r="A37" s="417"/>
      <c r="B37" s="471" t="s">
        <v>1814</v>
      </c>
      <c r="C37" s="433">
        <f ca="1">SUM(H37:S37)</f>
        <v>4</v>
      </c>
      <c r="D37" s="433">
        <f ca="1">SUM(T37:AB37)</f>
        <v>6</v>
      </c>
      <c r="E37" s="417"/>
      <c r="F37" s="433">
        <f ca="1">SUM(Q37:AB37)</f>
        <v>7</v>
      </c>
      <c r="G37" s="417"/>
      <c r="H37" s="472">
        <f ca="1">COUNTIFS('Combined Employee Worksheet'!$I:$I,"&gt;="&amp;'Adj. Employee Retention'!H$5,'Combined Employee Worksheet'!$I:$I,"&lt;="&amp;'Adj. Employee Retention'!H$1,'Combined Employee Worksheet'!$D:$D,'Adj. Employee Retention'!$B33)-COUNTIFS('Combined Employee Worksheet'!$I:$I,"&gt;="&amp;'Adj. Employee Retention'!H$5,'Combined Employee Worksheet'!$I:$I,"&lt;="&amp;'Adj. Employee Retention'!H$1,'Combined Employee Worksheet'!$D:$D,'Adj. Employee Retention'!$B33,'Combined Employee Worksheet'!$K:$K,"&lt;="&amp;$C$138,'Combined Employee Worksheet'!$J:$J,"&lt;&gt;")</f>
        <v>1</v>
      </c>
      <c r="I37" s="472">
        <f>COUNTIFS('Combined Employee Worksheet'!$I:$I,"&gt;="&amp;'Adj. Employee Retention'!I$5,'Combined Employee Worksheet'!$I:$I,"&lt;="&amp;'Adj. Employee Retention'!I$1,'Combined Employee Worksheet'!$D:$D,'Adj. Employee Retention'!$B33)-COUNTIFS('Combined Employee Worksheet'!$I:$I,"&gt;="&amp;'Adj. Employee Retention'!I$5,'Combined Employee Worksheet'!$I:$I,"&lt;="&amp;'Adj. Employee Retention'!I$1,'Combined Employee Worksheet'!$D:$D,'Adj. Employee Retention'!$B33,'Combined Employee Worksheet'!$K:$K,"&lt;="&amp;$C$138,'Combined Employee Worksheet'!$J:$J,"&lt;&gt;")</f>
        <v>0</v>
      </c>
      <c r="J37" s="472">
        <f ca="1">COUNTIFS('Combined Employee Worksheet'!$I:$I,"&gt;="&amp;'Adj. Employee Retention'!J$5,'Combined Employee Worksheet'!$I:$I,"&lt;="&amp;'Adj. Employee Retention'!J$1,'Combined Employee Worksheet'!$D:$D,'Adj. Employee Retention'!$B33)-COUNTIFS('Combined Employee Worksheet'!$I:$I,"&gt;="&amp;'Adj. Employee Retention'!J$5,'Combined Employee Worksheet'!$I:$I,"&lt;="&amp;'Adj. Employee Retention'!J$1,'Combined Employee Worksheet'!$D:$D,'Adj. Employee Retention'!$B33,'Combined Employee Worksheet'!$K:$K,"&lt;="&amp;$C$138,'Combined Employee Worksheet'!$J:$J,"&lt;&gt;")</f>
        <v>2</v>
      </c>
      <c r="K37" s="472">
        <f>COUNTIFS('Combined Employee Worksheet'!$I:$I,"&gt;="&amp;'Adj. Employee Retention'!K$5,'Combined Employee Worksheet'!$I:$I,"&lt;="&amp;'Adj. Employee Retention'!K$1,'Combined Employee Worksheet'!$D:$D,'Adj. Employee Retention'!$B33)-COUNTIFS('Combined Employee Worksheet'!$I:$I,"&gt;="&amp;'Adj. Employee Retention'!K$5,'Combined Employee Worksheet'!$I:$I,"&lt;="&amp;'Adj. Employee Retention'!K$1,'Combined Employee Worksheet'!$D:$D,'Adj. Employee Retention'!$B33,'Combined Employee Worksheet'!$K:$K,"&lt;="&amp;$C$138,'Combined Employee Worksheet'!$J:$J,"&lt;&gt;")</f>
        <v>0</v>
      </c>
      <c r="L37" s="472">
        <f>COUNTIFS('Combined Employee Worksheet'!$I:$I,"&gt;="&amp;'Adj. Employee Retention'!L$5,'Combined Employee Worksheet'!$I:$I,"&lt;="&amp;'Adj. Employee Retention'!L$1,'Combined Employee Worksheet'!$D:$D,'Adj. Employee Retention'!$B33)-COUNTIFS('Combined Employee Worksheet'!$I:$I,"&gt;="&amp;'Adj. Employee Retention'!L$5,'Combined Employee Worksheet'!$I:$I,"&lt;="&amp;'Adj. Employee Retention'!L$1,'Combined Employee Worksheet'!$D:$D,'Adj. Employee Retention'!$B33,'Combined Employee Worksheet'!$K:$K,"&lt;="&amp;$C$138,'Combined Employee Worksheet'!$J:$J,"&lt;&gt;")</f>
        <v>0</v>
      </c>
      <c r="M37" s="472">
        <f>COUNTIFS('Combined Employee Worksheet'!$I:$I,"&gt;="&amp;'Adj. Employee Retention'!M$5,'Combined Employee Worksheet'!$I:$I,"&lt;="&amp;'Adj. Employee Retention'!M$1,'Combined Employee Worksheet'!$D:$D,'Adj. Employee Retention'!$B33)-COUNTIFS('Combined Employee Worksheet'!$I:$I,"&gt;="&amp;'Adj. Employee Retention'!M$5,'Combined Employee Worksheet'!$I:$I,"&lt;="&amp;'Adj. Employee Retention'!M$1,'Combined Employee Worksheet'!$D:$D,'Adj. Employee Retention'!$B33,'Combined Employee Worksheet'!$K:$K,"&lt;="&amp;$C$138,'Combined Employee Worksheet'!$J:$J,"&lt;&gt;")</f>
        <v>0</v>
      </c>
      <c r="N37" s="472">
        <f>COUNTIFS('Combined Employee Worksheet'!$I:$I,"&gt;="&amp;'Adj. Employee Retention'!N$5,'Combined Employee Worksheet'!$I:$I,"&lt;="&amp;'Adj. Employee Retention'!N$1,'Combined Employee Worksheet'!$D:$D,'Adj. Employee Retention'!$B33)-COUNTIFS('Combined Employee Worksheet'!$I:$I,"&gt;="&amp;'Adj. Employee Retention'!N$5,'Combined Employee Worksheet'!$I:$I,"&lt;="&amp;'Adj. Employee Retention'!N$1,'Combined Employee Worksheet'!$D:$D,'Adj. Employee Retention'!$B33,'Combined Employee Worksheet'!$K:$K,"&lt;="&amp;$C$138,'Combined Employee Worksheet'!$J:$J,"&lt;&gt;")</f>
        <v>0</v>
      </c>
      <c r="O37" s="472">
        <f>COUNTIFS('Combined Employee Worksheet'!$I:$I,"&gt;="&amp;'Adj. Employee Retention'!O$5,'Combined Employee Worksheet'!$I:$I,"&lt;="&amp;'Adj. Employee Retention'!O$1,'Combined Employee Worksheet'!$D:$D,'Adj. Employee Retention'!$B33)-COUNTIFS('Combined Employee Worksheet'!$I:$I,"&gt;="&amp;'Adj. Employee Retention'!O$5,'Combined Employee Worksheet'!$I:$I,"&lt;="&amp;'Adj. Employee Retention'!O$1,'Combined Employee Worksheet'!$D:$D,'Adj. Employee Retention'!$B33,'Combined Employee Worksheet'!$K:$K,"&lt;="&amp;$C$138,'Combined Employee Worksheet'!$J:$J,"&lt;&gt;")</f>
        <v>0</v>
      </c>
      <c r="P37" s="472">
        <f>COUNTIFS('Combined Employee Worksheet'!$I:$I,"&gt;="&amp;'Adj. Employee Retention'!P$5,'Combined Employee Worksheet'!$I:$I,"&lt;="&amp;'Adj. Employee Retention'!P$1,'Combined Employee Worksheet'!$D:$D,'Adj. Employee Retention'!$B33)-COUNTIFS('Combined Employee Worksheet'!$I:$I,"&gt;="&amp;'Adj. Employee Retention'!P$5,'Combined Employee Worksheet'!$I:$I,"&lt;="&amp;'Adj. Employee Retention'!P$1,'Combined Employee Worksheet'!$D:$D,'Adj. Employee Retention'!$B33,'Combined Employee Worksheet'!$K:$K,"&lt;="&amp;$C$138,'Combined Employee Worksheet'!$J:$J,"&lt;&gt;")</f>
        <v>0</v>
      </c>
      <c r="Q37" s="472">
        <f ca="1">COUNTIFS('Combined Employee Worksheet'!$I:$I,"&gt;="&amp;'Adj. Employee Retention'!Q$5,'Combined Employee Worksheet'!$I:$I,"&lt;="&amp;'Adj. Employee Retention'!Q$1,'Combined Employee Worksheet'!$D:$D,'Adj. Employee Retention'!$B33)-COUNTIFS('Combined Employee Worksheet'!$I:$I,"&gt;="&amp;'Adj. Employee Retention'!Q$5,'Combined Employee Worksheet'!$I:$I,"&lt;="&amp;'Adj. Employee Retention'!Q$1,'Combined Employee Worksheet'!$D:$D,'Adj. Employee Retention'!$B33,'Combined Employee Worksheet'!$K:$K,"&lt;="&amp;$C$138,'Combined Employee Worksheet'!$J:$J,"&lt;&gt;")</f>
        <v>0</v>
      </c>
      <c r="R37" s="472">
        <f ca="1">COUNTIFS('Combined Employee Worksheet'!$I:$I,"&gt;="&amp;'Adj. Employee Retention'!R$5,'Combined Employee Worksheet'!$I:$I,"&lt;="&amp;'Adj. Employee Retention'!R$1,'Combined Employee Worksheet'!$D:$D,'Adj. Employee Retention'!$B33)-COUNTIFS('Combined Employee Worksheet'!$I:$I,"&gt;="&amp;'Adj. Employee Retention'!R$5,'Combined Employee Worksheet'!$I:$I,"&lt;="&amp;'Adj. Employee Retention'!R$1,'Combined Employee Worksheet'!$D:$D,'Adj. Employee Retention'!$B33,'Combined Employee Worksheet'!$K:$K,"&lt;="&amp;$C$138,'Combined Employee Worksheet'!$J:$J,"&lt;&gt;")</f>
        <v>1</v>
      </c>
      <c r="S37" s="472">
        <f>COUNTIFS('Combined Employee Worksheet'!$I:$I,"&gt;="&amp;'Adj. Employee Retention'!S$5,'Combined Employee Worksheet'!$I:$I,"&lt;="&amp;'Adj. Employee Retention'!S$1,'Combined Employee Worksheet'!$D:$D,'Adj. Employee Retention'!$B33)-COUNTIFS('Combined Employee Worksheet'!$I:$I,"&gt;="&amp;'Adj. Employee Retention'!S$5,'Combined Employee Worksheet'!$I:$I,"&lt;="&amp;'Adj. Employee Retention'!S$1,'Combined Employee Worksheet'!$D:$D,'Adj. Employee Retention'!$B33,'Combined Employee Worksheet'!$K:$K,"&lt;="&amp;$C$138,'Combined Employee Worksheet'!$J:$J,"&lt;&gt;")</f>
        <v>0</v>
      </c>
      <c r="T37" s="472">
        <f>COUNTIFS('Combined Employee Worksheet'!$I:$I,"&gt;="&amp;'Adj. Employee Retention'!T$5,'Combined Employee Worksheet'!$I:$I,"&lt;="&amp;'Adj. Employee Retention'!T$1,'Combined Employee Worksheet'!$D:$D,'Adj. Employee Retention'!$B33)-COUNTIFS('Combined Employee Worksheet'!$I:$I,"&gt;="&amp;'Adj. Employee Retention'!T$5,'Combined Employee Worksheet'!$I:$I,"&lt;="&amp;'Adj. Employee Retention'!T$1,'Combined Employee Worksheet'!$D:$D,'Adj. Employee Retention'!$B33,'Combined Employee Worksheet'!$K:$K,"&lt;="&amp;$C$138,'Combined Employee Worksheet'!$J:$J,"&lt;&gt;")</f>
        <v>0</v>
      </c>
      <c r="U37" s="472">
        <f ca="1">COUNTIFS('Combined Employee Worksheet'!$I:$I,"&gt;="&amp;'Adj. Employee Retention'!U$5,'Combined Employee Worksheet'!$I:$I,"&lt;="&amp;'Adj. Employee Retention'!U$1,'Combined Employee Worksheet'!$D:$D,'Adj. Employee Retention'!$B33)-COUNTIFS('Combined Employee Worksheet'!$I:$I,"&gt;="&amp;'Adj. Employee Retention'!U$5,'Combined Employee Worksheet'!$I:$I,"&lt;="&amp;'Adj. Employee Retention'!U$1,'Combined Employee Worksheet'!$D:$D,'Adj. Employee Retention'!$B33,'Combined Employee Worksheet'!$K:$K,"&lt;="&amp;$C$138,'Combined Employee Worksheet'!$J:$J,"&lt;&gt;")</f>
        <v>2</v>
      </c>
      <c r="V37" s="472">
        <f ca="1">COUNTIFS('Combined Employee Worksheet'!$I:$I,"&gt;="&amp;'Adj. Employee Retention'!V$5,'Combined Employee Worksheet'!$I:$I,"&lt;="&amp;'Adj. Employee Retention'!V$1,'Combined Employee Worksheet'!$D:$D,'Adj. Employee Retention'!$B33)-COUNTIFS('Combined Employee Worksheet'!$I:$I,"&gt;="&amp;'Adj. Employee Retention'!V$5,'Combined Employee Worksheet'!$I:$I,"&lt;="&amp;'Adj. Employee Retention'!V$1,'Combined Employee Worksheet'!$D:$D,'Adj. Employee Retention'!$B33,'Combined Employee Worksheet'!$K:$K,"&lt;="&amp;$C$138,'Combined Employee Worksheet'!$J:$J,"&lt;&gt;")</f>
        <v>1</v>
      </c>
      <c r="W37" s="472">
        <f ca="1">COUNTIFS('Combined Employee Worksheet'!$I:$I,"&gt;="&amp;'Adj. Employee Retention'!W$5,'Combined Employee Worksheet'!$I:$I,"&lt;="&amp;'Adj. Employee Retention'!W$1,'Combined Employee Worksheet'!$D:$D,'Adj. Employee Retention'!$B33)-COUNTIFS('Combined Employee Worksheet'!$I:$I,"&gt;="&amp;'Adj. Employee Retention'!W$5,'Combined Employee Worksheet'!$I:$I,"&lt;="&amp;'Adj. Employee Retention'!W$1,'Combined Employee Worksheet'!$D:$D,'Adj. Employee Retention'!$B33,'Combined Employee Worksheet'!$K:$K,"&lt;="&amp;$C$138,'Combined Employee Worksheet'!$J:$J,"&lt;&gt;")</f>
        <v>0</v>
      </c>
      <c r="X37" s="472">
        <f ca="1">COUNTIFS('Combined Employee Worksheet'!$I:$I,"&gt;="&amp;'Adj. Employee Retention'!X$5,'Combined Employee Worksheet'!$I:$I,"&lt;="&amp;'Adj. Employee Retention'!X$1,'Combined Employee Worksheet'!$D:$D,'Adj. Employee Retention'!$B33)-COUNTIFS('Combined Employee Worksheet'!$I:$I,"&gt;="&amp;'Adj. Employee Retention'!X$5,'Combined Employee Worksheet'!$I:$I,"&lt;="&amp;'Adj. Employee Retention'!X$1,'Combined Employee Worksheet'!$D:$D,'Adj. Employee Retention'!$B33,'Combined Employee Worksheet'!$K:$K,"&lt;="&amp;$C$138,'Combined Employee Worksheet'!$J:$J,"&lt;&gt;")</f>
        <v>1</v>
      </c>
      <c r="Y37" s="472">
        <f>COUNTIFS('Combined Employee Worksheet'!$I:$I,"&gt;="&amp;'Adj. Employee Retention'!Y$5,'Combined Employee Worksheet'!$I:$I,"&lt;="&amp;'Adj. Employee Retention'!Y$1,'Combined Employee Worksheet'!$D:$D,'Adj. Employee Retention'!$B33)-COUNTIFS('Combined Employee Worksheet'!$I:$I,"&gt;="&amp;'Adj. Employee Retention'!Y$5,'Combined Employee Worksheet'!$I:$I,"&lt;="&amp;'Adj. Employee Retention'!Y$1,'Combined Employee Worksheet'!$D:$D,'Adj. Employee Retention'!$B33,'Combined Employee Worksheet'!$K:$K,"&lt;="&amp;$C$138,'Combined Employee Worksheet'!$J:$J,"&lt;&gt;")</f>
        <v>0</v>
      </c>
      <c r="Z37" s="472">
        <f ca="1">COUNTIFS('Combined Employee Worksheet'!$I:$I,"&gt;="&amp;'Adj. Employee Retention'!Z$5,'Combined Employee Worksheet'!$I:$I,"&lt;="&amp;'Adj. Employee Retention'!Z$1,'Combined Employee Worksheet'!$D:$D,'Adj. Employee Retention'!$B33)-COUNTIFS('Combined Employee Worksheet'!$I:$I,"&gt;="&amp;'Adj. Employee Retention'!Z$5,'Combined Employee Worksheet'!$I:$I,"&lt;="&amp;'Adj. Employee Retention'!Z$1,'Combined Employee Worksheet'!$D:$D,'Adj. Employee Retention'!$B33,'Combined Employee Worksheet'!$K:$K,"&lt;="&amp;$C$138,'Combined Employee Worksheet'!$J:$J,"&lt;&gt;")</f>
        <v>1</v>
      </c>
      <c r="AA37" s="472">
        <f ca="1">COUNTIFS('Combined Employee Worksheet'!$I:$I,"&gt;="&amp;'Adj. Employee Retention'!AA$5,'Combined Employee Worksheet'!$I:$I,"&lt;="&amp;'Adj. Employee Retention'!AA$1,'Combined Employee Worksheet'!$D:$D,'Adj. Employee Retention'!$B33)-COUNTIFS('Combined Employee Worksheet'!$I:$I,"&gt;="&amp;'Adj. Employee Retention'!AA$5,'Combined Employee Worksheet'!$I:$I,"&lt;="&amp;'Adj. Employee Retention'!AA$1,'Combined Employee Worksheet'!$D:$D,'Adj. Employee Retention'!$B33,'Combined Employee Worksheet'!$K:$K,"&lt;="&amp;$C$138,'Combined Employee Worksheet'!$J:$J,"&lt;&gt;")</f>
        <v>1</v>
      </c>
      <c r="AB37" s="472">
        <f>COUNTIFS('Combined Employee Worksheet'!$I:$I,"&gt;="&amp;'Adj. Employee Retention'!AB$5,'Combined Employee Worksheet'!$I:$I,"&lt;="&amp;'Adj. Employee Retention'!AB$1,'Combined Employee Worksheet'!$D:$D,'Adj. Employee Retention'!$B33)-COUNTIFS('Combined Employee Worksheet'!$I:$I,"&gt;="&amp;'Adj. Employee Retention'!AB$5,'Combined Employee Worksheet'!$I:$I,"&lt;="&amp;'Adj. Employee Retention'!AB$1,'Combined Employee Worksheet'!$D:$D,'Adj. Employee Retention'!$B33,'Combined Employee Worksheet'!$K:$K,"&lt;="&amp;$C$138,'Combined Employee Worksheet'!$J:$J,"&lt;&gt;")</f>
        <v>0</v>
      </c>
      <c r="AC37" s="417"/>
      <c r="AD37" s="417"/>
      <c r="AE37" s="417"/>
    </row>
    <row r="38" spans="1:31" ht="12" customHeight="1">
      <c r="A38" s="417"/>
      <c r="B38" s="471" t="s">
        <v>1815</v>
      </c>
      <c r="C38" s="433">
        <f ca="1">SUM(H38:S38)</f>
        <v>-4</v>
      </c>
      <c r="D38" s="433">
        <f ca="1">SUM(T38:AB38)</f>
        <v>-3</v>
      </c>
      <c r="E38" s="417"/>
      <c r="F38" s="433">
        <f ca="1">SUM(Q38:AB38)</f>
        <v>-3</v>
      </c>
      <c r="G38" s="417"/>
      <c r="H38" s="472">
        <f>-COUNTIFS('Combined Employee Worksheet'!$J:$J,"&gt;="&amp;'Adj. Employee Retention'!H$5,'Combined Employee Worksheet'!$J:$J,"&lt;="&amp;'Adj. Employee Retention'!H$1,'Combined Employee Worksheet'!$D:$D,'Adj. Employee Retention'!$B33,'Combined Employee Worksheet'!$K:$K,"&gt;"&amp;$C$138)</f>
        <v>0</v>
      </c>
      <c r="I38" s="472">
        <f ca="1">-COUNTIFS('Combined Employee Worksheet'!$J:$J,"&gt;="&amp;'Adj. Employee Retention'!I$5,'Combined Employee Worksheet'!$J:$J,"&lt;="&amp;'Adj. Employee Retention'!I$1,'Combined Employee Worksheet'!$D:$D,'Adj. Employee Retention'!$B33,'Combined Employee Worksheet'!$K:$K,"&gt;"&amp;$C$138)</f>
        <v>-2</v>
      </c>
      <c r="J38" s="472">
        <f ca="1">-COUNTIFS('Combined Employee Worksheet'!$J:$J,"&gt;="&amp;'Adj. Employee Retention'!J$5,'Combined Employee Worksheet'!$J:$J,"&lt;="&amp;'Adj. Employee Retention'!J$1,'Combined Employee Worksheet'!$D:$D,'Adj. Employee Retention'!$B33,'Combined Employee Worksheet'!$K:$K,"&gt;"&amp;$C$138)</f>
        <v>-1</v>
      </c>
      <c r="K38" s="472">
        <f>-COUNTIFS('Combined Employee Worksheet'!$J:$J,"&gt;="&amp;'Adj. Employee Retention'!K$5,'Combined Employee Worksheet'!$J:$J,"&lt;="&amp;'Adj. Employee Retention'!K$1,'Combined Employee Worksheet'!$D:$D,'Adj. Employee Retention'!$B33,'Combined Employee Worksheet'!$K:$K,"&gt;"&amp;$C$138)</f>
        <v>0</v>
      </c>
      <c r="L38" s="472">
        <f>-COUNTIFS('Combined Employee Worksheet'!$J:$J,"&gt;="&amp;'Adj. Employee Retention'!L$5,'Combined Employee Worksheet'!$J:$J,"&lt;="&amp;'Adj. Employee Retention'!L$1,'Combined Employee Worksheet'!$D:$D,'Adj. Employee Retention'!$B33,'Combined Employee Worksheet'!$K:$K,"&gt;"&amp;$C$138)</f>
        <v>0</v>
      </c>
      <c r="M38" s="472">
        <f ca="1">-COUNTIFS('Combined Employee Worksheet'!$J:$J,"&gt;="&amp;'Adj. Employee Retention'!M$5,'Combined Employee Worksheet'!$J:$J,"&lt;="&amp;'Adj. Employee Retention'!M$1,'Combined Employee Worksheet'!$D:$D,'Adj. Employee Retention'!$B33,'Combined Employee Worksheet'!$K:$K,"&gt;"&amp;$C$138)</f>
        <v>-1</v>
      </c>
      <c r="N38" s="472">
        <f>-COUNTIFS('Combined Employee Worksheet'!$J:$J,"&gt;="&amp;'Adj. Employee Retention'!N$5,'Combined Employee Worksheet'!$J:$J,"&lt;="&amp;'Adj. Employee Retention'!N$1,'Combined Employee Worksheet'!$D:$D,'Adj. Employee Retention'!$B33,'Combined Employee Worksheet'!$K:$K,"&gt;"&amp;$C$138)</f>
        <v>0</v>
      </c>
      <c r="O38" s="472">
        <f>-COUNTIFS('Combined Employee Worksheet'!$J:$J,"&gt;="&amp;'Adj. Employee Retention'!O$5,'Combined Employee Worksheet'!$J:$J,"&lt;="&amp;'Adj. Employee Retention'!O$1,'Combined Employee Worksheet'!$D:$D,'Adj. Employee Retention'!$B33,'Combined Employee Worksheet'!$K:$K,"&gt;"&amp;$C$138)</f>
        <v>0</v>
      </c>
      <c r="P38" s="472">
        <f>-COUNTIFS('Combined Employee Worksheet'!$J:$J,"&gt;="&amp;'Adj. Employee Retention'!P$5,'Combined Employee Worksheet'!$J:$J,"&lt;="&amp;'Adj. Employee Retention'!P$1,'Combined Employee Worksheet'!$D:$D,'Adj. Employee Retention'!$B33,'Combined Employee Worksheet'!$K:$K,"&gt;"&amp;$C$138)</f>
        <v>0</v>
      </c>
      <c r="Q38" s="472">
        <f>-COUNTIFS('Combined Employee Worksheet'!$J:$J,"&gt;="&amp;'Adj. Employee Retention'!Q$5,'Combined Employee Worksheet'!$J:$J,"&lt;="&amp;'Adj. Employee Retention'!Q$1,'Combined Employee Worksheet'!$D:$D,'Adj. Employee Retention'!$B33,'Combined Employee Worksheet'!$K:$K,"&gt;"&amp;$C$138)</f>
        <v>0</v>
      </c>
      <c r="R38" s="472">
        <f ca="1">-COUNTIFS('Combined Employee Worksheet'!$J:$J,"&gt;="&amp;'Adj. Employee Retention'!R$5,'Combined Employee Worksheet'!$J:$J,"&lt;="&amp;'Adj. Employee Retention'!R$1,'Combined Employee Worksheet'!$D:$D,'Adj. Employee Retention'!$B33,'Combined Employee Worksheet'!$K:$K,"&gt;"&amp;$C$138)</f>
        <v>0</v>
      </c>
      <c r="S38" s="472">
        <f>-COUNTIFS('Combined Employee Worksheet'!$J:$J,"&gt;="&amp;'Adj. Employee Retention'!S$5,'Combined Employee Worksheet'!$J:$J,"&lt;="&amp;'Adj. Employee Retention'!S$1,'Combined Employee Worksheet'!$D:$D,'Adj. Employee Retention'!$B33,'Combined Employee Worksheet'!$K:$K,"&gt;"&amp;$C$138)</f>
        <v>0</v>
      </c>
      <c r="T38" s="472">
        <f>-COUNTIFS('Combined Employee Worksheet'!$J:$J,"&gt;="&amp;'Adj. Employee Retention'!T$5,'Combined Employee Worksheet'!$J:$J,"&lt;="&amp;'Adj. Employee Retention'!T$1,'Combined Employee Worksheet'!$D:$D,'Adj. Employee Retention'!$B33,'Combined Employee Worksheet'!$K:$K,"&gt;"&amp;$C$138)</f>
        <v>0</v>
      </c>
      <c r="U38" s="472">
        <f ca="1">-COUNTIFS('Combined Employee Worksheet'!$J:$J,"&gt;="&amp;'Adj. Employee Retention'!U$5,'Combined Employee Worksheet'!$J:$J,"&lt;="&amp;'Adj. Employee Retention'!U$1,'Combined Employee Worksheet'!$D:$D,'Adj. Employee Retention'!$B33,'Combined Employee Worksheet'!$K:$K,"&gt;"&amp;$C$138)</f>
        <v>-1</v>
      </c>
      <c r="V38" s="472">
        <f>-COUNTIFS('Combined Employee Worksheet'!$J:$J,"&gt;="&amp;'Adj. Employee Retention'!V$5,'Combined Employee Worksheet'!$J:$J,"&lt;="&amp;'Adj. Employee Retention'!V$1,'Combined Employee Worksheet'!$D:$D,'Adj. Employee Retention'!$B33,'Combined Employee Worksheet'!$K:$K,"&gt;"&amp;$C$138)</f>
        <v>0</v>
      </c>
      <c r="W38" s="472">
        <f>-COUNTIFS('Combined Employee Worksheet'!$J:$J,"&gt;="&amp;'Adj. Employee Retention'!W$5,'Combined Employee Worksheet'!$J:$J,"&lt;="&amp;'Adj. Employee Retention'!W$1,'Combined Employee Worksheet'!$D:$D,'Adj. Employee Retention'!$B33,'Combined Employee Worksheet'!$K:$K,"&gt;"&amp;$C$138)</f>
        <v>0</v>
      </c>
      <c r="X38" s="472">
        <f ca="1">-COUNTIFS('Combined Employee Worksheet'!$J:$J,"&gt;="&amp;'Adj. Employee Retention'!X$5,'Combined Employee Worksheet'!$J:$J,"&lt;="&amp;'Adj. Employee Retention'!X$1,'Combined Employee Worksheet'!$D:$D,'Adj. Employee Retention'!$B33,'Combined Employee Worksheet'!$K:$K,"&gt;"&amp;$C$138)</f>
        <v>0</v>
      </c>
      <c r="Y38" s="472">
        <f ca="1">-COUNTIFS('Combined Employee Worksheet'!$J:$J,"&gt;="&amp;'Adj. Employee Retention'!Y$5,'Combined Employee Worksheet'!$J:$J,"&lt;="&amp;'Adj. Employee Retention'!Y$1,'Combined Employee Worksheet'!$D:$D,'Adj. Employee Retention'!$B33,'Combined Employee Worksheet'!$K:$K,"&gt;"&amp;$C$138)</f>
        <v>0</v>
      </c>
      <c r="Z38" s="472">
        <f>-COUNTIFS('Combined Employee Worksheet'!$J:$J,"&gt;="&amp;'Adj. Employee Retention'!Z$5,'Combined Employee Worksheet'!$J:$J,"&lt;="&amp;'Adj. Employee Retention'!Z$1,'Combined Employee Worksheet'!$D:$D,'Adj. Employee Retention'!$B33,'Combined Employee Worksheet'!$K:$K,"&gt;"&amp;$C$138)</f>
        <v>0</v>
      </c>
      <c r="AA38" s="472">
        <f>-COUNTIFS('Combined Employee Worksheet'!$J:$J,"&gt;="&amp;'Adj. Employee Retention'!AA$5,'Combined Employee Worksheet'!$J:$J,"&lt;="&amp;'Adj. Employee Retention'!AA$1,'Combined Employee Worksheet'!$D:$D,'Adj. Employee Retention'!$B33,'Combined Employee Worksheet'!$K:$K,"&gt;"&amp;$C$138)</f>
        <v>0</v>
      </c>
      <c r="AB38" s="472">
        <f ca="1">-COUNTIFS('Combined Employee Worksheet'!$J:$J,"&gt;="&amp;'Adj. Employee Retention'!AB$5,'Combined Employee Worksheet'!$J:$J,"&lt;="&amp;'Adj. Employee Retention'!AB$1,'Combined Employee Worksheet'!$D:$D,'Adj. Employee Retention'!$B33,'Combined Employee Worksheet'!$K:$K,"&gt;"&amp;$C$138)</f>
        <v>-2</v>
      </c>
      <c r="AC38" s="417"/>
      <c r="AD38" s="417"/>
      <c r="AE38" s="417"/>
    </row>
    <row r="39" spans="1:31" ht="12" customHeight="1">
      <c r="A39" s="417"/>
      <c r="B39" s="474" t="s">
        <v>1315</v>
      </c>
      <c r="C39" s="475">
        <f ca="1">+D36</f>
        <v>13</v>
      </c>
      <c r="D39" s="476">
        <f>+$AB39</f>
        <v>16</v>
      </c>
      <c r="E39" s="417"/>
      <c r="F39" s="477">
        <f>+$AB39</f>
        <v>16</v>
      </c>
      <c r="G39" s="417"/>
      <c r="H39" s="478">
        <f t="shared" ref="H39:AA39" ca="1" si="22">+I36</f>
        <v>14</v>
      </c>
      <c r="I39" s="475">
        <f t="shared" ca="1" si="22"/>
        <v>12</v>
      </c>
      <c r="J39" s="475">
        <f t="shared" ca="1" si="22"/>
        <v>13</v>
      </c>
      <c r="K39" s="475">
        <f t="shared" ca="1" si="22"/>
        <v>13</v>
      </c>
      <c r="L39" s="475">
        <f t="shared" ca="1" si="22"/>
        <v>13</v>
      </c>
      <c r="M39" s="475">
        <f t="shared" ca="1" si="22"/>
        <v>12</v>
      </c>
      <c r="N39" s="475">
        <f t="shared" ca="1" si="22"/>
        <v>12</v>
      </c>
      <c r="O39" s="475">
        <f t="shared" ca="1" si="22"/>
        <v>12</v>
      </c>
      <c r="P39" s="475">
        <f t="shared" ca="1" si="22"/>
        <v>12</v>
      </c>
      <c r="Q39" s="478">
        <f t="shared" ca="1" si="22"/>
        <v>12</v>
      </c>
      <c r="R39" s="475">
        <f t="shared" ca="1" si="22"/>
        <v>13</v>
      </c>
      <c r="S39" s="475">
        <f t="shared" ca="1" si="22"/>
        <v>13</v>
      </c>
      <c r="T39" s="475">
        <f t="shared" ca="1" si="22"/>
        <v>13</v>
      </c>
      <c r="U39" s="475">
        <f t="shared" ca="1" si="22"/>
        <v>14</v>
      </c>
      <c r="V39" s="475">
        <f t="shared" ca="1" si="22"/>
        <v>15</v>
      </c>
      <c r="W39" s="475">
        <f t="shared" ca="1" si="22"/>
        <v>15</v>
      </c>
      <c r="X39" s="475">
        <f t="shared" ca="1" si="22"/>
        <v>16</v>
      </c>
      <c r="Y39" s="475">
        <f t="shared" ca="1" si="22"/>
        <v>16</v>
      </c>
      <c r="Z39" s="475">
        <f t="shared" ca="1" si="22"/>
        <v>17</v>
      </c>
      <c r="AA39" s="475">
        <f t="shared" ca="1" si="22"/>
        <v>18</v>
      </c>
      <c r="AB39" s="479">
        <f>COUNTIFS('Combined Employee Worksheet'!$H:$H,"Active",'Combined Employee Worksheet'!$D:$D,'Adj. Employee Retention'!B33)</f>
        <v>16</v>
      </c>
      <c r="AC39" s="417"/>
      <c r="AD39" s="417"/>
      <c r="AE39" s="417"/>
    </row>
    <row r="40" spans="1:31" ht="3.95" customHeight="1">
      <c r="A40" s="417"/>
      <c r="B40" s="480"/>
      <c r="C40" s="481"/>
      <c r="D40" s="481"/>
      <c r="E40" s="417"/>
      <c r="F40" s="481"/>
      <c r="G40" s="417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81"/>
      <c r="AB40" s="501"/>
      <c r="AC40" s="417"/>
      <c r="AD40" s="417"/>
      <c r="AE40" s="417"/>
    </row>
    <row r="41" spans="1:31" ht="12" customHeight="1">
      <c r="A41" s="417"/>
      <c r="B41" s="487" t="s">
        <v>1817</v>
      </c>
      <c r="C41" s="502">
        <f ca="1">AVERAGE(C36,C39)</f>
        <v>13</v>
      </c>
      <c r="D41" s="503">
        <f ca="1">AVERAGE(D36,D39)</f>
        <v>14.5</v>
      </c>
      <c r="E41" s="417"/>
      <c r="F41" s="504">
        <f ca="1">AVERAGE(F36,F39)</f>
        <v>14</v>
      </c>
      <c r="G41" s="417"/>
      <c r="H41" s="505">
        <f t="shared" ref="H41:AB41" ca="1" si="23">AVERAGE(H36,H39)</f>
        <v>13.5</v>
      </c>
      <c r="I41" s="502">
        <f t="shared" ca="1" si="23"/>
        <v>13</v>
      </c>
      <c r="J41" s="502">
        <f t="shared" ca="1" si="23"/>
        <v>12.5</v>
      </c>
      <c r="K41" s="502">
        <f t="shared" ca="1" si="23"/>
        <v>13</v>
      </c>
      <c r="L41" s="502">
        <f t="shared" ca="1" si="23"/>
        <v>13</v>
      </c>
      <c r="M41" s="502">
        <f t="shared" ca="1" si="23"/>
        <v>12.5</v>
      </c>
      <c r="N41" s="502">
        <f t="shared" ca="1" si="23"/>
        <v>12</v>
      </c>
      <c r="O41" s="502">
        <f t="shared" ca="1" si="23"/>
        <v>12</v>
      </c>
      <c r="P41" s="502">
        <f t="shared" ca="1" si="23"/>
        <v>12</v>
      </c>
      <c r="Q41" s="505">
        <f t="shared" ca="1" si="23"/>
        <v>12</v>
      </c>
      <c r="R41" s="502">
        <f t="shared" ca="1" si="23"/>
        <v>12.5</v>
      </c>
      <c r="S41" s="502">
        <f t="shared" ca="1" si="23"/>
        <v>13</v>
      </c>
      <c r="T41" s="502">
        <f t="shared" ca="1" si="23"/>
        <v>13</v>
      </c>
      <c r="U41" s="502">
        <f t="shared" ca="1" si="23"/>
        <v>13.5</v>
      </c>
      <c r="V41" s="502">
        <f t="shared" ca="1" si="23"/>
        <v>14.5</v>
      </c>
      <c r="W41" s="502">
        <f t="shared" ca="1" si="23"/>
        <v>15</v>
      </c>
      <c r="X41" s="502">
        <f t="shared" ca="1" si="23"/>
        <v>15.5</v>
      </c>
      <c r="Y41" s="502">
        <f t="shared" ca="1" si="23"/>
        <v>16</v>
      </c>
      <c r="Z41" s="502">
        <f t="shared" ca="1" si="23"/>
        <v>16.5</v>
      </c>
      <c r="AA41" s="502">
        <f t="shared" ca="1" si="23"/>
        <v>17.5</v>
      </c>
      <c r="AB41" s="503">
        <f t="shared" ca="1" si="23"/>
        <v>17</v>
      </c>
      <c r="AC41" s="417"/>
      <c r="AD41" s="417"/>
      <c r="AE41" s="417"/>
    </row>
    <row r="42" spans="1:31" ht="12" customHeight="1">
      <c r="A42" s="417"/>
      <c r="B42" s="493" t="s">
        <v>1816</v>
      </c>
      <c r="C42" s="506">
        <f ca="1">C34/C41</f>
        <v>12.5</v>
      </c>
      <c r="D42" s="507">
        <f ca="1">D34/D41</f>
        <v>12.379310344827585</v>
      </c>
      <c r="E42" s="470"/>
      <c r="F42" s="508">
        <f ca="1">F34/F41</f>
        <v>12.714285714285714</v>
      </c>
      <c r="G42" s="470"/>
      <c r="H42" s="509">
        <f t="shared" ref="H42:AB42" ca="1" si="24">H34/H41</f>
        <v>10.814814814814815</v>
      </c>
      <c r="I42" s="506">
        <f t="shared" ca="1" si="24"/>
        <v>11.346153846153847</v>
      </c>
      <c r="J42" s="506">
        <f t="shared" ca="1" si="24"/>
        <v>12.08</v>
      </c>
      <c r="K42" s="506">
        <f t="shared" ca="1" si="24"/>
        <v>12.038461538461538</v>
      </c>
      <c r="L42" s="506">
        <f t="shared" ca="1" si="24"/>
        <v>12.461538461538462</v>
      </c>
      <c r="M42" s="506">
        <f t="shared" ca="1" si="24"/>
        <v>13.2</v>
      </c>
      <c r="N42" s="506">
        <f t="shared" ca="1" si="24"/>
        <v>13.916666666666666</v>
      </c>
      <c r="O42" s="506">
        <f t="shared" ca="1" si="24"/>
        <v>14.333333333333334</v>
      </c>
      <c r="P42" s="506">
        <f t="shared" ca="1" si="24"/>
        <v>14.666666666666666</v>
      </c>
      <c r="Q42" s="509">
        <f t="shared" ca="1" si="24"/>
        <v>14.958333333333334</v>
      </c>
      <c r="R42" s="506">
        <f t="shared" ca="1" si="24"/>
        <v>14.52</v>
      </c>
      <c r="S42" s="506">
        <f t="shared" ca="1" si="24"/>
        <v>13.884615384615385</v>
      </c>
      <c r="T42" s="506">
        <f t="shared" ca="1" si="24"/>
        <v>14.076923076923077</v>
      </c>
      <c r="U42" s="506">
        <f t="shared" ca="1" si="24"/>
        <v>14.037037037037036</v>
      </c>
      <c r="V42" s="506">
        <f t="shared" ca="1" si="24"/>
        <v>13.275862068965518</v>
      </c>
      <c r="W42" s="506">
        <f t="shared" ca="1" si="24"/>
        <v>13</v>
      </c>
      <c r="X42" s="506">
        <f t="shared" ca="1" si="24"/>
        <v>12.483870967741936</v>
      </c>
      <c r="Y42" s="506">
        <f t="shared" ca="1" si="24"/>
        <v>11.8125</v>
      </c>
      <c r="Z42" s="506">
        <f t="shared" ca="1" si="24"/>
        <v>11</v>
      </c>
      <c r="AA42" s="506">
        <f t="shared" ca="1" si="24"/>
        <v>9.9714285714285715</v>
      </c>
      <c r="AB42" s="507">
        <f t="shared" ca="1" si="24"/>
        <v>10.411764705882353</v>
      </c>
      <c r="AC42" s="417"/>
      <c r="AD42" s="417"/>
      <c r="AE42" s="417"/>
    </row>
    <row r="43" spans="1:31" ht="3.95" customHeight="1">
      <c r="A43" s="417"/>
      <c r="B43" s="480"/>
      <c r="C43" s="481"/>
      <c r="D43" s="481"/>
      <c r="E43" s="417"/>
      <c r="F43" s="481"/>
      <c r="G43" s="417"/>
      <c r="H43" s="481"/>
      <c r="I43" s="481"/>
      <c r="J43" s="481"/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2"/>
      <c r="AA43" s="482"/>
      <c r="AB43" s="482"/>
      <c r="AC43" s="417"/>
      <c r="AD43" s="417"/>
      <c r="AE43" s="417"/>
    </row>
    <row r="44" spans="1:31" ht="12" customHeight="1">
      <c r="A44" s="417"/>
      <c r="B44" s="487" t="s">
        <v>1813</v>
      </c>
      <c r="C44" s="488">
        <f ca="1">(C37+C36)/C36-1</f>
        <v>0.30769230769230771</v>
      </c>
      <c r="D44" s="489">
        <f ca="1">(D37+D36)/D36-1</f>
        <v>0.46153846153846145</v>
      </c>
      <c r="E44" s="490"/>
      <c r="F44" s="491">
        <f ca="1">(F37+F36)/F36-1</f>
        <v>0.58333333333333326</v>
      </c>
      <c r="G44" s="417"/>
      <c r="H44" s="492">
        <f t="shared" ref="H44:AB44" ca="1" si="25">(H37+H36)/H36-1</f>
        <v>7.6923076923076872E-2</v>
      </c>
      <c r="I44" s="488">
        <f t="shared" ca="1" si="25"/>
        <v>0</v>
      </c>
      <c r="J44" s="488">
        <f t="shared" ca="1" si="25"/>
        <v>0.16666666666666674</v>
      </c>
      <c r="K44" s="488">
        <f t="shared" ca="1" si="25"/>
        <v>0</v>
      </c>
      <c r="L44" s="488">
        <f t="shared" ca="1" si="25"/>
        <v>0</v>
      </c>
      <c r="M44" s="488">
        <f t="shared" ca="1" si="25"/>
        <v>0</v>
      </c>
      <c r="N44" s="488">
        <f t="shared" ca="1" si="25"/>
        <v>0</v>
      </c>
      <c r="O44" s="488">
        <f t="shared" ca="1" si="25"/>
        <v>0</v>
      </c>
      <c r="P44" s="488">
        <f t="shared" ca="1" si="25"/>
        <v>0</v>
      </c>
      <c r="Q44" s="492">
        <f t="shared" ca="1" si="25"/>
        <v>0</v>
      </c>
      <c r="R44" s="488">
        <f t="shared" ca="1" si="25"/>
        <v>8.3333333333333259E-2</v>
      </c>
      <c r="S44" s="488">
        <f t="shared" ca="1" si="25"/>
        <v>0</v>
      </c>
      <c r="T44" s="488">
        <f t="shared" ca="1" si="25"/>
        <v>0</v>
      </c>
      <c r="U44" s="488">
        <f t="shared" ca="1" si="25"/>
        <v>0.15384615384615374</v>
      </c>
      <c r="V44" s="488">
        <f t="shared" ca="1" si="25"/>
        <v>7.1428571428571397E-2</v>
      </c>
      <c r="W44" s="488">
        <f t="shared" ca="1" si="25"/>
        <v>0</v>
      </c>
      <c r="X44" s="488">
        <f t="shared" ca="1" si="25"/>
        <v>6.6666666666666652E-2</v>
      </c>
      <c r="Y44" s="488">
        <f t="shared" ca="1" si="25"/>
        <v>0</v>
      </c>
      <c r="Z44" s="488">
        <f t="shared" ca="1" si="25"/>
        <v>6.25E-2</v>
      </c>
      <c r="AA44" s="488">
        <f t="shared" ca="1" si="25"/>
        <v>5.8823529411764719E-2</v>
      </c>
      <c r="AB44" s="489">
        <f t="shared" ca="1" si="25"/>
        <v>0</v>
      </c>
      <c r="AC44" s="417"/>
      <c r="AD44" s="417"/>
      <c r="AE44" s="417"/>
    </row>
    <row r="45" spans="1:31">
      <c r="A45" s="417"/>
      <c r="B45" s="493" t="s">
        <v>1812</v>
      </c>
      <c r="C45" s="494">
        <f ca="1">(C38+C41)/C41-1</f>
        <v>-0.30769230769230771</v>
      </c>
      <c r="D45" s="495">
        <f ca="1">(D38+D41)/D41-1</f>
        <v>-0.2068965517241379</v>
      </c>
      <c r="E45" s="490"/>
      <c r="F45" s="496">
        <f ca="1">(F38+F41)/F41-1</f>
        <v>-0.2142857142857143</v>
      </c>
      <c r="G45" s="417"/>
      <c r="H45" s="497">
        <f t="shared" ref="H45:AB45" ca="1" si="26">(H38+H41)/H41-1</f>
        <v>0</v>
      </c>
      <c r="I45" s="494">
        <f t="shared" ca="1" si="26"/>
        <v>-0.15384615384615385</v>
      </c>
      <c r="J45" s="494">
        <f t="shared" ca="1" si="26"/>
        <v>-7.999999999999996E-2</v>
      </c>
      <c r="K45" s="494">
        <f t="shared" ca="1" si="26"/>
        <v>0</v>
      </c>
      <c r="L45" s="494">
        <f t="shared" ca="1" si="26"/>
        <v>0</v>
      </c>
      <c r="M45" s="494">
        <f t="shared" ca="1" si="26"/>
        <v>-7.999999999999996E-2</v>
      </c>
      <c r="N45" s="494">
        <f t="shared" ca="1" si="26"/>
        <v>0</v>
      </c>
      <c r="O45" s="494">
        <f t="shared" ca="1" si="26"/>
        <v>0</v>
      </c>
      <c r="P45" s="494">
        <f t="shared" ca="1" si="26"/>
        <v>0</v>
      </c>
      <c r="Q45" s="497">
        <f t="shared" ca="1" si="26"/>
        <v>0</v>
      </c>
      <c r="R45" s="494">
        <f t="shared" ca="1" si="26"/>
        <v>0</v>
      </c>
      <c r="S45" s="494">
        <f t="shared" ca="1" si="26"/>
        <v>0</v>
      </c>
      <c r="T45" s="494">
        <f t="shared" ca="1" si="26"/>
        <v>0</v>
      </c>
      <c r="U45" s="494">
        <f t="shared" ca="1" si="26"/>
        <v>-7.407407407407407E-2</v>
      </c>
      <c r="V45" s="494">
        <f t="shared" ca="1" si="26"/>
        <v>0</v>
      </c>
      <c r="W45" s="494">
        <f t="shared" ca="1" si="26"/>
        <v>0</v>
      </c>
      <c r="X45" s="494">
        <f t="shared" ca="1" si="26"/>
        <v>0</v>
      </c>
      <c r="Y45" s="494">
        <f t="shared" ca="1" si="26"/>
        <v>0</v>
      </c>
      <c r="Z45" s="494">
        <f t="shared" ca="1" si="26"/>
        <v>0</v>
      </c>
      <c r="AA45" s="494">
        <f t="shared" ca="1" si="26"/>
        <v>0</v>
      </c>
      <c r="AB45" s="495">
        <f t="shared" ca="1" si="26"/>
        <v>-0.11764705882352944</v>
      </c>
      <c r="AC45" s="417"/>
      <c r="AD45" s="417"/>
      <c r="AE45" s="417"/>
    </row>
    <row r="46" spans="1:31" ht="3.95" customHeight="1">
      <c r="A46" s="417"/>
      <c r="B46" s="480"/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417"/>
    </row>
    <row r="47" spans="1:31" ht="24">
      <c r="A47" s="417"/>
      <c r="B47" s="462" t="s">
        <v>1997</v>
      </c>
      <c r="C47" s="463" t="s">
        <v>4</v>
      </c>
      <c r="D47" s="463" t="s">
        <v>1317</v>
      </c>
      <c r="E47" s="464"/>
      <c r="F47" s="463" t="s">
        <v>1527</v>
      </c>
      <c r="G47" s="417"/>
      <c r="H47" s="465">
        <v>45658</v>
      </c>
      <c r="I47" s="465">
        <f t="shared" ref="I47:N47" si="27">EOMONTH(H47,0)+1</f>
        <v>45689</v>
      </c>
      <c r="J47" s="465">
        <f t="shared" si="27"/>
        <v>45717</v>
      </c>
      <c r="K47" s="465">
        <f t="shared" si="27"/>
        <v>45748</v>
      </c>
      <c r="L47" s="465">
        <f t="shared" si="27"/>
        <v>45778</v>
      </c>
      <c r="M47" s="465">
        <f t="shared" si="27"/>
        <v>45809</v>
      </c>
      <c r="N47" s="465">
        <f t="shared" si="27"/>
        <v>45839</v>
      </c>
      <c r="O47" s="465">
        <v>45870</v>
      </c>
      <c r="P47" s="465">
        <f t="shared" ref="P47:AB47" si="28">EOMONTH(O47,0)+1</f>
        <v>45901</v>
      </c>
      <c r="Q47" s="465">
        <f t="shared" si="28"/>
        <v>45931</v>
      </c>
      <c r="R47" s="465">
        <f t="shared" si="28"/>
        <v>45962</v>
      </c>
      <c r="S47" s="465">
        <f t="shared" si="28"/>
        <v>45992</v>
      </c>
      <c r="T47" s="465">
        <f t="shared" si="28"/>
        <v>46023</v>
      </c>
      <c r="U47" s="465">
        <f t="shared" si="28"/>
        <v>46054</v>
      </c>
      <c r="V47" s="465">
        <f t="shared" si="28"/>
        <v>46082</v>
      </c>
      <c r="W47" s="465">
        <f t="shared" si="28"/>
        <v>46113</v>
      </c>
      <c r="X47" s="465">
        <f t="shared" si="28"/>
        <v>46143</v>
      </c>
      <c r="Y47" s="465">
        <f t="shared" si="28"/>
        <v>46174</v>
      </c>
      <c r="Z47" s="465">
        <f t="shared" si="28"/>
        <v>46204</v>
      </c>
      <c r="AA47" s="465">
        <f t="shared" si="28"/>
        <v>46235</v>
      </c>
      <c r="AB47" s="465">
        <f t="shared" si="28"/>
        <v>46266</v>
      </c>
      <c r="AC47" s="466"/>
      <c r="AD47" s="417"/>
      <c r="AE47" s="466"/>
    </row>
    <row r="48" spans="1:31">
      <c r="A48" s="417"/>
      <c r="B48" s="498" t="s">
        <v>1361</v>
      </c>
      <c r="C48" s="468"/>
      <c r="D48" s="468"/>
      <c r="E48" s="469"/>
      <c r="F48" s="468"/>
      <c r="G48" s="417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9"/>
      <c r="AD48" s="469"/>
      <c r="AE48" s="469"/>
    </row>
    <row r="49" spans="1:31">
      <c r="A49" s="417"/>
      <c r="B49" s="469" t="s">
        <v>1818</v>
      </c>
      <c r="C49" s="510">
        <f>+C$19</f>
        <v>162.5</v>
      </c>
      <c r="D49" s="510">
        <f>+D$19</f>
        <v>179.5</v>
      </c>
      <c r="E49" s="469"/>
      <c r="F49" s="510">
        <f>+F$19</f>
        <v>178</v>
      </c>
      <c r="G49" s="417"/>
      <c r="H49" s="510">
        <f>+H$19</f>
        <v>146</v>
      </c>
      <c r="I49" s="510">
        <f t="shared" ref="I49:AB49" si="29">+I$19</f>
        <v>147.5</v>
      </c>
      <c r="J49" s="510">
        <f t="shared" si="29"/>
        <v>151</v>
      </c>
      <c r="K49" s="510">
        <f t="shared" si="29"/>
        <v>156.5</v>
      </c>
      <c r="L49" s="510">
        <f t="shared" si="29"/>
        <v>162</v>
      </c>
      <c r="M49" s="510">
        <f t="shared" si="29"/>
        <v>165</v>
      </c>
      <c r="N49" s="510">
        <f t="shared" si="29"/>
        <v>167</v>
      </c>
      <c r="O49" s="510">
        <f t="shared" si="29"/>
        <v>172</v>
      </c>
      <c r="P49" s="510">
        <f t="shared" si="29"/>
        <v>176</v>
      </c>
      <c r="Q49" s="510">
        <f t="shared" si="29"/>
        <v>179.5</v>
      </c>
      <c r="R49" s="510">
        <f t="shared" si="29"/>
        <v>181.5</v>
      </c>
      <c r="S49" s="510">
        <f t="shared" si="29"/>
        <v>180.5</v>
      </c>
      <c r="T49" s="510">
        <f t="shared" si="29"/>
        <v>183</v>
      </c>
      <c r="U49" s="510">
        <f t="shared" si="29"/>
        <v>189.5</v>
      </c>
      <c r="V49" s="510">
        <f t="shared" si="29"/>
        <v>192.5</v>
      </c>
      <c r="W49" s="510">
        <f t="shared" si="29"/>
        <v>195</v>
      </c>
      <c r="X49" s="510">
        <f t="shared" si="29"/>
        <v>193.5</v>
      </c>
      <c r="Y49" s="510">
        <f t="shared" si="29"/>
        <v>189</v>
      </c>
      <c r="Z49" s="510">
        <f t="shared" si="29"/>
        <v>181.5</v>
      </c>
      <c r="AA49" s="510">
        <f t="shared" si="29"/>
        <v>174.5</v>
      </c>
      <c r="AB49" s="510">
        <f t="shared" si="29"/>
        <v>177</v>
      </c>
      <c r="AC49" s="469"/>
      <c r="AD49" s="469"/>
      <c r="AE49" s="469"/>
    </row>
    <row r="50" spans="1:31" ht="3.95" customHeight="1">
      <c r="A50" s="417"/>
      <c r="B50" s="500"/>
      <c r="C50" s="469"/>
      <c r="D50" s="469"/>
      <c r="E50" s="469"/>
      <c r="F50" s="469"/>
      <c r="G50" s="417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  <c r="AA50" s="469"/>
      <c r="AB50" s="469"/>
      <c r="AC50" s="469"/>
      <c r="AD50" s="469"/>
      <c r="AE50" s="469"/>
    </row>
    <row r="51" spans="1:31">
      <c r="A51" s="417"/>
      <c r="B51" s="417" t="s">
        <v>1313</v>
      </c>
      <c r="C51" s="470">
        <f ca="1">+C54-C52-C53</f>
        <v>1</v>
      </c>
      <c r="D51" s="470">
        <f ca="1">+D54-D52-D53</f>
        <v>2</v>
      </c>
      <c r="E51" s="417"/>
      <c r="F51" s="470">
        <f ca="1">+F54-F52-F53</f>
        <v>3</v>
      </c>
      <c r="G51" s="417"/>
      <c r="H51" s="470">
        <f t="shared" ref="H51:AB51" ca="1" si="30">+H54-H52-H53</f>
        <v>1</v>
      </c>
      <c r="I51" s="470">
        <f t="shared" ca="1" si="30"/>
        <v>1</v>
      </c>
      <c r="J51" s="470">
        <f t="shared" ca="1" si="30"/>
        <v>1</v>
      </c>
      <c r="K51" s="470">
        <f t="shared" ca="1" si="30"/>
        <v>2</v>
      </c>
      <c r="L51" s="470">
        <f t="shared" ca="1" si="30"/>
        <v>2</v>
      </c>
      <c r="M51" s="470">
        <f t="shared" ca="1" si="30"/>
        <v>2</v>
      </c>
      <c r="N51" s="470">
        <f t="shared" ca="1" si="30"/>
        <v>2</v>
      </c>
      <c r="O51" s="470">
        <f t="shared" ca="1" si="30"/>
        <v>2</v>
      </c>
      <c r="P51" s="470">
        <f t="shared" ca="1" si="30"/>
        <v>2</v>
      </c>
      <c r="Q51" s="470">
        <f t="shared" ca="1" si="30"/>
        <v>3</v>
      </c>
      <c r="R51" s="470">
        <f t="shared" ca="1" si="30"/>
        <v>3</v>
      </c>
      <c r="S51" s="470">
        <f t="shared" ca="1" si="30"/>
        <v>3</v>
      </c>
      <c r="T51" s="470">
        <f t="shared" ca="1" si="30"/>
        <v>2</v>
      </c>
      <c r="U51" s="470">
        <f t="shared" ca="1" si="30"/>
        <v>2</v>
      </c>
      <c r="V51" s="470">
        <f t="shared" ca="1" si="30"/>
        <v>4</v>
      </c>
      <c r="W51" s="470">
        <f t="shared" ca="1" si="30"/>
        <v>4</v>
      </c>
      <c r="X51" s="470">
        <f t="shared" ca="1" si="30"/>
        <v>4</v>
      </c>
      <c r="Y51" s="470">
        <f t="shared" ca="1" si="30"/>
        <v>4</v>
      </c>
      <c r="Z51" s="470">
        <f t="shared" ca="1" si="30"/>
        <v>4</v>
      </c>
      <c r="AA51" s="470">
        <f t="shared" ca="1" si="30"/>
        <v>4</v>
      </c>
      <c r="AB51" s="470">
        <f t="shared" si="30"/>
        <v>4</v>
      </c>
      <c r="AC51" s="417"/>
      <c r="AD51" s="417"/>
      <c r="AE51" s="417"/>
    </row>
    <row r="52" spans="1:31">
      <c r="A52" s="417"/>
      <c r="B52" s="471" t="s">
        <v>1814</v>
      </c>
      <c r="C52" s="433">
        <f ca="1">SUM(H52:S52)</f>
        <v>2</v>
      </c>
      <c r="D52" s="433">
        <f ca="1">SUM(T52:AB52)</f>
        <v>3</v>
      </c>
      <c r="E52" s="417"/>
      <c r="F52" s="433">
        <f ca="1">SUM(Q52:AB52)</f>
        <v>3</v>
      </c>
      <c r="G52" s="417"/>
      <c r="H52" s="472">
        <f>COUNTIFS('Combined Employee Worksheet'!$I:$I,"&gt;="&amp;'Adj. Employee Retention'!H$5,'Combined Employee Worksheet'!$I:$I,"&lt;="&amp;'Adj. Employee Retention'!H$1,'Combined Employee Worksheet'!$D:$D,'Adj. Employee Retention'!$B48)-COUNTIFS('Combined Employee Worksheet'!$I:$I,"&gt;="&amp;'Adj. Employee Retention'!H$5,'Combined Employee Worksheet'!$I:$I,"&lt;="&amp;'Adj. Employee Retention'!H$1,'Combined Employee Worksheet'!$D:$D,'Adj. Employee Retention'!$B48,'Combined Employee Worksheet'!$K:$K,"&lt;="&amp;$C$138,'Combined Employee Worksheet'!$J:$J,"&lt;&gt;")</f>
        <v>0</v>
      </c>
      <c r="I52" s="472">
        <f ca="1">COUNTIFS('Combined Employee Worksheet'!$I:$I,"&gt;="&amp;'Adj. Employee Retention'!I$5,'Combined Employee Worksheet'!$I:$I,"&lt;="&amp;'Adj. Employee Retention'!I$1,'Combined Employee Worksheet'!$D:$D,'Adj. Employee Retention'!$B48)-COUNTIFS('Combined Employee Worksheet'!$I:$I,"&gt;="&amp;'Adj. Employee Retention'!I$5,'Combined Employee Worksheet'!$I:$I,"&lt;="&amp;'Adj. Employee Retention'!I$1,'Combined Employee Worksheet'!$D:$D,'Adj. Employee Retention'!$B48,'Combined Employee Worksheet'!$K:$K,"&lt;="&amp;$C$138,'Combined Employee Worksheet'!$J:$J,"&lt;&gt;")</f>
        <v>0</v>
      </c>
      <c r="J52" s="472">
        <f ca="1">COUNTIFS('Combined Employee Worksheet'!$I:$I,"&gt;="&amp;'Adj. Employee Retention'!J$5,'Combined Employee Worksheet'!$I:$I,"&lt;="&amp;'Adj. Employee Retention'!J$1,'Combined Employee Worksheet'!$D:$D,'Adj. Employee Retention'!$B48)-COUNTIFS('Combined Employee Worksheet'!$I:$I,"&gt;="&amp;'Adj. Employee Retention'!J$5,'Combined Employee Worksheet'!$I:$I,"&lt;="&amp;'Adj. Employee Retention'!J$1,'Combined Employee Worksheet'!$D:$D,'Adj. Employee Retention'!$B48,'Combined Employee Worksheet'!$K:$K,"&lt;="&amp;$C$138,'Combined Employee Worksheet'!$J:$J,"&lt;&gt;")</f>
        <v>1</v>
      </c>
      <c r="K52" s="472">
        <f>COUNTIFS('Combined Employee Worksheet'!$I:$I,"&gt;="&amp;'Adj. Employee Retention'!K$5,'Combined Employee Worksheet'!$I:$I,"&lt;="&amp;'Adj. Employee Retention'!K$1,'Combined Employee Worksheet'!$D:$D,'Adj. Employee Retention'!$B48)-COUNTIFS('Combined Employee Worksheet'!$I:$I,"&gt;="&amp;'Adj. Employee Retention'!K$5,'Combined Employee Worksheet'!$I:$I,"&lt;="&amp;'Adj. Employee Retention'!K$1,'Combined Employee Worksheet'!$D:$D,'Adj. Employee Retention'!$B48,'Combined Employee Worksheet'!$K:$K,"&lt;="&amp;$C$138,'Combined Employee Worksheet'!$J:$J,"&lt;&gt;")</f>
        <v>0</v>
      </c>
      <c r="L52" s="472">
        <f>COUNTIFS('Combined Employee Worksheet'!$I:$I,"&gt;="&amp;'Adj. Employee Retention'!L$5,'Combined Employee Worksheet'!$I:$I,"&lt;="&amp;'Adj. Employee Retention'!L$1,'Combined Employee Worksheet'!$D:$D,'Adj. Employee Retention'!$B48)-COUNTIFS('Combined Employee Worksheet'!$I:$I,"&gt;="&amp;'Adj. Employee Retention'!L$5,'Combined Employee Worksheet'!$I:$I,"&lt;="&amp;'Adj. Employee Retention'!L$1,'Combined Employee Worksheet'!$D:$D,'Adj. Employee Retention'!$B48,'Combined Employee Worksheet'!$K:$K,"&lt;="&amp;$C$138,'Combined Employee Worksheet'!$J:$J,"&lt;&gt;")</f>
        <v>0</v>
      </c>
      <c r="M52" s="472">
        <f>COUNTIFS('Combined Employee Worksheet'!$I:$I,"&gt;="&amp;'Adj. Employee Retention'!M$5,'Combined Employee Worksheet'!$I:$I,"&lt;="&amp;'Adj. Employee Retention'!M$1,'Combined Employee Worksheet'!$D:$D,'Adj. Employee Retention'!$B48)-COUNTIFS('Combined Employee Worksheet'!$I:$I,"&gt;="&amp;'Adj. Employee Retention'!M$5,'Combined Employee Worksheet'!$I:$I,"&lt;="&amp;'Adj. Employee Retention'!M$1,'Combined Employee Worksheet'!$D:$D,'Adj. Employee Retention'!$B48,'Combined Employee Worksheet'!$K:$K,"&lt;="&amp;$C$138,'Combined Employee Worksheet'!$J:$J,"&lt;&gt;")</f>
        <v>0</v>
      </c>
      <c r="N52" s="472">
        <f>COUNTIFS('Combined Employee Worksheet'!$I:$I,"&gt;="&amp;'Adj. Employee Retention'!N$5,'Combined Employee Worksheet'!$I:$I,"&lt;="&amp;'Adj. Employee Retention'!N$1,'Combined Employee Worksheet'!$D:$D,'Adj. Employee Retention'!$B48)-COUNTIFS('Combined Employee Worksheet'!$I:$I,"&gt;="&amp;'Adj. Employee Retention'!N$5,'Combined Employee Worksheet'!$I:$I,"&lt;="&amp;'Adj. Employee Retention'!N$1,'Combined Employee Worksheet'!$D:$D,'Adj. Employee Retention'!$B48,'Combined Employee Worksheet'!$K:$K,"&lt;="&amp;$C$138,'Combined Employee Worksheet'!$J:$J,"&lt;&gt;")</f>
        <v>0</v>
      </c>
      <c r="O52" s="472">
        <f>COUNTIFS('Combined Employee Worksheet'!$I:$I,"&gt;="&amp;'Adj. Employee Retention'!O$5,'Combined Employee Worksheet'!$I:$I,"&lt;="&amp;'Adj. Employee Retention'!O$1,'Combined Employee Worksheet'!$D:$D,'Adj. Employee Retention'!$B48)-COUNTIFS('Combined Employee Worksheet'!$I:$I,"&gt;="&amp;'Adj. Employee Retention'!O$5,'Combined Employee Worksheet'!$I:$I,"&lt;="&amp;'Adj. Employee Retention'!O$1,'Combined Employee Worksheet'!$D:$D,'Adj. Employee Retention'!$B48,'Combined Employee Worksheet'!$K:$K,"&lt;="&amp;$C$138,'Combined Employee Worksheet'!$J:$J,"&lt;&gt;")</f>
        <v>0</v>
      </c>
      <c r="P52" s="472">
        <f ca="1">COUNTIFS('Combined Employee Worksheet'!$I:$I,"&gt;="&amp;'Adj. Employee Retention'!P$5,'Combined Employee Worksheet'!$I:$I,"&lt;="&amp;'Adj. Employee Retention'!P$1,'Combined Employee Worksheet'!$D:$D,'Adj. Employee Retention'!$B48)-COUNTIFS('Combined Employee Worksheet'!$I:$I,"&gt;="&amp;'Adj. Employee Retention'!P$5,'Combined Employee Worksheet'!$I:$I,"&lt;="&amp;'Adj. Employee Retention'!P$1,'Combined Employee Worksheet'!$D:$D,'Adj. Employee Retention'!$B48,'Combined Employee Worksheet'!$K:$K,"&lt;="&amp;$C$138,'Combined Employee Worksheet'!$J:$J,"&lt;&gt;")</f>
        <v>1</v>
      </c>
      <c r="Q52" s="472">
        <f>COUNTIFS('Combined Employee Worksheet'!$I:$I,"&gt;="&amp;'Adj. Employee Retention'!Q$5,'Combined Employee Worksheet'!$I:$I,"&lt;="&amp;'Adj. Employee Retention'!Q$1,'Combined Employee Worksheet'!$D:$D,'Adj. Employee Retention'!$B48)-COUNTIFS('Combined Employee Worksheet'!$I:$I,"&gt;="&amp;'Adj. Employee Retention'!Q$5,'Combined Employee Worksheet'!$I:$I,"&lt;="&amp;'Adj. Employee Retention'!Q$1,'Combined Employee Worksheet'!$D:$D,'Adj. Employee Retention'!$B48,'Combined Employee Worksheet'!$K:$K,"&lt;="&amp;$C$138,'Combined Employee Worksheet'!$J:$J,"&lt;&gt;")</f>
        <v>0</v>
      </c>
      <c r="R52" s="472">
        <f>COUNTIFS('Combined Employee Worksheet'!$I:$I,"&gt;="&amp;'Adj. Employee Retention'!R$5,'Combined Employee Worksheet'!$I:$I,"&lt;="&amp;'Adj. Employee Retention'!R$1,'Combined Employee Worksheet'!$D:$D,'Adj. Employee Retention'!$B48)-COUNTIFS('Combined Employee Worksheet'!$I:$I,"&gt;="&amp;'Adj. Employee Retention'!R$5,'Combined Employee Worksheet'!$I:$I,"&lt;="&amp;'Adj. Employee Retention'!R$1,'Combined Employee Worksheet'!$D:$D,'Adj. Employee Retention'!$B48,'Combined Employee Worksheet'!$K:$K,"&lt;="&amp;$C$138,'Combined Employee Worksheet'!$J:$J,"&lt;&gt;")</f>
        <v>0</v>
      </c>
      <c r="S52" s="472">
        <f>COUNTIFS('Combined Employee Worksheet'!$I:$I,"&gt;="&amp;'Adj. Employee Retention'!S$5,'Combined Employee Worksheet'!$I:$I,"&lt;="&amp;'Adj. Employee Retention'!S$1,'Combined Employee Worksheet'!$D:$D,'Adj. Employee Retention'!$B48)-COUNTIFS('Combined Employee Worksheet'!$I:$I,"&gt;="&amp;'Adj. Employee Retention'!S$5,'Combined Employee Worksheet'!$I:$I,"&lt;="&amp;'Adj. Employee Retention'!S$1,'Combined Employee Worksheet'!$D:$D,'Adj. Employee Retention'!$B48,'Combined Employee Worksheet'!$K:$K,"&lt;="&amp;$C$138,'Combined Employee Worksheet'!$J:$J,"&lt;&gt;")</f>
        <v>0</v>
      </c>
      <c r="T52" s="472">
        <f>COUNTIFS('Combined Employee Worksheet'!$I:$I,"&gt;="&amp;'Adj. Employee Retention'!T$5,'Combined Employee Worksheet'!$I:$I,"&lt;="&amp;'Adj. Employee Retention'!T$1,'Combined Employee Worksheet'!$D:$D,'Adj. Employee Retention'!$B48)-COUNTIFS('Combined Employee Worksheet'!$I:$I,"&gt;="&amp;'Adj. Employee Retention'!T$5,'Combined Employee Worksheet'!$I:$I,"&lt;="&amp;'Adj. Employee Retention'!T$1,'Combined Employee Worksheet'!$D:$D,'Adj. Employee Retention'!$B48,'Combined Employee Worksheet'!$K:$K,"&lt;="&amp;$C$138,'Combined Employee Worksheet'!$J:$J,"&lt;&gt;")</f>
        <v>0</v>
      </c>
      <c r="U52" s="472">
        <f ca="1">COUNTIFS('Combined Employee Worksheet'!$I:$I,"&gt;="&amp;'Adj. Employee Retention'!U$5,'Combined Employee Worksheet'!$I:$I,"&lt;="&amp;'Adj. Employee Retention'!U$1,'Combined Employee Worksheet'!$D:$D,'Adj. Employee Retention'!$B48)-COUNTIFS('Combined Employee Worksheet'!$I:$I,"&gt;="&amp;'Adj. Employee Retention'!U$5,'Combined Employee Worksheet'!$I:$I,"&lt;="&amp;'Adj. Employee Retention'!U$1,'Combined Employee Worksheet'!$D:$D,'Adj. Employee Retention'!$B48,'Combined Employee Worksheet'!$K:$K,"&lt;="&amp;$C$138,'Combined Employee Worksheet'!$J:$J,"&lt;&gt;")</f>
        <v>2</v>
      </c>
      <c r="V52" s="472">
        <f>COUNTIFS('Combined Employee Worksheet'!$I:$I,"&gt;="&amp;'Adj. Employee Retention'!V$5,'Combined Employee Worksheet'!$I:$I,"&lt;="&amp;'Adj. Employee Retention'!V$1,'Combined Employee Worksheet'!$D:$D,'Adj. Employee Retention'!$B48)-COUNTIFS('Combined Employee Worksheet'!$I:$I,"&gt;="&amp;'Adj. Employee Retention'!V$5,'Combined Employee Worksheet'!$I:$I,"&lt;="&amp;'Adj. Employee Retention'!V$1,'Combined Employee Worksheet'!$D:$D,'Adj. Employee Retention'!$B48,'Combined Employee Worksheet'!$K:$K,"&lt;="&amp;$C$138,'Combined Employee Worksheet'!$J:$J,"&lt;&gt;")</f>
        <v>0</v>
      </c>
      <c r="W52" s="472">
        <f>COUNTIFS('Combined Employee Worksheet'!$I:$I,"&gt;="&amp;'Adj. Employee Retention'!W$5,'Combined Employee Worksheet'!$I:$I,"&lt;="&amp;'Adj. Employee Retention'!W$1,'Combined Employee Worksheet'!$D:$D,'Adj. Employee Retention'!$B48)-COUNTIFS('Combined Employee Worksheet'!$I:$I,"&gt;="&amp;'Adj. Employee Retention'!W$5,'Combined Employee Worksheet'!$I:$I,"&lt;="&amp;'Adj. Employee Retention'!W$1,'Combined Employee Worksheet'!$D:$D,'Adj. Employee Retention'!$B48,'Combined Employee Worksheet'!$K:$K,"&lt;="&amp;$C$138,'Combined Employee Worksheet'!$J:$J,"&lt;&gt;")</f>
        <v>0</v>
      </c>
      <c r="X52" s="472">
        <f>COUNTIFS('Combined Employee Worksheet'!$I:$I,"&gt;="&amp;'Adj. Employee Retention'!X$5,'Combined Employee Worksheet'!$I:$I,"&lt;="&amp;'Adj. Employee Retention'!X$1,'Combined Employee Worksheet'!$D:$D,'Adj. Employee Retention'!$B48)-COUNTIFS('Combined Employee Worksheet'!$I:$I,"&gt;="&amp;'Adj. Employee Retention'!X$5,'Combined Employee Worksheet'!$I:$I,"&lt;="&amp;'Adj. Employee Retention'!X$1,'Combined Employee Worksheet'!$D:$D,'Adj. Employee Retention'!$B48,'Combined Employee Worksheet'!$K:$K,"&lt;="&amp;$C$138,'Combined Employee Worksheet'!$J:$J,"&lt;&gt;")</f>
        <v>0</v>
      </c>
      <c r="Y52" s="472">
        <f>COUNTIFS('Combined Employee Worksheet'!$I:$I,"&gt;="&amp;'Adj. Employee Retention'!Y$5,'Combined Employee Worksheet'!$I:$I,"&lt;="&amp;'Adj. Employee Retention'!Y$1,'Combined Employee Worksheet'!$D:$D,'Adj. Employee Retention'!$B48)-COUNTIFS('Combined Employee Worksheet'!$I:$I,"&gt;="&amp;'Adj. Employee Retention'!Y$5,'Combined Employee Worksheet'!$I:$I,"&lt;="&amp;'Adj. Employee Retention'!Y$1,'Combined Employee Worksheet'!$D:$D,'Adj. Employee Retention'!$B48,'Combined Employee Worksheet'!$K:$K,"&lt;="&amp;$C$138,'Combined Employee Worksheet'!$J:$J,"&lt;&gt;")</f>
        <v>0</v>
      </c>
      <c r="Z52" s="472">
        <f>COUNTIFS('Combined Employee Worksheet'!$I:$I,"&gt;="&amp;'Adj. Employee Retention'!Z$5,'Combined Employee Worksheet'!$I:$I,"&lt;="&amp;'Adj. Employee Retention'!Z$1,'Combined Employee Worksheet'!$D:$D,'Adj. Employee Retention'!$B48)-COUNTIFS('Combined Employee Worksheet'!$I:$I,"&gt;="&amp;'Adj. Employee Retention'!Z$5,'Combined Employee Worksheet'!$I:$I,"&lt;="&amp;'Adj. Employee Retention'!Z$1,'Combined Employee Worksheet'!$D:$D,'Adj. Employee Retention'!$B48,'Combined Employee Worksheet'!$K:$K,"&lt;="&amp;$C$138,'Combined Employee Worksheet'!$J:$J,"&lt;&gt;")</f>
        <v>0</v>
      </c>
      <c r="AA52" s="472">
        <f ca="1">COUNTIFS('Combined Employee Worksheet'!$I:$I,"&gt;="&amp;'Adj. Employee Retention'!AA$5,'Combined Employee Worksheet'!$I:$I,"&lt;="&amp;'Adj. Employee Retention'!AA$1,'Combined Employee Worksheet'!$D:$D,'Adj. Employee Retention'!$B48)-COUNTIFS('Combined Employee Worksheet'!$I:$I,"&gt;="&amp;'Adj. Employee Retention'!AA$5,'Combined Employee Worksheet'!$I:$I,"&lt;="&amp;'Adj. Employee Retention'!AA$1,'Combined Employee Worksheet'!$D:$D,'Adj. Employee Retention'!$B48,'Combined Employee Worksheet'!$K:$K,"&lt;="&amp;$C$138,'Combined Employee Worksheet'!$J:$J,"&lt;&gt;")</f>
        <v>1</v>
      </c>
      <c r="AB52" s="472">
        <f>COUNTIFS('Combined Employee Worksheet'!$I:$I,"&gt;="&amp;'Adj. Employee Retention'!AB$5,'Combined Employee Worksheet'!$I:$I,"&lt;="&amp;'Adj. Employee Retention'!AB$1,'Combined Employee Worksheet'!$D:$D,'Adj. Employee Retention'!$B48)-COUNTIFS('Combined Employee Worksheet'!$I:$I,"&gt;="&amp;'Adj. Employee Retention'!AB$5,'Combined Employee Worksheet'!$I:$I,"&lt;="&amp;'Adj. Employee Retention'!AB$1,'Combined Employee Worksheet'!$D:$D,'Adj. Employee Retention'!$B48,'Combined Employee Worksheet'!$K:$K,"&lt;="&amp;$C$138,'Combined Employee Worksheet'!$J:$J,"&lt;&gt;")</f>
        <v>0</v>
      </c>
      <c r="AC52" s="417"/>
      <c r="AD52" s="417"/>
      <c r="AE52" s="417"/>
    </row>
    <row r="53" spans="1:31" ht="12" customHeight="1">
      <c r="A53" s="417"/>
      <c r="B53" s="471" t="s">
        <v>1815</v>
      </c>
      <c r="C53" s="433">
        <f ca="1">SUM(H53:S53)</f>
        <v>-1</v>
      </c>
      <c r="D53" s="433">
        <f ca="1">SUM(T53:AB53)</f>
        <v>-1</v>
      </c>
      <c r="E53" s="417"/>
      <c r="F53" s="433">
        <f ca="1">SUM(Q53:AB53)</f>
        <v>-2</v>
      </c>
      <c r="G53" s="417"/>
      <c r="H53" s="472">
        <f>-COUNTIFS('Combined Employee Worksheet'!$J:$J,"&gt;="&amp;'Adj. Employee Retention'!H$5,'Combined Employee Worksheet'!$J:$J,"&lt;="&amp;'Adj. Employee Retention'!H$1,'Combined Employee Worksheet'!$D:$D,'Adj. Employee Retention'!$B48,'Combined Employee Worksheet'!$K:$K,"&gt;"&amp;$C$138)</f>
        <v>0</v>
      </c>
      <c r="I53" s="472">
        <f>-COUNTIFS('Combined Employee Worksheet'!$J:$J,"&gt;="&amp;'Adj. Employee Retention'!I$5,'Combined Employee Worksheet'!$J:$J,"&lt;="&amp;'Adj. Employee Retention'!I$1,'Combined Employee Worksheet'!$D:$D,'Adj. Employee Retention'!$B48,'Combined Employee Worksheet'!$K:$K,"&gt;"&amp;$C$138)</f>
        <v>0</v>
      </c>
      <c r="J53" s="472">
        <f ca="1">-COUNTIFS('Combined Employee Worksheet'!$J:$J,"&gt;="&amp;'Adj. Employee Retention'!J$5,'Combined Employee Worksheet'!$J:$J,"&lt;="&amp;'Adj. Employee Retention'!J$1,'Combined Employee Worksheet'!$D:$D,'Adj. Employee Retention'!$B48,'Combined Employee Worksheet'!$K:$K,"&gt;"&amp;$C$138)</f>
        <v>0</v>
      </c>
      <c r="K53" s="472">
        <f>-COUNTIFS('Combined Employee Worksheet'!$J:$J,"&gt;="&amp;'Adj. Employee Retention'!K$5,'Combined Employee Worksheet'!$J:$J,"&lt;="&amp;'Adj. Employee Retention'!K$1,'Combined Employee Worksheet'!$D:$D,'Adj. Employee Retention'!$B48,'Combined Employee Worksheet'!$K:$K,"&gt;"&amp;$C$138)</f>
        <v>0</v>
      </c>
      <c r="L53" s="472">
        <f>-COUNTIFS('Combined Employee Worksheet'!$J:$J,"&gt;="&amp;'Adj. Employee Retention'!L$5,'Combined Employee Worksheet'!$J:$J,"&lt;="&amp;'Adj. Employee Retention'!L$1,'Combined Employee Worksheet'!$D:$D,'Adj. Employee Retention'!$B48,'Combined Employee Worksheet'!$K:$K,"&gt;"&amp;$C$138)</f>
        <v>0</v>
      </c>
      <c r="M53" s="472">
        <f>-COUNTIFS('Combined Employee Worksheet'!$J:$J,"&gt;="&amp;'Adj. Employee Retention'!M$5,'Combined Employee Worksheet'!$J:$J,"&lt;="&amp;'Adj. Employee Retention'!M$1,'Combined Employee Worksheet'!$D:$D,'Adj. Employee Retention'!$B48,'Combined Employee Worksheet'!$K:$K,"&gt;"&amp;$C$138)</f>
        <v>0</v>
      </c>
      <c r="N53" s="472">
        <f>-COUNTIFS('Combined Employee Worksheet'!$J:$J,"&gt;="&amp;'Adj. Employee Retention'!N$5,'Combined Employee Worksheet'!$J:$J,"&lt;="&amp;'Adj. Employee Retention'!N$1,'Combined Employee Worksheet'!$D:$D,'Adj. Employee Retention'!$B48,'Combined Employee Worksheet'!$K:$K,"&gt;"&amp;$C$138)</f>
        <v>0</v>
      </c>
      <c r="O53" s="472">
        <f>-COUNTIFS('Combined Employee Worksheet'!$J:$J,"&gt;="&amp;'Adj. Employee Retention'!O$5,'Combined Employee Worksheet'!$J:$J,"&lt;="&amp;'Adj. Employee Retention'!O$1,'Combined Employee Worksheet'!$D:$D,'Adj. Employee Retention'!$B48,'Combined Employee Worksheet'!$K:$K,"&gt;"&amp;$C$138)</f>
        <v>0</v>
      </c>
      <c r="P53" s="472">
        <f>-COUNTIFS('Combined Employee Worksheet'!$J:$J,"&gt;="&amp;'Adj. Employee Retention'!P$5,'Combined Employee Worksheet'!$J:$J,"&lt;="&amp;'Adj. Employee Retention'!P$1,'Combined Employee Worksheet'!$D:$D,'Adj. Employee Retention'!$B48,'Combined Employee Worksheet'!$K:$K,"&gt;"&amp;$C$138)</f>
        <v>0</v>
      </c>
      <c r="Q53" s="472">
        <f>-COUNTIFS('Combined Employee Worksheet'!$J:$J,"&gt;="&amp;'Adj. Employee Retention'!Q$5,'Combined Employee Worksheet'!$J:$J,"&lt;="&amp;'Adj. Employee Retention'!Q$1,'Combined Employee Worksheet'!$D:$D,'Adj. Employee Retention'!$B48,'Combined Employee Worksheet'!$K:$K,"&gt;"&amp;$C$138)</f>
        <v>0</v>
      </c>
      <c r="R53" s="472">
        <f>-COUNTIFS('Combined Employee Worksheet'!$J:$J,"&gt;="&amp;'Adj. Employee Retention'!R$5,'Combined Employee Worksheet'!$J:$J,"&lt;="&amp;'Adj. Employee Retention'!R$1,'Combined Employee Worksheet'!$D:$D,'Adj. Employee Retention'!$B48,'Combined Employee Worksheet'!$K:$K,"&gt;"&amp;$C$138)</f>
        <v>0</v>
      </c>
      <c r="S53" s="472">
        <f ca="1">-COUNTIFS('Combined Employee Worksheet'!$J:$J,"&gt;="&amp;'Adj. Employee Retention'!S$5,'Combined Employee Worksheet'!$J:$J,"&lt;="&amp;'Adj. Employee Retention'!S$1,'Combined Employee Worksheet'!$D:$D,'Adj. Employee Retention'!$B48,'Combined Employee Worksheet'!$K:$K,"&gt;"&amp;$C$138)</f>
        <v>-1</v>
      </c>
      <c r="T53" s="472">
        <f>-COUNTIFS('Combined Employee Worksheet'!$J:$J,"&gt;="&amp;'Adj. Employee Retention'!T$5,'Combined Employee Worksheet'!$J:$J,"&lt;="&amp;'Adj. Employee Retention'!T$1,'Combined Employee Worksheet'!$D:$D,'Adj. Employee Retention'!$B48,'Combined Employee Worksheet'!$K:$K,"&gt;"&amp;$C$138)</f>
        <v>0</v>
      </c>
      <c r="U53" s="472">
        <f>-COUNTIFS('Combined Employee Worksheet'!$J:$J,"&gt;="&amp;'Adj. Employee Retention'!U$5,'Combined Employee Worksheet'!$J:$J,"&lt;="&amp;'Adj. Employee Retention'!U$1,'Combined Employee Worksheet'!$D:$D,'Adj. Employee Retention'!$B48,'Combined Employee Worksheet'!$K:$K,"&gt;"&amp;$C$138)</f>
        <v>0</v>
      </c>
      <c r="V53" s="472">
        <f>-COUNTIFS('Combined Employee Worksheet'!$J:$J,"&gt;="&amp;'Adj. Employee Retention'!V$5,'Combined Employee Worksheet'!$J:$J,"&lt;="&amp;'Adj. Employee Retention'!V$1,'Combined Employee Worksheet'!$D:$D,'Adj. Employee Retention'!$B48,'Combined Employee Worksheet'!$K:$K,"&gt;"&amp;$C$138)</f>
        <v>0</v>
      </c>
      <c r="W53" s="472">
        <f>-COUNTIFS('Combined Employee Worksheet'!$J:$J,"&gt;="&amp;'Adj. Employee Retention'!W$5,'Combined Employee Worksheet'!$J:$J,"&lt;="&amp;'Adj. Employee Retention'!W$1,'Combined Employee Worksheet'!$D:$D,'Adj. Employee Retention'!$B48,'Combined Employee Worksheet'!$K:$K,"&gt;"&amp;$C$138)</f>
        <v>0</v>
      </c>
      <c r="X53" s="472">
        <f>-COUNTIFS('Combined Employee Worksheet'!$J:$J,"&gt;="&amp;'Adj. Employee Retention'!X$5,'Combined Employee Worksheet'!$J:$J,"&lt;="&amp;'Adj. Employee Retention'!X$1,'Combined Employee Worksheet'!$D:$D,'Adj. Employee Retention'!$B48,'Combined Employee Worksheet'!$K:$K,"&gt;"&amp;$C$138)</f>
        <v>0</v>
      </c>
      <c r="Y53" s="472">
        <f>-COUNTIFS('Combined Employee Worksheet'!$J:$J,"&gt;="&amp;'Adj. Employee Retention'!Y$5,'Combined Employee Worksheet'!$J:$J,"&lt;="&amp;'Adj. Employee Retention'!Y$1,'Combined Employee Worksheet'!$D:$D,'Adj. Employee Retention'!$B48,'Combined Employee Worksheet'!$K:$K,"&gt;"&amp;$C$138)</f>
        <v>0</v>
      </c>
      <c r="Z53" s="472">
        <f>-COUNTIFS('Combined Employee Worksheet'!$J:$J,"&gt;="&amp;'Adj. Employee Retention'!Z$5,'Combined Employee Worksheet'!$J:$J,"&lt;="&amp;'Adj. Employee Retention'!Z$1,'Combined Employee Worksheet'!$D:$D,'Adj. Employee Retention'!$B48,'Combined Employee Worksheet'!$K:$K,"&gt;"&amp;$C$138)</f>
        <v>0</v>
      </c>
      <c r="AA53" s="472">
        <f ca="1">-COUNTIFS('Combined Employee Worksheet'!$J:$J,"&gt;="&amp;'Adj. Employee Retention'!AA$5,'Combined Employee Worksheet'!$J:$J,"&lt;="&amp;'Adj. Employee Retention'!AA$1,'Combined Employee Worksheet'!$D:$D,'Adj. Employee Retention'!$B48,'Combined Employee Worksheet'!$K:$K,"&gt;"&amp;$C$138)</f>
        <v>-1</v>
      </c>
      <c r="AB53" s="472">
        <f>-COUNTIFS('Combined Employee Worksheet'!$J:$J,"&gt;="&amp;'Adj. Employee Retention'!AB$5,'Combined Employee Worksheet'!$J:$J,"&lt;="&amp;'Adj. Employee Retention'!AB$1,'Combined Employee Worksheet'!$D:$D,'Adj. Employee Retention'!$B48,'Combined Employee Worksheet'!$K:$K,"&gt;"&amp;$C$138)</f>
        <v>0</v>
      </c>
      <c r="AC53" s="417"/>
      <c r="AD53" s="417"/>
      <c r="AE53" s="417"/>
    </row>
    <row r="54" spans="1:31" ht="12" customHeight="1">
      <c r="A54" s="417"/>
      <c r="B54" s="474" t="s">
        <v>1315</v>
      </c>
      <c r="C54" s="475">
        <f ca="1">+D51</f>
        <v>2</v>
      </c>
      <c r="D54" s="476">
        <f>+$AB54</f>
        <v>4</v>
      </c>
      <c r="E54" s="417"/>
      <c r="F54" s="477">
        <f>+$AB54</f>
        <v>4</v>
      </c>
      <c r="G54" s="417"/>
      <c r="H54" s="478">
        <f t="shared" ref="H54:AA54" ca="1" si="31">+I51</f>
        <v>1</v>
      </c>
      <c r="I54" s="475">
        <f t="shared" ca="1" si="31"/>
        <v>1</v>
      </c>
      <c r="J54" s="475">
        <f t="shared" ca="1" si="31"/>
        <v>2</v>
      </c>
      <c r="K54" s="475">
        <f t="shared" ca="1" si="31"/>
        <v>2</v>
      </c>
      <c r="L54" s="475">
        <f t="shared" ca="1" si="31"/>
        <v>2</v>
      </c>
      <c r="M54" s="475">
        <f t="shared" ca="1" si="31"/>
        <v>2</v>
      </c>
      <c r="N54" s="475">
        <f t="shared" ca="1" si="31"/>
        <v>2</v>
      </c>
      <c r="O54" s="475">
        <f t="shared" ca="1" si="31"/>
        <v>2</v>
      </c>
      <c r="P54" s="475">
        <f t="shared" ca="1" si="31"/>
        <v>3</v>
      </c>
      <c r="Q54" s="478">
        <f t="shared" ca="1" si="31"/>
        <v>3</v>
      </c>
      <c r="R54" s="475">
        <f t="shared" ca="1" si="31"/>
        <v>3</v>
      </c>
      <c r="S54" s="475">
        <f t="shared" ca="1" si="31"/>
        <v>2</v>
      </c>
      <c r="T54" s="475">
        <f t="shared" ca="1" si="31"/>
        <v>2</v>
      </c>
      <c r="U54" s="475">
        <f t="shared" ca="1" si="31"/>
        <v>4</v>
      </c>
      <c r="V54" s="475">
        <f t="shared" ca="1" si="31"/>
        <v>4</v>
      </c>
      <c r="W54" s="475">
        <f t="shared" ca="1" si="31"/>
        <v>4</v>
      </c>
      <c r="X54" s="475">
        <f t="shared" ca="1" si="31"/>
        <v>4</v>
      </c>
      <c r="Y54" s="475">
        <f t="shared" ca="1" si="31"/>
        <v>4</v>
      </c>
      <c r="Z54" s="475">
        <f t="shared" ca="1" si="31"/>
        <v>4</v>
      </c>
      <c r="AA54" s="475">
        <f t="shared" si="31"/>
        <v>4</v>
      </c>
      <c r="AB54" s="479">
        <f>COUNTIFS('Combined Employee Worksheet'!$H:$H,"Active",'Combined Employee Worksheet'!$D:$D,'Adj. Employee Retention'!B48)</f>
        <v>4</v>
      </c>
      <c r="AC54" s="417"/>
      <c r="AD54" s="417"/>
      <c r="AE54" s="417"/>
    </row>
    <row r="55" spans="1:31" ht="3.95" customHeight="1">
      <c r="A55" s="417"/>
      <c r="B55" s="480"/>
      <c r="C55" s="481"/>
      <c r="D55" s="481"/>
      <c r="E55" s="417"/>
      <c r="F55" s="481"/>
      <c r="G55" s="417"/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  <c r="AA55" s="481"/>
      <c r="AB55" s="501"/>
      <c r="AC55" s="417"/>
      <c r="AD55" s="417"/>
      <c r="AE55" s="417"/>
    </row>
    <row r="56" spans="1:31" ht="12" customHeight="1">
      <c r="A56" s="417"/>
      <c r="B56" s="487" t="s">
        <v>1817</v>
      </c>
      <c r="C56" s="502">
        <f ca="1">AVERAGE(C51,C54)</f>
        <v>1.5</v>
      </c>
      <c r="D56" s="503">
        <f ca="1">AVERAGE(D51,D54)</f>
        <v>3</v>
      </c>
      <c r="E56" s="417"/>
      <c r="F56" s="504">
        <f ca="1">AVERAGE(F51,F54)</f>
        <v>3.5</v>
      </c>
      <c r="G56" s="417"/>
      <c r="H56" s="505">
        <f t="shared" ref="H56:AB56" ca="1" si="32">AVERAGE(H51,H54)</f>
        <v>1</v>
      </c>
      <c r="I56" s="502">
        <f t="shared" ca="1" si="32"/>
        <v>1</v>
      </c>
      <c r="J56" s="502">
        <f t="shared" ca="1" si="32"/>
        <v>1.5</v>
      </c>
      <c r="K56" s="502">
        <f t="shared" ca="1" si="32"/>
        <v>2</v>
      </c>
      <c r="L56" s="502">
        <f t="shared" ca="1" si="32"/>
        <v>2</v>
      </c>
      <c r="M56" s="502">
        <f t="shared" ca="1" si="32"/>
        <v>2</v>
      </c>
      <c r="N56" s="502">
        <f t="shared" ca="1" si="32"/>
        <v>2</v>
      </c>
      <c r="O56" s="502">
        <f t="shared" ca="1" si="32"/>
        <v>2</v>
      </c>
      <c r="P56" s="502">
        <f t="shared" ca="1" si="32"/>
        <v>2.5</v>
      </c>
      <c r="Q56" s="505">
        <f t="shared" ca="1" si="32"/>
        <v>3</v>
      </c>
      <c r="R56" s="502">
        <f t="shared" ca="1" si="32"/>
        <v>3</v>
      </c>
      <c r="S56" s="502">
        <f t="shared" ca="1" si="32"/>
        <v>2.5</v>
      </c>
      <c r="T56" s="502">
        <f t="shared" ca="1" si="32"/>
        <v>2</v>
      </c>
      <c r="U56" s="502">
        <f t="shared" ca="1" si="32"/>
        <v>3</v>
      </c>
      <c r="V56" s="502">
        <f t="shared" ca="1" si="32"/>
        <v>4</v>
      </c>
      <c r="W56" s="502">
        <f t="shared" ca="1" si="32"/>
        <v>4</v>
      </c>
      <c r="X56" s="502">
        <f t="shared" ca="1" si="32"/>
        <v>4</v>
      </c>
      <c r="Y56" s="502">
        <f t="shared" ca="1" si="32"/>
        <v>4</v>
      </c>
      <c r="Z56" s="502">
        <f t="shared" ca="1" si="32"/>
        <v>4</v>
      </c>
      <c r="AA56" s="502">
        <f t="shared" ca="1" si="32"/>
        <v>4</v>
      </c>
      <c r="AB56" s="503">
        <f t="shared" si="32"/>
        <v>4</v>
      </c>
      <c r="AC56" s="417"/>
      <c r="AD56" s="417"/>
      <c r="AE56" s="417"/>
    </row>
    <row r="57" spans="1:31" ht="12" customHeight="1">
      <c r="A57" s="417"/>
      <c r="B57" s="493" t="s">
        <v>1816</v>
      </c>
      <c r="C57" s="506">
        <f ca="1">C49/C56</f>
        <v>108.33333333333333</v>
      </c>
      <c r="D57" s="507">
        <f ca="1">D49/D56</f>
        <v>59.833333333333336</v>
      </c>
      <c r="E57" s="470"/>
      <c r="F57" s="508">
        <f ca="1">F49/F56</f>
        <v>50.857142857142854</v>
      </c>
      <c r="G57" s="470"/>
      <c r="H57" s="509">
        <f t="shared" ref="H57:AB57" ca="1" si="33">H49/H56</f>
        <v>146</v>
      </c>
      <c r="I57" s="506">
        <f t="shared" ca="1" si="33"/>
        <v>147.5</v>
      </c>
      <c r="J57" s="506">
        <f t="shared" ca="1" si="33"/>
        <v>100.66666666666667</v>
      </c>
      <c r="K57" s="506">
        <f t="shared" ca="1" si="33"/>
        <v>78.25</v>
      </c>
      <c r="L57" s="506">
        <f t="shared" ca="1" si="33"/>
        <v>81</v>
      </c>
      <c r="M57" s="506">
        <f t="shared" ca="1" si="33"/>
        <v>82.5</v>
      </c>
      <c r="N57" s="506">
        <f t="shared" ca="1" si="33"/>
        <v>83.5</v>
      </c>
      <c r="O57" s="506">
        <f t="shared" ca="1" si="33"/>
        <v>86</v>
      </c>
      <c r="P57" s="506">
        <f t="shared" ca="1" si="33"/>
        <v>70.400000000000006</v>
      </c>
      <c r="Q57" s="509">
        <f t="shared" ca="1" si="33"/>
        <v>59.833333333333336</v>
      </c>
      <c r="R57" s="506">
        <f t="shared" ca="1" si="33"/>
        <v>60.5</v>
      </c>
      <c r="S57" s="506">
        <f t="shared" ca="1" si="33"/>
        <v>72.2</v>
      </c>
      <c r="T57" s="506">
        <f t="shared" ca="1" si="33"/>
        <v>91.5</v>
      </c>
      <c r="U57" s="506">
        <f t="shared" ca="1" si="33"/>
        <v>63.166666666666664</v>
      </c>
      <c r="V57" s="506">
        <f t="shared" ca="1" si="33"/>
        <v>48.125</v>
      </c>
      <c r="W57" s="506">
        <f t="shared" ca="1" si="33"/>
        <v>48.75</v>
      </c>
      <c r="X57" s="506">
        <f t="shared" ca="1" si="33"/>
        <v>48.375</v>
      </c>
      <c r="Y57" s="506">
        <f t="shared" ca="1" si="33"/>
        <v>47.25</v>
      </c>
      <c r="Z57" s="506">
        <f t="shared" ca="1" si="33"/>
        <v>45.375</v>
      </c>
      <c r="AA57" s="506">
        <f t="shared" ca="1" si="33"/>
        <v>43.625</v>
      </c>
      <c r="AB57" s="507">
        <f t="shared" si="33"/>
        <v>44.25</v>
      </c>
      <c r="AC57" s="417"/>
      <c r="AD57" s="417"/>
      <c r="AE57" s="417"/>
    </row>
    <row r="58" spans="1:31" ht="3.95" customHeight="1">
      <c r="A58" s="417"/>
      <c r="B58" s="480"/>
      <c r="C58" s="481"/>
      <c r="D58" s="481"/>
      <c r="E58" s="417"/>
      <c r="F58" s="481"/>
      <c r="G58" s="417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2"/>
      <c r="AA58" s="482"/>
      <c r="AB58" s="482"/>
      <c r="AC58" s="417"/>
      <c r="AD58" s="417"/>
      <c r="AE58" s="417"/>
    </row>
    <row r="59" spans="1:31" ht="12" customHeight="1">
      <c r="A59" s="417"/>
      <c r="B59" s="487" t="s">
        <v>1813</v>
      </c>
      <c r="C59" s="488">
        <f ca="1">(C52+C51)/C51-1</f>
        <v>2</v>
      </c>
      <c r="D59" s="489">
        <f ca="1">(D52+D51)/D51-1</f>
        <v>1.5</v>
      </c>
      <c r="E59" s="490"/>
      <c r="F59" s="491">
        <f ca="1">(F52+F51)/F51-1</f>
        <v>1</v>
      </c>
      <c r="G59" s="417"/>
      <c r="H59" s="492">
        <f t="shared" ref="H59:AB59" ca="1" si="34">(H52+H51)/H51-1</f>
        <v>0</v>
      </c>
      <c r="I59" s="488">
        <f t="shared" ca="1" si="34"/>
        <v>0</v>
      </c>
      <c r="J59" s="488">
        <f t="shared" ca="1" si="34"/>
        <v>1</v>
      </c>
      <c r="K59" s="488">
        <f t="shared" ca="1" si="34"/>
        <v>0</v>
      </c>
      <c r="L59" s="488">
        <f t="shared" ca="1" si="34"/>
        <v>0</v>
      </c>
      <c r="M59" s="488">
        <f t="shared" ca="1" si="34"/>
        <v>0</v>
      </c>
      <c r="N59" s="488">
        <f t="shared" ca="1" si="34"/>
        <v>0</v>
      </c>
      <c r="O59" s="488">
        <f t="shared" ca="1" si="34"/>
        <v>0</v>
      </c>
      <c r="P59" s="488">
        <f t="shared" ca="1" si="34"/>
        <v>0.5</v>
      </c>
      <c r="Q59" s="492">
        <f t="shared" ca="1" si="34"/>
        <v>0</v>
      </c>
      <c r="R59" s="488">
        <f t="shared" ca="1" si="34"/>
        <v>0</v>
      </c>
      <c r="S59" s="488">
        <f t="shared" ca="1" si="34"/>
        <v>0</v>
      </c>
      <c r="T59" s="488">
        <f t="shared" ca="1" si="34"/>
        <v>0</v>
      </c>
      <c r="U59" s="488">
        <f t="shared" ca="1" si="34"/>
        <v>1</v>
      </c>
      <c r="V59" s="488">
        <f t="shared" ca="1" si="34"/>
        <v>0</v>
      </c>
      <c r="W59" s="488">
        <f t="shared" ca="1" si="34"/>
        <v>0</v>
      </c>
      <c r="X59" s="488">
        <f t="shared" ca="1" si="34"/>
        <v>0</v>
      </c>
      <c r="Y59" s="488">
        <f t="shared" ca="1" si="34"/>
        <v>0</v>
      </c>
      <c r="Z59" s="488">
        <f t="shared" ca="1" si="34"/>
        <v>0</v>
      </c>
      <c r="AA59" s="488">
        <f t="shared" ca="1" si="34"/>
        <v>0.25</v>
      </c>
      <c r="AB59" s="489">
        <f t="shared" si="34"/>
        <v>0</v>
      </c>
      <c r="AC59" s="417"/>
      <c r="AD59" s="417"/>
      <c r="AE59" s="417"/>
    </row>
    <row r="60" spans="1:31">
      <c r="A60" s="417"/>
      <c r="B60" s="493" t="s">
        <v>1812</v>
      </c>
      <c r="C60" s="494">
        <f ca="1">(C53+C56)/C56-1</f>
        <v>-0.66666666666666674</v>
      </c>
      <c r="D60" s="495">
        <f ca="1">(D53+D56)/D56-1</f>
        <v>-0.33333333333333337</v>
      </c>
      <c r="E60" s="490"/>
      <c r="F60" s="496">
        <f ca="1">(F53+F56)/F56-1</f>
        <v>-0.5714285714285714</v>
      </c>
      <c r="G60" s="417"/>
      <c r="H60" s="497">
        <f t="shared" ref="H60:AB60" ca="1" si="35">(H53+H56)/H56-1</f>
        <v>0</v>
      </c>
      <c r="I60" s="494">
        <f t="shared" ca="1" si="35"/>
        <v>0</v>
      </c>
      <c r="J60" s="494">
        <f t="shared" ca="1" si="35"/>
        <v>0</v>
      </c>
      <c r="K60" s="494">
        <f t="shared" ca="1" si="35"/>
        <v>0</v>
      </c>
      <c r="L60" s="494">
        <f t="shared" ca="1" si="35"/>
        <v>0</v>
      </c>
      <c r="M60" s="494">
        <f t="shared" ca="1" si="35"/>
        <v>0</v>
      </c>
      <c r="N60" s="494">
        <f t="shared" ca="1" si="35"/>
        <v>0</v>
      </c>
      <c r="O60" s="494">
        <f t="shared" ca="1" si="35"/>
        <v>0</v>
      </c>
      <c r="P60" s="494">
        <f t="shared" ca="1" si="35"/>
        <v>0</v>
      </c>
      <c r="Q60" s="497">
        <f t="shared" ca="1" si="35"/>
        <v>0</v>
      </c>
      <c r="R60" s="494">
        <f t="shared" ca="1" si="35"/>
        <v>0</v>
      </c>
      <c r="S60" s="494">
        <f t="shared" ca="1" si="35"/>
        <v>-0.4</v>
      </c>
      <c r="T60" s="494">
        <f t="shared" ca="1" si="35"/>
        <v>0</v>
      </c>
      <c r="U60" s="494">
        <f t="shared" ca="1" si="35"/>
        <v>0</v>
      </c>
      <c r="V60" s="494">
        <f t="shared" ca="1" si="35"/>
        <v>0</v>
      </c>
      <c r="W60" s="494">
        <f t="shared" ca="1" si="35"/>
        <v>0</v>
      </c>
      <c r="X60" s="494">
        <f t="shared" ca="1" si="35"/>
        <v>0</v>
      </c>
      <c r="Y60" s="494">
        <f t="shared" ca="1" si="35"/>
        <v>0</v>
      </c>
      <c r="Z60" s="494">
        <f t="shared" ca="1" si="35"/>
        <v>0</v>
      </c>
      <c r="AA60" s="494">
        <f t="shared" ca="1" si="35"/>
        <v>-0.25</v>
      </c>
      <c r="AB60" s="495">
        <f t="shared" si="35"/>
        <v>0</v>
      </c>
      <c r="AC60" s="417"/>
      <c r="AD60" s="417"/>
      <c r="AE60" s="417"/>
    </row>
    <row r="61" spans="1:31" ht="3.95" customHeight="1">
      <c r="A61" s="417"/>
      <c r="B61" s="480"/>
      <c r="C61" s="417"/>
      <c r="D61" s="417"/>
      <c r="E61" s="417"/>
      <c r="F61" s="417"/>
      <c r="G61" s="417"/>
      <c r="H61" s="417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Y61" s="417"/>
      <c r="Z61" s="417"/>
      <c r="AA61" s="417"/>
      <c r="AB61" s="417"/>
      <c r="AC61" s="417"/>
      <c r="AD61" s="417"/>
      <c r="AE61" s="417"/>
    </row>
    <row r="62" spans="1:31" ht="24">
      <c r="A62" s="417"/>
      <c r="B62" s="462" t="s">
        <v>1997</v>
      </c>
      <c r="C62" s="463" t="s">
        <v>4</v>
      </c>
      <c r="D62" s="463" t="s">
        <v>1317</v>
      </c>
      <c r="E62" s="464"/>
      <c r="F62" s="463" t="s">
        <v>1527</v>
      </c>
      <c r="G62" s="417"/>
      <c r="H62" s="465">
        <v>45658</v>
      </c>
      <c r="I62" s="465">
        <f t="shared" ref="I62:N62" si="36">EOMONTH(H62,0)+1</f>
        <v>45689</v>
      </c>
      <c r="J62" s="465">
        <f t="shared" si="36"/>
        <v>45717</v>
      </c>
      <c r="K62" s="465">
        <f t="shared" si="36"/>
        <v>45748</v>
      </c>
      <c r="L62" s="465">
        <f t="shared" si="36"/>
        <v>45778</v>
      </c>
      <c r="M62" s="465">
        <f t="shared" si="36"/>
        <v>45809</v>
      </c>
      <c r="N62" s="465">
        <f t="shared" si="36"/>
        <v>45839</v>
      </c>
      <c r="O62" s="465">
        <v>45870</v>
      </c>
      <c r="P62" s="465">
        <f t="shared" ref="P62:AB62" si="37">EOMONTH(O62,0)+1</f>
        <v>45901</v>
      </c>
      <c r="Q62" s="465">
        <f t="shared" si="37"/>
        <v>45931</v>
      </c>
      <c r="R62" s="465">
        <f t="shared" si="37"/>
        <v>45962</v>
      </c>
      <c r="S62" s="465">
        <f t="shared" si="37"/>
        <v>45992</v>
      </c>
      <c r="T62" s="465">
        <f t="shared" si="37"/>
        <v>46023</v>
      </c>
      <c r="U62" s="465">
        <f t="shared" si="37"/>
        <v>46054</v>
      </c>
      <c r="V62" s="465">
        <f t="shared" si="37"/>
        <v>46082</v>
      </c>
      <c r="W62" s="465">
        <f t="shared" si="37"/>
        <v>46113</v>
      </c>
      <c r="X62" s="465">
        <f t="shared" si="37"/>
        <v>46143</v>
      </c>
      <c r="Y62" s="465">
        <f t="shared" si="37"/>
        <v>46174</v>
      </c>
      <c r="Z62" s="465">
        <f t="shared" si="37"/>
        <v>46204</v>
      </c>
      <c r="AA62" s="465">
        <f t="shared" si="37"/>
        <v>46235</v>
      </c>
      <c r="AB62" s="465">
        <f t="shared" si="37"/>
        <v>46266</v>
      </c>
      <c r="AC62" s="466"/>
      <c r="AD62" s="417"/>
      <c r="AE62" s="466"/>
    </row>
    <row r="63" spans="1:31">
      <c r="A63" s="417"/>
      <c r="B63" s="498" t="s">
        <v>1510</v>
      </c>
      <c r="C63" s="468"/>
      <c r="D63" s="468"/>
      <c r="E63" s="469"/>
      <c r="F63" s="468"/>
      <c r="G63" s="417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9"/>
      <c r="AD63" s="469"/>
      <c r="AE63" s="469"/>
    </row>
    <row r="64" spans="1:31">
      <c r="A64" s="417"/>
      <c r="B64" s="469" t="s">
        <v>1818</v>
      </c>
      <c r="C64" s="510">
        <f>+C$19</f>
        <v>162.5</v>
      </c>
      <c r="D64" s="510">
        <f>+D$19</f>
        <v>179.5</v>
      </c>
      <c r="E64" s="469"/>
      <c r="F64" s="510">
        <f>+F$19</f>
        <v>178</v>
      </c>
      <c r="G64" s="417"/>
      <c r="H64" s="510">
        <f>+H$19</f>
        <v>146</v>
      </c>
      <c r="I64" s="510">
        <f t="shared" ref="I64:AB64" si="38">+I$19</f>
        <v>147.5</v>
      </c>
      <c r="J64" s="510">
        <f t="shared" si="38"/>
        <v>151</v>
      </c>
      <c r="K64" s="510">
        <f t="shared" si="38"/>
        <v>156.5</v>
      </c>
      <c r="L64" s="510">
        <f t="shared" si="38"/>
        <v>162</v>
      </c>
      <c r="M64" s="510">
        <f t="shared" si="38"/>
        <v>165</v>
      </c>
      <c r="N64" s="510">
        <f t="shared" si="38"/>
        <v>167</v>
      </c>
      <c r="O64" s="510">
        <f t="shared" si="38"/>
        <v>172</v>
      </c>
      <c r="P64" s="510">
        <f t="shared" si="38"/>
        <v>176</v>
      </c>
      <c r="Q64" s="510">
        <f t="shared" si="38"/>
        <v>179.5</v>
      </c>
      <c r="R64" s="510">
        <f t="shared" si="38"/>
        <v>181.5</v>
      </c>
      <c r="S64" s="510">
        <f t="shared" si="38"/>
        <v>180.5</v>
      </c>
      <c r="T64" s="510">
        <f t="shared" si="38"/>
        <v>183</v>
      </c>
      <c r="U64" s="510">
        <f t="shared" si="38"/>
        <v>189.5</v>
      </c>
      <c r="V64" s="510">
        <f t="shared" si="38"/>
        <v>192.5</v>
      </c>
      <c r="W64" s="510">
        <f t="shared" si="38"/>
        <v>195</v>
      </c>
      <c r="X64" s="510">
        <f t="shared" si="38"/>
        <v>193.5</v>
      </c>
      <c r="Y64" s="510">
        <f t="shared" si="38"/>
        <v>189</v>
      </c>
      <c r="Z64" s="510">
        <f t="shared" si="38"/>
        <v>181.5</v>
      </c>
      <c r="AA64" s="510">
        <f t="shared" si="38"/>
        <v>174.5</v>
      </c>
      <c r="AB64" s="510">
        <f t="shared" si="38"/>
        <v>177</v>
      </c>
      <c r="AC64" s="469"/>
      <c r="AD64" s="469"/>
      <c r="AE64" s="469"/>
    </row>
    <row r="65" spans="1:31" ht="3.95" customHeight="1">
      <c r="A65" s="417"/>
      <c r="B65" s="500"/>
      <c r="C65" s="469"/>
      <c r="D65" s="469"/>
      <c r="E65" s="469"/>
      <c r="F65" s="469"/>
      <c r="G65" s="417"/>
      <c r="H65" s="469"/>
      <c r="I65" s="469"/>
      <c r="J65" s="469"/>
      <c r="K65" s="469"/>
      <c r="L65" s="469"/>
      <c r="M65" s="469"/>
      <c r="N65" s="469"/>
      <c r="O65" s="469"/>
      <c r="P65" s="469"/>
      <c r="Q65" s="469"/>
      <c r="R65" s="469"/>
      <c r="S65" s="469"/>
      <c r="T65" s="469"/>
      <c r="U65" s="469"/>
      <c r="V65" s="469"/>
      <c r="W65" s="469"/>
      <c r="X65" s="469"/>
      <c r="Y65" s="469"/>
      <c r="Z65" s="469"/>
      <c r="AA65" s="469"/>
      <c r="AB65" s="469"/>
      <c r="AC65" s="469"/>
      <c r="AD65" s="469"/>
      <c r="AE65" s="469"/>
    </row>
    <row r="66" spans="1:31">
      <c r="A66" s="417"/>
      <c r="B66" s="417" t="s">
        <v>1313</v>
      </c>
      <c r="C66" s="470">
        <f ca="1">+C69-C67-C68</f>
        <v>1</v>
      </c>
      <c r="D66" s="470">
        <f ca="1">+D69-D67-D68</f>
        <v>5</v>
      </c>
      <c r="E66" s="417"/>
      <c r="F66" s="470">
        <f ca="1">+F69-F67-F68</f>
        <v>4</v>
      </c>
      <c r="G66" s="417"/>
      <c r="H66" s="470">
        <f t="shared" ref="H66:AB66" ca="1" si="39">+H69-H67-H68</f>
        <v>1</v>
      </c>
      <c r="I66" s="470">
        <f t="shared" ca="1" si="39"/>
        <v>2</v>
      </c>
      <c r="J66" s="470">
        <f t="shared" ca="1" si="39"/>
        <v>2</v>
      </c>
      <c r="K66" s="470">
        <f t="shared" ca="1" si="39"/>
        <v>2</v>
      </c>
      <c r="L66" s="470">
        <f t="shared" ca="1" si="39"/>
        <v>3</v>
      </c>
      <c r="M66" s="470">
        <f t="shared" ca="1" si="39"/>
        <v>3</v>
      </c>
      <c r="N66" s="470">
        <f t="shared" ca="1" si="39"/>
        <v>3</v>
      </c>
      <c r="O66" s="470">
        <f t="shared" ca="1" si="39"/>
        <v>3</v>
      </c>
      <c r="P66" s="470">
        <f t="shared" ca="1" si="39"/>
        <v>4</v>
      </c>
      <c r="Q66" s="470">
        <f t="shared" ca="1" si="39"/>
        <v>4</v>
      </c>
      <c r="R66" s="470">
        <f t="shared" ca="1" si="39"/>
        <v>5</v>
      </c>
      <c r="S66" s="470">
        <f t="shared" ca="1" si="39"/>
        <v>4</v>
      </c>
      <c r="T66" s="470">
        <f t="shared" ca="1" si="39"/>
        <v>5</v>
      </c>
      <c r="U66" s="470">
        <f t="shared" ca="1" si="39"/>
        <v>5</v>
      </c>
      <c r="V66" s="470">
        <f t="shared" ca="1" si="39"/>
        <v>6</v>
      </c>
      <c r="W66" s="470">
        <f t="shared" ca="1" si="39"/>
        <v>7</v>
      </c>
      <c r="X66" s="470">
        <f t="shared" ca="1" si="39"/>
        <v>6</v>
      </c>
      <c r="Y66" s="470">
        <f t="shared" ca="1" si="39"/>
        <v>5</v>
      </c>
      <c r="Z66" s="470">
        <f t="shared" ca="1" si="39"/>
        <v>5</v>
      </c>
      <c r="AA66" s="470">
        <f t="shared" si="39"/>
        <v>4</v>
      </c>
      <c r="AB66" s="470">
        <f t="shared" si="39"/>
        <v>4</v>
      </c>
      <c r="AC66" s="417"/>
      <c r="AD66" s="417"/>
      <c r="AE66" s="417"/>
    </row>
    <row r="67" spans="1:31">
      <c r="A67" s="417"/>
      <c r="B67" s="471" t="s">
        <v>1814</v>
      </c>
      <c r="C67" s="433">
        <f ca="1">SUM(H67:S67)</f>
        <v>5</v>
      </c>
      <c r="D67" s="433">
        <f ca="1">SUM(T67:AB67)</f>
        <v>2</v>
      </c>
      <c r="E67" s="417"/>
      <c r="F67" s="433">
        <f ca="1">SUM(Q67:AB67)</f>
        <v>4</v>
      </c>
      <c r="G67" s="417"/>
      <c r="H67" s="472">
        <f ca="1">COUNTIFS('Combined Employee Worksheet'!$I:$I,"&gt;="&amp;'Adj. Employee Retention'!H$5,'Combined Employee Worksheet'!$I:$I,"&lt;="&amp;'Adj. Employee Retention'!H$1,'Combined Employee Worksheet'!$D:$D,'Adj. Employee Retention'!$B63)-COUNTIFS('Combined Employee Worksheet'!$I:$I,"&gt;="&amp;'Adj. Employee Retention'!H$5,'Combined Employee Worksheet'!$I:$I,"&lt;="&amp;'Adj. Employee Retention'!H$1,'Combined Employee Worksheet'!$D:$D,'Adj. Employee Retention'!$B63,'Combined Employee Worksheet'!$K:$K,"&lt;="&amp;$C$138,'Combined Employee Worksheet'!$J:$J,"&lt;&gt;")</f>
        <v>1</v>
      </c>
      <c r="I67" s="472">
        <f>COUNTIFS('Combined Employee Worksheet'!$I:$I,"&gt;="&amp;'Adj. Employee Retention'!I$5,'Combined Employee Worksheet'!$I:$I,"&lt;="&amp;'Adj. Employee Retention'!I$1,'Combined Employee Worksheet'!$D:$D,'Adj. Employee Retention'!$B63)-COUNTIFS('Combined Employee Worksheet'!$I:$I,"&gt;="&amp;'Adj. Employee Retention'!I$5,'Combined Employee Worksheet'!$I:$I,"&lt;="&amp;'Adj. Employee Retention'!I$1,'Combined Employee Worksheet'!$D:$D,'Adj. Employee Retention'!$B63,'Combined Employee Worksheet'!$K:$K,"&lt;="&amp;$C$138,'Combined Employee Worksheet'!$J:$J,"&lt;&gt;")</f>
        <v>0</v>
      </c>
      <c r="J67" s="472">
        <f>COUNTIFS('Combined Employee Worksheet'!$I:$I,"&gt;="&amp;'Adj. Employee Retention'!J$5,'Combined Employee Worksheet'!$I:$I,"&lt;="&amp;'Adj. Employee Retention'!J$1,'Combined Employee Worksheet'!$D:$D,'Adj. Employee Retention'!$B63)-COUNTIFS('Combined Employee Worksheet'!$I:$I,"&gt;="&amp;'Adj. Employee Retention'!J$5,'Combined Employee Worksheet'!$I:$I,"&lt;="&amp;'Adj. Employee Retention'!J$1,'Combined Employee Worksheet'!$D:$D,'Adj. Employee Retention'!$B63,'Combined Employee Worksheet'!$K:$K,"&lt;="&amp;$C$138,'Combined Employee Worksheet'!$J:$J,"&lt;&gt;")</f>
        <v>0</v>
      </c>
      <c r="K67" s="472">
        <f ca="1">COUNTIFS('Combined Employee Worksheet'!$I:$I,"&gt;="&amp;'Adj. Employee Retention'!K$5,'Combined Employee Worksheet'!$I:$I,"&lt;="&amp;'Adj. Employee Retention'!K$1,'Combined Employee Worksheet'!$D:$D,'Adj. Employee Retention'!$B63)-COUNTIFS('Combined Employee Worksheet'!$I:$I,"&gt;="&amp;'Adj. Employee Retention'!K$5,'Combined Employee Worksheet'!$I:$I,"&lt;="&amp;'Adj. Employee Retention'!K$1,'Combined Employee Worksheet'!$D:$D,'Adj. Employee Retention'!$B63,'Combined Employee Worksheet'!$K:$K,"&lt;="&amp;$C$138,'Combined Employee Worksheet'!$J:$J,"&lt;&gt;")</f>
        <v>1</v>
      </c>
      <c r="L67" s="472">
        <f>COUNTIFS('Combined Employee Worksheet'!$I:$I,"&gt;="&amp;'Adj. Employee Retention'!L$5,'Combined Employee Worksheet'!$I:$I,"&lt;="&amp;'Adj. Employee Retention'!L$1,'Combined Employee Worksheet'!$D:$D,'Adj. Employee Retention'!$B63)-COUNTIFS('Combined Employee Worksheet'!$I:$I,"&gt;="&amp;'Adj. Employee Retention'!L$5,'Combined Employee Worksheet'!$I:$I,"&lt;="&amp;'Adj. Employee Retention'!L$1,'Combined Employee Worksheet'!$D:$D,'Adj. Employee Retention'!$B63,'Combined Employee Worksheet'!$K:$K,"&lt;="&amp;$C$138,'Combined Employee Worksheet'!$J:$J,"&lt;&gt;")</f>
        <v>0</v>
      </c>
      <c r="M67" s="472">
        <f>COUNTIFS('Combined Employee Worksheet'!$I:$I,"&gt;="&amp;'Adj. Employee Retention'!M$5,'Combined Employee Worksheet'!$I:$I,"&lt;="&amp;'Adj. Employee Retention'!M$1,'Combined Employee Worksheet'!$D:$D,'Adj. Employee Retention'!$B63)-COUNTIFS('Combined Employee Worksheet'!$I:$I,"&gt;="&amp;'Adj. Employee Retention'!M$5,'Combined Employee Worksheet'!$I:$I,"&lt;="&amp;'Adj. Employee Retention'!M$1,'Combined Employee Worksheet'!$D:$D,'Adj. Employee Retention'!$B63,'Combined Employee Worksheet'!$K:$K,"&lt;="&amp;$C$138,'Combined Employee Worksheet'!$J:$J,"&lt;&gt;")</f>
        <v>0</v>
      </c>
      <c r="N67" s="472">
        <f>COUNTIFS('Combined Employee Worksheet'!$I:$I,"&gt;="&amp;'Adj. Employee Retention'!N$5,'Combined Employee Worksheet'!$I:$I,"&lt;="&amp;'Adj. Employee Retention'!N$1,'Combined Employee Worksheet'!$D:$D,'Adj. Employee Retention'!$B63)-COUNTIFS('Combined Employee Worksheet'!$I:$I,"&gt;="&amp;'Adj. Employee Retention'!N$5,'Combined Employee Worksheet'!$I:$I,"&lt;="&amp;'Adj. Employee Retention'!N$1,'Combined Employee Worksheet'!$D:$D,'Adj. Employee Retention'!$B63,'Combined Employee Worksheet'!$K:$K,"&lt;="&amp;$C$138,'Combined Employee Worksheet'!$J:$J,"&lt;&gt;")</f>
        <v>0</v>
      </c>
      <c r="O67" s="472">
        <f ca="1">COUNTIFS('Combined Employee Worksheet'!$I:$I,"&gt;="&amp;'Adj. Employee Retention'!O$5,'Combined Employee Worksheet'!$I:$I,"&lt;="&amp;'Adj. Employee Retention'!O$1,'Combined Employee Worksheet'!$D:$D,'Adj. Employee Retention'!$B63)-COUNTIFS('Combined Employee Worksheet'!$I:$I,"&gt;="&amp;'Adj. Employee Retention'!O$5,'Combined Employee Worksheet'!$I:$I,"&lt;="&amp;'Adj. Employee Retention'!O$1,'Combined Employee Worksheet'!$D:$D,'Adj. Employee Retention'!$B63,'Combined Employee Worksheet'!$K:$K,"&lt;="&amp;$C$138,'Combined Employee Worksheet'!$J:$J,"&lt;&gt;")</f>
        <v>1</v>
      </c>
      <c r="P67" s="472">
        <f>COUNTIFS('Combined Employee Worksheet'!$I:$I,"&gt;="&amp;'Adj. Employee Retention'!P$5,'Combined Employee Worksheet'!$I:$I,"&lt;="&amp;'Adj. Employee Retention'!P$1,'Combined Employee Worksheet'!$D:$D,'Adj. Employee Retention'!$B63)-COUNTIFS('Combined Employee Worksheet'!$I:$I,"&gt;="&amp;'Adj. Employee Retention'!P$5,'Combined Employee Worksheet'!$I:$I,"&lt;="&amp;'Adj. Employee Retention'!P$1,'Combined Employee Worksheet'!$D:$D,'Adj. Employee Retention'!$B63,'Combined Employee Worksheet'!$K:$K,"&lt;="&amp;$C$138,'Combined Employee Worksheet'!$J:$J,"&lt;&gt;")</f>
        <v>0</v>
      </c>
      <c r="Q67" s="472">
        <f ca="1">COUNTIFS('Combined Employee Worksheet'!$I:$I,"&gt;="&amp;'Adj. Employee Retention'!Q$5,'Combined Employee Worksheet'!$I:$I,"&lt;="&amp;'Adj. Employee Retention'!Q$1,'Combined Employee Worksheet'!$D:$D,'Adj. Employee Retention'!$B63)-COUNTIFS('Combined Employee Worksheet'!$I:$I,"&gt;="&amp;'Adj. Employee Retention'!Q$5,'Combined Employee Worksheet'!$I:$I,"&lt;="&amp;'Adj. Employee Retention'!Q$1,'Combined Employee Worksheet'!$D:$D,'Adj. Employee Retention'!$B63,'Combined Employee Worksheet'!$K:$K,"&lt;="&amp;$C$138,'Combined Employee Worksheet'!$J:$J,"&lt;&gt;")</f>
        <v>1</v>
      </c>
      <c r="R67" s="472">
        <f>COUNTIFS('Combined Employee Worksheet'!$I:$I,"&gt;="&amp;'Adj. Employee Retention'!R$5,'Combined Employee Worksheet'!$I:$I,"&lt;="&amp;'Adj. Employee Retention'!R$1,'Combined Employee Worksheet'!$D:$D,'Adj. Employee Retention'!$B63)-COUNTIFS('Combined Employee Worksheet'!$I:$I,"&gt;="&amp;'Adj. Employee Retention'!R$5,'Combined Employee Worksheet'!$I:$I,"&lt;="&amp;'Adj. Employee Retention'!R$1,'Combined Employee Worksheet'!$D:$D,'Adj. Employee Retention'!$B63,'Combined Employee Worksheet'!$K:$K,"&lt;="&amp;$C$138,'Combined Employee Worksheet'!$J:$J,"&lt;&gt;")</f>
        <v>0</v>
      </c>
      <c r="S67" s="472">
        <f ca="1">COUNTIFS('Combined Employee Worksheet'!$I:$I,"&gt;="&amp;'Adj. Employee Retention'!S$5,'Combined Employee Worksheet'!$I:$I,"&lt;="&amp;'Adj. Employee Retention'!S$1,'Combined Employee Worksheet'!$D:$D,'Adj. Employee Retention'!$B63)-COUNTIFS('Combined Employee Worksheet'!$I:$I,"&gt;="&amp;'Adj. Employee Retention'!S$5,'Combined Employee Worksheet'!$I:$I,"&lt;="&amp;'Adj. Employee Retention'!S$1,'Combined Employee Worksheet'!$D:$D,'Adj. Employee Retention'!$B63,'Combined Employee Worksheet'!$K:$K,"&lt;="&amp;$C$138,'Combined Employee Worksheet'!$J:$J,"&lt;&gt;")</f>
        <v>1</v>
      </c>
      <c r="T67" s="472">
        <f>COUNTIFS('Combined Employee Worksheet'!$I:$I,"&gt;="&amp;'Adj. Employee Retention'!T$5,'Combined Employee Worksheet'!$I:$I,"&lt;="&amp;'Adj. Employee Retention'!T$1,'Combined Employee Worksheet'!$D:$D,'Adj. Employee Retention'!$B63)-COUNTIFS('Combined Employee Worksheet'!$I:$I,"&gt;="&amp;'Adj. Employee Retention'!T$5,'Combined Employee Worksheet'!$I:$I,"&lt;="&amp;'Adj. Employee Retention'!T$1,'Combined Employee Worksheet'!$D:$D,'Adj. Employee Retention'!$B63,'Combined Employee Worksheet'!$K:$K,"&lt;="&amp;$C$138,'Combined Employee Worksheet'!$J:$J,"&lt;&gt;")</f>
        <v>0</v>
      </c>
      <c r="U67" s="472">
        <f ca="1">COUNTIFS('Combined Employee Worksheet'!$I:$I,"&gt;="&amp;'Adj. Employee Retention'!U$5,'Combined Employee Worksheet'!$I:$I,"&lt;="&amp;'Adj. Employee Retention'!U$1,'Combined Employee Worksheet'!$D:$D,'Adj. Employee Retention'!$B63)-COUNTIFS('Combined Employee Worksheet'!$I:$I,"&gt;="&amp;'Adj. Employee Retention'!U$5,'Combined Employee Worksheet'!$I:$I,"&lt;="&amp;'Adj. Employee Retention'!U$1,'Combined Employee Worksheet'!$D:$D,'Adj. Employee Retention'!$B63,'Combined Employee Worksheet'!$K:$K,"&lt;="&amp;$C$138,'Combined Employee Worksheet'!$J:$J,"&lt;&gt;")</f>
        <v>1</v>
      </c>
      <c r="V67" s="472">
        <f ca="1">COUNTIFS('Combined Employee Worksheet'!$I:$I,"&gt;="&amp;'Adj. Employee Retention'!V$5,'Combined Employee Worksheet'!$I:$I,"&lt;="&amp;'Adj. Employee Retention'!V$1,'Combined Employee Worksheet'!$D:$D,'Adj. Employee Retention'!$B63)-COUNTIFS('Combined Employee Worksheet'!$I:$I,"&gt;="&amp;'Adj. Employee Retention'!V$5,'Combined Employee Worksheet'!$I:$I,"&lt;="&amp;'Adj. Employee Retention'!V$1,'Combined Employee Worksheet'!$D:$D,'Adj. Employee Retention'!$B63,'Combined Employee Worksheet'!$K:$K,"&lt;="&amp;$C$138,'Combined Employee Worksheet'!$J:$J,"&lt;&gt;")</f>
        <v>1</v>
      </c>
      <c r="W67" s="472">
        <f>COUNTIFS('Combined Employee Worksheet'!$I:$I,"&gt;="&amp;'Adj. Employee Retention'!W$5,'Combined Employee Worksheet'!$I:$I,"&lt;="&amp;'Adj. Employee Retention'!W$1,'Combined Employee Worksheet'!$D:$D,'Adj. Employee Retention'!$B63)-COUNTIFS('Combined Employee Worksheet'!$I:$I,"&gt;="&amp;'Adj. Employee Retention'!W$5,'Combined Employee Worksheet'!$I:$I,"&lt;="&amp;'Adj. Employee Retention'!W$1,'Combined Employee Worksheet'!$D:$D,'Adj. Employee Retention'!$B63,'Combined Employee Worksheet'!$K:$K,"&lt;="&amp;$C$138,'Combined Employee Worksheet'!$J:$J,"&lt;&gt;")</f>
        <v>0</v>
      </c>
      <c r="X67" s="472">
        <f ca="1">COUNTIFS('Combined Employee Worksheet'!$I:$I,"&gt;="&amp;'Adj. Employee Retention'!X$5,'Combined Employee Worksheet'!$I:$I,"&lt;="&amp;'Adj. Employee Retention'!X$1,'Combined Employee Worksheet'!$D:$D,'Adj. Employee Retention'!$B63)-COUNTIFS('Combined Employee Worksheet'!$I:$I,"&gt;="&amp;'Adj. Employee Retention'!X$5,'Combined Employee Worksheet'!$I:$I,"&lt;="&amp;'Adj. Employee Retention'!X$1,'Combined Employee Worksheet'!$D:$D,'Adj. Employee Retention'!$B63,'Combined Employee Worksheet'!$K:$K,"&lt;="&amp;$C$138,'Combined Employee Worksheet'!$J:$J,"&lt;&gt;")</f>
        <v>0</v>
      </c>
      <c r="Y67" s="472">
        <f>COUNTIFS('Combined Employee Worksheet'!$I:$I,"&gt;="&amp;'Adj. Employee Retention'!Y$5,'Combined Employee Worksheet'!$I:$I,"&lt;="&amp;'Adj. Employee Retention'!Y$1,'Combined Employee Worksheet'!$D:$D,'Adj. Employee Retention'!$B63)-COUNTIFS('Combined Employee Worksheet'!$I:$I,"&gt;="&amp;'Adj. Employee Retention'!Y$5,'Combined Employee Worksheet'!$I:$I,"&lt;="&amp;'Adj. Employee Retention'!Y$1,'Combined Employee Worksheet'!$D:$D,'Adj. Employee Retention'!$B63,'Combined Employee Worksheet'!$K:$K,"&lt;="&amp;$C$138,'Combined Employee Worksheet'!$J:$J,"&lt;&gt;")</f>
        <v>0</v>
      </c>
      <c r="Z67" s="472">
        <f>COUNTIFS('Combined Employee Worksheet'!$I:$I,"&gt;="&amp;'Adj. Employee Retention'!Z$5,'Combined Employee Worksheet'!$I:$I,"&lt;="&amp;'Adj. Employee Retention'!Z$1,'Combined Employee Worksheet'!$D:$D,'Adj. Employee Retention'!$B63)-COUNTIFS('Combined Employee Worksheet'!$I:$I,"&gt;="&amp;'Adj. Employee Retention'!Z$5,'Combined Employee Worksheet'!$I:$I,"&lt;="&amp;'Adj. Employee Retention'!Z$1,'Combined Employee Worksheet'!$D:$D,'Adj. Employee Retention'!$B63,'Combined Employee Worksheet'!$K:$K,"&lt;="&amp;$C$138,'Combined Employee Worksheet'!$J:$J,"&lt;&gt;")</f>
        <v>0</v>
      </c>
      <c r="AA67" s="472">
        <f>COUNTIFS('Combined Employee Worksheet'!$I:$I,"&gt;="&amp;'Adj. Employee Retention'!AA$5,'Combined Employee Worksheet'!$I:$I,"&lt;="&amp;'Adj. Employee Retention'!AA$1,'Combined Employee Worksheet'!$D:$D,'Adj. Employee Retention'!$B63)-COUNTIFS('Combined Employee Worksheet'!$I:$I,"&gt;="&amp;'Adj. Employee Retention'!AA$5,'Combined Employee Worksheet'!$I:$I,"&lt;="&amp;'Adj. Employee Retention'!AA$1,'Combined Employee Worksheet'!$D:$D,'Adj. Employee Retention'!$B63,'Combined Employee Worksheet'!$K:$K,"&lt;="&amp;$C$138,'Combined Employee Worksheet'!$J:$J,"&lt;&gt;")</f>
        <v>0</v>
      </c>
      <c r="AB67" s="472">
        <f>COUNTIFS('Combined Employee Worksheet'!$I:$I,"&gt;="&amp;'Adj. Employee Retention'!AB$5,'Combined Employee Worksheet'!$I:$I,"&lt;="&amp;'Adj. Employee Retention'!AB$1,'Combined Employee Worksheet'!$D:$D,'Adj. Employee Retention'!$B63)-COUNTIFS('Combined Employee Worksheet'!$I:$I,"&gt;="&amp;'Adj. Employee Retention'!AB$5,'Combined Employee Worksheet'!$I:$I,"&lt;="&amp;'Adj. Employee Retention'!AB$1,'Combined Employee Worksheet'!$D:$D,'Adj. Employee Retention'!$B63,'Combined Employee Worksheet'!$K:$K,"&lt;="&amp;$C$138,'Combined Employee Worksheet'!$J:$J,"&lt;&gt;")</f>
        <v>0</v>
      </c>
      <c r="AC67" s="417"/>
      <c r="AD67" s="417"/>
      <c r="AE67" s="417"/>
    </row>
    <row r="68" spans="1:31" ht="12" customHeight="1">
      <c r="A68" s="417"/>
      <c r="B68" s="471" t="s">
        <v>1815</v>
      </c>
      <c r="C68" s="433">
        <f ca="1">SUM(H68:S68)</f>
        <v>-1</v>
      </c>
      <c r="D68" s="433">
        <f ca="1">SUM(T68:AB68)</f>
        <v>-3</v>
      </c>
      <c r="E68" s="417"/>
      <c r="F68" s="433">
        <f ca="1">SUM(Q68:AB68)</f>
        <v>-4</v>
      </c>
      <c r="G68" s="417"/>
      <c r="H68" s="472">
        <f>-COUNTIFS('Combined Employee Worksheet'!$J:$J,"&gt;="&amp;'Adj. Employee Retention'!H$5,'Combined Employee Worksheet'!$J:$J,"&lt;="&amp;'Adj. Employee Retention'!H$1,'Combined Employee Worksheet'!$D:$D,'Adj. Employee Retention'!$B63,'Combined Employee Worksheet'!$K:$K,"&gt;"&amp;$C$138)</f>
        <v>0</v>
      </c>
      <c r="I68" s="472">
        <f>-COUNTIFS('Combined Employee Worksheet'!$J:$J,"&gt;="&amp;'Adj. Employee Retention'!I$5,'Combined Employee Worksheet'!$J:$J,"&lt;="&amp;'Adj. Employee Retention'!I$1,'Combined Employee Worksheet'!$D:$D,'Adj. Employee Retention'!$B63,'Combined Employee Worksheet'!$K:$K,"&gt;"&amp;$C$138)</f>
        <v>0</v>
      </c>
      <c r="J68" s="472">
        <f>-COUNTIFS('Combined Employee Worksheet'!$J:$J,"&gt;="&amp;'Adj. Employee Retention'!J$5,'Combined Employee Worksheet'!$J:$J,"&lt;="&amp;'Adj. Employee Retention'!J$1,'Combined Employee Worksheet'!$D:$D,'Adj. Employee Retention'!$B63,'Combined Employee Worksheet'!$K:$K,"&gt;"&amp;$C$138)</f>
        <v>0</v>
      </c>
      <c r="K68" s="472">
        <f>-COUNTIFS('Combined Employee Worksheet'!$J:$J,"&gt;="&amp;'Adj. Employee Retention'!K$5,'Combined Employee Worksheet'!$J:$J,"&lt;="&amp;'Adj. Employee Retention'!K$1,'Combined Employee Worksheet'!$D:$D,'Adj. Employee Retention'!$B63,'Combined Employee Worksheet'!$K:$K,"&gt;"&amp;$C$138)</f>
        <v>0</v>
      </c>
      <c r="L68" s="472">
        <f>-COUNTIFS('Combined Employee Worksheet'!$J:$J,"&gt;="&amp;'Adj. Employee Retention'!L$5,'Combined Employee Worksheet'!$J:$J,"&lt;="&amp;'Adj. Employee Retention'!L$1,'Combined Employee Worksheet'!$D:$D,'Adj. Employee Retention'!$B63,'Combined Employee Worksheet'!$K:$K,"&gt;"&amp;$C$138)</f>
        <v>0</v>
      </c>
      <c r="M68" s="472">
        <f>-COUNTIFS('Combined Employee Worksheet'!$J:$J,"&gt;="&amp;'Adj. Employee Retention'!M$5,'Combined Employee Worksheet'!$J:$J,"&lt;="&amp;'Adj. Employee Retention'!M$1,'Combined Employee Worksheet'!$D:$D,'Adj. Employee Retention'!$B63,'Combined Employee Worksheet'!$K:$K,"&gt;"&amp;$C$138)</f>
        <v>0</v>
      </c>
      <c r="N68" s="472">
        <f>-COUNTIFS('Combined Employee Worksheet'!$J:$J,"&gt;="&amp;'Adj. Employee Retention'!N$5,'Combined Employee Worksheet'!$J:$J,"&lt;="&amp;'Adj. Employee Retention'!N$1,'Combined Employee Worksheet'!$D:$D,'Adj. Employee Retention'!$B63,'Combined Employee Worksheet'!$K:$K,"&gt;"&amp;$C$138)</f>
        <v>0</v>
      </c>
      <c r="O68" s="472">
        <f>-COUNTIFS('Combined Employee Worksheet'!$J:$J,"&gt;="&amp;'Adj. Employee Retention'!O$5,'Combined Employee Worksheet'!$J:$J,"&lt;="&amp;'Adj. Employee Retention'!O$1,'Combined Employee Worksheet'!$D:$D,'Adj. Employee Retention'!$B63,'Combined Employee Worksheet'!$K:$K,"&gt;"&amp;$C$138)</f>
        <v>0</v>
      </c>
      <c r="P68" s="472">
        <f>-COUNTIFS('Combined Employee Worksheet'!$J:$J,"&gt;="&amp;'Adj. Employee Retention'!P$5,'Combined Employee Worksheet'!$J:$J,"&lt;="&amp;'Adj. Employee Retention'!P$1,'Combined Employee Worksheet'!$D:$D,'Adj. Employee Retention'!$B63,'Combined Employee Worksheet'!$K:$K,"&gt;"&amp;$C$138)</f>
        <v>0</v>
      </c>
      <c r="Q68" s="472">
        <f>-COUNTIFS('Combined Employee Worksheet'!$J:$J,"&gt;="&amp;'Adj. Employee Retention'!Q$5,'Combined Employee Worksheet'!$J:$J,"&lt;="&amp;'Adj. Employee Retention'!Q$1,'Combined Employee Worksheet'!$D:$D,'Adj. Employee Retention'!$B63,'Combined Employee Worksheet'!$K:$K,"&gt;"&amp;$C$138)</f>
        <v>0</v>
      </c>
      <c r="R68" s="472">
        <f ca="1">-COUNTIFS('Combined Employee Worksheet'!$J:$J,"&gt;="&amp;'Adj. Employee Retention'!R$5,'Combined Employee Worksheet'!$J:$J,"&lt;="&amp;'Adj. Employee Retention'!R$1,'Combined Employee Worksheet'!$D:$D,'Adj. Employee Retention'!$B63,'Combined Employee Worksheet'!$K:$K,"&gt;"&amp;$C$138)</f>
        <v>-1</v>
      </c>
      <c r="S68" s="472">
        <f>-COUNTIFS('Combined Employee Worksheet'!$J:$J,"&gt;="&amp;'Adj. Employee Retention'!S$5,'Combined Employee Worksheet'!$J:$J,"&lt;="&amp;'Adj. Employee Retention'!S$1,'Combined Employee Worksheet'!$D:$D,'Adj. Employee Retention'!$B63,'Combined Employee Worksheet'!$K:$K,"&gt;"&amp;$C$138)</f>
        <v>0</v>
      </c>
      <c r="T68" s="472">
        <f>-COUNTIFS('Combined Employee Worksheet'!$J:$J,"&gt;="&amp;'Adj. Employee Retention'!T$5,'Combined Employee Worksheet'!$J:$J,"&lt;="&amp;'Adj. Employee Retention'!T$1,'Combined Employee Worksheet'!$D:$D,'Adj. Employee Retention'!$B63,'Combined Employee Worksheet'!$K:$K,"&gt;"&amp;$C$138)</f>
        <v>0</v>
      </c>
      <c r="U68" s="472">
        <f>-COUNTIFS('Combined Employee Worksheet'!$J:$J,"&gt;="&amp;'Adj. Employee Retention'!U$5,'Combined Employee Worksheet'!$J:$J,"&lt;="&amp;'Adj. Employee Retention'!U$1,'Combined Employee Worksheet'!$D:$D,'Adj. Employee Retention'!$B63,'Combined Employee Worksheet'!$K:$K,"&gt;"&amp;$C$138)</f>
        <v>0</v>
      </c>
      <c r="V68" s="472">
        <f>-COUNTIFS('Combined Employee Worksheet'!$J:$J,"&gt;="&amp;'Adj. Employee Retention'!V$5,'Combined Employee Worksheet'!$J:$J,"&lt;="&amp;'Adj. Employee Retention'!V$1,'Combined Employee Worksheet'!$D:$D,'Adj. Employee Retention'!$B63,'Combined Employee Worksheet'!$K:$K,"&gt;"&amp;$C$138)</f>
        <v>0</v>
      </c>
      <c r="W68" s="472">
        <f ca="1">-COUNTIFS('Combined Employee Worksheet'!$J:$J,"&gt;="&amp;'Adj. Employee Retention'!W$5,'Combined Employee Worksheet'!$J:$J,"&lt;="&amp;'Adj. Employee Retention'!W$1,'Combined Employee Worksheet'!$D:$D,'Adj. Employee Retention'!$B63,'Combined Employee Worksheet'!$K:$K,"&gt;"&amp;$C$138)</f>
        <v>-1</v>
      </c>
      <c r="X68" s="472">
        <f ca="1">-COUNTIFS('Combined Employee Worksheet'!$J:$J,"&gt;="&amp;'Adj. Employee Retention'!X$5,'Combined Employee Worksheet'!$J:$J,"&lt;="&amp;'Adj. Employee Retention'!X$1,'Combined Employee Worksheet'!$D:$D,'Adj. Employee Retention'!$B63,'Combined Employee Worksheet'!$K:$K,"&gt;"&amp;$C$138)</f>
        <v>-1</v>
      </c>
      <c r="Y68" s="472">
        <f>-COUNTIFS('Combined Employee Worksheet'!$J:$J,"&gt;="&amp;'Adj. Employee Retention'!Y$5,'Combined Employee Worksheet'!$J:$J,"&lt;="&amp;'Adj. Employee Retention'!Y$1,'Combined Employee Worksheet'!$D:$D,'Adj. Employee Retention'!$B63,'Combined Employee Worksheet'!$K:$K,"&gt;"&amp;$C$138)</f>
        <v>0</v>
      </c>
      <c r="Z68" s="472">
        <f ca="1">-COUNTIFS('Combined Employee Worksheet'!$J:$J,"&gt;="&amp;'Adj. Employee Retention'!Z$5,'Combined Employee Worksheet'!$J:$J,"&lt;="&amp;'Adj. Employee Retention'!Z$1,'Combined Employee Worksheet'!$D:$D,'Adj. Employee Retention'!$B63,'Combined Employee Worksheet'!$K:$K,"&gt;"&amp;$C$138)</f>
        <v>-1</v>
      </c>
      <c r="AA68" s="472">
        <f>-COUNTIFS('Combined Employee Worksheet'!$J:$J,"&gt;="&amp;'Adj. Employee Retention'!AA$5,'Combined Employee Worksheet'!$J:$J,"&lt;="&amp;'Adj. Employee Retention'!AA$1,'Combined Employee Worksheet'!$D:$D,'Adj. Employee Retention'!$B63,'Combined Employee Worksheet'!$K:$K,"&gt;"&amp;$C$138)</f>
        <v>0</v>
      </c>
      <c r="AB68" s="472">
        <f>-COUNTIFS('Combined Employee Worksheet'!$J:$J,"&gt;="&amp;'Adj. Employee Retention'!AB$5,'Combined Employee Worksheet'!$J:$J,"&lt;="&amp;'Adj. Employee Retention'!AB$1,'Combined Employee Worksheet'!$D:$D,'Adj. Employee Retention'!$B63,'Combined Employee Worksheet'!$K:$K,"&gt;"&amp;$C$138)</f>
        <v>0</v>
      </c>
      <c r="AC68" s="417"/>
      <c r="AD68" s="417"/>
      <c r="AE68" s="417"/>
    </row>
    <row r="69" spans="1:31" ht="12" customHeight="1">
      <c r="A69" s="417"/>
      <c r="B69" s="474" t="s">
        <v>1315</v>
      </c>
      <c r="C69" s="475">
        <f ca="1">+D66</f>
        <v>5</v>
      </c>
      <c r="D69" s="476">
        <f>+$AB69</f>
        <v>4</v>
      </c>
      <c r="E69" s="417"/>
      <c r="F69" s="477">
        <f>+$AB69</f>
        <v>4</v>
      </c>
      <c r="G69" s="417"/>
      <c r="H69" s="478">
        <f t="shared" ref="H69:AA69" ca="1" si="40">+I66</f>
        <v>2</v>
      </c>
      <c r="I69" s="475">
        <f t="shared" ca="1" si="40"/>
        <v>2</v>
      </c>
      <c r="J69" s="475">
        <f t="shared" ca="1" si="40"/>
        <v>2</v>
      </c>
      <c r="K69" s="475">
        <f t="shared" ca="1" si="40"/>
        <v>3</v>
      </c>
      <c r="L69" s="475">
        <f t="shared" ca="1" si="40"/>
        <v>3</v>
      </c>
      <c r="M69" s="475">
        <f t="shared" ca="1" si="40"/>
        <v>3</v>
      </c>
      <c r="N69" s="475">
        <f t="shared" ca="1" si="40"/>
        <v>3</v>
      </c>
      <c r="O69" s="475">
        <f t="shared" ca="1" si="40"/>
        <v>4</v>
      </c>
      <c r="P69" s="475">
        <f t="shared" ca="1" si="40"/>
        <v>4</v>
      </c>
      <c r="Q69" s="478">
        <f t="shared" ca="1" si="40"/>
        <v>5</v>
      </c>
      <c r="R69" s="475">
        <f t="shared" ca="1" si="40"/>
        <v>4</v>
      </c>
      <c r="S69" s="475">
        <f t="shared" ca="1" si="40"/>
        <v>5</v>
      </c>
      <c r="T69" s="475">
        <f t="shared" ca="1" si="40"/>
        <v>5</v>
      </c>
      <c r="U69" s="475">
        <f t="shared" ca="1" si="40"/>
        <v>6</v>
      </c>
      <c r="V69" s="475">
        <f t="shared" ca="1" si="40"/>
        <v>7</v>
      </c>
      <c r="W69" s="475">
        <f t="shared" ca="1" si="40"/>
        <v>6</v>
      </c>
      <c r="X69" s="475">
        <f t="shared" ca="1" si="40"/>
        <v>5</v>
      </c>
      <c r="Y69" s="475">
        <f t="shared" ca="1" si="40"/>
        <v>5</v>
      </c>
      <c r="Z69" s="475">
        <f t="shared" si="40"/>
        <v>4</v>
      </c>
      <c r="AA69" s="475">
        <f t="shared" si="40"/>
        <v>4</v>
      </c>
      <c r="AB69" s="479">
        <f>COUNTIFS('Combined Employee Worksheet'!$H:$H,"Active",'Combined Employee Worksheet'!$D:$D,'Adj. Employee Retention'!B63)</f>
        <v>4</v>
      </c>
      <c r="AC69" s="417"/>
      <c r="AD69" s="417"/>
      <c r="AE69" s="417"/>
    </row>
    <row r="70" spans="1:31" ht="3.95" customHeight="1">
      <c r="A70" s="417"/>
      <c r="B70" s="480"/>
      <c r="C70" s="481"/>
      <c r="D70" s="481"/>
      <c r="E70" s="417"/>
      <c r="F70" s="481"/>
      <c r="G70" s="417"/>
      <c r="H70" s="481"/>
      <c r="I70" s="481"/>
      <c r="J70" s="481"/>
      <c r="K70" s="481"/>
      <c r="L70" s="481"/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  <c r="Z70" s="481"/>
      <c r="AA70" s="481"/>
      <c r="AB70" s="501"/>
      <c r="AC70" s="417"/>
      <c r="AD70" s="417"/>
      <c r="AE70" s="417"/>
    </row>
    <row r="71" spans="1:31" ht="12" customHeight="1">
      <c r="A71" s="417"/>
      <c r="B71" s="487" t="s">
        <v>1817</v>
      </c>
      <c r="C71" s="502">
        <f ca="1">AVERAGE(C66,C69)</f>
        <v>3</v>
      </c>
      <c r="D71" s="503">
        <f ca="1">AVERAGE(D66,D69)</f>
        <v>4.5</v>
      </c>
      <c r="E71" s="417"/>
      <c r="F71" s="504">
        <f ca="1">AVERAGE(F66,F69)</f>
        <v>4</v>
      </c>
      <c r="G71" s="417"/>
      <c r="H71" s="505">
        <f t="shared" ref="H71:AB71" ca="1" si="41">AVERAGE(H66,H69)</f>
        <v>1.5</v>
      </c>
      <c r="I71" s="502">
        <f t="shared" ca="1" si="41"/>
        <v>2</v>
      </c>
      <c r="J71" s="502">
        <f t="shared" ca="1" si="41"/>
        <v>2</v>
      </c>
      <c r="K71" s="502">
        <f t="shared" ca="1" si="41"/>
        <v>2.5</v>
      </c>
      <c r="L71" s="502">
        <f t="shared" ca="1" si="41"/>
        <v>3</v>
      </c>
      <c r="M71" s="502">
        <f t="shared" ca="1" si="41"/>
        <v>3</v>
      </c>
      <c r="N71" s="502">
        <f t="shared" ca="1" si="41"/>
        <v>3</v>
      </c>
      <c r="O71" s="502">
        <f t="shared" ca="1" si="41"/>
        <v>3.5</v>
      </c>
      <c r="P71" s="502">
        <f t="shared" ca="1" si="41"/>
        <v>4</v>
      </c>
      <c r="Q71" s="505">
        <f t="shared" ca="1" si="41"/>
        <v>4.5</v>
      </c>
      <c r="R71" s="502">
        <f t="shared" ca="1" si="41"/>
        <v>4.5</v>
      </c>
      <c r="S71" s="502">
        <f t="shared" ca="1" si="41"/>
        <v>4.5</v>
      </c>
      <c r="T71" s="502">
        <f t="shared" ca="1" si="41"/>
        <v>5</v>
      </c>
      <c r="U71" s="502">
        <f t="shared" ca="1" si="41"/>
        <v>5.5</v>
      </c>
      <c r="V71" s="502">
        <f t="shared" ca="1" si="41"/>
        <v>6.5</v>
      </c>
      <c r="W71" s="502">
        <f t="shared" ca="1" si="41"/>
        <v>6.5</v>
      </c>
      <c r="X71" s="502">
        <f t="shared" ca="1" si="41"/>
        <v>5.5</v>
      </c>
      <c r="Y71" s="502">
        <f t="shared" ca="1" si="41"/>
        <v>5</v>
      </c>
      <c r="Z71" s="502">
        <f t="shared" ca="1" si="41"/>
        <v>4.5</v>
      </c>
      <c r="AA71" s="502">
        <f t="shared" si="41"/>
        <v>4</v>
      </c>
      <c r="AB71" s="503">
        <f t="shared" si="41"/>
        <v>4</v>
      </c>
      <c r="AC71" s="417"/>
      <c r="AD71" s="417"/>
      <c r="AE71" s="417"/>
    </row>
    <row r="72" spans="1:31" ht="12" customHeight="1">
      <c r="A72" s="417"/>
      <c r="B72" s="493" t="s">
        <v>1816</v>
      </c>
      <c r="C72" s="506">
        <f ca="1">C64/C71</f>
        <v>54.166666666666664</v>
      </c>
      <c r="D72" s="507">
        <f ca="1">D64/D71</f>
        <v>39.888888888888886</v>
      </c>
      <c r="E72" s="470"/>
      <c r="F72" s="508">
        <f ca="1">F64/F71</f>
        <v>44.5</v>
      </c>
      <c r="G72" s="470"/>
      <c r="H72" s="509">
        <f t="shared" ref="H72:AB72" ca="1" si="42">H64/H71</f>
        <v>97.333333333333329</v>
      </c>
      <c r="I72" s="506">
        <f t="shared" ca="1" si="42"/>
        <v>73.75</v>
      </c>
      <c r="J72" s="506">
        <f t="shared" ca="1" si="42"/>
        <v>75.5</v>
      </c>
      <c r="K72" s="506">
        <f t="shared" ca="1" si="42"/>
        <v>62.6</v>
      </c>
      <c r="L72" s="506">
        <f t="shared" ca="1" si="42"/>
        <v>54</v>
      </c>
      <c r="M72" s="506">
        <f t="shared" ca="1" si="42"/>
        <v>55</v>
      </c>
      <c r="N72" s="506">
        <f t="shared" ca="1" si="42"/>
        <v>55.666666666666664</v>
      </c>
      <c r="O72" s="506">
        <f t="shared" ca="1" si="42"/>
        <v>49.142857142857146</v>
      </c>
      <c r="P72" s="506">
        <f t="shared" ca="1" si="42"/>
        <v>44</v>
      </c>
      <c r="Q72" s="509">
        <f t="shared" ca="1" si="42"/>
        <v>39.888888888888886</v>
      </c>
      <c r="R72" s="506">
        <f t="shared" ca="1" si="42"/>
        <v>40.333333333333336</v>
      </c>
      <c r="S72" s="506">
        <f t="shared" ca="1" si="42"/>
        <v>40.111111111111114</v>
      </c>
      <c r="T72" s="506">
        <f t="shared" ca="1" si="42"/>
        <v>36.6</v>
      </c>
      <c r="U72" s="506">
        <f t="shared" ca="1" si="42"/>
        <v>34.454545454545453</v>
      </c>
      <c r="V72" s="506">
        <f t="shared" ca="1" si="42"/>
        <v>29.615384615384617</v>
      </c>
      <c r="W72" s="506">
        <f t="shared" ca="1" si="42"/>
        <v>30</v>
      </c>
      <c r="X72" s="506">
        <f t="shared" ca="1" si="42"/>
        <v>35.18181818181818</v>
      </c>
      <c r="Y72" s="506">
        <f t="shared" ca="1" si="42"/>
        <v>37.799999999999997</v>
      </c>
      <c r="Z72" s="506">
        <f t="shared" ca="1" si="42"/>
        <v>40.333333333333336</v>
      </c>
      <c r="AA72" s="506">
        <f t="shared" si="42"/>
        <v>43.625</v>
      </c>
      <c r="AB72" s="507">
        <f t="shared" si="42"/>
        <v>44.25</v>
      </c>
      <c r="AC72" s="417"/>
      <c r="AD72" s="417"/>
      <c r="AE72" s="417"/>
    </row>
    <row r="73" spans="1:31" ht="3.95" customHeight="1">
      <c r="A73" s="417"/>
      <c r="B73" s="480"/>
      <c r="C73" s="481"/>
      <c r="D73" s="481"/>
      <c r="E73" s="417"/>
      <c r="F73" s="481"/>
      <c r="G73" s="417"/>
      <c r="H73" s="481"/>
      <c r="I73" s="481"/>
      <c r="J73" s="481"/>
      <c r="K73" s="481"/>
      <c r="L73" s="481"/>
      <c r="M73" s="481"/>
      <c r="N73" s="481"/>
      <c r="O73" s="481"/>
      <c r="P73" s="481"/>
      <c r="Q73" s="481"/>
      <c r="R73" s="481"/>
      <c r="S73" s="481"/>
      <c r="T73" s="481"/>
      <c r="U73" s="481"/>
      <c r="V73" s="481"/>
      <c r="W73" s="481"/>
      <c r="X73" s="481"/>
      <c r="Y73" s="481"/>
      <c r="Z73" s="482"/>
      <c r="AA73" s="482"/>
      <c r="AB73" s="482"/>
      <c r="AC73" s="417"/>
      <c r="AD73" s="417"/>
      <c r="AE73" s="417"/>
    </row>
    <row r="74" spans="1:31" ht="12" customHeight="1">
      <c r="A74" s="417"/>
      <c r="B74" s="487" t="s">
        <v>1813</v>
      </c>
      <c r="C74" s="488">
        <f ca="1">(C67+C66)/C66-1</f>
        <v>5</v>
      </c>
      <c r="D74" s="489">
        <f ca="1">(D67+D66)/D66-1</f>
        <v>0.39999999999999991</v>
      </c>
      <c r="E74" s="490"/>
      <c r="F74" s="491">
        <f ca="1">(F67+F66)/F66-1</f>
        <v>1</v>
      </c>
      <c r="G74" s="417"/>
      <c r="H74" s="492">
        <f t="shared" ref="H74:AB74" ca="1" si="43">(H67+H66)/H66-1</f>
        <v>1</v>
      </c>
      <c r="I74" s="488">
        <f t="shared" ca="1" si="43"/>
        <v>0</v>
      </c>
      <c r="J74" s="488">
        <f t="shared" ca="1" si="43"/>
        <v>0</v>
      </c>
      <c r="K74" s="488">
        <f t="shared" ca="1" si="43"/>
        <v>0.5</v>
      </c>
      <c r="L74" s="488">
        <f t="shared" ca="1" si="43"/>
        <v>0</v>
      </c>
      <c r="M74" s="488">
        <f t="shared" ca="1" si="43"/>
        <v>0</v>
      </c>
      <c r="N74" s="488">
        <f t="shared" ca="1" si="43"/>
        <v>0</v>
      </c>
      <c r="O74" s="488">
        <f t="shared" ca="1" si="43"/>
        <v>0.33333333333333326</v>
      </c>
      <c r="P74" s="488">
        <f t="shared" ca="1" si="43"/>
        <v>0</v>
      </c>
      <c r="Q74" s="492">
        <f t="shared" ca="1" si="43"/>
        <v>0.25</v>
      </c>
      <c r="R74" s="488">
        <f t="shared" ca="1" si="43"/>
        <v>0</v>
      </c>
      <c r="S74" s="488">
        <f t="shared" ca="1" si="43"/>
        <v>0.25</v>
      </c>
      <c r="T74" s="488">
        <f t="shared" ca="1" si="43"/>
        <v>0</v>
      </c>
      <c r="U74" s="488">
        <f t="shared" ca="1" si="43"/>
        <v>0.19999999999999996</v>
      </c>
      <c r="V74" s="488">
        <f t="shared" ca="1" si="43"/>
        <v>0.16666666666666674</v>
      </c>
      <c r="W74" s="488">
        <f t="shared" ca="1" si="43"/>
        <v>0</v>
      </c>
      <c r="X74" s="488">
        <f t="shared" ca="1" si="43"/>
        <v>0</v>
      </c>
      <c r="Y74" s="488">
        <f t="shared" ca="1" si="43"/>
        <v>0</v>
      </c>
      <c r="Z74" s="488">
        <f t="shared" ca="1" si="43"/>
        <v>0</v>
      </c>
      <c r="AA74" s="488">
        <f t="shared" si="43"/>
        <v>0</v>
      </c>
      <c r="AB74" s="489">
        <f t="shared" si="43"/>
        <v>0</v>
      </c>
      <c r="AC74" s="417"/>
      <c r="AD74" s="417"/>
      <c r="AE74" s="417"/>
    </row>
    <row r="75" spans="1:31">
      <c r="A75" s="417"/>
      <c r="B75" s="493" t="s">
        <v>1812</v>
      </c>
      <c r="C75" s="494">
        <f ca="1">(C68+C71)/C71-1</f>
        <v>-0.33333333333333337</v>
      </c>
      <c r="D75" s="495">
        <f ca="1">(D68+D71)/D71-1</f>
        <v>-0.66666666666666674</v>
      </c>
      <c r="E75" s="490"/>
      <c r="F75" s="496">
        <f ca="1">(F68+F71)/F71-1</f>
        <v>-1</v>
      </c>
      <c r="G75" s="417"/>
      <c r="H75" s="497">
        <f t="shared" ref="H75:AB75" ca="1" si="44">(H68+H71)/H71-1</f>
        <v>0</v>
      </c>
      <c r="I75" s="494">
        <f t="shared" ca="1" si="44"/>
        <v>0</v>
      </c>
      <c r="J75" s="494">
        <f t="shared" ca="1" si="44"/>
        <v>0</v>
      </c>
      <c r="K75" s="494">
        <f t="shared" ca="1" si="44"/>
        <v>0</v>
      </c>
      <c r="L75" s="494">
        <f t="shared" ca="1" si="44"/>
        <v>0</v>
      </c>
      <c r="M75" s="494">
        <f t="shared" ca="1" si="44"/>
        <v>0</v>
      </c>
      <c r="N75" s="494">
        <f t="shared" ca="1" si="44"/>
        <v>0</v>
      </c>
      <c r="O75" s="494">
        <f t="shared" ca="1" si="44"/>
        <v>0</v>
      </c>
      <c r="P75" s="494">
        <f t="shared" ca="1" si="44"/>
        <v>0</v>
      </c>
      <c r="Q75" s="497">
        <f t="shared" ca="1" si="44"/>
        <v>0</v>
      </c>
      <c r="R75" s="494">
        <f t="shared" ca="1" si="44"/>
        <v>-0.22222222222222221</v>
      </c>
      <c r="S75" s="494">
        <f t="shared" ca="1" si="44"/>
        <v>0</v>
      </c>
      <c r="T75" s="494">
        <f t="shared" ca="1" si="44"/>
        <v>0</v>
      </c>
      <c r="U75" s="494">
        <f t="shared" ca="1" si="44"/>
        <v>0</v>
      </c>
      <c r="V75" s="494">
        <f t="shared" ca="1" si="44"/>
        <v>0</v>
      </c>
      <c r="W75" s="494">
        <f t="shared" ca="1" si="44"/>
        <v>-0.15384615384615385</v>
      </c>
      <c r="X75" s="494">
        <f t="shared" ca="1" si="44"/>
        <v>-0.18181818181818177</v>
      </c>
      <c r="Y75" s="494">
        <f t="shared" ca="1" si="44"/>
        <v>0</v>
      </c>
      <c r="Z75" s="494">
        <f t="shared" ca="1" si="44"/>
        <v>-0.22222222222222221</v>
      </c>
      <c r="AA75" s="494">
        <f t="shared" si="44"/>
        <v>0</v>
      </c>
      <c r="AB75" s="495">
        <f t="shared" si="44"/>
        <v>0</v>
      </c>
      <c r="AC75" s="417"/>
      <c r="AD75" s="417"/>
      <c r="AE75" s="417"/>
    </row>
    <row r="76" spans="1:31" ht="3.95" customHeight="1">
      <c r="A76" s="417"/>
      <c r="B76" s="480"/>
      <c r="C76" s="417"/>
      <c r="D76" s="417"/>
      <c r="E76" s="417"/>
      <c r="F76" s="417"/>
      <c r="G76" s="417"/>
      <c r="H76" s="417"/>
      <c r="I76" s="417"/>
      <c r="J76" s="417"/>
      <c r="K76" s="417"/>
      <c r="L76" s="417"/>
      <c r="M76" s="417"/>
      <c r="N76" s="417"/>
      <c r="O76" s="417"/>
      <c r="P76" s="417"/>
      <c r="Q76" s="417"/>
      <c r="R76" s="417"/>
      <c r="S76" s="417"/>
      <c r="T76" s="417"/>
      <c r="U76" s="417"/>
      <c r="V76" s="417"/>
      <c r="W76" s="417"/>
      <c r="X76" s="417"/>
      <c r="Y76" s="417"/>
      <c r="Z76" s="417"/>
      <c r="AA76" s="417"/>
      <c r="AB76" s="417"/>
      <c r="AC76" s="417"/>
      <c r="AD76" s="417"/>
      <c r="AE76" s="417"/>
    </row>
    <row r="77" spans="1:31" ht="24">
      <c r="A77" s="417"/>
      <c r="B77" s="462" t="s">
        <v>1997</v>
      </c>
      <c r="C77" s="463" t="s">
        <v>4</v>
      </c>
      <c r="D77" s="463" t="s">
        <v>1317</v>
      </c>
      <c r="E77" s="464"/>
      <c r="F77" s="463" t="s">
        <v>1527</v>
      </c>
      <c r="G77" s="417"/>
      <c r="H77" s="465">
        <v>45658</v>
      </c>
      <c r="I77" s="465">
        <f t="shared" ref="I77:N77" si="45">EOMONTH(H77,0)+1</f>
        <v>45689</v>
      </c>
      <c r="J77" s="465">
        <f t="shared" si="45"/>
        <v>45717</v>
      </c>
      <c r="K77" s="465">
        <f t="shared" si="45"/>
        <v>45748</v>
      </c>
      <c r="L77" s="465">
        <f t="shared" si="45"/>
        <v>45778</v>
      </c>
      <c r="M77" s="465">
        <f t="shared" si="45"/>
        <v>45809</v>
      </c>
      <c r="N77" s="465">
        <f t="shared" si="45"/>
        <v>45839</v>
      </c>
      <c r="O77" s="465">
        <v>45870</v>
      </c>
      <c r="P77" s="465">
        <f t="shared" ref="P77:AB77" si="46">EOMONTH(O77,0)+1</f>
        <v>45901</v>
      </c>
      <c r="Q77" s="465">
        <f t="shared" si="46"/>
        <v>45931</v>
      </c>
      <c r="R77" s="465">
        <f t="shared" si="46"/>
        <v>45962</v>
      </c>
      <c r="S77" s="465">
        <f t="shared" si="46"/>
        <v>45992</v>
      </c>
      <c r="T77" s="465">
        <f t="shared" si="46"/>
        <v>46023</v>
      </c>
      <c r="U77" s="465">
        <f t="shared" si="46"/>
        <v>46054</v>
      </c>
      <c r="V77" s="465">
        <f t="shared" si="46"/>
        <v>46082</v>
      </c>
      <c r="W77" s="465">
        <f t="shared" si="46"/>
        <v>46113</v>
      </c>
      <c r="X77" s="465">
        <f t="shared" si="46"/>
        <v>46143</v>
      </c>
      <c r="Y77" s="465">
        <f t="shared" si="46"/>
        <v>46174</v>
      </c>
      <c r="Z77" s="465">
        <f t="shared" si="46"/>
        <v>46204</v>
      </c>
      <c r="AA77" s="465">
        <f t="shared" si="46"/>
        <v>46235</v>
      </c>
      <c r="AB77" s="465">
        <f t="shared" si="46"/>
        <v>46266</v>
      </c>
      <c r="AC77" s="466"/>
      <c r="AD77" s="417"/>
      <c r="AE77" s="466"/>
    </row>
    <row r="78" spans="1:31">
      <c r="A78" s="417"/>
      <c r="B78" s="498" t="s">
        <v>1509</v>
      </c>
      <c r="C78" s="468"/>
      <c r="D78" s="468"/>
      <c r="E78" s="469"/>
      <c r="F78" s="468"/>
      <c r="G78" s="417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9"/>
      <c r="AD78" s="469"/>
      <c r="AE78" s="469"/>
    </row>
    <row r="79" spans="1:31">
      <c r="A79" s="417"/>
      <c r="B79" s="469" t="s">
        <v>1818</v>
      </c>
      <c r="C79" s="510">
        <f>+C$19</f>
        <v>162.5</v>
      </c>
      <c r="D79" s="510">
        <f>+D$19</f>
        <v>179.5</v>
      </c>
      <c r="E79" s="469"/>
      <c r="F79" s="510">
        <f>+F$19</f>
        <v>178</v>
      </c>
      <c r="G79" s="417"/>
      <c r="H79" s="510">
        <f>+H$19</f>
        <v>146</v>
      </c>
      <c r="I79" s="510">
        <f t="shared" ref="I79:AB79" si="47">+I$19</f>
        <v>147.5</v>
      </c>
      <c r="J79" s="510">
        <f t="shared" si="47"/>
        <v>151</v>
      </c>
      <c r="K79" s="510">
        <f t="shared" si="47"/>
        <v>156.5</v>
      </c>
      <c r="L79" s="510">
        <f t="shared" si="47"/>
        <v>162</v>
      </c>
      <c r="M79" s="510">
        <f t="shared" si="47"/>
        <v>165</v>
      </c>
      <c r="N79" s="510">
        <f t="shared" si="47"/>
        <v>167</v>
      </c>
      <c r="O79" s="510">
        <f t="shared" si="47"/>
        <v>172</v>
      </c>
      <c r="P79" s="510">
        <f t="shared" si="47"/>
        <v>176</v>
      </c>
      <c r="Q79" s="510">
        <f t="shared" si="47"/>
        <v>179.5</v>
      </c>
      <c r="R79" s="510">
        <f t="shared" si="47"/>
        <v>181.5</v>
      </c>
      <c r="S79" s="510">
        <f t="shared" si="47"/>
        <v>180.5</v>
      </c>
      <c r="T79" s="510">
        <f t="shared" si="47"/>
        <v>183</v>
      </c>
      <c r="U79" s="510">
        <f t="shared" si="47"/>
        <v>189.5</v>
      </c>
      <c r="V79" s="510">
        <f t="shared" si="47"/>
        <v>192.5</v>
      </c>
      <c r="W79" s="510">
        <f t="shared" si="47"/>
        <v>195</v>
      </c>
      <c r="X79" s="510">
        <f t="shared" si="47"/>
        <v>193.5</v>
      </c>
      <c r="Y79" s="510">
        <f t="shared" si="47"/>
        <v>189</v>
      </c>
      <c r="Z79" s="510">
        <f t="shared" si="47"/>
        <v>181.5</v>
      </c>
      <c r="AA79" s="510">
        <f t="shared" si="47"/>
        <v>174.5</v>
      </c>
      <c r="AB79" s="510">
        <f t="shared" si="47"/>
        <v>177</v>
      </c>
      <c r="AC79" s="469"/>
      <c r="AD79" s="469"/>
      <c r="AE79" s="469"/>
    </row>
    <row r="80" spans="1:31" ht="3.95" customHeight="1">
      <c r="A80" s="417"/>
      <c r="B80" s="500"/>
      <c r="C80" s="469"/>
      <c r="D80" s="469"/>
      <c r="E80" s="469"/>
      <c r="F80" s="469"/>
      <c r="G80" s="417"/>
      <c r="H80" s="469"/>
      <c r="I80" s="469"/>
      <c r="J80" s="469"/>
      <c r="K80" s="469"/>
      <c r="L80" s="469"/>
      <c r="M80" s="469"/>
      <c r="N80" s="469"/>
      <c r="O80" s="469"/>
      <c r="P80" s="469"/>
      <c r="Q80" s="469"/>
      <c r="R80" s="469"/>
      <c r="S80" s="469"/>
      <c r="T80" s="469"/>
      <c r="U80" s="469"/>
      <c r="V80" s="469"/>
      <c r="W80" s="469"/>
      <c r="X80" s="469"/>
      <c r="Y80" s="469"/>
      <c r="Z80" s="469"/>
      <c r="AA80" s="469"/>
      <c r="AB80" s="469"/>
      <c r="AC80" s="469"/>
      <c r="AD80" s="469"/>
      <c r="AE80" s="469"/>
    </row>
    <row r="81" spans="1:31">
      <c r="A81" s="417"/>
      <c r="B81" s="417" t="s">
        <v>1313</v>
      </c>
      <c r="C81" s="470">
        <f ca="1">+C84-C82-C83</f>
        <v>4</v>
      </c>
      <c r="D81" s="470">
        <f ca="1">+D84-D82-D83</f>
        <v>4</v>
      </c>
      <c r="E81" s="417"/>
      <c r="F81" s="470">
        <f ca="1">+F84-F82-F83</f>
        <v>3</v>
      </c>
      <c r="G81" s="417"/>
      <c r="H81" s="470">
        <f t="shared" ref="H81:AB81" ca="1" si="48">+H84-H82-H83</f>
        <v>4</v>
      </c>
      <c r="I81" s="470">
        <f t="shared" ca="1" si="48"/>
        <v>3</v>
      </c>
      <c r="J81" s="470">
        <f t="shared" ca="1" si="48"/>
        <v>3</v>
      </c>
      <c r="K81" s="470">
        <f t="shared" ca="1" si="48"/>
        <v>3</v>
      </c>
      <c r="L81" s="470">
        <f t="shared" ca="1" si="48"/>
        <v>3</v>
      </c>
      <c r="M81" s="470">
        <f t="shared" ca="1" si="48"/>
        <v>3</v>
      </c>
      <c r="N81" s="470">
        <f t="shared" ca="1" si="48"/>
        <v>3</v>
      </c>
      <c r="O81" s="470">
        <f t="shared" ca="1" si="48"/>
        <v>3</v>
      </c>
      <c r="P81" s="470">
        <f t="shared" ca="1" si="48"/>
        <v>3</v>
      </c>
      <c r="Q81" s="470">
        <f t="shared" ca="1" si="48"/>
        <v>3</v>
      </c>
      <c r="R81" s="470">
        <f t="shared" ca="1" si="48"/>
        <v>3</v>
      </c>
      <c r="S81" s="470">
        <f t="shared" ca="1" si="48"/>
        <v>3</v>
      </c>
      <c r="T81" s="470">
        <f t="shared" ca="1" si="48"/>
        <v>4</v>
      </c>
      <c r="U81" s="470">
        <f t="shared" ca="1" si="48"/>
        <v>4</v>
      </c>
      <c r="V81" s="470">
        <f t="shared" ca="1" si="48"/>
        <v>4</v>
      </c>
      <c r="W81" s="470">
        <f t="shared" ca="1" si="48"/>
        <v>4</v>
      </c>
      <c r="X81" s="470">
        <f t="shared" ca="1" si="48"/>
        <v>4</v>
      </c>
      <c r="Y81" s="470">
        <f t="shared" ca="1" si="48"/>
        <v>3</v>
      </c>
      <c r="Z81" s="470">
        <f t="shared" ca="1" si="48"/>
        <v>3</v>
      </c>
      <c r="AA81" s="470">
        <f t="shared" si="48"/>
        <v>4</v>
      </c>
      <c r="AB81" s="470">
        <f t="shared" si="48"/>
        <v>4</v>
      </c>
      <c r="AC81" s="417"/>
      <c r="AD81" s="417"/>
      <c r="AE81" s="417"/>
    </row>
    <row r="82" spans="1:31">
      <c r="A82" s="417"/>
      <c r="B82" s="471" t="s">
        <v>1814</v>
      </c>
      <c r="C82" s="433">
        <f ca="1">SUM(H82:S82)</f>
        <v>1</v>
      </c>
      <c r="D82" s="433">
        <f ca="1">SUM(T82:AB82)</f>
        <v>1</v>
      </c>
      <c r="E82" s="417"/>
      <c r="F82" s="433">
        <f ca="1">SUM(Q82:AB82)</f>
        <v>2</v>
      </c>
      <c r="G82" s="417"/>
      <c r="H82" s="472">
        <f>COUNTIFS('Combined Employee Worksheet'!$I:$I,"&gt;="&amp;'Adj. Employee Retention'!H$5,'Combined Employee Worksheet'!$I:$I,"&lt;="&amp;'Adj. Employee Retention'!H$1,'Combined Employee Worksheet'!$D:$D,'Adj. Employee Retention'!$B78)-COUNTIFS('Combined Employee Worksheet'!$I:$I,"&gt;="&amp;'Adj. Employee Retention'!H$5,'Combined Employee Worksheet'!$I:$I,"&lt;="&amp;'Adj. Employee Retention'!H$1,'Combined Employee Worksheet'!$D:$D,'Adj. Employee Retention'!$B78,'Combined Employee Worksheet'!$K:$K,"&lt;="&amp;$C$138,'Combined Employee Worksheet'!$J:$J,"&lt;&gt;")</f>
        <v>0</v>
      </c>
      <c r="I82" s="472">
        <f>COUNTIFS('Combined Employee Worksheet'!$I:$I,"&gt;="&amp;'Adj. Employee Retention'!I$5,'Combined Employee Worksheet'!$I:$I,"&lt;="&amp;'Adj. Employee Retention'!I$1,'Combined Employee Worksheet'!$D:$D,'Adj. Employee Retention'!$B78)-COUNTIFS('Combined Employee Worksheet'!$I:$I,"&gt;="&amp;'Adj. Employee Retention'!I$5,'Combined Employee Worksheet'!$I:$I,"&lt;="&amp;'Adj. Employee Retention'!I$1,'Combined Employee Worksheet'!$D:$D,'Adj. Employee Retention'!$B78,'Combined Employee Worksheet'!$K:$K,"&lt;="&amp;$C$138,'Combined Employee Worksheet'!$J:$J,"&lt;&gt;")</f>
        <v>0</v>
      </c>
      <c r="J82" s="472">
        <f>COUNTIFS('Combined Employee Worksheet'!$I:$I,"&gt;="&amp;'Adj. Employee Retention'!J$5,'Combined Employee Worksheet'!$I:$I,"&lt;="&amp;'Adj. Employee Retention'!J$1,'Combined Employee Worksheet'!$D:$D,'Adj. Employee Retention'!$B78)-COUNTIFS('Combined Employee Worksheet'!$I:$I,"&gt;="&amp;'Adj. Employee Retention'!J$5,'Combined Employee Worksheet'!$I:$I,"&lt;="&amp;'Adj. Employee Retention'!J$1,'Combined Employee Worksheet'!$D:$D,'Adj. Employee Retention'!$B78,'Combined Employee Worksheet'!$K:$K,"&lt;="&amp;$C$138,'Combined Employee Worksheet'!$J:$J,"&lt;&gt;")</f>
        <v>0</v>
      </c>
      <c r="K82" s="472">
        <f>COUNTIFS('Combined Employee Worksheet'!$I:$I,"&gt;="&amp;'Adj. Employee Retention'!K$5,'Combined Employee Worksheet'!$I:$I,"&lt;="&amp;'Adj. Employee Retention'!K$1,'Combined Employee Worksheet'!$D:$D,'Adj. Employee Retention'!$B78)-COUNTIFS('Combined Employee Worksheet'!$I:$I,"&gt;="&amp;'Adj. Employee Retention'!K$5,'Combined Employee Worksheet'!$I:$I,"&lt;="&amp;'Adj. Employee Retention'!K$1,'Combined Employee Worksheet'!$D:$D,'Adj. Employee Retention'!$B78,'Combined Employee Worksheet'!$K:$K,"&lt;="&amp;$C$138,'Combined Employee Worksheet'!$J:$J,"&lt;&gt;")</f>
        <v>0</v>
      </c>
      <c r="L82" s="472">
        <f>COUNTIFS('Combined Employee Worksheet'!$I:$I,"&gt;="&amp;'Adj. Employee Retention'!L$5,'Combined Employee Worksheet'!$I:$I,"&lt;="&amp;'Adj. Employee Retention'!L$1,'Combined Employee Worksheet'!$D:$D,'Adj. Employee Retention'!$B78)-COUNTIFS('Combined Employee Worksheet'!$I:$I,"&gt;="&amp;'Adj. Employee Retention'!L$5,'Combined Employee Worksheet'!$I:$I,"&lt;="&amp;'Adj. Employee Retention'!L$1,'Combined Employee Worksheet'!$D:$D,'Adj. Employee Retention'!$B78,'Combined Employee Worksheet'!$K:$K,"&lt;="&amp;$C$138,'Combined Employee Worksheet'!$J:$J,"&lt;&gt;")</f>
        <v>0</v>
      </c>
      <c r="M82" s="472">
        <f>COUNTIFS('Combined Employee Worksheet'!$I:$I,"&gt;="&amp;'Adj. Employee Retention'!M$5,'Combined Employee Worksheet'!$I:$I,"&lt;="&amp;'Adj. Employee Retention'!M$1,'Combined Employee Worksheet'!$D:$D,'Adj. Employee Retention'!$B78)-COUNTIFS('Combined Employee Worksheet'!$I:$I,"&gt;="&amp;'Adj. Employee Retention'!M$5,'Combined Employee Worksheet'!$I:$I,"&lt;="&amp;'Adj. Employee Retention'!M$1,'Combined Employee Worksheet'!$D:$D,'Adj. Employee Retention'!$B78,'Combined Employee Worksheet'!$K:$K,"&lt;="&amp;$C$138,'Combined Employee Worksheet'!$J:$J,"&lt;&gt;")</f>
        <v>0</v>
      </c>
      <c r="N82" s="472">
        <f>COUNTIFS('Combined Employee Worksheet'!$I:$I,"&gt;="&amp;'Adj. Employee Retention'!N$5,'Combined Employee Worksheet'!$I:$I,"&lt;="&amp;'Adj. Employee Retention'!N$1,'Combined Employee Worksheet'!$D:$D,'Adj. Employee Retention'!$B78)-COUNTIFS('Combined Employee Worksheet'!$I:$I,"&gt;="&amp;'Adj. Employee Retention'!N$5,'Combined Employee Worksheet'!$I:$I,"&lt;="&amp;'Adj. Employee Retention'!N$1,'Combined Employee Worksheet'!$D:$D,'Adj. Employee Retention'!$B78,'Combined Employee Worksheet'!$K:$K,"&lt;="&amp;$C$138,'Combined Employee Worksheet'!$J:$J,"&lt;&gt;")</f>
        <v>0</v>
      </c>
      <c r="O82" s="472">
        <f>COUNTIFS('Combined Employee Worksheet'!$I:$I,"&gt;="&amp;'Adj. Employee Retention'!O$5,'Combined Employee Worksheet'!$I:$I,"&lt;="&amp;'Adj. Employee Retention'!O$1,'Combined Employee Worksheet'!$D:$D,'Adj. Employee Retention'!$B78)-COUNTIFS('Combined Employee Worksheet'!$I:$I,"&gt;="&amp;'Adj. Employee Retention'!O$5,'Combined Employee Worksheet'!$I:$I,"&lt;="&amp;'Adj. Employee Retention'!O$1,'Combined Employee Worksheet'!$D:$D,'Adj. Employee Retention'!$B78,'Combined Employee Worksheet'!$K:$K,"&lt;="&amp;$C$138,'Combined Employee Worksheet'!$J:$J,"&lt;&gt;")</f>
        <v>0</v>
      </c>
      <c r="P82" s="472">
        <f>COUNTIFS('Combined Employee Worksheet'!$I:$I,"&gt;="&amp;'Adj. Employee Retention'!P$5,'Combined Employee Worksheet'!$I:$I,"&lt;="&amp;'Adj. Employee Retention'!P$1,'Combined Employee Worksheet'!$D:$D,'Adj. Employee Retention'!$B78)-COUNTIFS('Combined Employee Worksheet'!$I:$I,"&gt;="&amp;'Adj. Employee Retention'!P$5,'Combined Employee Worksheet'!$I:$I,"&lt;="&amp;'Adj. Employee Retention'!P$1,'Combined Employee Worksheet'!$D:$D,'Adj. Employee Retention'!$B78,'Combined Employee Worksheet'!$K:$K,"&lt;="&amp;$C$138,'Combined Employee Worksheet'!$J:$J,"&lt;&gt;")</f>
        <v>0</v>
      </c>
      <c r="Q82" s="472">
        <f>COUNTIFS('Combined Employee Worksheet'!$I:$I,"&gt;="&amp;'Adj. Employee Retention'!Q$5,'Combined Employee Worksheet'!$I:$I,"&lt;="&amp;'Adj. Employee Retention'!Q$1,'Combined Employee Worksheet'!$D:$D,'Adj. Employee Retention'!$B78)-COUNTIFS('Combined Employee Worksheet'!$I:$I,"&gt;="&amp;'Adj. Employee Retention'!Q$5,'Combined Employee Worksheet'!$I:$I,"&lt;="&amp;'Adj. Employee Retention'!Q$1,'Combined Employee Worksheet'!$D:$D,'Adj. Employee Retention'!$B78,'Combined Employee Worksheet'!$K:$K,"&lt;="&amp;$C$138,'Combined Employee Worksheet'!$J:$J,"&lt;&gt;")</f>
        <v>0</v>
      </c>
      <c r="R82" s="472">
        <f>COUNTIFS('Combined Employee Worksheet'!$I:$I,"&gt;="&amp;'Adj. Employee Retention'!R$5,'Combined Employee Worksheet'!$I:$I,"&lt;="&amp;'Adj. Employee Retention'!R$1,'Combined Employee Worksheet'!$D:$D,'Adj. Employee Retention'!$B78)-COUNTIFS('Combined Employee Worksheet'!$I:$I,"&gt;="&amp;'Adj. Employee Retention'!R$5,'Combined Employee Worksheet'!$I:$I,"&lt;="&amp;'Adj. Employee Retention'!R$1,'Combined Employee Worksheet'!$D:$D,'Adj. Employee Retention'!$B78,'Combined Employee Worksheet'!$K:$K,"&lt;="&amp;$C$138,'Combined Employee Worksheet'!$J:$J,"&lt;&gt;")</f>
        <v>0</v>
      </c>
      <c r="S82" s="472">
        <f ca="1">COUNTIFS('Combined Employee Worksheet'!$I:$I,"&gt;="&amp;'Adj. Employee Retention'!S$5,'Combined Employee Worksheet'!$I:$I,"&lt;="&amp;'Adj. Employee Retention'!S$1,'Combined Employee Worksheet'!$D:$D,'Adj. Employee Retention'!$B78)-COUNTIFS('Combined Employee Worksheet'!$I:$I,"&gt;="&amp;'Adj. Employee Retention'!S$5,'Combined Employee Worksheet'!$I:$I,"&lt;="&amp;'Adj. Employee Retention'!S$1,'Combined Employee Worksheet'!$D:$D,'Adj. Employee Retention'!$B78,'Combined Employee Worksheet'!$K:$K,"&lt;="&amp;$C$138,'Combined Employee Worksheet'!$J:$J,"&lt;&gt;")</f>
        <v>1</v>
      </c>
      <c r="T82" s="472">
        <f>COUNTIFS('Combined Employee Worksheet'!$I:$I,"&gt;="&amp;'Adj. Employee Retention'!T$5,'Combined Employee Worksheet'!$I:$I,"&lt;="&amp;'Adj. Employee Retention'!T$1,'Combined Employee Worksheet'!$D:$D,'Adj. Employee Retention'!$B78)-COUNTIFS('Combined Employee Worksheet'!$I:$I,"&gt;="&amp;'Adj. Employee Retention'!T$5,'Combined Employee Worksheet'!$I:$I,"&lt;="&amp;'Adj. Employee Retention'!T$1,'Combined Employee Worksheet'!$D:$D,'Adj. Employee Retention'!$B78,'Combined Employee Worksheet'!$K:$K,"&lt;="&amp;$C$138,'Combined Employee Worksheet'!$J:$J,"&lt;&gt;")</f>
        <v>0</v>
      </c>
      <c r="U82" s="472">
        <f>COUNTIFS('Combined Employee Worksheet'!$I:$I,"&gt;="&amp;'Adj. Employee Retention'!U$5,'Combined Employee Worksheet'!$I:$I,"&lt;="&amp;'Adj. Employee Retention'!U$1,'Combined Employee Worksheet'!$D:$D,'Adj. Employee Retention'!$B78)-COUNTIFS('Combined Employee Worksheet'!$I:$I,"&gt;="&amp;'Adj. Employee Retention'!U$5,'Combined Employee Worksheet'!$I:$I,"&lt;="&amp;'Adj. Employee Retention'!U$1,'Combined Employee Worksheet'!$D:$D,'Adj. Employee Retention'!$B78,'Combined Employee Worksheet'!$K:$K,"&lt;="&amp;$C$138,'Combined Employee Worksheet'!$J:$J,"&lt;&gt;")</f>
        <v>0</v>
      </c>
      <c r="V82" s="472">
        <f>COUNTIFS('Combined Employee Worksheet'!$I:$I,"&gt;="&amp;'Adj. Employee Retention'!V$5,'Combined Employee Worksheet'!$I:$I,"&lt;="&amp;'Adj. Employee Retention'!V$1,'Combined Employee Worksheet'!$D:$D,'Adj. Employee Retention'!$B78)-COUNTIFS('Combined Employee Worksheet'!$I:$I,"&gt;="&amp;'Adj. Employee Retention'!V$5,'Combined Employee Worksheet'!$I:$I,"&lt;="&amp;'Adj. Employee Retention'!V$1,'Combined Employee Worksheet'!$D:$D,'Adj. Employee Retention'!$B78,'Combined Employee Worksheet'!$K:$K,"&lt;="&amp;$C$138,'Combined Employee Worksheet'!$J:$J,"&lt;&gt;")</f>
        <v>0</v>
      </c>
      <c r="W82" s="472">
        <f>COUNTIFS('Combined Employee Worksheet'!$I:$I,"&gt;="&amp;'Adj. Employee Retention'!W$5,'Combined Employee Worksheet'!$I:$I,"&lt;="&amp;'Adj. Employee Retention'!W$1,'Combined Employee Worksheet'!$D:$D,'Adj. Employee Retention'!$B78)-COUNTIFS('Combined Employee Worksheet'!$I:$I,"&gt;="&amp;'Adj. Employee Retention'!W$5,'Combined Employee Worksheet'!$I:$I,"&lt;="&amp;'Adj. Employee Retention'!W$1,'Combined Employee Worksheet'!$D:$D,'Adj. Employee Retention'!$B78,'Combined Employee Worksheet'!$K:$K,"&lt;="&amp;$C$138,'Combined Employee Worksheet'!$J:$J,"&lt;&gt;")</f>
        <v>0</v>
      </c>
      <c r="X82" s="472">
        <f>COUNTIFS('Combined Employee Worksheet'!$I:$I,"&gt;="&amp;'Adj. Employee Retention'!X$5,'Combined Employee Worksheet'!$I:$I,"&lt;="&amp;'Adj. Employee Retention'!X$1,'Combined Employee Worksheet'!$D:$D,'Adj. Employee Retention'!$B78)-COUNTIFS('Combined Employee Worksheet'!$I:$I,"&gt;="&amp;'Adj. Employee Retention'!X$5,'Combined Employee Worksheet'!$I:$I,"&lt;="&amp;'Adj. Employee Retention'!X$1,'Combined Employee Worksheet'!$D:$D,'Adj. Employee Retention'!$B78,'Combined Employee Worksheet'!$K:$K,"&lt;="&amp;$C$138,'Combined Employee Worksheet'!$J:$J,"&lt;&gt;")</f>
        <v>0</v>
      </c>
      <c r="Y82" s="472">
        <f>COUNTIFS('Combined Employee Worksheet'!$I:$I,"&gt;="&amp;'Adj. Employee Retention'!Y$5,'Combined Employee Worksheet'!$I:$I,"&lt;="&amp;'Adj. Employee Retention'!Y$1,'Combined Employee Worksheet'!$D:$D,'Adj. Employee Retention'!$B78)-COUNTIFS('Combined Employee Worksheet'!$I:$I,"&gt;="&amp;'Adj. Employee Retention'!Y$5,'Combined Employee Worksheet'!$I:$I,"&lt;="&amp;'Adj. Employee Retention'!Y$1,'Combined Employee Worksheet'!$D:$D,'Adj. Employee Retention'!$B78,'Combined Employee Worksheet'!$K:$K,"&lt;="&amp;$C$138,'Combined Employee Worksheet'!$J:$J,"&lt;&gt;")</f>
        <v>0</v>
      </c>
      <c r="Z82" s="472">
        <f ca="1">COUNTIFS('Combined Employee Worksheet'!$I:$I,"&gt;="&amp;'Adj. Employee Retention'!Z$5,'Combined Employee Worksheet'!$I:$I,"&lt;="&amp;'Adj. Employee Retention'!Z$1,'Combined Employee Worksheet'!$D:$D,'Adj. Employee Retention'!$B78)-COUNTIFS('Combined Employee Worksheet'!$I:$I,"&gt;="&amp;'Adj. Employee Retention'!Z$5,'Combined Employee Worksheet'!$I:$I,"&lt;="&amp;'Adj. Employee Retention'!Z$1,'Combined Employee Worksheet'!$D:$D,'Adj. Employee Retention'!$B78,'Combined Employee Worksheet'!$K:$K,"&lt;="&amp;$C$138,'Combined Employee Worksheet'!$J:$J,"&lt;&gt;")</f>
        <v>1</v>
      </c>
      <c r="AA82" s="472">
        <f>COUNTIFS('Combined Employee Worksheet'!$I:$I,"&gt;="&amp;'Adj. Employee Retention'!AA$5,'Combined Employee Worksheet'!$I:$I,"&lt;="&amp;'Adj. Employee Retention'!AA$1,'Combined Employee Worksheet'!$D:$D,'Adj. Employee Retention'!$B78)-COUNTIFS('Combined Employee Worksheet'!$I:$I,"&gt;="&amp;'Adj. Employee Retention'!AA$5,'Combined Employee Worksheet'!$I:$I,"&lt;="&amp;'Adj. Employee Retention'!AA$1,'Combined Employee Worksheet'!$D:$D,'Adj. Employee Retention'!$B78,'Combined Employee Worksheet'!$K:$K,"&lt;="&amp;$C$138,'Combined Employee Worksheet'!$J:$J,"&lt;&gt;")</f>
        <v>0</v>
      </c>
      <c r="AB82" s="472">
        <f>COUNTIFS('Combined Employee Worksheet'!$I:$I,"&gt;="&amp;'Adj. Employee Retention'!AB$5,'Combined Employee Worksheet'!$I:$I,"&lt;="&amp;'Adj. Employee Retention'!AB$1,'Combined Employee Worksheet'!$D:$D,'Adj. Employee Retention'!$B78)-COUNTIFS('Combined Employee Worksheet'!$I:$I,"&gt;="&amp;'Adj. Employee Retention'!AB$5,'Combined Employee Worksheet'!$I:$I,"&lt;="&amp;'Adj. Employee Retention'!AB$1,'Combined Employee Worksheet'!$D:$D,'Adj. Employee Retention'!$B78,'Combined Employee Worksheet'!$K:$K,"&lt;="&amp;$C$138,'Combined Employee Worksheet'!$J:$J,"&lt;&gt;")</f>
        <v>0</v>
      </c>
      <c r="AC82" s="417"/>
      <c r="AD82" s="417"/>
      <c r="AE82" s="417"/>
    </row>
    <row r="83" spans="1:31" ht="12" customHeight="1">
      <c r="A83" s="417"/>
      <c r="B83" s="471" t="s">
        <v>1815</v>
      </c>
      <c r="C83" s="433">
        <f ca="1">SUM(H83:S83)</f>
        <v>-1</v>
      </c>
      <c r="D83" s="433">
        <f ca="1">SUM(T83:AB83)</f>
        <v>-1</v>
      </c>
      <c r="E83" s="417"/>
      <c r="F83" s="433">
        <f ca="1">SUM(Q83:AB83)</f>
        <v>-1</v>
      </c>
      <c r="G83" s="417"/>
      <c r="H83" s="472">
        <f ca="1">-COUNTIFS('Combined Employee Worksheet'!$J:$J,"&gt;="&amp;'Adj. Employee Retention'!H$5,'Combined Employee Worksheet'!$J:$J,"&lt;="&amp;'Adj. Employee Retention'!H$1,'Combined Employee Worksheet'!$D:$D,'Adj. Employee Retention'!$B78,'Combined Employee Worksheet'!$K:$K,"&gt;"&amp;$C$138)</f>
        <v>-1</v>
      </c>
      <c r="I83" s="472">
        <f>-COUNTIFS('Combined Employee Worksheet'!$J:$J,"&gt;="&amp;'Adj. Employee Retention'!I$5,'Combined Employee Worksheet'!$J:$J,"&lt;="&amp;'Adj. Employee Retention'!I$1,'Combined Employee Worksheet'!$D:$D,'Adj. Employee Retention'!$B78,'Combined Employee Worksheet'!$K:$K,"&gt;"&amp;$C$138)</f>
        <v>0</v>
      </c>
      <c r="J83" s="472">
        <f>-COUNTIFS('Combined Employee Worksheet'!$J:$J,"&gt;="&amp;'Adj. Employee Retention'!J$5,'Combined Employee Worksheet'!$J:$J,"&lt;="&amp;'Adj. Employee Retention'!J$1,'Combined Employee Worksheet'!$D:$D,'Adj. Employee Retention'!$B78,'Combined Employee Worksheet'!$K:$K,"&gt;"&amp;$C$138)</f>
        <v>0</v>
      </c>
      <c r="K83" s="472">
        <f>-COUNTIFS('Combined Employee Worksheet'!$J:$J,"&gt;="&amp;'Adj. Employee Retention'!K$5,'Combined Employee Worksheet'!$J:$J,"&lt;="&amp;'Adj. Employee Retention'!K$1,'Combined Employee Worksheet'!$D:$D,'Adj. Employee Retention'!$B78,'Combined Employee Worksheet'!$K:$K,"&gt;"&amp;$C$138)</f>
        <v>0</v>
      </c>
      <c r="L83" s="472">
        <f>-COUNTIFS('Combined Employee Worksheet'!$J:$J,"&gt;="&amp;'Adj. Employee Retention'!L$5,'Combined Employee Worksheet'!$J:$J,"&lt;="&amp;'Adj. Employee Retention'!L$1,'Combined Employee Worksheet'!$D:$D,'Adj. Employee Retention'!$B78,'Combined Employee Worksheet'!$K:$K,"&gt;"&amp;$C$138)</f>
        <v>0</v>
      </c>
      <c r="M83" s="472">
        <f>-COUNTIFS('Combined Employee Worksheet'!$J:$J,"&gt;="&amp;'Adj. Employee Retention'!M$5,'Combined Employee Worksheet'!$J:$J,"&lt;="&amp;'Adj. Employee Retention'!M$1,'Combined Employee Worksheet'!$D:$D,'Adj. Employee Retention'!$B78,'Combined Employee Worksheet'!$K:$K,"&gt;"&amp;$C$138)</f>
        <v>0</v>
      </c>
      <c r="N83" s="472">
        <f>-COUNTIFS('Combined Employee Worksheet'!$J:$J,"&gt;="&amp;'Adj. Employee Retention'!N$5,'Combined Employee Worksheet'!$J:$J,"&lt;="&amp;'Adj. Employee Retention'!N$1,'Combined Employee Worksheet'!$D:$D,'Adj. Employee Retention'!$B78,'Combined Employee Worksheet'!$K:$K,"&gt;"&amp;$C$138)</f>
        <v>0</v>
      </c>
      <c r="O83" s="472">
        <f>-COUNTIFS('Combined Employee Worksheet'!$J:$J,"&gt;="&amp;'Adj. Employee Retention'!O$5,'Combined Employee Worksheet'!$J:$J,"&lt;="&amp;'Adj. Employee Retention'!O$1,'Combined Employee Worksheet'!$D:$D,'Adj. Employee Retention'!$B78,'Combined Employee Worksheet'!$K:$K,"&gt;"&amp;$C$138)</f>
        <v>0</v>
      </c>
      <c r="P83" s="472">
        <f>-COUNTIFS('Combined Employee Worksheet'!$J:$J,"&gt;="&amp;'Adj. Employee Retention'!P$5,'Combined Employee Worksheet'!$J:$J,"&lt;="&amp;'Adj. Employee Retention'!P$1,'Combined Employee Worksheet'!$D:$D,'Adj. Employee Retention'!$B78,'Combined Employee Worksheet'!$K:$K,"&gt;"&amp;$C$138)</f>
        <v>0</v>
      </c>
      <c r="Q83" s="472">
        <f>-COUNTIFS('Combined Employee Worksheet'!$J:$J,"&gt;="&amp;'Adj. Employee Retention'!Q$5,'Combined Employee Worksheet'!$J:$J,"&lt;="&amp;'Adj. Employee Retention'!Q$1,'Combined Employee Worksheet'!$D:$D,'Adj. Employee Retention'!$B78,'Combined Employee Worksheet'!$K:$K,"&gt;"&amp;$C$138)</f>
        <v>0</v>
      </c>
      <c r="R83" s="472">
        <f>-COUNTIFS('Combined Employee Worksheet'!$J:$J,"&gt;="&amp;'Adj. Employee Retention'!R$5,'Combined Employee Worksheet'!$J:$J,"&lt;="&amp;'Adj. Employee Retention'!R$1,'Combined Employee Worksheet'!$D:$D,'Adj. Employee Retention'!$B78,'Combined Employee Worksheet'!$K:$K,"&gt;"&amp;$C$138)</f>
        <v>0</v>
      </c>
      <c r="S83" s="472">
        <f ca="1">-COUNTIFS('Combined Employee Worksheet'!$J:$J,"&gt;="&amp;'Adj. Employee Retention'!S$5,'Combined Employee Worksheet'!$J:$J,"&lt;="&amp;'Adj. Employee Retention'!S$1,'Combined Employee Worksheet'!$D:$D,'Adj. Employee Retention'!$B78,'Combined Employee Worksheet'!$K:$K,"&gt;"&amp;$C$138)</f>
        <v>0</v>
      </c>
      <c r="T83" s="472">
        <f>-COUNTIFS('Combined Employee Worksheet'!$J:$J,"&gt;="&amp;'Adj. Employee Retention'!T$5,'Combined Employee Worksheet'!$J:$J,"&lt;="&amp;'Adj. Employee Retention'!T$1,'Combined Employee Worksheet'!$D:$D,'Adj. Employee Retention'!$B78,'Combined Employee Worksheet'!$K:$K,"&gt;"&amp;$C$138)</f>
        <v>0</v>
      </c>
      <c r="U83" s="472">
        <f>-COUNTIFS('Combined Employee Worksheet'!$J:$J,"&gt;="&amp;'Adj. Employee Retention'!U$5,'Combined Employee Worksheet'!$J:$J,"&lt;="&amp;'Adj. Employee Retention'!U$1,'Combined Employee Worksheet'!$D:$D,'Adj. Employee Retention'!$B78,'Combined Employee Worksheet'!$K:$K,"&gt;"&amp;$C$138)</f>
        <v>0</v>
      </c>
      <c r="V83" s="472">
        <f>-COUNTIFS('Combined Employee Worksheet'!$J:$J,"&gt;="&amp;'Adj. Employee Retention'!V$5,'Combined Employee Worksheet'!$J:$J,"&lt;="&amp;'Adj. Employee Retention'!V$1,'Combined Employee Worksheet'!$D:$D,'Adj. Employee Retention'!$B78,'Combined Employee Worksheet'!$K:$K,"&gt;"&amp;$C$138)</f>
        <v>0</v>
      </c>
      <c r="W83" s="472">
        <f>-COUNTIFS('Combined Employee Worksheet'!$J:$J,"&gt;="&amp;'Adj. Employee Retention'!W$5,'Combined Employee Worksheet'!$J:$J,"&lt;="&amp;'Adj. Employee Retention'!W$1,'Combined Employee Worksheet'!$D:$D,'Adj. Employee Retention'!$B78,'Combined Employee Worksheet'!$K:$K,"&gt;"&amp;$C$138)</f>
        <v>0</v>
      </c>
      <c r="X83" s="472">
        <f ca="1">-COUNTIFS('Combined Employee Worksheet'!$J:$J,"&gt;="&amp;'Adj. Employee Retention'!X$5,'Combined Employee Worksheet'!$J:$J,"&lt;="&amp;'Adj. Employee Retention'!X$1,'Combined Employee Worksheet'!$D:$D,'Adj. Employee Retention'!$B78,'Combined Employee Worksheet'!$K:$K,"&gt;"&amp;$C$138)</f>
        <v>-1</v>
      </c>
      <c r="Y83" s="472">
        <f>-COUNTIFS('Combined Employee Worksheet'!$J:$J,"&gt;="&amp;'Adj. Employee Retention'!Y$5,'Combined Employee Worksheet'!$J:$J,"&lt;="&amp;'Adj. Employee Retention'!Y$1,'Combined Employee Worksheet'!$D:$D,'Adj. Employee Retention'!$B78,'Combined Employee Worksheet'!$K:$K,"&gt;"&amp;$C$138)</f>
        <v>0</v>
      </c>
      <c r="Z83" s="472">
        <f ca="1">-COUNTIFS('Combined Employee Worksheet'!$J:$J,"&gt;="&amp;'Adj. Employee Retention'!Z$5,'Combined Employee Worksheet'!$J:$J,"&lt;="&amp;'Adj. Employee Retention'!Z$1,'Combined Employee Worksheet'!$D:$D,'Adj. Employee Retention'!$B78,'Combined Employee Worksheet'!$K:$K,"&gt;"&amp;$C$138)</f>
        <v>0</v>
      </c>
      <c r="AA83" s="472">
        <f>-COUNTIFS('Combined Employee Worksheet'!$J:$J,"&gt;="&amp;'Adj. Employee Retention'!AA$5,'Combined Employee Worksheet'!$J:$J,"&lt;="&amp;'Adj. Employee Retention'!AA$1,'Combined Employee Worksheet'!$D:$D,'Adj. Employee Retention'!$B78,'Combined Employee Worksheet'!$K:$K,"&gt;"&amp;$C$138)</f>
        <v>0</v>
      </c>
      <c r="AB83" s="472">
        <f>-COUNTIFS('Combined Employee Worksheet'!$J:$J,"&gt;="&amp;'Adj. Employee Retention'!AB$5,'Combined Employee Worksheet'!$J:$J,"&lt;="&amp;'Adj. Employee Retention'!AB$1,'Combined Employee Worksheet'!$D:$D,'Adj. Employee Retention'!$B78,'Combined Employee Worksheet'!$K:$K,"&gt;"&amp;$C$138)</f>
        <v>0</v>
      </c>
      <c r="AC83" s="417"/>
      <c r="AD83" s="417"/>
      <c r="AE83" s="417"/>
    </row>
    <row r="84" spans="1:31" ht="12" customHeight="1">
      <c r="A84" s="417"/>
      <c r="B84" s="474" t="s">
        <v>1315</v>
      </c>
      <c r="C84" s="475">
        <f ca="1">+D81</f>
        <v>4</v>
      </c>
      <c r="D84" s="476">
        <f>+$AB84</f>
        <v>4</v>
      </c>
      <c r="E84" s="417"/>
      <c r="F84" s="477">
        <f>+$AB84</f>
        <v>4</v>
      </c>
      <c r="G84" s="417"/>
      <c r="H84" s="478">
        <f t="shared" ref="H84:AA84" ca="1" si="49">+I81</f>
        <v>3</v>
      </c>
      <c r="I84" s="475">
        <f t="shared" ca="1" si="49"/>
        <v>3</v>
      </c>
      <c r="J84" s="475">
        <f t="shared" ca="1" si="49"/>
        <v>3</v>
      </c>
      <c r="K84" s="475">
        <f t="shared" ca="1" si="49"/>
        <v>3</v>
      </c>
      <c r="L84" s="475">
        <f t="shared" ca="1" si="49"/>
        <v>3</v>
      </c>
      <c r="M84" s="475">
        <f t="shared" ca="1" si="49"/>
        <v>3</v>
      </c>
      <c r="N84" s="475">
        <f t="shared" ca="1" si="49"/>
        <v>3</v>
      </c>
      <c r="O84" s="475">
        <f t="shared" ca="1" si="49"/>
        <v>3</v>
      </c>
      <c r="P84" s="475">
        <f t="shared" ca="1" si="49"/>
        <v>3</v>
      </c>
      <c r="Q84" s="511">
        <f t="shared" ca="1" si="49"/>
        <v>3</v>
      </c>
      <c r="R84" s="512">
        <f t="shared" ca="1" si="49"/>
        <v>3</v>
      </c>
      <c r="S84" s="512">
        <f t="shared" ca="1" si="49"/>
        <v>4</v>
      </c>
      <c r="T84" s="512">
        <f t="shared" ca="1" si="49"/>
        <v>4</v>
      </c>
      <c r="U84" s="512">
        <f t="shared" ca="1" si="49"/>
        <v>4</v>
      </c>
      <c r="V84" s="512">
        <f t="shared" ca="1" si="49"/>
        <v>4</v>
      </c>
      <c r="W84" s="512">
        <f t="shared" ca="1" si="49"/>
        <v>4</v>
      </c>
      <c r="X84" s="512">
        <f t="shared" ca="1" si="49"/>
        <v>3</v>
      </c>
      <c r="Y84" s="512">
        <f t="shared" ca="1" si="49"/>
        <v>3</v>
      </c>
      <c r="Z84" s="512">
        <f t="shared" si="49"/>
        <v>4</v>
      </c>
      <c r="AA84" s="512">
        <f t="shared" si="49"/>
        <v>4</v>
      </c>
      <c r="AB84" s="513">
        <f>COUNTIFS('Combined Employee Worksheet'!$H:$H,"Active",'Combined Employee Worksheet'!$D:$D,'Adj. Employee Retention'!B78)</f>
        <v>4</v>
      </c>
      <c r="AC84" s="417"/>
      <c r="AD84" s="417"/>
      <c r="AE84" s="417"/>
    </row>
    <row r="85" spans="1:31" ht="3.95" customHeight="1">
      <c r="A85" s="417"/>
      <c r="B85" s="480"/>
      <c r="C85" s="481"/>
      <c r="D85" s="481"/>
      <c r="E85" s="417"/>
      <c r="F85" s="481"/>
      <c r="G85" s="417"/>
      <c r="H85" s="481"/>
      <c r="I85" s="481"/>
      <c r="J85" s="481"/>
      <c r="K85" s="481"/>
      <c r="L85" s="481"/>
      <c r="M85" s="481"/>
      <c r="N85" s="481"/>
      <c r="O85" s="481"/>
      <c r="P85" s="481"/>
      <c r="Q85" s="514"/>
      <c r="R85" s="515"/>
      <c r="S85" s="515"/>
      <c r="T85" s="515"/>
      <c r="U85" s="515"/>
      <c r="V85" s="515"/>
      <c r="W85" s="515"/>
      <c r="X85" s="515"/>
      <c r="Y85" s="515"/>
      <c r="Z85" s="515"/>
      <c r="AA85" s="515"/>
      <c r="AB85" s="516"/>
      <c r="AC85" s="417"/>
      <c r="AD85" s="417"/>
      <c r="AE85" s="417"/>
    </row>
    <row r="86" spans="1:31" ht="12" customHeight="1">
      <c r="A86" s="417"/>
      <c r="B86" s="487" t="s">
        <v>1817</v>
      </c>
      <c r="C86" s="502">
        <f ca="1">AVERAGE(C81,C84)</f>
        <v>4</v>
      </c>
      <c r="D86" s="503">
        <f ca="1">AVERAGE(D81,D84)</f>
        <v>4</v>
      </c>
      <c r="E86" s="417"/>
      <c r="F86" s="504">
        <f ca="1">AVERAGE(F81,F84)</f>
        <v>3.5</v>
      </c>
      <c r="G86" s="417"/>
      <c r="H86" s="505">
        <f t="shared" ref="H86:AB86" ca="1" si="50">AVERAGE(H81,H84)</f>
        <v>3.5</v>
      </c>
      <c r="I86" s="502">
        <f t="shared" ca="1" si="50"/>
        <v>3</v>
      </c>
      <c r="J86" s="502">
        <f t="shared" ca="1" si="50"/>
        <v>3</v>
      </c>
      <c r="K86" s="502">
        <f t="shared" ca="1" si="50"/>
        <v>3</v>
      </c>
      <c r="L86" s="502">
        <f t="shared" ca="1" si="50"/>
        <v>3</v>
      </c>
      <c r="M86" s="502">
        <f t="shared" ca="1" si="50"/>
        <v>3</v>
      </c>
      <c r="N86" s="502">
        <f t="shared" ca="1" si="50"/>
        <v>3</v>
      </c>
      <c r="O86" s="502">
        <f t="shared" ca="1" si="50"/>
        <v>3</v>
      </c>
      <c r="P86" s="502">
        <f t="shared" ca="1" si="50"/>
        <v>3</v>
      </c>
      <c r="Q86" s="505">
        <f t="shared" ca="1" si="50"/>
        <v>3</v>
      </c>
      <c r="R86" s="502">
        <f t="shared" ca="1" si="50"/>
        <v>3</v>
      </c>
      <c r="S86" s="502">
        <f t="shared" ca="1" si="50"/>
        <v>3.5</v>
      </c>
      <c r="T86" s="502">
        <f t="shared" ca="1" si="50"/>
        <v>4</v>
      </c>
      <c r="U86" s="502">
        <f t="shared" ca="1" si="50"/>
        <v>4</v>
      </c>
      <c r="V86" s="502">
        <f t="shared" ca="1" si="50"/>
        <v>4</v>
      </c>
      <c r="W86" s="502">
        <f t="shared" ca="1" si="50"/>
        <v>4</v>
      </c>
      <c r="X86" s="502">
        <f t="shared" ca="1" si="50"/>
        <v>3.5</v>
      </c>
      <c r="Y86" s="502">
        <f t="shared" ca="1" si="50"/>
        <v>3</v>
      </c>
      <c r="Z86" s="502">
        <f t="shared" ca="1" si="50"/>
        <v>3.5</v>
      </c>
      <c r="AA86" s="502">
        <f t="shared" si="50"/>
        <v>4</v>
      </c>
      <c r="AB86" s="503">
        <f t="shared" si="50"/>
        <v>4</v>
      </c>
      <c r="AC86" s="417"/>
      <c r="AD86" s="417"/>
      <c r="AE86" s="417"/>
    </row>
    <row r="87" spans="1:31" ht="12" customHeight="1">
      <c r="A87" s="417"/>
      <c r="B87" s="493" t="s">
        <v>1816</v>
      </c>
      <c r="C87" s="506">
        <f ca="1">C79/C86</f>
        <v>40.625</v>
      </c>
      <c r="D87" s="507">
        <f ca="1">D79/D86</f>
        <v>44.875</v>
      </c>
      <c r="E87" s="470"/>
      <c r="F87" s="508">
        <f ca="1">F79/F86</f>
        <v>50.857142857142854</v>
      </c>
      <c r="G87" s="470"/>
      <c r="H87" s="509">
        <f t="shared" ref="H87:AB87" ca="1" si="51">H79/H86</f>
        <v>41.714285714285715</v>
      </c>
      <c r="I87" s="506">
        <f t="shared" ca="1" si="51"/>
        <v>49.166666666666664</v>
      </c>
      <c r="J87" s="506">
        <f t="shared" ca="1" si="51"/>
        <v>50.333333333333336</v>
      </c>
      <c r="K87" s="506">
        <f t="shared" ca="1" si="51"/>
        <v>52.166666666666664</v>
      </c>
      <c r="L87" s="506">
        <f t="shared" ca="1" si="51"/>
        <v>54</v>
      </c>
      <c r="M87" s="506">
        <f t="shared" ca="1" si="51"/>
        <v>55</v>
      </c>
      <c r="N87" s="506">
        <f t="shared" ca="1" si="51"/>
        <v>55.666666666666664</v>
      </c>
      <c r="O87" s="506">
        <f t="shared" ca="1" si="51"/>
        <v>57.333333333333336</v>
      </c>
      <c r="P87" s="506">
        <f t="shared" ca="1" si="51"/>
        <v>58.666666666666664</v>
      </c>
      <c r="Q87" s="509">
        <f t="shared" ca="1" si="51"/>
        <v>59.833333333333336</v>
      </c>
      <c r="R87" s="506">
        <f t="shared" ca="1" si="51"/>
        <v>60.5</v>
      </c>
      <c r="S87" s="506">
        <f t="shared" ca="1" si="51"/>
        <v>51.571428571428569</v>
      </c>
      <c r="T87" s="506">
        <f t="shared" ca="1" si="51"/>
        <v>45.75</v>
      </c>
      <c r="U87" s="506">
        <f t="shared" ca="1" si="51"/>
        <v>47.375</v>
      </c>
      <c r="V87" s="506">
        <f t="shared" ca="1" si="51"/>
        <v>48.125</v>
      </c>
      <c r="W87" s="506">
        <f t="shared" ca="1" si="51"/>
        <v>48.75</v>
      </c>
      <c r="X87" s="506">
        <f t="shared" ca="1" si="51"/>
        <v>55.285714285714285</v>
      </c>
      <c r="Y87" s="506">
        <f t="shared" ca="1" si="51"/>
        <v>63</v>
      </c>
      <c r="Z87" s="506">
        <f t="shared" ca="1" si="51"/>
        <v>51.857142857142854</v>
      </c>
      <c r="AA87" s="506">
        <f t="shared" si="51"/>
        <v>43.625</v>
      </c>
      <c r="AB87" s="507">
        <f t="shared" si="51"/>
        <v>44.25</v>
      </c>
      <c r="AC87" s="417"/>
      <c r="AD87" s="417"/>
      <c r="AE87" s="417"/>
    </row>
    <row r="88" spans="1:31" ht="3.95" customHeight="1">
      <c r="A88" s="417"/>
      <c r="B88" s="480"/>
      <c r="C88" s="481"/>
      <c r="D88" s="481"/>
      <c r="E88" s="417"/>
      <c r="F88" s="481"/>
      <c r="G88" s="417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  <c r="Z88" s="482"/>
      <c r="AA88" s="482"/>
      <c r="AB88" s="482"/>
      <c r="AC88" s="417"/>
      <c r="AD88" s="417"/>
      <c r="AE88" s="417"/>
    </row>
    <row r="89" spans="1:31" ht="12" customHeight="1">
      <c r="A89" s="417"/>
      <c r="B89" s="487" t="s">
        <v>1813</v>
      </c>
      <c r="C89" s="488">
        <f ca="1">(C82+C81)/C81-1</f>
        <v>0.25</v>
      </c>
      <c r="D89" s="489">
        <f ca="1">(D82+D81)/D81-1</f>
        <v>0.25</v>
      </c>
      <c r="E89" s="490"/>
      <c r="F89" s="491">
        <f ca="1">(F82+F81)/F81-1</f>
        <v>0.66666666666666674</v>
      </c>
      <c r="G89" s="417"/>
      <c r="H89" s="492">
        <f t="shared" ref="H89:AB89" ca="1" si="52">(H82+H81)/H81-1</f>
        <v>0</v>
      </c>
      <c r="I89" s="488">
        <f t="shared" ca="1" si="52"/>
        <v>0</v>
      </c>
      <c r="J89" s="488">
        <f t="shared" ca="1" si="52"/>
        <v>0</v>
      </c>
      <c r="K89" s="488">
        <f t="shared" ca="1" si="52"/>
        <v>0</v>
      </c>
      <c r="L89" s="488">
        <f t="shared" ca="1" si="52"/>
        <v>0</v>
      </c>
      <c r="M89" s="488">
        <f t="shared" ca="1" si="52"/>
        <v>0</v>
      </c>
      <c r="N89" s="488">
        <f t="shared" ca="1" si="52"/>
        <v>0</v>
      </c>
      <c r="O89" s="488">
        <f t="shared" ca="1" si="52"/>
        <v>0</v>
      </c>
      <c r="P89" s="488">
        <f t="shared" ca="1" si="52"/>
        <v>0</v>
      </c>
      <c r="Q89" s="492">
        <f t="shared" ca="1" si="52"/>
        <v>0</v>
      </c>
      <c r="R89" s="488">
        <f t="shared" ca="1" si="52"/>
        <v>0</v>
      </c>
      <c r="S89" s="488">
        <f t="shared" ca="1" si="52"/>
        <v>0.33333333333333326</v>
      </c>
      <c r="T89" s="488">
        <f t="shared" ca="1" si="52"/>
        <v>0</v>
      </c>
      <c r="U89" s="488">
        <f t="shared" ca="1" si="52"/>
        <v>0</v>
      </c>
      <c r="V89" s="488">
        <f t="shared" ca="1" si="52"/>
        <v>0</v>
      </c>
      <c r="W89" s="488">
        <f t="shared" ca="1" si="52"/>
        <v>0</v>
      </c>
      <c r="X89" s="488">
        <f t="shared" ca="1" si="52"/>
        <v>0</v>
      </c>
      <c r="Y89" s="488">
        <f t="shared" ca="1" si="52"/>
        <v>0</v>
      </c>
      <c r="Z89" s="488">
        <f t="shared" ca="1" si="52"/>
        <v>0.33333333333333326</v>
      </c>
      <c r="AA89" s="488">
        <f t="shared" si="52"/>
        <v>0</v>
      </c>
      <c r="AB89" s="489">
        <f t="shared" si="52"/>
        <v>0</v>
      </c>
      <c r="AC89" s="417"/>
      <c r="AD89" s="417"/>
      <c r="AE89" s="417"/>
    </row>
    <row r="90" spans="1:31">
      <c r="A90" s="417"/>
      <c r="B90" s="493" t="s">
        <v>1812</v>
      </c>
      <c r="C90" s="494">
        <f ca="1">(C83+C86)/C86-1</f>
        <v>-0.25</v>
      </c>
      <c r="D90" s="495">
        <f ca="1">(D83+D86)/D86-1</f>
        <v>-0.25</v>
      </c>
      <c r="E90" s="490"/>
      <c r="F90" s="496">
        <f ca="1">(F83+F86)/F86-1</f>
        <v>-0.2857142857142857</v>
      </c>
      <c r="G90" s="417"/>
      <c r="H90" s="497">
        <f t="shared" ref="H90:AB90" ca="1" si="53">(H83+H86)/H86-1</f>
        <v>-0.2857142857142857</v>
      </c>
      <c r="I90" s="494">
        <f t="shared" ca="1" si="53"/>
        <v>0</v>
      </c>
      <c r="J90" s="494">
        <f t="shared" ca="1" si="53"/>
        <v>0</v>
      </c>
      <c r="K90" s="494">
        <f t="shared" ca="1" si="53"/>
        <v>0</v>
      </c>
      <c r="L90" s="494">
        <f t="shared" ca="1" si="53"/>
        <v>0</v>
      </c>
      <c r="M90" s="494">
        <f t="shared" ca="1" si="53"/>
        <v>0</v>
      </c>
      <c r="N90" s="494">
        <f t="shared" ca="1" si="53"/>
        <v>0</v>
      </c>
      <c r="O90" s="494">
        <f t="shared" ca="1" si="53"/>
        <v>0</v>
      </c>
      <c r="P90" s="494">
        <f t="shared" ca="1" si="53"/>
        <v>0</v>
      </c>
      <c r="Q90" s="497">
        <f t="shared" ca="1" si="53"/>
        <v>0</v>
      </c>
      <c r="R90" s="494">
        <f t="shared" ca="1" si="53"/>
        <v>0</v>
      </c>
      <c r="S90" s="494">
        <f t="shared" ca="1" si="53"/>
        <v>0</v>
      </c>
      <c r="T90" s="494">
        <f t="shared" ca="1" si="53"/>
        <v>0</v>
      </c>
      <c r="U90" s="494">
        <f t="shared" ca="1" si="53"/>
        <v>0</v>
      </c>
      <c r="V90" s="494">
        <f t="shared" ca="1" si="53"/>
        <v>0</v>
      </c>
      <c r="W90" s="494">
        <f t="shared" ca="1" si="53"/>
        <v>0</v>
      </c>
      <c r="X90" s="494">
        <f t="shared" ca="1" si="53"/>
        <v>-0.2857142857142857</v>
      </c>
      <c r="Y90" s="494">
        <f t="shared" ca="1" si="53"/>
        <v>0</v>
      </c>
      <c r="Z90" s="494">
        <f t="shared" ca="1" si="53"/>
        <v>0</v>
      </c>
      <c r="AA90" s="494">
        <f t="shared" si="53"/>
        <v>0</v>
      </c>
      <c r="AB90" s="495">
        <f t="shared" si="53"/>
        <v>0</v>
      </c>
      <c r="AC90" s="417"/>
      <c r="AD90" s="417"/>
      <c r="AE90" s="417"/>
    </row>
    <row r="91" spans="1:31" ht="3.95" customHeight="1">
      <c r="A91" s="417"/>
      <c r="B91" s="480"/>
      <c r="C91" s="417"/>
      <c r="D91" s="417"/>
      <c r="E91" s="417"/>
      <c r="F91" s="417"/>
      <c r="G91" s="417"/>
      <c r="H91" s="417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17"/>
      <c r="X91" s="417"/>
      <c r="Y91" s="417"/>
      <c r="Z91" s="417"/>
      <c r="AA91" s="417"/>
      <c r="AB91" s="417"/>
      <c r="AC91" s="417"/>
      <c r="AD91" s="417"/>
      <c r="AE91" s="417"/>
    </row>
    <row r="92" spans="1:31" ht="24">
      <c r="A92" s="417"/>
      <c r="B92" s="462" t="s">
        <v>1997</v>
      </c>
      <c r="C92" s="463" t="s">
        <v>4</v>
      </c>
      <c r="D92" s="463" t="s">
        <v>1317</v>
      </c>
      <c r="E92" s="464"/>
      <c r="F92" s="463" t="s">
        <v>1527</v>
      </c>
      <c r="G92" s="417"/>
      <c r="H92" s="465">
        <v>45658</v>
      </c>
      <c r="I92" s="465">
        <f t="shared" ref="I92:N92" si="54">EOMONTH(H92,0)+1</f>
        <v>45689</v>
      </c>
      <c r="J92" s="465">
        <f t="shared" si="54"/>
        <v>45717</v>
      </c>
      <c r="K92" s="465">
        <f t="shared" si="54"/>
        <v>45748</v>
      </c>
      <c r="L92" s="465">
        <f t="shared" si="54"/>
        <v>45778</v>
      </c>
      <c r="M92" s="465">
        <f t="shared" si="54"/>
        <v>45809</v>
      </c>
      <c r="N92" s="465">
        <f t="shared" si="54"/>
        <v>45839</v>
      </c>
      <c r="O92" s="465">
        <v>45870</v>
      </c>
      <c r="P92" s="465">
        <f t="shared" ref="P92:AB92" si="55">EOMONTH(O92,0)+1</f>
        <v>45901</v>
      </c>
      <c r="Q92" s="465">
        <f t="shared" si="55"/>
        <v>45931</v>
      </c>
      <c r="R92" s="465">
        <f t="shared" si="55"/>
        <v>45962</v>
      </c>
      <c r="S92" s="465">
        <f t="shared" si="55"/>
        <v>45992</v>
      </c>
      <c r="T92" s="465">
        <f t="shared" si="55"/>
        <v>46023</v>
      </c>
      <c r="U92" s="465">
        <f t="shared" si="55"/>
        <v>46054</v>
      </c>
      <c r="V92" s="465">
        <f t="shared" si="55"/>
        <v>46082</v>
      </c>
      <c r="W92" s="465">
        <f t="shared" si="55"/>
        <v>46113</v>
      </c>
      <c r="X92" s="465">
        <f t="shared" si="55"/>
        <v>46143</v>
      </c>
      <c r="Y92" s="465">
        <f t="shared" si="55"/>
        <v>46174</v>
      </c>
      <c r="Z92" s="465">
        <f t="shared" si="55"/>
        <v>46204</v>
      </c>
      <c r="AA92" s="465">
        <f t="shared" si="55"/>
        <v>46235</v>
      </c>
      <c r="AB92" s="465">
        <f t="shared" si="55"/>
        <v>46266</v>
      </c>
      <c r="AC92" s="466"/>
      <c r="AD92" s="417"/>
      <c r="AE92" s="466"/>
    </row>
    <row r="93" spans="1:31">
      <c r="A93" s="417"/>
      <c r="B93" s="498" t="s">
        <v>493</v>
      </c>
      <c r="C93" s="468"/>
      <c r="D93" s="468"/>
      <c r="E93" s="469"/>
      <c r="F93" s="468"/>
      <c r="G93" s="417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9"/>
      <c r="AD93" s="469"/>
      <c r="AE93" s="469"/>
    </row>
    <row r="94" spans="1:31">
      <c r="A94" s="417"/>
      <c r="B94" s="469" t="s">
        <v>1818</v>
      </c>
      <c r="C94" s="510">
        <f>+C$19</f>
        <v>162.5</v>
      </c>
      <c r="D94" s="510">
        <f>+D$19</f>
        <v>179.5</v>
      </c>
      <c r="E94" s="469"/>
      <c r="F94" s="510">
        <f>+F$19</f>
        <v>178</v>
      </c>
      <c r="G94" s="417"/>
      <c r="H94" s="510">
        <f>+H$19</f>
        <v>146</v>
      </c>
      <c r="I94" s="510">
        <f t="shared" ref="I94:AB94" si="56">+I$19</f>
        <v>147.5</v>
      </c>
      <c r="J94" s="510">
        <f t="shared" si="56"/>
        <v>151</v>
      </c>
      <c r="K94" s="510">
        <f t="shared" si="56"/>
        <v>156.5</v>
      </c>
      <c r="L94" s="510">
        <f t="shared" si="56"/>
        <v>162</v>
      </c>
      <c r="M94" s="510">
        <f t="shared" si="56"/>
        <v>165</v>
      </c>
      <c r="N94" s="510">
        <f t="shared" si="56"/>
        <v>167</v>
      </c>
      <c r="O94" s="510">
        <f t="shared" si="56"/>
        <v>172</v>
      </c>
      <c r="P94" s="510">
        <f t="shared" si="56"/>
        <v>176</v>
      </c>
      <c r="Q94" s="510">
        <f t="shared" si="56"/>
        <v>179.5</v>
      </c>
      <c r="R94" s="510">
        <f t="shared" si="56"/>
        <v>181.5</v>
      </c>
      <c r="S94" s="510">
        <f t="shared" si="56"/>
        <v>180.5</v>
      </c>
      <c r="T94" s="510">
        <f t="shared" si="56"/>
        <v>183</v>
      </c>
      <c r="U94" s="510">
        <f t="shared" si="56"/>
        <v>189.5</v>
      </c>
      <c r="V94" s="510">
        <f t="shared" si="56"/>
        <v>192.5</v>
      </c>
      <c r="W94" s="510">
        <f t="shared" si="56"/>
        <v>195</v>
      </c>
      <c r="X94" s="510">
        <f t="shared" si="56"/>
        <v>193.5</v>
      </c>
      <c r="Y94" s="510">
        <f t="shared" si="56"/>
        <v>189</v>
      </c>
      <c r="Z94" s="510">
        <f t="shared" si="56"/>
        <v>181.5</v>
      </c>
      <c r="AA94" s="510">
        <f t="shared" si="56"/>
        <v>174.5</v>
      </c>
      <c r="AB94" s="510">
        <f t="shared" si="56"/>
        <v>177</v>
      </c>
      <c r="AC94" s="469"/>
      <c r="AD94" s="469"/>
      <c r="AE94" s="469"/>
    </row>
    <row r="95" spans="1:31" ht="3.95" customHeight="1">
      <c r="A95" s="417"/>
      <c r="B95" s="500"/>
      <c r="C95" s="469"/>
      <c r="D95" s="469"/>
      <c r="E95" s="469"/>
      <c r="F95" s="469"/>
      <c r="G95" s="417"/>
      <c r="H95" s="469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469"/>
      <c r="X95" s="469"/>
      <c r="Y95" s="469"/>
      <c r="Z95" s="469"/>
      <c r="AA95" s="469"/>
      <c r="AB95" s="469"/>
      <c r="AC95" s="469"/>
      <c r="AD95" s="469"/>
      <c r="AE95" s="469"/>
    </row>
    <row r="96" spans="1:31">
      <c r="A96" s="417"/>
      <c r="B96" s="417" t="s">
        <v>1313</v>
      </c>
      <c r="C96" s="470">
        <f ca="1">+C99-C97-C98</f>
        <v>5</v>
      </c>
      <c r="D96" s="470">
        <f ca="1">+D99-D97-D98</f>
        <v>7</v>
      </c>
      <c r="E96" s="417"/>
      <c r="F96" s="470">
        <f ca="1">+F99-F97-F98</f>
        <v>6</v>
      </c>
      <c r="G96" s="417"/>
      <c r="H96" s="470">
        <f t="shared" ref="H96:AB96" ca="1" si="57">+H99-H97-H98</f>
        <v>5</v>
      </c>
      <c r="I96" s="470">
        <f t="shared" ca="1" si="57"/>
        <v>5</v>
      </c>
      <c r="J96" s="470">
        <f t="shared" ca="1" si="57"/>
        <v>5</v>
      </c>
      <c r="K96" s="470">
        <f t="shared" ca="1" si="57"/>
        <v>5</v>
      </c>
      <c r="L96" s="470">
        <f t="shared" ca="1" si="57"/>
        <v>5</v>
      </c>
      <c r="M96" s="470">
        <f t="shared" ca="1" si="57"/>
        <v>6</v>
      </c>
      <c r="N96" s="470">
        <f t="shared" ca="1" si="57"/>
        <v>6</v>
      </c>
      <c r="O96" s="470">
        <f t="shared" ca="1" si="57"/>
        <v>6</v>
      </c>
      <c r="P96" s="470">
        <f t="shared" ca="1" si="57"/>
        <v>6</v>
      </c>
      <c r="Q96" s="470">
        <f t="shared" ca="1" si="57"/>
        <v>6</v>
      </c>
      <c r="R96" s="470">
        <f t="shared" ca="1" si="57"/>
        <v>6</v>
      </c>
      <c r="S96" s="470">
        <f t="shared" ca="1" si="57"/>
        <v>6</v>
      </c>
      <c r="T96" s="470">
        <f t="shared" ca="1" si="57"/>
        <v>7</v>
      </c>
      <c r="U96" s="470">
        <f t="shared" ca="1" si="57"/>
        <v>8</v>
      </c>
      <c r="V96" s="470">
        <f t="shared" ca="1" si="57"/>
        <v>8</v>
      </c>
      <c r="W96" s="470">
        <f t="shared" ca="1" si="57"/>
        <v>8</v>
      </c>
      <c r="X96" s="470">
        <f t="shared" ca="1" si="57"/>
        <v>8</v>
      </c>
      <c r="Y96" s="470">
        <f t="shared" ca="1" si="57"/>
        <v>7</v>
      </c>
      <c r="Z96" s="470">
        <f t="shared" ca="1" si="57"/>
        <v>7</v>
      </c>
      <c r="AA96" s="470">
        <f t="shared" ca="1" si="57"/>
        <v>7</v>
      </c>
      <c r="AB96" s="470">
        <f t="shared" si="57"/>
        <v>8</v>
      </c>
      <c r="AC96" s="417"/>
      <c r="AD96" s="417"/>
      <c r="AE96" s="417"/>
    </row>
    <row r="97" spans="1:31">
      <c r="A97" s="417"/>
      <c r="B97" s="471" t="s">
        <v>1814</v>
      </c>
      <c r="C97" s="433">
        <f ca="1">SUM(H97:S97)</f>
        <v>2</v>
      </c>
      <c r="D97" s="433">
        <f ca="1">SUM(T97:AB97)</f>
        <v>2</v>
      </c>
      <c r="E97" s="417"/>
      <c r="F97" s="433">
        <f ca="1">SUM(Q97:AB97)</f>
        <v>3</v>
      </c>
      <c r="G97" s="417"/>
      <c r="H97" s="472">
        <f>COUNTIFS('Combined Employee Worksheet'!$I:$I,"&gt;="&amp;'Adj. Employee Retention'!H$5,'Combined Employee Worksheet'!$I:$I,"&lt;="&amp;'Adj. Employee Retention'!H$1,'Combined Employee Worksheet'!$D:$D,'Adj. Employee Retention'!$B93)-COUNTIFS('Combined Employee Worksheet'!$I:$I,"&gt;="&amp;'Adj. Employee Retention'!H$5,'Combined Employee Worksheet'!$I:$I,"&lt;="&amp;'Adj. Employee Retention'!H$1,'Combined Employee Worksheet'!$D:$D,'Adj. Employee Retention'!$B93,'Combined Employee Worksheet'!$K:$K,"&lt;="&amp;$C$138,'Combined Employee Worksheet'!$J:$J,"&lt;&gt;")</f>
        <v>0</v>
      </c>
      <c r="I97" s="472">
        <f>COUNTIFS('Combined Employee Worksheet'!$I:$I,"&gt;="&amp;'Adj. Employee Retention'!I$5,'Combined Employee Worksheet'!$I:$I,"&lt;="&amp;'Adj. Employee Retention'!I$1,'Combined Employee Worksheet'!$D:$D,'Adj. Employee Retention'!$B93)-COUNTIFS('Combined Employee Worksheet'!$I:$I,"&gt;="&amp;'Adj. Employee Retention'!I$5,'Combined Employee Worksheet'!$I:$I,"&lt;="&amp;'Adj. Employee Retention'!I$1,'Combined Employee Worksheet'!$D:$D,'Adj. Employee Retention'!$B93,'Combined Employee Worksheet'!$K:$K,"&lt;="&amp;$C$138,'Combined Employee Worksheet'!$J:$J,"&lt;&gt;")</f>
        <v>0</v>
      </c>
      <c r="J97" s="472">
        <f>COUNTIFS('Combined Employee Worksheet'!$I:$I,"&gt;="&amp;'Adj. Employee Retention'!J$5,'Combined Employee Worksheet'!$I:$I,"&lt;="&amp;'Adj. Employee Retention'!J$1,'Combined Employee Worksheet'!$D:$D,'Adj. Employee Retention'!$B93)-COUNTIFS('Combined Employee Worksheet'!$I:$I,"&gt;="&amp;'Adj. Employee Retention'!J$5,'Combined Employee Worksheet'!$I:$I,"&lt;="&amp;'Adj. Employee Retention'!J$1,'Combined Employee Worksheet'!$D:$D,'Adj. Employee Retention'!$B93,'Combined Employee Worksheet'!$K:$K,"&lt;="&amp;$C$138,'Combined Employee Worksheet'!$J:$J,"&lt;&gt;")</f>
        <v>0</v>
      </c>
      <c r="K97" s="472">
        <f>COUNTIFS('Combined Employee Worksheet'!$I:$I,"&gt;="&amp;'Adj. Employee Retention'!K$5,'Combined Employee Worksheet'!$I:$I,"&lt;="&amp;'Adj. Employee Retention'!K$1,'Combined Employee Worksheet'!$D:$D,'Adj. Employee Retention'!$B93)-COUNTIFS('Combined Employee Worksheet'!$I:$I,"&gt;="&amp;'Adj. Employee Retention'!K$5,'Combined Employee Worksheet'!$I:$I,"&lt;="&amp;'Adj. Employee Retention'!K$1,'Combined Employee Worksheet'!$D:$D,'Adj. Employee Retention'!$B93,'Combined Employee Worksheet'!$K:$K,"&lt;="&amp;$C$138,'Combined Employee Worksheet'!$J:$J,"&lt;&gt;")</f>
        <v>0</v>
      </c>
      <c r="L97" s="472">
        <f ca="1">COUNTIFS('Combined Employee Worksheet'!$I:$I,"&gt;="&amp;'Adj. Employee Retention'!L$5,'Combined Employee Worksheet'!$I:$I,"&lt;="&amp;'Adj. Employee Retention'!L$1,'Combined Employee Worksheet'!$D:$D,'Adj. Employee Retention'!$B93)-COUNTIFS('Combined Employee Worksheet'!$I:$I,"&gt;="&amp;'Adj. Employee Retention'!L$5,'Combined Employee Worksheet'!$I:$I,"&lt;="&amp;'Adj. Employee Retention'!L$1,'Combined Employee Worksheet'!$D:$D,'Adj. Employee Retention'!$B93,'Combined Employee Worksheet'!$K:$K,"&lt;="&amp;$C$138,'Combined Employee Worksheet'!$J:$J,"&lt;&gt;")</f>
        <v>1</v>
      </c>
      <c r="M97" s="472">
        <f>COUNTIFS('Combined Employee Worksheet'!$I:$I,"&gt;="&amp;'Adj. Employee Retention'!M$5,'Combined Employee Worksheet'!$I:$I,"&lt;="&amp;'Adj. Employee Retention'!M$1,'Combined Employee Worksheet'!$D:$D,'Adj. Employee Retention'!$B93)-COUNTIFS('Combined Employee Worksheet'!$I:$I,"&gt;="&amp;'Adj. Employee Retention'!M$5,'Combined Employee Worksheet'!$I:$I,"&lt;="&amp;'Adj. Employee Retention'!M$1,'Combined Employee Worksheet'!$D:$D,'Adj. Employee Retention'!$B93,'Combined Employee Worksheet'!$K:$K,"&lt;="&amp;$C$138,'Combined Employee Worksheet'!$J:$J,"&lt;&gt;")</f>
        <v>0</v>
      </c>
      <c r="N97" s="472">
        <f>COUNTIFS('Combined Employee Worksheet'!$I:$I,"&gt;="&amp;'Adj. Employee Retention'!N$5,'Combined Employee Worksheet'!$I:$I,"&lt;="&amp;'Adj. Employee Retention'!N$1,'Combined Employee Worksheet'!$D:$D,'Adj. Employee Retention'!$B93)-COUNTIFS('Combined Employee Worksheet'!$I:$I,"&gt;="&amp;'Adj. Employee Retention'!N$5,'Combined Employee Worksheet'!$I:$I,"&lt;="&amp;'Adj. Employee Retention'!N$1,'Combined Employee Worksheet'!$D:$D,'Adj. Employee Retention'!$B93,'Combined Employee Worksheet'!$K:$K,"&lt;="&amp;$C$138,'Combined Employee Worksheet'!$J:$J,"&lt;&gt;")</f>
        <v>0</v>
      </c>
      <c r="O97" s="472">
        <f>COUNTIFS('Combined Employee Worksheet'!$I:$I,"&gt;="&amp;'Adj. Employee Retention'!O$5,'Combined Employee Worksheet'!$I:$I,"&lt;="&amp;'Adj. Employee Retention'!O$1,'Combined Employee Worksheet'!$D:$D,'Adj. Employee Retention'!$B93)-COUNTIFS('Combined Employee Worksheet'!$I:$I,"&gt;="&amp;'Adj. Employee Retention'!O$5,'Combined Employee Worksheet'!$I:$I,"&lt;="&amp;'Adj. Employee Retention'!O$1,'Combined Employee Worksheet'!$D:$D,'Adj. Employee Retention'!$B93,'Combined Employee Worksheet'!$K:$K,"&lt;="&amp;$C$138,'Combined Employee Worksheet'!$J:$J,"&lt;&gt;")</f>
        <v>0</v>
      </c>
      <c r="P97" s="472">
        <f>COUNTIFS('Combined Employee Worksheet'!$I:$I,"&gt;="&amp;'Adj. Employee Retention'!P$5,'Combined Employee Worksheet'!$I:$I,"&lt;="&amp;'Adj. Employee Retention'!P$1,'Combined Employee Worksheet'!$D:$D,'Adj. Employee Retention'!$B93)-COUNTIFS('Combined Employee Worksheet'!$I:$I,"&gt;="&amp;'Adj. Employee Retention'!P$5,'Combined Employee Worksheet'!$I:$I,"&lt;="&amp;'Adj. Employee Retention'!P$1,'Combined Employee Worksheet'!$D:$D,'Adj. Employee Retention'!$B93,'Combined Employee Worksheet'!$K:$K,"&lt;="&amp;$C$138,'Combined Employee Worksheet'!$J:$J,"&lt;&gt;")</f>
        <v>0</v>
      </c>
      <c r="Q97" s="472">
        <f>COUNTIFS('Combined Employee Worksheet'!$I:$I,"&gt;="&amp;'Adj. Employee Retention'!Q$5,'Combined Employee Worksheet'!$I:$I,"&lt;="&amp;'Adj. Employee Retention'!Q$1,'Combined Employee Worksheet'!$D:$D,'Adj. Employee Retention'!$B93)-COUNTIFS('Combined Employee Worksheet'!$I:$I,"&gt;="&amp;'Adj. Employee Retention'!Q$5,'Combined Employee Worksheet'!$I:$I,"&lt;="&amp;'Adj. Employee Retention'!Q$1,'Combined Employee Worksheet'!$D:$D,'Adj. Employee Retention'!$B93,'Combined Employee Worksheet'!$K:$K,"&lt;="&amp;$C$138,'Combined Employee Worksheet'!$J:$J,"&lt;&gt;")</f>
        <v>0</v>
      </c>
      <c r="R97" s="472">
        <f>COUNTIFS('Combined Employee Worksheet'!$I:$I,"&gt;="&amp;'Adj. Employee Retention'!R$5,'Combined Employee Worksheet'!$I:$I,"&lt;="&amp;'Adj. Employee Retention'!R$1,'Combined Employee Worksheet'!$D:$D,'Adj. Employee Retention'!$B93)-COUNTIFS('Combined Employee Worksheet'!$I:$I,"&gt;="&amp;'Adj. Employee Retention'!R$5,'Combined Employee Worksheet'!$I:$I,"&lt;="&amp;'Adj. Employee Retention'!R$1,'Combined Employee Worksheet'!$D:$D,'Adj. Employee Retention'!$B93,'Combined Employee Worksheet'!$K:$K,"&lt;="&amp;$C$138,'Combined Employee Worksheet'!$J:$J,"&lt;&gt;")</f>
        <v>0</v>
      </c>
      <c r="S97" s="472">
        <f ca="1">COUNTIFS('Combined Employee Worksheet'!$I:$I,"&gt;="&amp;'Adj. Employee Retention'!S$5,'Combined Employee Worksheet'!$I:$I,"&lt;="&amp;'Adj. Employee Retention'!S$1,'Combined Employee Worksheet'!$D:$D,'Adj. Employee Retention'!$B93)-COUNTIFS('Combined Employee Worksheet'!$I:$I,"&gt;="&amp;'Adj. Employee Retention'!S$5,'Combined Employee Worksheet'!$I:$I,"&lt;="&amp;'Adj. Employee Retention'!S$1,'Combined Employee Worksheet'!$D:$D,'Adj. Employee Retention'!$B93,'Combined Employee Worksheet'!$K:$K,"&lt;="&amp;$C$138,'Combined Employee Worksheet'!$J:$J,"&lt;&gt;")</f>
        <v>1</v>
      </c>
      <c r="T97" s="472">
        <f ca="1">COUNTIFS('Combined Employee Worksheet'!$I:$I,"&gt;="&amp;'Adj. Employee Retention'!T$5,'Combined Employee Worksheet'!$I:$I,"&lt;="&amp;'Adj. Employee Retention'!T$1,'Combined Employee Worksheet'!$D:$D,'Adj. Employee Retention'!$B93)-COUNTIFS('Combined Employee Worksheet'!$I:$I,"&gt;="&amp;'Adj. Employee Retention'!T$5,'Combined Employee Worksheet'!$I:$I,"&lt;="&amp;'Adj. Employee Retention'!T$1,'Combined Employee Worksheet'!$D:$D,'Adj. Employee Retention'!$B93,'Combined Employee Worksheet'!$K:$K,"&lt;="&amp;$C$138,'Combined Employee Worksheet'!$J:$J,"&lt;&gt;")</f>
        <v>1</v>
      </c>
      <c r="U97" s="472">
        <f>COUNTIFS('Combined Employee Worksheet'!$I:$I,"&gt;="&amp;'Adj. Employee Retention'!U$5,'Combined Employee Worksheet'!$I:$I,"&lt;="&amp;'Adj. Employee Retention'!U$1,'Combined Employee Worksheet'!$D:$D,'Adj. Employee Retention'!$B93)-COUNTIFS('Combined Employee Worksheet'!$I:$I,"&gt;="&amp;'Adj. Employee Retention'!U$5,'Combined Employee Worksheet'!$I:$I,"&lt;="&amp;'Adj. Employee Retention'!U$1,'Combined Employee Worksheet'!$D:$D,'Adj. Employee Retention'!$B93,'Combined Employee Worksheet'!$K:$K,"&lt;="&amp;$C$138,'Combined Employee Worksheet'!$J:$J,"&lt;&gt;")</f>
        <v>0</v>
      </c>
      <c r="V97" s="472">
        <f>COUNTIFS('Combined Employee Worksheet'!$I:$I,"&gt;="&amp;'Adj. Employee Retention'!V$5,'Combined Employee Worksheet'!$I:$I,"&lt;="&amp;'Adj. Employee Retention'!V$1,'Combined Employee Worksheet'!$D:$D,'Adj. Employee Retention'!$B93)-COUNTIFS('Combined Employee Worksheet'!$I:$I,"&gt;="&amp;'Adj. Employee Retention'!V$5,'Combined Employee Worksheet'!$I:$I,"&lt;="&amp;'Adj. Employee Retention'!V$1,'Combined Employee Worksheet'!$D:$D,'Adj. Employee Retention'!$B93,'Combined Employee Worksheet'!$K:$K,"&lt;="&amp;$C$138,'Combined Employee Worksheet'!$J:$J,"&lt;&gt;")</f>
        <v>0</v>
      </c>
      <c r="W97" s="472">
        <f>COUNTIFS('Combined Employee Worksheet'!$I:$I,"&gt;="&amp;'Adj. Employee Retention'!W$5,'Combined Employee Worksheet'!$I:$I,"&lt;="&amp;'Adj. Employee Retention'!W$1,'Combined Employee Worksheet'!$D:$D,'Adj. Employee Retention'!$B93)-COUNTIFS('Combined Employee Worksheet'!$I:$I,"&gt;="&amp;'Adj. Employee Retention'!W$5,'Combined Employee Worksheet'!$I:$I,"&lt;="&amp;'Adj. Employee Retention'!W$1,'Combined Employee Worksheet'!$D:$D,'Adj. Employee Retention'!$B93,'Combined Employee Worksheet'!$K:$K,"&lt;="&amp;$C$138,'Combined Employee Worksheet'!$J:$J,"&lt;&gt;")</f>
        <v>0</v>
      </c>
      <c r="X97" s="472">
        <f>COUNTIFS('Combined Employee Worksheet'!$I:$I,"&gt;="&amp;'Adj. Employee Retention'!X$5,'Combined Employee Worksheet'!$I:$I,"&lt;="&amp;'Adj. Employee Retention'!X$1,'Combined Employee Worksheet'!$D:$D,'Adj. Employee Retention'!$B93)-COUNTIFS('Combined Employee Worksheet'!$I:$I,"&gt;="&amp;'Adj. Employee Retention'!X$5,'Combined Employee Worksheet'!$I:$I,"&lt;="&amp;'Adj. Employee Retention'!X$1,'Combined Employee Worksheet'!$D:$D,'Adj. Employee Retention'!$B93,'Combined Employee Worksheet'!$K:$K,"&lt;="&amp;$C$138,'Combined Employee Worksheet'!$J:$J,"&lt;&gt;")</f>
        <v>0</v>
      </c>
      <c r="Y97" s="472">
        <f>COUNTIFS('Combined Employee Worksheet'!$I:$I,"&gt;="&amp;'Adj. Employee Retention'!Y$5,'Combined Employee Worksheet'!$I:$I,"&lt;="&amp;'Adj. Employee Retention'!Y$1,'Combined Employee Worksheet'!$D:$D,'Adj. Employee Retention'!$B93)-COUNTIFS('Combined Employee Worksheet'!$I:$I,"&gt;="&amp;'Adj. Employee Retention'!Y$5,'Combined Employee Worksheet'!$I:$I,"&lt;="&amp;'Adj. Employee Retention'!Y$1,'Combined Employee Worksheet'!$D:$D,'Adj. Employee Retention'!$B93,'Combined Employee Worksheet'!$K:$K,"&lt;="&amp;$C$138,'Combined Employee Worksheet'!$J:$J,"&lt;&gt;")</f>
        <v>0</v>
      </c>
      <c r="Z97" s="472">
        <f>COUNTIFS('Combined Employee Worksheet'!$I:$I,"&gt;="&amp;'Adj. Employee Retention'!Z$5,'Combined Employee Worksheet'!$I:$I,"&lt;="&amp;'Adj. Employee Retention'!Z$1,'Combined Employee Worksheet'!$D:$D,'Adj. Employee Retention'!$B93)-COUNTIFS('Combined Employee Worksheet'!$I:$I,"&gt;="&amp;'Adj. Employee Retention'!Z$5,'Combined Employee Worksheet'!$I:$I,"&lt;="&amp;'Adj. Employee Retention'!Z$1,'Combined Employee Worksheet'!$D:$D,'Adj. Employee Retention'!$B93,'Combined Employee Worksheet'!$K:$K,"&lt;="&amp;$C$138,'Combined Employee Worksheet'!$J:$J,"&lt;&gt;")</f>
        <v>0</v>
      </c>
      <c r="AA97" s="472">
        <f ca="1">COUNTIFS('Combined Employee Worksheet'!$I:$I,"&gt;="&amp;'Adj. Employee Retention'!AA$5,'Combined Employee Worksheet'!$I:$I,"&lt;="&amp;'Adj. Employee Retention'!AA$1,'Combined Employee Worksheet'!$D:$D,'Adj. Employee Retention'!$B93)-COUNTIFS('Combined Employee Worksheet'!$I:$I,"&gt;="&amp;'Adj. Employee Retention'!AA$5,'Combined Employee Worksheet'!$I:$I,"&lt;="&amp;'Adj. Employee Retention'!AA$1,'Combined Employee Worksheet'!$D:$D,'Adj. Employee Retention'!$B93,'Combined Employee Worksheet'!$K:$K,"&lt;="&amp;$C$138,'Combined Employee Worksheet'!$J:$J,"&lt;&gt;")</f>
        <v>1</v>
      </c>
      <c r="AB97" s="472">
        <f>COUNTIFS('Combined Employee Worksheet'!$I:$I,"&gt;="&amp;'Adj. Employee Retention'!AB$5,'Combined Employee Worksheet'!$I:$I,"&lt;="&amp;'Adj. Employee Retention'!AB$1,'Combined Employee Worksheet'!$D:$D,'Adj. Employee Retention'!$B93)-COUNTIFS('Combined Employee Worksheet'!$I:$I,"&gt;="&amp;'Adj. Employee Retention'!AB$5,'Combined Employee Worksheet'!$I:$I,"&lt;="&amp;'Adj. Employee Retention'!AB$1,'Combined Employee Worksheet'!$D:$D,'Adj. Employee Retention'!$B93,'Combined Employee Worksheet'!$K:$K,"&lt;="&amp;$C$138,'Combined Employee Worksheet'!$J:$J,"&lt;&gt;")</f>
        <v>0</v>
      </c>
      <c r="AC97" s="417"/>
      <c r="AD97" s="417"/>
      <c r="AE97" s="417"/>
    </row>
    <row r="98" spans="1:31" ht="12" customHeight="1">
      <c r="A98" s="417"/>
      <c r="B98" s="471" t="s">
        <v>1815</v>
      </c>
      <c r="C98" s="433">
        <f>SUM(H98:S98)</f>
        <v>0</v>
      </c>
      <c r="D98" s="433">
        <f ca="1">SUM(T98:AB98)</f>
        <v>-1</v>
      </c>
      <c r="E98" s="417"/>
      <c r="F98" s="433">
        <f ca="1">SUM(Q98:AB98)</f>
        <v>-1</v>
      </c>
      <c r="G98" s="417"/>
      <c r="H98" s="472">
        <f>-COUNTIFS('Combined Employee Worksheet'!$J:$J,"&gt;="&amp;'Adj. Employee Retention'!H$5,'Combined Employee Worksheet'!$J:$J,"&lt;="&amp;'Adj. Employee Retention'!H$1,'Combined Employee Worksheet'!$D:$D,'Adj. Employee Retention'!$B93,'Combined Employee Worksheet'!$K:$K,"&gt;"&amp;$C$138)</f>
        <v>0</v>
      </c>
      <c r="I98" s="472">
        <f>-COUNTIFS('Combined Employee Worksheet'!$J:$J,"&gt;="&amp;'Adj. Employee Retention'!I$5,'Combined Employee Worksheet'!$J:$J,"&lt;="&amp;'Adj. Employee Retention'!I$1,'Combined Employee Worksheet'!$D:$D,'Adj. Employee Retention'!$B93,'Combined Employee Worksheet'!$K:$K,"&gt;"&amp;$C$138)</f>
        <v>0</v>
      </c>
      <c r="J98" s="472">
        <f>-COUNTIFS('Combined Employee Worksheet'!$J:$J,"&gt;="&amp;'Adj. Employee Retention'!J$5,'Combined Employee Worksheet'!$J:$J,"&lt;="&amp;'Adj. Employee Retention'!J$1,'Combined Employee Worksheet'!$D:$D,'Adj. Employee Retention'!$B93,'Combined Employee Worksheet'!$K:$K,"&gt;"&amp;$C$138)</f>
        <v>0</v>
      </c>
      <c r="K98" s="472">
        <f>-COUNTIFS('Combined Employee Worksheet'!$J:$J,"&gt;="&amp;'Adj. Employee Retention'!K$5,'Combined Employee Worksheet'!$J:$J,"&lt;="&amp;'Adj. Employee Retention'!K$1,'Combined Employee Worksheet'!$D:$D,'Adj. Employee Retention'!$B93,'Combined Employee Worksheet'!$K:$K,"&gt;"&amp;$C$138)</f>
        <v>0</v>
      </c>
      <c r="L98" s="472">
        <f>-COUNTIFS('Combined Employee Worksheet'!$J:$J,"&gt;="&amp;'Adj. Employee Retention'!L$5,'Combined Employee Worksheet'!$J:$J,"&lt;="&amp;'Adj. Employee Retention'!L$1,'Combined Employee Worksheet'!$D:$D,'Adj. Employee Retention'!$B93,'Combined Employee Worksheet'!$K:$K,"&gt;"&amp;$C$138)</f>
        <v>0</v>
      </c>
      <c r="M98" s="472">
        <f>-COUNTIFS('Combined Employee Worksheet'!$J:$J,"&gt;="&amp;'Adj. Employee Retention'!M$5,'Combined Employee Worksheet'!$J:$J,"&lt;="&amp;'Adj. Employee Retention'!M$1,'Combined Employee Worksheet'!$D:$D,'Adj. Employee Retention'!$B93,'Combined Employee Worksheet'!$K:$K,"&gt;"&amp;$C$138)</f>
        <v>0</v>
      </c>
      <c r="N98" s="472">
        <f>-COUNTIFS('Combined Employee Worksheet'!$J:$J,"&gt;="&amp;'Adj. Employee Retention'!N$5,'Combined Employee Worksheet'!$J:$J,"&lt;="&amp;'Adj. Employee Retention'!N$1,'Combined Employee Worksheet'!$D:$D,'Adj. Employee Retention'!$B93,'Combined Employee Worksheet'!$K:$K,"&gt;"&amp;$C$138)</f>
        <v>0</v>
      </c>
      <c r="O98" s="472">
        <f>-COUNTIFS('Combined Employee Worksheet'!$J:$J,"&gt;="&amp;'Adj. Employee Retention'!O$5,'Combined Employee Worksheet'!$J:$J,"&lt;="&amp;'Adj. Employee Retention'!O$1,'Combined Employee Worksheet'!$D:$D,'Adj. Employee Retention'!$B93,'Combined Employee Worksheet'!$K:$K,"&gt;"&amp;$C$138)</f>
        <v>0</v>
      </c>
      <c r="P98" s="472">
        <f>-COUNTIFS('Combined Employee Worksheet'!$J:$J,"&gt;="&amp;'Adj. Employee Retention'!P$5,'Combined Employee Worksheet'!$J:$J,"&lt;="&amp;'Adj. Employee Retention'!P$1,'Combined Employee Worksheet'!$D:$D,'Adj. Employee Retention'!$B93,'Combined Employee Worksheet'!$K:$K,"&gt;"&amp;$C$138)</f>
        <v>0</v>
      </c>
      <c r="Q98" s="472">
        <f>-COUNTIFS('Combined Employee Worksheet'!$J:$J,"&gt;="&amp;'Adj. Employee Retention'!Q$5,'Combined Employee Worksheet'!$J:$J,"&lt;="&amp;'Adj. Employee Retention'!Q$1,'Combined Employee Worksheet'!$D:$D,'Adj. Employee Retention'!$B93,'Combined Employee Worksheet'!$K:$K,"&gt;"&amp;$C$138)</f>
        <v>0</v>
      </c>
      <c r="R98" s="472">
        <f>-COUNTIFS('Combined Employee Worksheet'!$J:$J,"&gt;="&amp;'Adj. Employee Retention'!R$5,'Combined Employee Worksheet'!$J:$J,"&lt;="&amp;'Adj. Employee Retention'!R$1,'Combined Employee Worksheet'!$D:$D,'Adj. Employee Retention'!$B93,'Combined Employee Worksheet'!$K:$K,"&gt;"&amp;$C$138)</f>
        <v>0</v>
      </c>
      <c r="S98" s="472">
        <f>-COUNTIFS('Combined Employee Worksheet'!$J:$J,"&gt;="&amp;'Adj. Employee Retention'!S$5,'Combined Employee Worksheet'!$J:$J,"&lt;="&amp;'Adj. Employee Retention'!S$1,'Combined Employee Worksheet'!$D:$D,'Adj. Employee Retention'!$B93,'Combined Employee Worksheet'!$K:$K,"&gt;"&amp;$C$138)</f>
        <v>0</v>
      </c>
      <c r="T98" s="472">
        <f>-COUNTIFS('Combined Employee Worksheet'!$J:$J,"&gt;="&amp;'Adj. Employee Retention'!T$5,'Combined Employee Worksheet'!$J:$J,"&lt;="&amp;'Adj. Employee Retention'!T$1,'Combined Employee Worksheet'!$D:$D,'Adj. Employee Retention'!$B93,'Combined Employee Worksheet'!$K:$K,"&gt;"&amp;$C$138)</f>
        <v>0</v>
      </c>
      <c r="U98" s="472">
        <f>-COUNTIFS('Combined Employee Worksheet'!$J:$J,"&gt;="&amp;'Adj. Employee Retention'!U$5,'Combined Employee Worksheet'!$J:$J,"&lt;="&amp;'Adj. Employee Retention'!U$1,'Combined Employee Worksheet'!$D:$D,'Adj. Employee Retention'!$B93,'Combined Employee Worksheet'!$K:$K,"&gt;"&amp;$C$138)</f>
        <v>0</v>
      </c>
      <c r="V98" s="472">
        <f>-COUNTIFS('Combined Employee Worksheet'!$J:$J,"&gt;="&amp;'Adj. Employee Retention'!V$5,'Combined Employee Worksheet'!$J:$J,"&lt;="&amp;'Adj. Employee Retention'!V$1,'Combined Employee Worksheet'!$D:$D,'Adj. Employee Retention'!$B93,'Combined Employee Worksheet'!$K:$K,"&gt;"&amp;$C$138)</f>
        <v>0</v>
      </c>
      <c r="W98" s="472">
        <f>-COUNTIFS('Combined Employee Worksheet'!$J:$J,"&gt;="&amp;'Adj. Employee Retention'!W$5,'Combined Employee Worksheet'!$J:$J,"&lt;="&amp;'Adj. Employee Retention'!W$1,'Combined Employee Worksheet'!$D:$D,'Adj. Employee Retention'!$B93,'Combined Employee Worksheet'!$K:$K,"&gt;"&amp;$C$138)</f>
        <v>0</v>
      </c>
      <c r="X98" s="472">
        <f ca="1">-COUNTIFS('Combined Employee Worksheet'!$J:$J,"&gt;="&amp;'Adj. Employee Retention'!X$5,'Combined Employee Worksheet'!$J:$J,"&lt;="&amp;'Adj. Employee Retention'!X$1,'Combined Employee Worksheet'!$D:$D,'Adj. Employee Retention'!$B93,'Combined Employee Worksheet'!$K:$K,"&gt;"&amp;$C$138)</f>
        <v>-1</v>
      </c>
      <c r="Y98" s="472">
        <f>-COUNTIFS('Combined Employee Worksheet'!$J:$J,"&gt;="&amp;'Adj. Employee Retention'!Y$5,'Combined Employee Worksheet'!$J:$J,"&lt;="&amp;'Adj. Employee Retention'!Y$1,'Combined Employee Worksheet'!$D:$D,'Adj. Employee Retention'!$B93,'Combined Employee Worksheet'!$K:$K,"&gt;"&amp;$C$138)</f>
        <v>0</v>
      </c>
      <c r="Z98" s="472">
        <f>-COUNTIFS('Combined Employee Worksheet'!$J:$J,"&gt;="&amp;'Adj. Employee Retention'!Z$5,'Combined Employee Worksheet'!$J:$J,"&lt;="&amp;'Adj. Employee Retention'!Z$1,'Combined Employee Worksheet'!$D:$D,'Adj. Employee Retention'!$B93,'Combined Employee Worksheet'!$K:$K,"&gt;"&amp;$C$138)</f>
        <v>0</v>
      </c>
      <c r="AA98" s="472">
        <f>-COUNTIFS('Combined Employee Worksheet'!$J:$J,"&gt;="&amp;'Adj. Employee Retention'!AA$5,'Combined Employee Worksheet'!$J:$J,"&lt;="&amp;'Adj. Employee Retention'!AA$1,'Combined Employee Worksheet'!$D:$D,'Adj. Employee Retention'!$B93,'Combined Employee Worksheet'!$K:$K,"&gt;"&amp;$C$138)</f>
        <v>0</v>
      </c>
      <c r="AB98" s="472">
        <f>-COUNTIFS('Combined Employee Worksheet'!$J:$J,"&gt;="&amp;'Adj. Employee Retention'!AB$5,'Combined Employee Worksheet'!$J:$J,"&lt;="&amp;'Adj. Employee Retention'!AB$1,'Combined Employee Worksheet'!$D:$D,'Adj. Employee Retention'!$B93,'Combined Employee Worksheet'!$K:$K,"&gt;"&amp;$C$138)</f>
        <v>0</v>
      </c>
      <c r="AC98" s="417"/>
      <c r="AD98" s="417"/>
      <c r="AE98" s="417"/>
    </row>
    <row r="99" spans="1:31" ht="12" customHeight="1">
      <c r="A99" s="417"/>
      <c r="B99" s="474" t="s">
        <v>1315</v>
      </c>
      <c r="C99" s="475">
        <f ca="1">+D96</f>
        <v>7</v>
      </c>
      <c r="D99" s="476">
        <f>+$AB99</f>
        <v>8</v>
      </c>
      <c r="E99" s="417"/>
      <c r="F99" s="477">
        <f>+$AB99</f>
        <v>8</v>
      </c>
      <c r="G99" s="417"/>
      <c r="H99" s="478">
        <f t="shared" ref="H99:AA99" ca="1" si="58">+I96</f>
        <v>5</v>
      </c>
      <c r="I99" s="475">
        <f t="shared" ca="1" si="58"/>
        <v>5</v>
      </c>
      <c r="J99" s="475">
        <f t="shared" ca="1" si="58"/>
        <v>5</v>
      </c>
      <c r="K99" s="475">
        <f t="shared" ca="1" si="58"/>
        <v>5</v>
      </c>
      <c r="L99" s="475">
        <f t="shared" ca="1" si="58"/>
        <v>6</v>
      </c>
      <c r="M99" s="475">
        <f t="shared" ca="1" si="58"/>
        <v>6</v>
      </c>
      <c r="N99" s="475">
        <f t="shared" ca="1" si="58"/>
        <v>6</v>
      </c>
      <c r="O99" s="475">
        <f t="shared" ca="1" si="58"/>
        <v>6</v>
      </c>
      <c r="P99" s="475">
        <f t="shared" ca="1" si="58"/>
        <v>6</v>
      </c>
      <c r="Q99" s="478">
        <f t="shared" ca="1" si="58"/>
        <v>6</v>
      </c>
      <c r="R99" s="475">
        <f t="shared" ca="1" si="58"/>
        <v>6</v>
      </c>
      <c r="S99" s="475">
        <f t="shared" ca="1" si="58"/>
        <v>7</v>
      </c>
      <c r="T99" s="475">
        <f t="shared" ca="1" si="58"/>
        <v>8</v>
      </c>
      <c r="U99" s="475">
        <f t="shared" ca="1" si="58"/>
        <v>8</v>
      </c>
      <c r="V99" s="475">
        <f t="shared" ca="1" si="58"/>
        <v>8</v>
      </c>
      <c r="W99" s="475">
        <f t="shared" ca="1" si="58"/>
        <v>8</v>
      </c>
      <c r="X99" s="475">
        <f t="shared" ca="1" si="58"/>
        <v>7</v>
      </c>
      <c r="Y99" s="475">
        <f t="shared" ca="1" si="58"/>
        <v>7</v>
      </c>
      <c r="Z99" s="475">
        <f t="shared" ca="1" si="58"/>
        <v>7</v>
      </c>
      <c r="AA99" s="475">
        <f t="shared" si="58"/>
        <v>8</v>
      </c>
      <c r="AB99" s="479">
        <f>COUNTIFS('Combined Employee Worksheet'!$H:$H,"Active",'Combined Employee Worksheet'!$D:$D,'Adj. Employee Retention'!B93)</f>
        <v>8</v>
      </c>
      <c r="AC99" s="417"/>
      <c r="AD99" s="417"/>
      <c r="AE99" s="417"/>
    </row>
    <row r="100" spans="1:31" ht="3.95" customHeight="1">
      <c r="A100" s="417"/>
      <c r="B100" s="480"/>
      <c r="C100" s="481"/>
      <c r="D100" s="481"/>
      <c r="E100" s="417"/>
      <c r="F100" s="481"/>
      <c r="G100" s="417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  <c r="AA100" s="481"/>
      <c r="AB100" s="501"/>
      <c r="AC100" s="417"/>
      <c r="AD100" s="417"/>
      <c r="AE100" s="417"/>
    </row>
    <row r="101" spans="1:31" ht="12" customHeight="1">
      <c r="A101" s="417"/>
      <c r="B101" s="487" t="s">
        <v>1817</v>
      </c>
      <c r="C101" s="502">
        <f ca="1">AVERAGE(C96,C99)</f>
        <v>6</v>
      </c>
      <c r="D101" s="503">
        <f ca="1">AVERAGE(D96,D99)</f>
        <v>7.5</v>
      </c>
      <c r="E101" s="417"/>
      <c r="F101" s="504">
        <f ca="1">AVERAGE(F96,F99)</f>
        <v>7</v>
      </c>
      <c r="G101" s="417"/>
      <c r="H101" s="505">
        <f t="shared" ref="H101:AB101" ca="1" si="59">AVERAGE(H96,H99)</f>
        <v>5</v>
      </c>
      <c r="I101" s="502">
        <f t="shared" ca="1" si="59"/>
        <v>5</v>
      </c>
      <c r="J101" s="502">
        <f t="shared" ca="1" si="59"/>
        <v>5</v>
      </c>
      <c r="K101" s="502">
        <f t="shared" ca="1" si="59"/>
        <v>5</v>
      </c>
      <c r="L101" s="502">
        <f t="shared" ca="1" si="59"/>
        <v>5.5</v>
      </c>
      <c r="M101" s="502">
        <f t="shared" ca="1" si="59"/>
        <v>6</v>
      </c>
      <c r="N101" s="502">
        <f t="shared" ca="1" si="59"/>
        <v>6</v>
      </c>
      <c r="O101" s="502">
        <f t="shared" ca="1" si="59"/>
        <v>6</v>
      </c>
      <c r="P101" s="502">
        <f t="shared" ca="1" si="59"/>
        <v>6</v>
      </c>
      <c r="Q101" s="505">
        <f t="shared" ca="1" si="59"/>
        <v>6</v>
      </c>
      <c r="R101" s="502">
        <f t="shared" ca="1" si="59"/>
        <v>6</v>
      </c>
      <c r="S101" s="502">
        <f t="shared" ca="1" si="59"/>
        <v>6.5</v>
      </c>
      <c r="T101" s="502">
        <f t="shared" ca="1" si="59"/>
        <v>7.5</v>
      </c>
      <c r="U101" s="502">
        <f t="shared" ca="1" si="59"/>
        <v>8</v>
      </c>
      <c r="V101" s="502">
        <f t="shared" ca="1" si="59"/>
        <v>8</v>
      </c>
      <c r="W101" s="502">
        <f t="shared" ca="1" si="59"/>
        <v>8</v>
      </c>
      <c r="X101" s="502">
        <f t="shared" ca="1" si="59"/>
        <v>7.5</v>
      </c>
      <c r="Y101" s="502">
        <f t="shared" ca="1" si="59"/>
        <v>7</v>
      </c>
      <c r="Z101" s="502">
        <f t="shared" ca="1" si="59"/>
        <v>7</v>
      </c>
      <c r="AA101" s="502">
        <f t="shared" ca="1" si="59"/>
        <v>7.5</v>
      </c>
      <c r="AB101" s="503">
        <f t="shared" si="59"/>
        <v>8</v>
      </c>
      <c r="AC101" s="417"/>
      <c r="AD101" s="417"/>
      <c r="AE101" s="417"/>
    </row>
    <row r="102" spans="1:31" ht="12" customHeight="1">
      <c r="A102" s="417"/>
      <c r="B102" s="493" t="s">
        <v>1816</v>
      </c>
      <c r="C102" s="506">
        <f ca="1">C94/C101</f>
        <v>27.083333333333332</v>
      </c>
      <c r="D102" s="507">
        <f ca="1">D94/D101</f>
        <v>23.933333333333334</v>
      </c>
      <c r="E102" s="470"/>
      <c r="F102" s="508">
        <f ca="1">F94/F101</f>
        <v>25.428571428571427</v>
      </c>
      <c r="G102" s="470"/>
      <c r="H102" s="509">
        <f t="shared" ref="H102:AB102" ca="1" si="60">H94/H101</f>
        <v>29.2</v>
      </c>
      <c r="I102" s="506">
        <f t="shared" ca="1" si="60"/>
        <v>29.5</v>
      </c>
      <c r="J102" s="506">
        <f t="shared" ca="1" si="60"/>
        <v>30.2</v>
      </c>
      <c r="K102" s="506">
        <f t="shared" ca="1" si="60"/>
        <v>31.3</v>
      </c>
      <c r="L102" s="506">
        <f t="shared" ca="1" si="60"/>
        <v>29.454545454545453</v>
      </c>
      <c r="M102" s="506">
        <f t="shared" ca="1" si="60"/>
        <v>27.5</v>
      </c>
      <c r="N102" s="506">
        <f t="shared" ca="1" si="60"/>
        <v>27.833333333333332</v>
      </c>
      <c r="O102" s="506">
        <f t="shared" ca="1" si="60"/>
        <v>28.666666666666668</v>
      </c>
      <c r="P102" s="506">
        <f t="shared" ca="1" si="60"/>
        <v>29.333333333333332</v>
      </c>
      <c r="Q102" s="509">
        <f t="shared" ca="1" si="60"/>
        <v>29.916666666666668</v>
      </c>
      <c r="R102" s="506">
        <f t="shared" ca="1" si="60"/>
        <v>30.25</v>
      </c>
      <c r="S102" s="506">
        <f t="shared" ca="1" si="60"/>
        <v>27.76923076923077</v>
      </c>
      <c r="T102" s="506">
        <f t="shared" ca="1" si="60"/>
        <v>24.4</v>
      </c>
      <c r="U102" s="506">
        <f t="shared" ca="1" si="60"/>
        <v>23.6875</v>
      </c>
      <c r="V102" s="506">
        <f t="shared" ca="1" si="60"/>
        <v>24.0625</v>
      </c>
      <c r="W102" s="506">
        <f t="shared" ca="1" si="60"/>
        <v>24.375</v>
      </c>
      <c r="X102" s="506">
        <f t="shared" ca="1" si="60"/>
        <v>25.8</v>
      </c>
      <c r="Y102" s="506">
        <f t="shared" ca="1" si="60"/>
        <v>27</v>
      </c>
      <c r="Z102" s="506">
        <f t="shared" ca="1" si="60"/>
        <v>25.928571428571427</v>
      </c>
      <c r="AA102" s="506">
        <f t="shared" ca="1" si="60"/>
        <v>23.266666666666666</v>
      </c>
      <c r="AB102" s="507">
        <f t="shared" si="60"/>
        <v>22.125</v>
      </c>
      <c r="AC102" s="417"/>
      <c r="AD102" s="417"/>
      <c r="AE102" s="417"/>
    </row>
    <row r="103" spans="1:31" ht="3.95" customHeight="1">
      <c r="A103" s="417"/>
      <c r="B103" s="480"/>
      <c r="C103" s="481"/>
      <c r="D103" s="481"/>
      <c r="E103" s="417"/>
      <c r="F103" s="481"/>
      <c r="G103" s="417"/>
      <c r="H103" s="481"/>
      <c r="I103" s="48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481"/>
      <c r="Z103" s="482"/>
      <c r="AA103" s="482"/>
      <c r="AB103" s="482"/>
      <c r="AC103" s="417"/>
      <c r="AD103" s="417"/>
      <c r="AE103" s="417"/>
    </row>
    <row r="104" spans="1:31" ht="12" customHeight="1">
      <c r="A104" s="417"/>
      <c r="B104" s="487" t="s">
        <v>1813</v>
      </c>
      <c r="C104" s="488">
        <f ca="1">(C97+C96)/C96-1</f>
        <v>0.39999999999999991</v>
      </c>
      <c r="D104" s="489">
        <f ca="1">(D97+D96)/D96-1</f>
        <v>0.28571428571428581</v>
      </c>
      <c r="E104" s="490"/>
      <c r="F104" s="491">
        <f ca="1">(F97+F96)/F96-1</f>
        <v>0.5</v>
      </c>
      <c r="G104" s="417"/>
      <c r="H104" s="492">
        <f t="shared" ref="H104:AB104" ca="1" si="61">(H97+H96)/H96-1</f>
        <v>0</v>
      </c>
      <c r="I104" s="488">
        <f t="shared" ca="1" si="61"/>
        <v>0</v>
      </c>
      <c r="J104" s="488">
        <f t="shared" ca="1" si="61"/>
        <v>0</v>
      </c>
      <c r="K104" s="488">
        <f t="shared" ca="1" si="61"/>
        <v>0</v>
      </c>
      <c r="L104" s="488">
        <f t="shared" ca="1" si="61"/>
        <v>0.19999999999999996</v>
      </c>
      <c r="M104" s="488">
        <f t="shared" ca="1" si="61"/>
        <v>0</v>
      </c>
      <c r="N104" s="488">
        <f t="shared" ca="1" si="61"/>
        <v>0</v>
      </c>
      <c r="O104" s="488">
        <f t="shared" ca="1" si="61"/>
        <v>0</v>
      </c>
      <c r="P104" s="488">
        <f t="shared" ca="1" si="61"/>
        <v>0</v>
      </c>
      <c r="Q104" s="492">
        <f t="shared" ca="1" si="61"/>
        <v>0</v>
      </c>
      <c r="R104" s="488">
        <f t="shared" ca="1" si="61"/>
        <v>0</v>
      </c>
      <c r="S104" s="488">
        <f t="shared" ca="1" si="61"/>
        <v>0.16666666666666674</v>
      </c>
      <c r="T104" s="488">
        <f t="shared" ca="1" si="61"/>
        <v>0.14285714285714279</v>
      </c>
      <c r="U104" s="488">
        <f t="shared" ca="1" si="61"/>
        <v>0</v>
      </c>
      <c r="V104" s="488">
        <f t="shared" ca="1" si="61"/>
        <v>0</v>
      </c>
      <c r="W104" s="488">
        <f t="shared" ca="1" si="61"/>
        <v>0</v>
      </c>
      <c r="X104" s="488">
        <f t="shared" ca="1" si="61"/>
        <v>0</v>
      </c>
      <c r="Y104" s="488">
        <f t="shared" ca="1" si="61"/>
        <v>0</v>
      </c>
      <c r="Z104" s="488">
        <f t="shared" ca="1" si="61"/>
        <v>0</v>
      </c>
      <c r="AA104" s="488">
        <f t="shared" ca="1" si="61"/>
        <v>0.14285714285714279</v>
      </c>
      <c r="AB104" s="489">
        <f t="shared" si="61"/>
        <v>0</v>
      </c>
      <c r="AC104" s="417"/>
      <c r="AD104" s="417"/>
      <c r="AE104" s="417"/>
    </row>
    <row r="105" spans="1:31">
      <c r="A105" s="417"/>
      <c r="B105" s="493" t="s">
        <v>1812</v>
      </c>
      <c r="C105" s="494">
        <f ca="1">(C98+C101)/C101-1</f>
        <v>0</v>
      </c>
      <c r="D105" s="495">
        <f ca="1">(D98+D101)/D101-1</f>
        <v>-0.1333333333333333</v>
      </c>
      <c r="E105" s="490"/>
      <c r="F105" s="496">
        <f ca="1">(F98+F101)/F101-1</f>
        <v>-0.1428571428571429</v>
      </c>
      <c r="G105" s="417"/>
      <c r="H105" s="497">
        <f t="shared" ref="H105:AB105" ca="1" si="62">(H98+H101)/H101-1</f>
        <v>0</v>
      </c>
      <c r="I105" s="494">
        <f t="shared" ca="1" si="62"/>
        <v>0</v>
      </c>
      <c r="J105" s="494">
        <f t="shared" ca="1" si="62"/>
        <v>0</v>
      </c>
      <c r="K105" s="494">
        <f t="shared" ca="1" si="62"/>
        <v>0</v>
      </c>
      <c r="L105" s="494">
        <f t="shared" ca="1" si="62"/>
        <v>0</v>
      </c>
      <c r="M105" s="494">
        <f t="shared" ca="1" si="62"/>
        <v>0</v>
      </c>
      <c r="N105" s="494">
        <f t="shared" ca="1" si="62"/>
        <v>0</v>
      </c>
      <c r="O105" s="494">
        <f t="shared" ca="1" si="62"/>
        <v>0</v>
      </c>
      <c r="P105" s="494">
        <f t="shared" ca="1" si="62"/>
        <v>0</v>
      </c>
      <c r="Q105" s="497">
        <f t="shared" ca="1" si="62"/>
        <v>0</v>
      </c>
      <c r="R105" s="494">
        <f t="shared" ca="1" si="62"/>
        <v>0</v>
      </c>
      <c r="S105" s="494">
        <f t="shared" ca="1" si="62"/>
        <v>0</v>
      </c>
      <c r="T105" s="494">
        <f t="shared" ca="1" si="62"/>
        <v>0</v>
      </c>
      <c r="U105" s="494">
        <f t="shared" ca="1" si="62"/>
        <v>0</v>
      </c>
      <c r="V105" s="494">
        <f t="shared" ca="1" si="62"/>
        <v>0</v>
      </c>
      <c r="W105" s="494">
        <f t="shared" ca="1" si="62"/>
        <v>0</v>
      </c>
      <c r="X105" s="494">
        <f t="shared" ca="1" si="62"/>
        <v>-0.1333333333333333</v>
      </c>
      <c r="Y105" s="494">
        <f t="shared" ca="1" si="62"/>
        <v>0</v>
      </c>
      <c r="Z105" s="494">
        <f t="shared" ca="1" si="62"/>
        <v>0</v>
      </c>
      <c r="AA105" s="494">
        <f t="shared" ca="1" si="62"/>
        <v>0</v>
      </c>
      <c r="AB105" s="495">
        <f t="shared" si="62"/>
        <v>0</v>
      </c>
      <c r="AC105" s="417"/>
      <c r="AD105" s="417"/>
      <c r="AE105" s="417"/>
    </row>
    <row r="106" spans="1:31" ht="3.95" customHeight="1">
      <c r="A106" s="417"/>
      <c r="B106" s="480"/>
      <c r="C106" s="417"/>
      <c r="D106" s="417"/>
      <c r="E106" s="417"/>
      <c r="F106" s="417"/>
      <c r="G106" s="417"/>
      <c r="H106" s="417"/>
      <c r="I106" s="417"/>
      <c r="J106" s="417"/>
      <c r="K106" s="417"/>
      <c r="L106" s="417"/>
      <c r="M106" s="417"/>
      <c r="N106" s="417"/>
      <c r="O106" s="417"/>
      <c r="P106" s="417"/>
      <c r="Q106" s="417"/>
      <c r="R106" s="417"/>
      <c r="S106" s="417"/>
      <c r="T106" s="417"/>
      <c r="U106" s="417"/>
      <c r="V106" s="417"/>
      <c r="W106" s="417"/>
      <c r="X106" s="417"/>
      <c r="Y106" s="417"/>
      <c r="Z106" s="417"/>
      <c r="AA106" s="417"/>
      <c r="AB106" s="417"/>
      <c r="AC106" s="417"/>
      <c r="AD106" s="417"/>
      <c r="AE106" s="417"/>
    </row>
    <row r="107" spans="1:31" ht="24">
      <c r="A107" s="417"/>
      <c r="B107" s="462" t="s">
        <v>1997</v>
      </c>
      <c r="C107" s="463" t="s">
        <v>4</v>
      </c>
      <c r="D107" s="463" t="s">
        <v>1317</v>
      </c>
      <c r="E107" s="464"/>
      <c r="F107" s="463" t="s">
        <v>1527</v>
      </c>
      <c r="G107" s="417"/>
      <c r="H107" s="465">
        <v>45658</v>
      </c>
      <c r="I107" s="465">
        <f t="shared" ref="I107:N107" si="63">EOMONTH(H107,0)+1</f>
        <v>45689</v>
      </c>
      <c r="J107" s="465">
        <f t="shared" si="63"/>
        <v>45717</v>
      </c>
      <c r="K107" s="465">
        <f t="shared" si="63"/>
        <v>45748</v>
      </c>
      <c r="L107" s="465">
        <f t="shared" si="63"/>
        <v>45778</v>
      </c>
      <c r="M107" s="465">
        <f t="shared" si="63"/>
        <v>45809</v>
      </c>
      <c r="N107" s="465">
        <f t="shared" si="63"/>
        <v>45839</v>
      </c>
      <c r="O107" s="465">
        <v>45870</v>
      </c>
      <c r="P107" s="465">
        <f t="shared" ref="P107:AB107" si="64">EOMONTH(O107,0)+1</f>
        <v>45901</v>
      </c>
      <c r="Q107" s="465">
        <f t="shared" si="64"/>
        <v>45931</v>
      </c>
      <c r="R107" s="465">
        <f t="shared" si="64"/>
        <v>45962</v>
      </c>
      <c r="S107" s="465">
        <f t="shared" si="64"/>
        <v>45992</v>
      </c>
      <c r="T107" s="465">
        <f t="shared" si="64"/>
        <v>46023</v>
      </c>
      <c r="U107" s="465">
        <f t="shared" si="64"/>
        <v>46054</v>
      </c>
      <c r="V107" s="465">
        <f t="shared" si="64"/>
        <v>46082</v>
      </c>
      <c r="W107" s="465">
        <f t="shared" si="64"/>
        <v>46113</v>
      </c>
      <c r="X107" s="465">
        <f t="shared" si="64"/>
        <v>46143</v>
      </c>
      <c r="Y107" s="465">
        <f t="shared" si="64"/>
        <v>46174</v>
      </c>
      <c r="Z107" s="465">
        <f t="shared" si="64"/>
        <v>46204</v>
      </c>
      <c r="AA107" s="465">
        <f t="shared" si="64"/>
        <v>46235</v>
      </c>
      <c r="AB107" s="465">
        <f t="shared" si="64"/>
        <v>46266</v>
      </c>
      <c r="AC107" s="466"/>
      <c r="AD107" s="417"/>
      <c r="AE107" s="466"/>
    </row>
    <row r="108" spans="1:31">
      <c r="A108" s="417"/>
      <c r="B108" s="498" t="s">
        <v>1507</v>
      </c>
      <c r="C108" s="468"/>
      <c r="D108" s="468"/>
      <c r="E108" s="469"/>
      <c r="F108" s="468"/>
      <c r="G108" s="417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9"/>
      <c r="AD108" s="469"/>
      <c r="AE108" s="469"/>
    </row>
    <row r="109" spans="1:31">
      <c r="A109" s="417"/>
      <c r="B109" s="469" t="s">
        <v>1818</v>
      </c>
      <c r="C109" s="510">
        <f>+C$19</f>
        <v>162.5</v>
      </c>
      <c r="D109" s="510">
        <f>+D$19</f>
        <v>179.5</v>
      </c>
      <c r="E109" s="469"/>
      <c r="F109" s="510">
        <f>+F$19</f>
        <v>178</v>
      </c>
      <c r="G109" s="417"/>
      <c r="H109" s="510">
        <f>+H$19</f>
        <v>146</v>
      </c>
      <c r="I109" s="510">
        <f t="shared" ref="I109:AB109" si="65">+I$19</f>
        <v>147.5</v>
      </c>
      <c r="J109" s="510">
        <f t="shared" si="65"/>
        <v>151</v>
      </c>
      <c r="K109" s="510">
        <f t="shared" si="65"/>
        <v>156.5</v>
      </c>
      <c r="L109" s="510">
        <f t="shared" si="65"/>
        <v>162</v>
      </c>
      <c r="M109" s="510">
        <f t="shared" si="65"/>
        <v>165</v>
      </c>
      <c r="N109" s="510">
        <f t="shared" si="65"/>
        <v>167</v>
      </c>
      <c r="O109" s="510">
        <f t="shared" si="65"/>
        <v>172</v>
      </c>
      <c r="P109" s="510">
        <f t="shared" si="65"/>
        <v>176</v>
      </c>
      <c r="Q109" s="510">
        <f t="shared" si="65"/>
        <v>179.5</v>
      </c>
      <c r="R109" s="510">
        <f t="shared" si="65"/>
        <v>181.5</v>
      </c>
      <c r="S109" s="510">
        <f t="shared" si="65"/>
        <v>180.5</v>
      </c>
      <c r="T109" s="510">
        <f t="shared" si="65"/>
        <v>183</v>
      </c>
      <c r="U109" s="510">
        <f t="shared" si="65"/>
        <v>189.5</v>
      </c>
      <c r="V109" s="510">
        <f t="shared" si="65"/>
        <v>192.5</v>
      </c>
      <c r="W109" s="510">
        <f t="shared" si="65"/>
        <v>195</v>
      </c>
      <c r="X109" s="510">
        <f t="shared" si="65"/>
        <v>193.5</v>
      </c>
      <c r="Y109" s="510">
        <f t="shared" si="65"/>
        <v>189</v>
      </c>
      <c r="Z109" s="510">
        <f t="shared" si="65"/>
        <v>181.5</v>
      </c>
      <c r="AA109" s="510">
        <f t="shared" si="65"/>
        <v>174.5</v>
      </c>
      <c r="AB109" s="510">
        <f t="shared" si="65"/>
        <v>177</v>
      </c>
      <c r="AC109" s="469"/>
      <c r="AD109" s="469"/>
      <c r="AE109" s="469"/>
    </row>
    <row r="110" spans="1:31" ht="3.95" customHeight="1">
      <c r="A110" s="417"/>
      <c r="B110" s="500"/>
      <c r="C110" s="469"/>
      <c r="D110" s="469"/>
      <c r="E110" s="469"/>
      <c r="F110" s="469"/>
      <c r="G110" s="417"/>
      <c r="H110" s="469"/>
      <c r="I110" s="469"/>
      <c r="J110" s="469"/>
      <c r="K110" s="469"/>
      <c r="L110" s="469"/>
      <c r="M110" s="469"/>
      <c r="N110" s="469"/>
      <c r="O110" s="469"/>
      <c r="P110" s="469"/>
      <c r="Q110" s="469"/>
      <c r="R110" s="469"/>
      <c r="S110" s="469"/>
      <c r="T110" s="469"/>
      <c r="U110" s="469"/>
      <c r="V110" s="469"/>
      <c r="W110" s="469"/>
      <c r="X110" s="469"/>
      <c r="Y110" s="469"/>
      <c r="Z110" s="469"/>
      <c r="AA110" s="469"/>
      <c r="AB110" s="469"/>
      <c r="AC110" s="469"/>
      <c r="AD110" s="469"/>
      <c r="AE110" s="469"/>
    </row>
    <row r="111" spans="1:31">
      <c r="A111" s="417"/>
      <c r="B111" s="417" t="s">
        <v>1313</v>
      </c>
      <c r="C111" s="470">
        <f ca="1">+C114-C112-C113</f>
        <v>4</v>
      </c>
      <c r="D111" s="470">
        <f>+D114-D112-D113</f>
        <v>3</v>
      </c>
      <c r="E111" s="417"/>
      <c r="F111" s="470">
        <f>+F114-F112-F113</f>
        <v>3</v>
      </c>
      <c r="G111" s="417"/>
      <c r="H111" s="470">
        <f t="shared" ref="H111:AB111" ca="1" si="66">+H114-H112-H113</f>
        <v>4</v>
      </c>
      <c r="I111" s="470">
        <f t="shared" ca="1" si="66"/>
        <v>4</v>
      </c>
      <c r="J111" s="470">
        <f t="shared" si="66"/>
        <v>3</v>
      </c>
      <c r="K111" s="470">
        <f t="shared" si="66"/>
        <v>3</v>
      </c>
      <c r="L111" s="470">
        <f t="shared" si="66"/>
        <v>3</v>
      </c>
      <c r="M111" s="470">
        <f t="shared" si="66"/>
        <v>3</v>
      </c>
      <c r="N111" s="470">
        <f t="shared" si="66"/>
        <v>3</v>
      </c>
      <c r="O111" s="470">
        <f t="shared" si="66"/>
        <v>3</v>
      </c>
      <c r="P111" s="470">
        <f t="shared" si="66"/>
        <v>3</v>
      </c>
      <c r="Q111" s="470">
        <f t="shared" si="66"/>
        <v>3</v>
      </c>
      <c r="R111" s="470">
        <f t="shared" si="66"/>
        <v>3</v>
      </c>
      <c r="S111" s="470">
        <f t="shared" si="66"/>
        <v>3</v>
      </c>
      <c r="T111" s="470">
        <f t="shared" si="66"/>
        <v>3</v>
      </c>
      <c r="U111" s="470">
        <f t="shared" si="66"/>
        <v>3</v>
      </c>
      <c r="V111" s="470">
        <f t="shared" si="66"/>
        <v>3</v>
      </c>
      <c r="W111" s="470">
        <f t="shared" si="66"/>
        <v>3</v>
      </c>
      <c r="X111" s="470">
        <f t="shared" si="66"/>
        <v>3</v>
      </c>
      <c r="Y111" s="470">
        <f t="shared" si="66"/>
        <v>3</v>
      </c>
      <c r="Z111" s="470">
        <f t="shared" si="66"/>
        <v>3</v>
      </c>
      <c r="AA111" s="470">
        <f t="shared" si="66"/>
        <v>3</v>
      </c>
      <c r="AB111" s="470">
        <f t="shared" si="66"/>
        <v>3</v>
      </c>
      <c r="AC111" s="417"/>
      <c r="AD111" s="417"/>
      <c r="AE111" s="417"/>
    </row>
    <row r="112" spans="1:31">
      <c r="A112" s="417"/>
      <c r="B112" s="471" t="s">
        <v>1814</v>
      </c>
      <c r="C112" s="433">
        <f>SUM(H112:S112)</f>
        <v>0</v>
      </c>
      <c r="D112" s="433">
        <f>SUM(T112:AB112)</f>
        <v>0</v>
      </c>
      <c r="E112" s="417"/>
      <c r="F112" s="433">
        <f>SUM(Q112:AB112)</f>
        <v>0</v>
      </c>
      <c r="G112" s="417"/>
      <c r="H112" s="472">
        <f>COUNTIFS('Combined Employee Worksheet'!$I:$I,"&gt;="&amp;'Adj. Employee Retention'!H$5,'Combined Employee Worksheet'!$I:$I,"&lt;="&amp;'Adj. Employee Retention'!H$1,'Combined Employee Worksheet'!$D:$D,'Adj. Employee Retention'!$B108)-COUNTIFS('Combined Employee Worksheet'!$I:$I,"&gt;="&amp;'Adj. Employee Retention'!H$5,'Combined Employee Worksheet'!$I:$I,"&lt;="&amp;'Adj. Employee Retention'!H$1,'Combined Employee Worksheet'!$D:$D,'Adj. Employee Retention'!$B108,'Combined Employee Worksheet'!$K:$K,"&lt;="&amp;$C$138,'Combined Employee Worksheet'!$J:$J,"&lt;&gt;")</f>
        <v>0</v>
      </c>
      <c r="I112" s="472">
        <f>COUNTIFS('Combined Employee Worksheet'!$I:$I,"&gt;="&amp;'Adj. Employee Retention'!I$5,'Combined Employee Worksheet'!$I:$I,"&lt;="&amp;'Adj. Employee Retention'!I$1,'Combined Employee Worksheet'!$D:$D,'Adj. Employee Retention'!$B108)-COUNTIFS('Combined Employee Worksheet'!$I:$I,"&gt;="&amp;'Adj. Employee Retention'!I$5,'Combined Employee Worksheet'!$I:$I,"&lt;="&amp;'Adj. Employee Retention'!I$1,'Combined Employee Worksheet'!$D:$D,'Adj. Employee Retention'!$B108,'Combined Employee Worksheet'!$K:$K,"&lt;="&amp;$C$138,'Combined Employee Worksheet'!$J:$J,"&lt;&gt;")</f>
        <v>0</v>
      </c>
      <c r="J112" s="472">
        <f>COUNTIFS('Combined Employee Worksheet'!$I:$I,"&gt;="&amp;'Adj. Employee Retention'!J$5,'Combined Employee Worksheet'!$I:$I,"&lt;="&amp;'Adj. Employee Retention'!J$1,'Combined Employee Worksheet'!$D:$D,'Adj. Employee Retention'!$B108)-COUNTIFS('Combined Employee Worksheet'!$I:$I,"&gt;="&amp;'Adj. Employee Retention'!J$5,'Combined Employee Worksheet'!$I:$I,"&lt;="&amp;'Adj. Employee Retention'!J$1,'Combined Employee Worksheet'!$D:$D,'Adj. Employee Retention'!$B108,'Combined Employee Worksheet'!$K:$K,"&lt;="&amp;$C$138,'Combined Employee Worksheet'!$J:$J,"&lt;&gt;")</f>
        <v>0</v>
      </c>
      <c r="K112" s="472">
        <f>COUNTIFS('Combined Employee Worksheet'!$I:$I,"&gt;="&amp;'Adj. Employee Retention'!K$5,'Combined Employee Worksheet'!$I:$I,"&lt;="&amp;'Adj. Employee Retention'!K$1,'Combined Employee Worksheet'!$D:$D,'Adj. Employee Retention'!$B108)-COUNTIFS('Combined Employee Worksheet'!$I:$I,"&gt;="&amp;'Adj. Employee Retention'!K$5,'Combined Employee Worksheet'!$I:$I,"&lt;="&amp;'Adj. Employee Retention'!K$1,'Combined Employee Worksheet'!$D:$D,'Adj. Employee Retention'!$B108,'Combined Employee Worksheet'!$K:$K,"&lt;="&amp;$C$138,'Combined Employee Worksheet'!$J:$J,"&lt;&gt;")</f>
        <v>0</v>
      </c>
      <c r="L112" s="472">
        <f>COUNTIFS('Combined Employee Worksheet'!$I:$I,"&gt;="&amp;'Adj. Employee Retention'!L$5,'Combined Employee Worksheet'!$I:$I,"&lt;="&amp;'Adj. Employee Retention'!L$1,'Combined Employee Worksheet'!$D:$D,'Adj. Employee Retention'!$B108)-COUNTIFS('Combined Employee Worksheet'!$I:$I,"&gt;="&amp;'Adj. Employee Retention'!L$5,'Combined Employee Worksheet'!$I:$I,"&lt;="&amp;'Adj. Employee Retention'!L$1,'Combined Employee Worksheet'!$D:$D,'Adj. Employee Retention'!$B108,'Combined Employee Worksheet'!$K:$K,"&lt;="&amp;$C$138,'Combined Employee Worksheet'!$J:$J,"&lt;&gt;")</f>
        <v>0</v>
      </c>
      <c r="M112" s="472">
        <f>COUNTIFS('Combined Employee Worksheet'!$I:$I,"&gt;="&amp;'Adj. Employee Retention'!M$5,'Combined Employee Worksheet'!$I:$I,"&lt;="&amp;'Adj. Employee Retention'!M$1,'Combined Employee Worksheet'!$D:$D,'Adj. Employee Retention'!$B108)-COUNTIFS('Combined Employee Worksheet'!$I:$I,"&gt;="&amp;'Adj. Employee Retention'!M$5,'Combined Employee Worksheet'!$I:$I,"&lt;="&amp;'Adj. Employee Retention'!M$1,'Combined Employee Worksheet'!$D:$D,'Adj. Employee Retention'!$B108,'Combined Employee Worksheet'!$K:$K,"&lt;="&amp;$C$138,'Combined Employee Worksheet'!$J:$J,"&lt;&gt;")</f>
        <v>0</v>
      </c>
      <c r="N112" s="472">
        <f>COUNTIFS('Combined Employee Worksheet'!$I:$I,"&gt;="&amp;'Adj. Employee Retention'!N$5,'Combined Employee Worksheet'!$I:$I,"&lt;="&amp;'Adj. Employee Retention'!N$1,'Combined Employee Worksheet'!$D:$D,'Adj. Employee Retention'!$B108)-COUNTIFS('Combined Employee Worksheet'!$I:$I,"&gt;="&amp;'Adj. Employee Retention'!N$5,'Combined Employee Worksheet'!$I:$I,"&lt;="&amp;'Adj. Employee Retention'!N$1,'Combined Employee Worksheet'!$D:$D,'Adj. Employee Retention'!$B108,'Combined Employee Worksheet'!$K:$K,"&lt;="&amp;$C$138,'Combined Employee Worksheet'!$J:$J,"&lt;&gt;")</f>
        <v>0</v>
      </c>
      <c r="O112" s="472">
        <f>COUNTIFS('Combined Employee Worksheet'!$I:$I,"&gt;="&amp;'Adj. Employee Retention'!O$5,'Combined Employee Worksheet'!$I:$I,"&lt;="&amp;'Adj. Employee Retention'!O$1,'Combined Employee Worksheet'!$D:$D,'Adj. Employee Retention'!$B108)-COUNTIFS('Combined Employee Worksheet'!$I:$I,"&gt;="&amp;'Adj. Employee Retention'!O$5,'Combined Employee Worksheet'!$I:$I,"&lt;="&amp;'Adj. Employee Retention'!O$1,'Combined Employee Worksheet'!$D:$D,'Adj. Employee Retention'!$B108,'Combined Employee Worksheet'!$K:$K,"&lt;="&amp;$C$138,'Combined Employee Worksheet'!$J:$J,"&lt;&gt;")</f>
        <v>0</v>
      </c>
      <c r="P112" s="472">
        <f>COUNTIFS('Combined Employee Worksheet'!$I:$I,"&gt;="&amp;'Adj. Employee Retention'!P$5,'Combined Employee Worksheet'!$I:$I,"&lt;="&amp;'Adj. Employee Retention'!P$1,'Combined Employee Worksheet'!$D:$D,'Adj. Employee Retention'!$B108)-COUNTIFS('Combined Employee Worksheet'!$I:$I,"&gt;="&amp;'Adj. Employee Retention'!P$5,'Combined Employee Worksheet'!$I:$I,"&lt;="&amp;'Adj. Employee Retention'!P$1,'Combined Employee Worksheet'!$D:$D,'Adj. Employee Retention'!$B108,'Combined Employee Worksheet'!$K:$K,"&lt;="&amp;$C$138,'Combined Employee Worksheet'!$J:$J,"&lt;&gt;")</f>
        <v>0</v>
      </c>
      <c r="Q112" s="472">
        <f>COUNTIFS('Combined Employee Worksheet'!$I:$I,"&gt;="&amp;'Adj. Employee Retention'!Q$5,'Combined Employee Worksheet'!$I:$I,"&lt;="&amp;'Adj. Employee Retention'!Q$1,'Combined Employee Worksheet'!$D:$D,'Adj. Employee Retention'!$B108)-COUNTIFS('Combined Employee Worksheet'!$I:$I,"&gt;="&amp;'Adj. Employee Retention'!Q$5,'Combined Employee Worksheet'!$I:$I,"&lt;="&amp;'Adj. Employee Retention'!Q$1,'Combined Employee Worksheet'!$D:$D,'Adj. Employee Retention'!$B108,'Combined Employee Worksheet'!$K:$K,"&lt;="&amp;$C$138,'Combined Employee Worksheet'!$J:$J,"&lt;&gt;")</f>
        <v>0</v>
      </c>
      <c r="R112" s="472">
        <f>COUNTIFS('Combined Employee Worksheet'!$I:$I,"&gt;="&amp;'Adj. Employee Retention'!R$5,'Combined Employee Worksheet'!$I:$I,"&lt;="&amp;'Adj. Employee Retention'!R$1,'Combined Employee Worksheet'!$D:$D,'Adj. Employee Retention'!$B108)-COUNTIFS('Combined Employee Worksheet'!$I:$I,"&gt;="&amp;'Adj. Employee Retention'!R$5,'Combined Employee Worksheet'!$I:$I,"&lt;="&amp;'Adj. Employee Retention'!R$1,'Combined Employee Worksheet'!$D:$D,'Adj. Employee Retention'!$B108,'Combined Employee Worksheet'!$K:$K,"&lt;="&amp;$C$138,'Combined Employee Worksheet'!$J:$J,"&lt;&gt;")</f>
        <v>0</v>
      </c>
      <c r="S112" s="472">
        <f>COUNTIFS('Combined Employee Worksheet'!$I:$I,"&gt;="&amp;'Adj. Employee Retention'!S$5,'Combined Employee Worksheet'!$I:$I,"&lt;="&amp;'Adj. Employee Retention'!S$1,'Combined Employee Worksheet'!$D:$D,'Adj. Employee Retention'!$B108)-COUNTIFS('Combined Employee Worksheet'!$I:$I,"&gt;="&amp;'Adj. Employee Retention'!S$5,'Combined Employee Worksheet'!$I:$I,"&lt;="&amp;'Adj. Employee Retention'!S$1,'Combined Employee Worksheet'!$D:$D,'Adj. Employee Retention'!$B108,'Combined Employee Worksheet'!$K:$K,"&lt;="&amp;$C$138,'Combined Employee Worksheet'!$J:$J,"&lt;&gt;")</f>
        <v>0</v>
      </c>
      <c r="T112" s="472">
        <f>COUNTIFS('Combined Employee Worksheet'!$I:$I,"&gt;="&amp;'Adj. Employee Retention'!T$5,'Combined Employee Worksheet'!$I:$I,"&lt;="&amp;'Adj. Employee Retention'!T$1,'Combined Employee Worksheet'!$D:$D,'Adj. Employee Retention'!$B108)-COUNTIFS('Combined Employee Worksheet'!$I:$I,"&gt;="&amp;'Adj. Employee Retention'!T$5,'Combined Employee Worksheet'!$I:$I,"&lt;="&amp;'Adj. Employee Retention'!T$1,'Combined Employee Worksheet'!$D:$D,'Adj. Employee Retention'!$B108,'Combined Employee Worksheet'!$K:$K,"&lt;="&amp;$C$138,'Combined Employee Worksheet'!$J:$J,"&lt;&gt;")</f>
        <v>0</v>
      </c>
      <c r="U112" s="472">
        <f>COUNTIFS('Combined Employee Worksheet'!$I:$I,"&gt;="&amp;'Adj. Employee Retention'!U$5,'Combined Employee Worksheet'!$I:$I,"&lt;="&amp;'Adj. Employee Retention'!U$1,'Combined Employee Worksheet'!$D:$D,'Adj. Employee Retention'!$B108)-COUNTIFS('Combined Employee Worksheet'!$I:$I,"&gt;="&amp;'Adj. Employee Retention'!U$5,'Combined Employee Worksheet'!$I:$I,"&lt;="&amp;'Adj. Employee Retention'!U$1,'Combined Employee Worksheet'!$D:$D,'Adj. Employee Retention'!$B108,'Combined Employee Worksheet'!$K:$K,"&lt;="&amp;$C$138,'Combined Employee Worksheet'!$J:$J,"&lt;&gt;")</f>
        <v>0</v>
      </c>
      <c r="V112" s="472">
        <f>COUNTIFS('Combined Employee Worksheet'!$I:$I,"&gt;="&amp;'Adj. Employee Retention'!V$5,'Combined Employee Worksheet'!$I:$I,"&lt;="&amp;'Adj. Employee Retention'!V$1,'Combined Employee Worksheet'!$D:$D,'Adj. Employee Retention'!$B108)-COUNTIFS('Combined Employee Worksheet'!$I:$I,"&gt;="&amp;'Adj. Employee Retention'!V$5,'Combined Employee Worksheet'!$I:$I,"&lt;="&amp;'Adj. Employee Retention'!V$1,'Combined Employee Worksheet'!$D:$D,'Adj. Employee Retention'!$B108,'Combined Employee Worksheet'!$K:$K,"&lt;="&amp;$C$138,'Combined Employee Worksheet'!$J:$J,"&lt;&gt;")</f>
        <v>0</v>
      </c>
      <c r="W112" s="472">
        <f>COUNTIFS('Combined Employee Worksheet'!$I:$I,"&gt;="&amp;'Adj. Employee Retention'!W$5,'Combined Employee Worksheet'!$I:$I,"&lt;="&amp;'Adj. Employee Retention'!W$1,'Combined Employee Worksheet'!$D:$D,'Adj. Employee Retention'!$B108)-COUNTIFS('Combined Employee Worksheet'!$I:$I,"&gt;="&amp;'Adj. Employee Retention'!W$5,'Combined Employee Worksheet'!$I:$I,"&lt;="&amp;'Adj. Employee Retention'!W$1,'Combined Employee Worksheet'!$D:$D,'Adj. Employee Retention'!$B108,'Combined Employee Worksheet'!$K:$K,"&lt;="&amp;$C$138,'Combined Employee Worksheet'!$J:$J,"&lt;&gt;")</f>
        <v>0</v>
      </c>
      <c r="X112" s="472">
        <f>COUNTIFS('Combined Employee Worksheet'!$I:$I,"&gt;="&amp;'Adj. Employee Retention'!X$5,'Combined Employee Worksheet'!$I:$I,"&lt;="&amp;'Adj. Employee Retention'!X$1,'Combined Employee Worksheet'!$D:$D,'Adj. Employee Retention'!$B108)-COUNTIFS('Combined Employee Worksheet'!$I:$I,"&gt;="&amp;'Adj. Employee Retention'!X$5,'Combined Employee Worksheet'!$I:$I,"&lt;="&amp;'Adj. Employee Retention'!X$1,'Combined Employee Worksheet'!$D:$D,'Adj. Employee Retention'!$B108,'Combined Employee Worksheet'!$K:$K,"&lt;="&amp;$C$138,'Combined Employee Worksheet'!$J:$J,"&lt;&gt;")</f>
        <v>0</v>
      </c>
      <c r="Y112" s="472">
        <f>COUNTIFS('Combined Employee Worksheet'!$I:$I,"&gt;="&amp;'Adj. Employee Retention'!Y$5,'Combined Employee Worksheet'!$I:$I,"&lt;="&amp;'Adj. Employee Retention'!Y$1,'Combined Employee Worksheet'!$D:$D,'Adj. Employee Retention'!$B108)-COUNTIFS('Combined Employee Worksheet'!$I:$I,"&gt;="&amp;'Adj. Employee Retention'!Y$5,'Combined Employee Worksheet'!$I:$I,"&lt;="&amp;'Adj. Employee Retention'!Y$1,'Combined Employee Worksheet'!$D:$D,'Adj. Employee Retention'!$B108,'Combined Employee Worksheet'!$K:$K,"&lt;="&amp;$C$138,'Combined Employee Worksheet'!$J:$J,"&lt;&gt;")</f>
        <v>0</v>
      </c>
      <c r="Z112" s="472">
        <f>COUNTIFS('Combined Employee Worksheet'!$I:$I,"&gt;="&amp;'Adj. Employee Retention'!Z$5,'Combined Employee Worksheet'!$I:$I,"&lt;="&amp;'Adj. Employee Retention'!Z$1,'Combined Employee Worksheet'!$D:$D,'Adj. Employee Retention'!$B108)-COUNTIFS('Combined Employee Worksheet'!$I:$I,"&gt;="&amp;'Adj. Employee Retention'!Z$5,'Combined Employee Worksheet'!$I:$I,"&lt;="&amp;'Adj. Employee Retention'!Z$1,'Combined Employee Worksheet'!$D:$D,'Adj. Employee Retention'!$B108,'Combined Employee Worksheet'!$K:$K,"&lt;="&amp;$C$138,'Combined Employee Worksheet'!$J:$J,"&lt;&gt;")</f>
        <v>0</v>
      </c>
      <c r="AA112" s="472">
        <f>COUNTIFS('Combined Employee Worksheet'!$I:$I,"&gt;="&amp;'Adj. Employee Retention'!AA$5,'Combined Employee Worksheet'!$I:$I,"&lt;="&amp;'Adj. Employee Retention'!AA$1,'Combined Employee Worksheet'!$D:$D,'Adj. Employee Retention'!$B108)-COUNTIFS('Combined Employee Worksheet'!$I:$I,"&gt;="&amp;'Adj. Employee Retention'!AA$5,'Combined Employee Worksheet'!$I:$I,"&lt;="&amp;'Adj. Employee Retention'!AA$1,'Combined Employee Worksheet'!$D:$D,'Adj. Employee Retention'!$B108,'Combined Employee Worksheet'!$K:$K,"&lt;="&amp;$C$138,'Combined Employee Worksheet'!$J:$J,"&lt;&gt;")</f>
        <v>0</v>
      </c>
      <c r="AB112" s="472">
        <f>COUNTIFS('Combined Employee Worksheet'!$I:$I,"&gt;="&amp;'Adj. Employee Retention'!AB$5,'Combined Employee Worksheet'!$I:$I,"&lt;="&amp;'Adj. Employee Retention'!AB$1,'Combined Employee Worksheet'!$D:$D,'Adj. Employee Retention'!$B108)-COUNTIFS('Combined Employee Worksheet'!$I:$I,"&gt;="&amp;'Adj. Employee Retention'!AB$5,'Combined Employee Worksheet'!$I:$I,"&lt;="&amp;'Adj. Employee Retention'!AB$1,'Combined Employee Worksheet'!$D:$D,'Adj. Employee Retention'!$B108,'Combined Employee Worksheet'!$K:$K,"&lt;="&amp;$C$138,'Combined Employee Worksheet'!$J:$J,"&lt;&gt;")</f>
        <v>0</v>
      </c>
      <c r="AC112" s="417"/>
      <c r="AD112" s="417"/>
      <c r="AE112" s="417"/>
    </row>
    <row r="113" spans="1:31" ht="12" customHeight="1">
      <c r="A113" s="417"/>
      <c r="B113" s="471" t="s">
        <v>1815</v>
      </c>
      <c r="C113" s="433">
        <f ca="1">SUM(H113:S113)</f>
        <v>-1</v>
      </c>
      <c r="D113" s="433">
        <f>SUM(T113:AB113)</f>
        <v>0</v>
      </c>
      <c r="E113" s="417"/>
      <c r="F113" s="433">
        <f>SUM(Q113:AB113)</f>
        <v>0</v>
      </c>
      <c r="G113" s="417"/>
      <c r="H113" s="472">
        <f>-COUNTIFS('Combined Employee Worksheet'!$J:$J,"&gt;="&amp;'Adj. Employee Retention'!H$5,'Combined Employee Worksheet'!$J:$J,"&lt;="&amp;'Adj. Employee Retention'!H$1,'Combined Employee Worksheet'!$D:$D,'Adj. Employee Retention'!$B108,'Combined Employee Worksheet'!$K:$K,"&gt;"&amp;$C$138)</f>
        <v>0</v>
      </c>
      <c r="I113" s="472">
        <f ca="1">-COUNTIFS('Combined Employee Worksheet'!$J:$J,"&gt;="&amp;'Adj. Employee Retention'!I$5,'Combined Employee Worksheet'!$J:$J,"&lt;="&amp;'Adj. Employee Retention'!I$1,'Combined Employee Worksheet'!$D:$D,'Adj. Employee Retention'!$B108,'Combined Employee Worksheet'!$K:$K,"&gt;"&amp;$C$138)</f>
        <v>-1</v>
      </c>
      <c r="J113" s="472">
        <f>-COUNTIFS('Combined Employee Worksheet'!$J:$J,"&gt;="&amp;'Adj. Employee Retention'!J$5,'Combined Employee Worksheet'!$J:$J,"&lt;="&amp;'Adj. Employee Retention'!J$1,'Combined Employee Worksheet'!$D:$D,'Adj. Employee Retention'!$B108,'Combined Employee Worksheet'!$K:$K,"&gt;"&amp;$C$138)</f>
        <v>0</v>
      </c>
      <c r="K113" s="472">
        <f>-COUNTIFS('Combined Employee Worksheet'!$J:$J,"&gt;="&amp;'Adj. Employee Retention'!K$5,'Combined Employee Worksheet'!$J:$J,"&lt;="&amp;'Adj. Employee Retention'!K$1,'Combined Employee Worksheet'!$D:$D,'Adj. Employee Retention'!$B108,'Combined Employee Worksheet'!$K:$K,"&gt;"&amp;$C$138)</f>
        <v>0</v>
      </c>
      <c r="L113" s="472">
        <f>-COUNTIFS('Combined Employee Worksheet'!$J:$J,"&gt;="&amp;'Adj. Employee Retention'!L$5,'Combined Employee Worksheet'!$J:$J,"&lt;="&amp;'Adj. Employee Retention'!L$1,'Combined Employee Worksheet'!$D:$D,'Adj. Employee Retention'!$B108,'Combined Employee Worksheet'!$K:$K,"&gt;"&amp;$C$138)</f>
        <v>0</v>
      </c>
      <c r="M113" s="472">
        <f>-COUNTIFS('Combined Employee Worksheet'!$J:$J,"&gt;="&amp;'Adj. Employee Retention'!M$5,'Combined Employee Worksheet'!$J:$J,"&lt;="&amp;'Adj. Employee Retention'!M$1,'Combined Employee Worksheet'!$D:$D,'Adj. Employee Retention'!$B108,'Combined Employee Worksheet'!$K:$K,"&gt;"&amp;$C$138)</f>
        <v>0</v>
      </c>
      <c r="N113" s="472">
        <f>-COUNTIFS('Combined Employee Worksheet'!$J:$J,"&gt;="&amp;'Adj. Employee Retention'!N$5,'Combined Employee Worksheet'!$J:$J,"&lt;="&amp;'Adj. Employee Retention'!N$1,'Combined Employee Worksheet'!$D:$D,'Adj. Employee Retention'!$B108,'Combined Employee Worksheet'!$K:$K,"&gt;"&amp;$C$138)</f>
        <v>0</v>
      </c>
      <c r="O113" s="472">
        <f>-COUNTIFS('Combined Employee Worksheet'!$J:$J,"&gt;="&amp;'Adj. Employee Retention'!O$5,'Combined Employee Worksheet'!$J:$J,"&lt;="&amp;'Adj. Employee Retention'!O$1,'Combined Employee Worksheet'!$D:$D,'Adj. Employee Retention'!$B108,'Combined Employee Worksheet'!$K:$K,"&gt;"&amp;$C$138)</f>
        <v>0</v>
      </c>
      <c r="P113" s="472">
        <f>-COUNTIFS('Combined Employee Worksheet'!$J:$J,"&gt;="&amp;'Adj. Employee Retention'!P$5,'Combined Employee Worksheet'!$J:$J,"&lt;="&amp;'Adj. Employee Retention'!P$1,'Combined Employee Worksheet'!$D:$D,'Adj. Employee Retention'!$B108,'Combined Employee Worksheet'!$K:$K,"&gt;"&amp;$C$138)</f>
        <v>0</v>
      </c>
      <c r="Q113" s="472">
        <f>-COUNTIFS('Combined Employee Worksheet'!$J:$J,"&gt;="&amp;'Adj. Employee Retention'!Q$5,'Combined Employee Worksheet'!$J:$J,"&lt;="&amp;'Adj. Employee Retention'!Q$1,'Combined Employee Worksheet'!$D:$D,'Adj. Employee Retention'!$B108,'Combined Employee Worksheet'!$K:$K,"&gt;"&amp;$C$138)</f>
        <v>0</v>
      </c>
      <c r="R113" s="472">
        <f>-COUNTIFS('Combined Employee Worksheet'!$J:$J,"&gt;="&amp;'Adj. Employee Retention'!R$5,'Combined Employee Worksheet'!$J:$J,"&lt;="&amp;'Adj. Employee Retention'!R$1,'Combined Employee Worksheet'!$D:$D,'Adj. Employee Retention'!$B108,'Combined Employee Worksheet'!$K:$K,"&gt;"&amp;$C$138)</f>
        <v>0</v>
      </c>
      <c r="S113" s="472">
        <f>-COUNTIFS('Combined Employee Worksheet'!$J:$J,"&gt;="&amp;'Adj. Employee Retention'!S$5,'Combined Employee Worksheet'!$J:$J,"&lt;="&amp;'Adj. Employee Retention'!S$1,'Combined Employee Worksheet'!$D:$D,'Adj. Employee Retention'!$B108,'Combined Employee Worksheet'!$K:$K,"&gt;"&amp;$C$138)</f>
        <v>0</v>
      </c>
      <c r="T113" s="472">
        <f>-COUNTIFS('Combined Employee Worksheet'!$J:$J,"&gt;="&amp;'Adj. Employee Retention'!T$5,'Combined Employee Worksheet'!$J:$J,"&lt;="&amp;'Adj. Employee Retention'!T$1,'Combined Employee Worksheet'!$D:$D,'Adj. Employee Retention'!$B108,'Combined Employee Worksheet'!$K:$K,"&gt;"&amp;$C$138)</f>
        <v>0</v>
      </c>
      <c r="U113" s="472">
        <f>-COUNTIFS('Combined Employee Worksheet'!$J:$J,"&gt;="&amp;'Adj. Employee Retention'!U$5,'Combined Employee Worksheet'!$J:$J,"&lt;="&amp;'Adj. Employee Retention'!U$1,'Combined Employee Worksheet'!$D:$D,'Adj. Employee Retention'!$B108,'Combined Employee Worksheet'!$K:$K,"&gt;"&amp;$C$138)</f>
        <v>0</v>
      </c>
      <c r="V113" s="472">
        <f>-COUNTIFS('Combined Employee Worksheet'!$J:$J,"&gt;="&amp;'Adj. Employee Retention'!V$5,'Combined Employee Worksheet'!$J:$J,"&lt;="&amp;'Adj. Employee Retention'!V$1,'Combined Employee Worksheet'!$D:$D,'Adj. Employee Retention'!$B108,'Combined Employee Worksheet'!$K:$K,"&gt;"&amp;$C$138)</f>
        <v>0</v>
      </c>
      <c r="W113" s="472">
        <f>-COUNTIFS('Combined Employee Worksheet'!$J:$J,"&gt;="&amp;'Adj. Employee Retention'!W$5,'Combined Employee Worksheet'!$J:$J,"&lt;="&amp;'Adj. Employee Retention'!W$1,'Combined Employee Worksheet'!$D:$D,'Adj. Employee Retention'!$B108,'Combined Employee Worksheet'!$K:$K,"&gt;"&amp;$C$138)</f>
        <v>0</v>
      </c>
      <c r="X113" s="472">
        <f>-COUNTIFS('Combined Employee Worksheet'!$J:$J,"&gt;="&amp;'Adj. Employee Retention'!X$5,'Combined Employee Worksheet'!$J:$J,"&lt;="&amp;'Adj. Employee Retention'!X$1,'Combined Employee Worksheet'!$D:$D,'Adj. Employee Retention'!$B108,'Combined Employee Worksheet'!$K:$K,"&gt;"&amp;$C$138)</f>
        <v>0</v>
      </c>
      <c r="Y113" s="472">
        <f>-COUNTIFS('Combined Employee Worksheet'!$J:$J,"&gt;="&amp;'Adj. Employee Retention'!Y$5,'Combined Employee Worksheet'!$J:$J,"&lt;="&amp;'Adj. Employee Retention'!Y$1,'Combined Employee Worksheet'!$D:$D,'Adj. Employee Retention'!$B108,'Combined Employee Worksheet'!$K:$K,"&gt;"&amp;$C$138)</f>
        <v>0</v>
      </c>
      <c r="Z113" s="472">
        <f>-COUNTIFS('Combined Employee Worksheet'!$J:$J,"&gt;="&amp;'Adj. Employee Retention'!Z$5,'Combined Employee Worksheet'!$J:$J,"&lt;="&amp;'Adj. Employee Retention'!Z$1,'Combined Employee Worksheet'!$D:$D,'Adj. Employee Retention'!$B108,'Combined Employee Worksheet'!$K:$K,"&gt;"&amp;$C$138)</f>
        <v>0</v>
      </c>
      <c r="AA113" s="472">
        <f>-COUNTIFS('Combined Employee Worksheet'!$J:$J,"&gt;="&amp;'Adj. Employee Retention'!AA$5,'Combined Employee Worksheet'!$J:$J,"&lt;="&amp;'Adj. Employee Retention'!AA$1,'Combined Employee Worksheet'!$D:$D,'Adj. Employee Retention'!$B108,'Combined Employee Worksheet'!$K:$K,"&gt;"&amp;$C$138)</f>
        <v>0</v>
      </c>
      <c r="AB113" s="472">
        <f>-COUNTIFS('Combined Employee Worksheet'!$J:$J,"&gt;="&amp;'Adj. Employee Retention'!AB$5,'Combined Employee Worksheet'!$J:$J,"&lt;="&amp;'Adj. Employee Retention'!AB$1,'Combined Employee Worksheet'!$D:$D,'Adj. Employee Retention'!$B108,'Combined Employee Worksheet'!$K:$K,"&gt;"&amp;$C$138)</f>
        <v>0</v>
      </c>
      <c r="AC113" s="417"/>
      <c r="AD113" s="417"/>
      <c r="AE113" s="417"/>
    </row>
    <row r="114" spans="1:31" ht="12" customHeight="1">
      <c r="A114" s="417"/>
      <c r="B114" s="474" t="s">
        <v>1315</v>
      </c>
      <c r="C114" s="475">
        <f>+D111</f>
        <v>3</v>
      </c>
      <c r="D114" s="476">
        <f>+$AB114</f>
        <v>3</v>
      </c>
      <c r="E114" s="417"/>
      <c r="F114" s="477">
        <f>+$AB114</f>
        <v>3</v>
      </c>
      <c r="G114" s="417"/>
      <c r="H114" s="478">
        <f t="shared" ref="H114:AA114" ca="1" si="67">+I111</f>
        <v>4</v>
      </c>
      <c r="I114" s="475">
        <f t="shared" si="67"/>
        <v>3</v>
      </c>
      <c r="J114" s="475">
        <f t="shared" si="67"/>
        <v>3</v>
      </c>
      <c r="K114" s="475">
        <f t="shared" si="67"/>
        <v>3</v>
      </c>
      <c r="L114" s="475">
        <f t="shared" si="67"/>
        <v>3</v>
      </c>
      <c r="M114" s="475">
        <f t="shared" si="67"/>
        <v>3</v>
      </c>
      <c r="N114" s="475">
        <f t="shared" si="67"/>
        <v>3</v>
      </c>
      <c r="O114" s="475">
        <f t="shared" si="67"/>
        <v>3</v>
      </c>
      <c r="P114" s="475">
        <f t="shared" si="67"/>
        <v>3</v>
      </c>
      <c r="Q114" s="475">
        <f t="shared" si="67"/>
        <v>3</v>
      </c>
      <c r="R114" s="475">
        <f t="shared" si="67"/>
        <v>3</v>
      </c>
      <c r="S114" s="475">
        <f t="shared" si="67"/>
        <v>3</v>
      </c>
      <c r="T114" s="475">
        <f t="shared" si="67"/>
        <v>3</v>
      </c>
      <c r="U114" s="475">
        <f t="shared" si="67"/>
        <v>3</v>
      </c>
      <c r="V114" s="475">
        <f t="shared" si="67"/>
        <v>3</v>
      </c>
      <c r="W114" s="475">
        <f t="shared" si="67"/>
        <v>3</v>
      </c>
      <c r="X114" s="475">
        <f t="shared" si="67"/>
        <v>3</v>
      </c>
      <c r="Y114" s="475">
        <f t="shared" si="67"/>
        <v>3</v>
      </c>
      <c r="Z114" s="475">
        <f t="shared" si="67"/>
        <v>3</v>
      </c>
      <c r="AA114" s="475">
        <f t="shared" si="67"/>
        <v>3</v>
      </c>
      <c r="AB114" s="479">
        <f>COUNTIFS('Combined Employee Worksheet'!$H:$H,"Active",'Combined Employee Worksheet'!$D:$D,'Adj. Employee Retention'!B108)</f>
        <v>3</v>
      </c>
      <c r="AC114" s="417"/>
      <c r="AD114" s="417"/>
      <c r="AE114" s="417"/>
    </row>
    <row r="115" spans="1:31" ht="3.95" customHeight="1">
      <c r="A115" s="417"/>
      <c r="B115" s="480"/>
      <c r="C115" s="481"/>
      <c r="D115" s="481"/>
      <c r="E115" s="417"/>
      <c r="F115" s="481"/>
      <c r="G115" s="417"/>
      <c r="H115" s="481"/>
      <c r="I115" s="481"/>
      <c r="J115" s="481"/>
      <c r="K115" s="481"/>
      <c r="L115" s="481"/>
      <c r="M115" s="481"/>
      <c r="N115" s="481"/>
      <c r="O115" s="481"/>
      <c r="P115" s="481"/>
      <c r="Q115" s="481"/>
      <c r="R115" s="481"/>
      <c r="S115" s="481"/>
      <c r="T115" s="481"/>
      <c r="U115" s="481"/>
      <c r="V115" s="481"/>
      <c r="W115" s="481"/>
      <c r="X115" s="481"/>
      <c r="Y115" s="481"/>
      <c r="Z115" s="481"/>
      <c r="AA115" s="481"/>
      <c r="AB115" s="501"/>
      <c r="AC115" s="417"/>
      <c r="AD115" s="417"/>
      <c r="AE115" s="417"/>
    </row>
    <row r="116" spans="1:31" ht="12" customHeight="1">
      <c r="A116" s="417"/>
      <c r="B116" s="487" t="s">
        <v>1817</v>
      </c>
      <c r="C116" s="502">
        <f ca="1">AVERAGE(C111,C114)</f>
        <v>3.5</v>
      </c>
      <c r="D116" s="503">
        <f>AVERAGE(D111,D114)</f>
        <v>3</v>
      </c>
      <c r="E116" s="417"/>
      <c r="F116" s="504">
        <f>AVERAGE(F111,F114)</f>
        <v>3</v>
      </c>
      <c r="G116" s="417"/>
      <c r="H116" s="505">
        <f t="shared" ref="H116:AB116" ca="1" si="68">AVERAGE(H111,H114)</f>
        <v>4</v>
      </c>
      <c r="I116" s="502">
        <f t="shared" ca="1" si="68"/>
        <v>3.5</v>
      </c>
      <c r="J116" s="502">
        <f t="shared" si="68"/>
        <v>3</v>
      </c>
      <c r="K116" s="502">
        <f t="shared" si="68"/>
        <v>3</v>
      </c>
      <c r="L116" s="502">
        <f t="shared" si="68"/>
        <v>3</v>
      </c>
      <c r="M116" s="502">
        <f t="shared" si="68"/>
        <v>3</v>
      </c>
      <c r="N116" s="502">
        <f t="shared" si="68"/>
        <v>3</v>
      </c>
      <c r="O116" s="502">
        <f t="shared" si="68"/>
        <v>3</v>
      </c>
      <c r="P116" s="502">
        <f t="shared" si="68"/>
        <v>3</v>
      </c>
      <c r="Q116" s="502">
        <f t="shared" si="68"/>
        <v>3</v>
      </c>
      <c r="R116" s="502">
        <f t="shared" si="68"/>
        <v>3</v>
      </c>
      <c r="S116" s="502">
        <f t="shared" si="68"/>
        <v>3</v>
      </c>
      <c r="T116" s="502">
        <f t="shared" si="68"/>
        <v>3</v>
      </c>
      <c r="U116" s="502">
        <f t="shared" si="68"/>
        <v>3</v>
      </c>
      <c r="V116" s="502">
        <f t="shared" si="68"/>
        <v>3</v>
      </c>
      <c r="W116" s="502">
        <f t="shared" si="68"/>
        <v>3</v>
      </c>
      <c r="X116" s="502">
        <f t="shared" si="68"/>
        <v>3</v>
      </c>
      <c r="Y116" s="502">
        <f t="shared" si="68"/>
        <v>3</v>
      </c>
      <c r="Z116" s="502">
        <f t="shared" si="68"/>
        <v>3</v>
      </c>
      <c r="AA116" s="502">
        <f t="shared" si="68"/>
        <v>3</v>
      </c>
      <c r="AB116" s="503">
        <f t="shared" si="68"/>
        <v>3</v>
      </c>
      <c r="AC116" s="417"/>
      <c r="AD116" s="417"/>
      <c r="AE116" s="417"/>
    </row>
    <row r="117" spans="1:31" ht="12" customHeight="1">
      <c r="A117" s="417"/>
      <c r="B117" s="493" t="s">
        <v>1816</v>
      </c>
      <c r="C117" s="506">
        <f ca="1">C109/C116</f>
        <v>46.428571428571431</v>
      </c>
      <c r="D117" s="507">
        <f>D109/D116</f>
        <v>59.833333333333336</v>
      </c>
      <c r="E117" s="470"/>
      <c r="F117" s="508">
        <f>F109/F116</f>
        <v>59.333333333333336</v>
      </c>
      <c r="G117" s="470"/>
      <c r="H117" s="509">
        <f t="shared" ref="H117:AB117" ca="1" si="69">H109/H116</f>
        <v>36.5</v>
      </c>
      <c r="I117" s="506">
        <f t="shared" ca="1" si="69"/>
        <v>42.142857142857146</v>
      </c>
      <c r="J117" s="506">
        <f t="shared" si="69"/>
        <v>50.333333333333336</v>
      </c>
      <c r="K117" s="506">
        <f t="shared" si="69"/>
        <v>52.166666666666664</v>
      </c>
      <c r="L117" s="506">
        <f t="shared" si="69"/>
        <v>54</v>
      </c>
      <c r="M117" s="506">
        <f t="shared" si="69"/>
        <v>55</v>
      </c>
      <c r="N117" s="506">
        <f t="shared" si="69"/>
        <v>55.666666666666664</v>
      </c>
      <c r="O117" s="506">
        <f t="shared" si="69"/>
        <v>57.333333333333336</v>
      </c>
      <c r="P117" s="506">
        <f t="shared" si="69"/>
        <v>58.666666666666664</v>
      </c>
      <c r="Q117" s="506">
        <f t="shared" si="69"/>
        <v>59.833333333333336</v>
      </c>
      <c r="R117" s="506">
        <f t="shared" si="69"/>
        <v>60.5</v>
      </c>
      <c r="S117" s="506">
        <f t="shared" si="69"/>
        <v>60.166666666666664</v>
      </c>
      <c r="T117" s="506">
        <f t="shared" si="69"/>
        <v>61</v>
      </c>
      <c r="U117" s="506">
        <f t="shared" si="69"/>
        <v>63.166666666666664</v>
      </c>
      <c r="V117" s="506">
        <f t="shared" si="69"/>
        <v>64.166666666666671</v>
      </c>
      <c r="W117" s="506">
        <f t="shared" si="69"/>
        <v>65</v>
      </c>
      <c r="X117" s="506">
        <f t="shared" si="69"/>
        <v>64.5</v>
      </c>
      <c r="Y117" s="506">
        <f t="shared" si="69"/>
        <v>63</v>
      </c>
      <c r="Z117" s="506">
        <f t="shared" si="69"/>
        <v>60.5</v>
      </c>
      <c r="AA117" s="506">
        <f t="shared" si="69"/>
        <v>58.166666666666664</v>
      </c>
      <c r="AB117" s="507">
        <f t="shared" si="69"/>
        <v>59</v>
      </c>
      <c r="AC117" s="417"/>
      <c r="AD117" s="417"/>
      <c r="AE117" s="417"/>
    </row>
    <row r="118" spans="1:31" ht="3.95" customHeight="1">
      <c r="A118" s="417"/>
      <c r="B118" s="480"/>
      <c r="C118" s="481"/>
      <c r="D118" s="481"/>
      <c r="E118" s="417"/>
      <c r="F118" s="481"/>
      <c r="G118" s="417"/>
      <c r="H118" s="481"/>
      <c r="I118" s="481"/>
      <c r="J118" s="481"/>
      <c r="K118" s="481"/>
      <c r="L118" s="481"/>
      <c r="M118" s="481"/>
      <c r="N118" s="481"/>
      <c r="O118" s="481"/>
      <c r="P118" s="481"/>
      <c r="Q118" s="481"/>
      <c r="R118" s="481"/>
      <c r="S118" s="481"/>
      <c r="T118" s="481"/>
      <c r="U118" s="481"/>
      <c r="V118" s="481"/>
      <c r="W118" s="481"/>
      <c r="X118" s="481"/>
      <c r="Y118" s="481"/>
      <c r="Z118" s="482"/>
      <c r="AA118" s="482"/>
      <c r="AB118" s="482"/>
      <c r="AC118" s="417"/>
      <c r="AD118" s="417"/>
      <c r="AE118" s="417"/>
    </row>
    <row r="119" spans="1:31" ht="12" customHeight="1">
      <c r="A119" s="417"/>
      <c r="B119" s="487" t="s">
        <v>1813</v>
      </c>
      <c r="C119" s="488">
        <f ca="1">(C112+C111)/C111-1</f>
        <v>0</v>
      </c>
      <c r="D119" s="489">
        <f>(D112+D111)/D111-1</f>
        <v>0</v>
      </c>
      <c r="E119" s="490"/>
      <c r="F119" s="491">
        <f>(F112+F111)/F111-1</f>
        <v>0</v>
      </c>
      <c r="G119" s="417"/>
      <c r="H119" s="492">
        <f t="shared" ref="H119:AB119" ca="1" si="70">(H112+H111)/H111-1</f>
        <v>0</v>
      </c>
      <c r="I119" s="488">
        <f t="shared" ca="1" si="70"/>
        <v>0</v>
      </c>
      <c r="J119" s="488">
        <f t="shared" si="70"/>
        <v>0</v>
      </c>
      <c r="K119" s="488">
        <f t="shared" si="70"/>
        <v>0</v>
      </c>
      <c r="L119" s="488">
        <f t="shared" si="70"/>
        <v>0</v>
      </c>
      <c r="M119" s="488">
        <f t="shared" si="70"/>
        <v>0</v>
      </c>
      <c r="N119" s="488">
        <f t="shared" si="70"/>
        <v>0</v>
      </c>
      <c r="O119" s="488">
        <f t="shared" si="70"/>
        <v>0</v>
      </c>
      <c r="P119" s="488">
        <f t="shared" si="70"/>
        <v>0</v>
      </c>
      <c r="Q119" s="492">
        <f t="shared" si="70"/>
        <v>0</v>
      </c>
      <c r="R119" s="488">
        <f t="shared" si="70"/>
        <v>0</v>
      </c>
      <c r="S119" s="488">
        <f t="shared" si="70"/>
        <v>0</v>
      </c>
      <c r="T119" s="488">
        <f t="shared" si="70"/>
        <v>0</v>
      </c>
      <c r="U119" s="488">
        <f t="shared" si="70"/>
        <v>0</v>
      </c>
      <c r="V119" s="488">
        <f t="shared" si="70"/>
        <v>0</v>
      </c>
      <c r="W119" s="488">
        <f t="shared" si="70"/>
        <v>0</v>
      </c>
      <c r="X119" s="488">
        <f t="shared" si="70"/>
        <v>0</v>
      </c>
      <c r="Y119" s="488">
        <f t="shared" si="70"/>
        <v>0</v>
      </c>
      <c r="Z119" s="488">
        <f t="shared" si="70"/>
        <v>0</v>
      </c>
      <c r="AA119" s="488">
        <f t="shared" si="70"/>
        <v>0</v>
      </c>
      <c r="AB119" s="489">
        <f t="shared" si="70"/>
        <v>0</v>
      </c>
      <c r="AC119" s="417"/>
      <c r="AD119" s="417"/>
      <c r="AE119" s="417"/>
    </row>
    <row r="120" spans="1:31">
      <c r="A120" s="417"/>
      <c r="B120" s="493" t="s">
        <v>1812</v>
      </c>
      <c r="C120" s="494">
        <f ca="1">(C113+C116)/C116-1</f>
        <v>-0.2857142857142857</v>
      </c>
      <c r="D120" s="495">
        <f>(D113+D116)/D116-1</f>
        <v>0</v>
      </c>
      <c r="E120" s="490"/>
      <c r="F120" s="496">
        <f>(F113+F116)/F116-1</f>
        <v>0</v>
      </c>
      <c r="G120" s="417"/>
      <c r="H120" s="497">
        <f t="shared" ref="H120:AB120" ca="1" si="71">(H113+H116)/H116-1</f>
        <v>0</v>
      </c>
      <c r="I120" s="494">
        <f t="shared" ca="1" si="71"/>
        <v>-0.2857142857142857</v>
      </c>
      <c r="J120" s="494">
        <f t="shared" si="71"/>
        <v>0</v>
      </c>
      <c r="K120" s="494">
        <f t="shared" si="71"/>
        <v>0</v>
      </c>
      <c r="L120" s="494">
        <f t="shared" si="71"/>
        <v>0</v>
      </c>
      <c r="M120" s="494">
        <f t="shared" si="71"/>
        <v>0</v>
      </c>
      <c r="N120" s="494">
        <f t="shared" si="71"/>
        <v>0</v>
      </c>
      <c r="O120" s="494">
        <f t="shared" si="71"/>
        <v>0</v>
      </c>
      <c r="P120" s="494">
        <f t="shared" si="71"/>
        <v>0</v>
      </c>
      <c r="Q120" s="497">
        <f t="shared" si="71"/>
        <v>0</v>
      </c>
      <c r="R120" s="494">
        <f t="shared" si="71"/>
        <v>0</v>
      </c>
      <c r="S120" s="494">
        <f t="shared" si="71"/>
        <v>0</v>
      </c>
      <c r="T120" s="494">
        <f t="shared" si="71"/>
        <v>0</v>
      </c>
      <c r="U120" s="494">
        <f t="shared" si="71"/>
        <v>0</v>
      </c>
      <c r="V120" s="494">
        <f t="shared" si="71"/>
        <v>0</v>
      </c>
      <c r="W120" s="494">
        <f t="shared" si="71"/>
        <v>0</v>
      </c>
      <c r="X120" s="494">
        <f t="shared" si="71"/>
        <v>0</v>
      </c>
      <c r="Y120" s="494">
        <f t="shared" si="71"/>
        <v>0</v>
      </c>
      <c r="Z120" s="494">
        <f t="shared" si="71"/>
        <v>0</v>
      </c>
      <c r="AA120" s="494">
        <f t="shared" si="71"/>
        <v>0</v>
      </c>
      <c r="AB120" s="495">
        <f t="shared" si="71"/>
        <v>0</v>
      </c>
      <c r="AC120" s="417"/>
      <c r="AD120" s="417"/>
      <c r="AE120" s="417"/>
    </row>
    <row r="121" spans="1:31" ht="3.95" customHeight="1">
      <c r="A121" s="417"/>
      <c r="B121" s="480"/>
      <c r="C121" s="417"/>
      <c r="D121" s="417"/>
      <c r="E121" s="417"/>
      <c r="F121" s="417"/>
      <c r="G121" s="417"/>
      <c r="H121" s="417"/>
      <c r="I121" s="417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</row>
    <row r="122" spans="1:31" ht="24">
      <c r="A122" s="417"/>
      <c r="B122" s="462" t="s">
        <v>1997</v>
      </c>
      <c r="C122" s="463" t="s">
        <v>4</v>
      </c>
      <c r="D122" s="463" t="s">
        <v>1317</v>
      </c>
      <c r="E122" s="464"/>
      <c r="F122" s="463" t="s">
        <v>1527</v>
      </c>
      <c r="G122" s="417"/>
      <c r="H122" s="465">
        <v>45658</v>
      </c>
      <c r="I122" s="465">
        <f t="shared" ref="I122:N122" si="72">EOMONTH(H122,0)+1</f>
        <v>45689</v>
      </c>
      <c r="J122" s="465">
        <f t="shared" si="72"/>
        <v>45717</v>
      </c>
      <c r="K122" s="465">
        <f t="shared" si="72"/>
        <v>45748</v>
      </c>
      <c r="L122" s="465">
        <f t="shared" si="72"/>
        <v>45778</v>
      </c>
      <c r="M122" s="465">
        <f t="shared" si="72"/>
        <v>45809</v>
      </c>
      <c r="N122" s="465">
        <f t="shared" si="72"/>
        <v>45839</v>
      </c>
      <c r="O122" s="465">
        <v>45870</v>
      </c>
      <c r="P122" s="465">
        <f t="shared" ref="P122:AB122" si="73">EOMONTH(O122,0)+1</f>
        <v>45901</v>
      </c>
      <c r="Q122" s="465">
        <f t="shared" si="73"/>
        <v>45931</v>
      </c>
      <c r="R122" s="465">
        <f t="shared" si="73"/>
        <v>45962</v>
      </c>
      <c r="S122" s="465">
        <f t="shared" si="73"/>
        <v>45992</v>
      </c>
      <c r="T122" s="465">
        <f t="shared" si="73"/>
        <v>46023</v>
      </c>
      <c r="U122" s="465">
        <f t="shared" si="73"/>
        <v>46054</v>
      </c>
      <c r="V122" s="465">
        <f t="shared" si="73"/>
        <v>46082</v>
      </c>
      <c r="W122" s="465">
        <f t="shared" si="73"/>
        <v>46113</v>
      </c>
      <c r="X122" s="465">
        <f t="shared" si="73"/>
        <v>46143</v>
      </c>
      <c r="Y122" s="465">
        <f t="shared" si="73"/>
        <v>46174</v>
      </c>
      <c r="Z122" s="465">
        <f t="shared" si="73"/>
        <v>46204</v>
      </c>
      <c r="AA122" s="465">
        <f t="shared" si="73"/>
        <v>46235</v>
      </c>
      <c r="AB122" s="465">
        <f t="shared" si="73"/>
        <v>46266</v>
      </c>
      <c r="AC122" s="466"/>
      <c r="AD122" s="417"/>
      <c r="AE122" s="466"/>
    </row>
    <row r="123" spans="1:31">
      <c r="A123" s="417"/>
      <c r="B123" s="498" t="s">
        <v>1508</v>
      </c>
      <c r="C123" s="468"/>
      <c r="D123" s="468"/>
      <c r="E123" s="469"/>
      <c r="F123" s="468"/>
      <c r="G123" s="417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9"/>
      <c r="AD123" s="469"/>
      <c r="AE123" s="469"/>
    </row>
    <row r="124" spans="1:31">
      <c r="A124" s="417"/>
      <c r="B124" s="417" t="s">
        <v>1313</v>
      </c>
      <c r="C124" s="470">
        <f ca="1">+C127-C125-C126</f>
        <v>1</v>
      </c>
      <c r="D124" s="470">
        <f ca="1">+D127-D125-D126</f>
        <v>1</v>
      </c>
      <c r="E124" s="417"/>
      <c r="F124" s="470">
        <f ca="1">+F127-F125-F126</f>
        <v>2</v>
      </c>
      <c r="G124" s="417"/>
      <c r="H124" s="470">
        <f t="shared" ref="H124:AB124" ca="1" si="74">+H127-H125-H126</f>
        <v>1</v>
      </c>
      <c r="I124" s="470">
        <f t="shared" ca="1" si="74"/>
        <v>1</v>
      </c>
      <c r="J124" s="470">
        <f t="shared" ca="1" si="74"/>
        <v>1</v>
      </c>
      <c r="K124" s="470">
        <f t="shared" ca="1" si="74"/>
        <v>1</v>
      </c>
      <c r="L124" s="470">
        <f t="shared" ca="1" si="74"/>
        <v>1</v>
      </c>
      <c r="M124" s="470">
        <f t="shared" ca="1" si="74"/>
        <v>1</v>
      </c>
      <c r="N124" s="470">
        <f t="shared" ca="1" si="74"/>
        <v>1</v>
      </c>
      <c r="O124" s="470">
        <f t="shared" ca="1" si="74"/>
        <v>1</v>
      </c>
      <c r="P124" s="470">
        <f t="shared" ca="1" si="74"/>
        <v>2</v>
      </c>
      <c r="Q124" s="470">
        <f t="shared" ca="1" si="74"/>
        <v>2</v>
      </c>
      <c r="R124" s="470">
        <f t="shared" ca="1" si="74"/>
        <v>2</v>
      </c>
      <c r="S124" s="470">
        <f t="shared" ca="1" si="74"/>
        <v>1</v>
      </c>
      <c r="T124" s="470">
        <f t="shared" ca="1" si="74"/>
        <v>1</v>
      </c>
      <c r="U124" s="470">
        <f t="shared" ca="1" si="74"/>
        <v>1</v>
      </c>
      <c r="V124" s="470">
        <f t="shared" ca="1" si="74"/>
        <v>2</v>
      </c>
      <c r="W124" s="470">
        <f t="shared" ca="1" si="74"/>
        <v>3</v>
      </c>
      <c r="X124" s="470">
        <f t="shared" ca="1" si="74"/>
        <v>4</v>
      </c>
      <c r="Y124" s="470">
        <f t="shared" ca="1" si="74"/>
        <v>4</v>
      </c>
      <c r="Z124" s="470">
        <f t="shared" ca="1" si="74"/>
        <v>4</v>
      </c>
      <c r="AA124" s="470">
        <f t="shared" ca="1" si="74"/>
        <v>3</v>
      </c>
      <c r="AB124" s="470">
        <f t="shared" ca="1" si="74"/>
        <v>3</v>
      </c>
      <c r="AC124" s="417"/>
      <c r="AD124" s="417"/>
      <c r="AE124" s="417"/>
    </row>
    <row r="125" spans="1:31">
      <c r="A125" s="417"/>
      <c r="B125" s="471" t="s">
        <v>1814</v>
      </c>
      <c r="C125" s="433">
        <f ca="1">SUM(H125:S125)</f>
        <v>1</v>
      </c>
      <c r="D125" s="433">
        <f ca="1">SUM(T125:AB125)</f>
        <v>5</v>
      </c>
      <c r="E125" s="417"/>
      <c r="F125" s="433">
        <f ca="1">SUM(Q125:AB125)</f>
        <v>5</v>
      </c>
      <c r="G125" s="417"/>
      <c r="H125" s="472">
        <f>COUNTIFS('Combined Employee Worksheet'!$I:$I,"&gt;="&amp;'Adj. Employee Retention'!H$5,'Combined Employee Worksheet'!$I:$I,"&lt;="&amp;'Adj. Employee Retention'!H$1,'Combined Employee Worksheet'!$D:$D,'Adj. Employee Retention'!$B123)-COUNTIFS('Combined Employee Worksheet'!$I:$I,"&gt;="&amp;'Adj. Employee Retention'!H$5,'Combined Employee Worksheet'!$I:$I,"&lt;="&amp;'Adj. Employee Retention'!H$1,'Combined Employee Worksheet'!$D:$D,'Adj. Employee Retention'!$B123,'Combined Employee Worksheet'!$K:$K,"&lt;="&amp;$C$138,'Combined Employee Worksheet'!$J:$J,"&lt;&gt;")</f>
        <v>0</v>
      </c>
      <c r="I125" s="472">
        <f>COUNTIFS('Combined Employee Worksheet'!$I:$I,"&gt;="&amp;'Adj. Employee Retention'!I$5,'Combined Employee Worksheet'!$I:$I,"&lt;="&amp;'Adj. Employee Retention'!I$1,'Combined Employee Worksheet'!$D:$D,'Adj. Employee Retention'!$B123)-COUNTIFS('Combined Employee Worksheet'!$I:$I,"&gt;="&amp;'Adj. Employee Retention'!I$5,'Combined Employee Worksheet'!$I:$I,"&lt;="&amp;'Adj. Employee Retention'!I$1,'Combined Employee Worksheet'!$D:$D,'Adj. Employee Retention'!$B123,'Combined Employee Worksheet'!$K:$K,"&lt;="&amp;$C$138,'Combined Employee Worksheet'!$J:$J,"&lt;&gt;")</f>
        <v>0</v>
      </c>
      <c r="J125" s="472">
        <f>COUNTIFS('Combined Employee Worksheet'!$I:$I,"&gt;="&amp;'Adj. Employee Retention'!J$5,'Combined Employee Worksheet'!$I:$I,"&lt;="&amp;'Adj. Employee Retention'!J$1,'Combined Employee Worksheet'!$D:$D,'Adj. Employee Retention'!$B123)-COUNTIFS('Combined Employee Worksheet'!$I:$I,"&gt;="&amp;'Adj. Employee Retention'!J$5,'Combined Employee Worksheet'!$I:$I,"&lt;="&amp;'Adj. Employee Retention'!J$1,'Combined Employee Worksheet'!$D:$D,'Adj. Employee Retention'!$B123,'Combined Employee Worksheet'!$K:$K,"&lt;="&amp;$C$138,'Combined Employee Worksheet'!$J:$J,"&lt;&gt;")</f>
        <v>0</v>
      </c>
      <c r="K125" s="472">
        <f>COUNTIFS('Combined Employee Worksheet'!$I:$I,"&gt;="&amp;'Adj. Employee Retention'!K$5,'Combined Employee Worksheet'!$I:$I,"&lt;="&amp;'Adj. Employee Retention'!K$1,'Combined Employee Worksheet'!$D:$D,'Adj. Employee Retention'!$B123)-COUNTIFS('Combined Employee Worksheet'!$I:$I,"&gt;="&amp;'Adj. Employee Retention'!K$5,'Combined Employee Worksheet'!$I:$I,"&lt;="&amp;'Adj. Employee Retention'!K$1,'Combined Employee Worksheet'!$D:$D,'Adj. Employee Retention'!$B123,'Combined Employee Worksheet'!$K:$K,"&lt;="&amp;$C$138,'Combined Employee Worksheet'!$J:$J,"&lt;&gt;")</f>
        <v>0</v>
      </c>
      <c r="L125" s="472">
        <f>COUNTIFS('Combined Employee Worksheet'!$I:$I,"&gt;="&amp;'Adj. Employee Retention'!L$5,'Combined Employee Worksheet'!$I:$I,"&lt;="&amp;'Adj. Employee Retention'!L$1,'Combined Employee Worksheet'!$D:$D,'Adj. Employee Retention'!$B123)-COUNTIFS('Combined Employee Worksheet'!$I:$I,"&gt;="&amp;'Adj. Employee Retention'!L$5,'Combined Employee Worksheet'!$I:$I,"&lt;="&amp;'Adj. Employee Retention'!L$1,'Combined Employee Worksheet'!$D:$D,'Adj. Employee Retention'!$B123,'Combined Employee Worksheet'!$K:$K,"&lt;="&amp;$C$138,'Combined Employee Worksheet'!$J:$J,"&lt;&gt;")</f>
        <v>0</v>
      </c>
      <c r="M125" s="472">
        <f>COUNTIFS('Combined Employee Worksheet'!$I:$I,"&gt;="&amp;'Adj. Employee Retention'!M$5,'Combined Employee Worksheet'!$I:$I,"&lt;="&amp;'Adj. Employee Retention'!M$1,'Combined Employee Worksheet'!$D:$D,'Adj. Employee Retention'!$B123)-COUNTIFS('Combined Employee Worksheet'!$I:$I,"&gt;="&amp;'Adj. Employee Retention'!M$5,'Combined Employee Worksheet'!$I:$I,"&lt;="&amp;'Adj. Employee Retention'!M$1,'Combined Employee Worksheet'!$D:$D,'Adj. Employee Retention'!$B123,'Combined Employee Worksheet'!$K:$K,"&lt;="&amp;$C$138,'Combined Employee Worksheet'!$J:$J,"&lt;&gt;")</f>
        <v>0</v>
      </c>
      <c r="N125" s="472">
        <f>COUNTIFS('Combined Employee Worksheet'!$I:$I,"&gt;="&amp;'Adj. Employee Retention'!N$5,'Combined Employee Worksheet'!$I:$I,"&lt;="&amp;'Adj. Employee Retention'!N$1,'Combined Employee Worksheet'!$D:$D,'Adj. Employee Retention'!$B123)-COUNTIFS('Combined Employee Worksheet'!$I:$I,"&gt;="&amp;'Adj. Employee Retention'!N$5,'Combined Employee Worksheet'!$I:$I,"&lt;="&amp;'Adj. Employee Retention'!N$1,'Combined Employee Worksheet'!$D:$D,'Adj. Employee Retention'!$B123,'Combined Employee Worksheet'!$K:$K,"&lt;="&amp;$C$138,'Combined Employee Worksheet'!$J:$J,"&lt;&gt;")</f>
        <v>0</v>
      </c>
      <c r="O125" s="472">
        <f ca="1">COUNTIFS('Combined Employee Worksheet'!$I:$I,"&gt;="&amp;'Adj. Employee Retention'!O$5,'Combined Employee Worksheet'!$I:$I,"&lt;="&amp;'Adj. Employee Retention'!O$1,'Combined Employee Worksheet'!$D:$D,'Adj. Employee Retention'!$B123)-COUNTIFS('Combined Employee Worksheet'!$I:$I,"&gt;="&amp;'Adj. Employee Retention'!O$5,'Combined Employee Worksheet'!$I:$I,"&lt;="&amp;'Adj. Employee Retention'!O$1,'Combined Employee Worksheet'!$D:$D,'Adj. Employee Retention'!$B123,'Combined Employee Worksheet'!$K:$K,"&lt;="&amp;$C$138,'Combined Employee Worksheet'!$J:$J,"&lt;&gt;")</f>
        <v>1</v>
      </c>
      <c r="P125" s="472">
        <f>COUNTIFS('Combined Employee Worksheet'!$I:$I,"&gt;="&amp;'Adj. Employee Retention'!P$5,'Combined Employee Worksheet'!$I:$I,"&lt;="&amp;'Adj. Employee Retention'!P$1,'Combined Employee Worksheet'!$D:$D,'Adj. Employee Retention'!$B123)-COUNTIFS('Combined Employee Worksheet'!$I:$I,"&gt;="&amp;'Adj. Employee Retention'!P$5,'Combined Employee Worksheet'!$I:$I,"&lt;="&amp;'Adj. Employee Retention'!P$1,'Combined Employee Worksheet'!$D:$D,'Adj. Employee Retention'!$B123,'Combined Employee Worksheet'!$K:$K,"&lt;="&amp;$C$138,'Combined Employee Worksheet'!$J:$J,"&lt;&gt;")</f>
        <v>0</v>
      </c>
      <c r="Q125" s="472">
        <f>COUNTIFS('Combined Employee Worksheet'!$I:$I,"&gt;="&amp;'Adj. Employee Retention'!Q$5,'Combined Employee Worksheet'!$I:$I,"&lt;="&amp;'Adj. Employee Retention'!Q$1,'Combined Employee Worksheet'!$D:$D,'Adj. Employee Retention'!$B123)-COUNTIFS('Combined Employee Worksheet'!$I:$I,"&gt;="&amp;'Adj. Employee Retention'!Q$5,'Combined Employee Worksheet'!$I:$I,"&lt;="&amp;'Adj. Employee Retention'!Q$1,'Combined Employee Worksheet'!$D:$D,'Adj. Employee Retention'!$B123,'Combined Employee Worksheet'!$K:$K,"&lt;="&amp;$C$138,'Combined Employee Worksheet'!$J:$J,"&lt;&gt;")</f>
        <v>0</v>
      </c>
      <c r="R125" s="472">
        <f ca="1">COUNTIFS('Combined Employee Worksheet'!$I:$I,"&gt;="&amp;'Adj. Employee Retention'!R$5,'Combined Employee Worksheet'!$I:$I,"&lt;="&amp;'Adj. Employee Retention'!R$1,'Combined Employee Worksheet'!$D:$D,'Adj. Employee Retention'!$B123)-COUNTIFS('Combined Employee Worksheet'!$I:$I,"&gt;="&amp;'Adj. Employee Retention'!R$5,'Combined Employee Worksheet'!$I:$I,"&lt;="&amp;'Adj. Employee Retention'!R$1,'Combined Employee Worksheet'!$D:$D,'Adj. Employee Retention'!$B123,'Combined Employee Worksheet'!$K:$K,"&lt;="&amp;$C$138,'Combined Employee Worksheet'!$J:$J,"&lt;&gt;")</f>
        <v>0</v>
      </c>
      <c r="S125" s="472">
        <f>COUNTIFS('Combined Employee Worksheet'!$I:$I,"&gt;="&amp;'Adj. Employee Retention'!S$5,'Combined Employee Worksheet'!$I:$I,"&lt;="&amp;'Adj. Employee Retention'!S$1,'Combined Employee Worksheet'!$D:$D,'Adj. Employee Retention'!$B123)-COUNTIFS('Combined Employee Worksheet'!$I:$I,"&gt;="&amp;'Adj. Employee Retention'!S$5,'Combined Employee Worksheet'!$I:$I,"&lt;="&amp;'Adj. Employee Retention'!S$1,'Combined Employee Worksheet'!$D:$D,'Adj. Employee Retention'!$B123,'Combined Employee Worksheet'!$K:$K,"&lt;="&amp;$C$138,'Combined Employee Worksheet'!$J:$J,"&lt;&gt;")</f>
        <v>0</v>
      </c>
      <c r="T125" s="472">
        <f ca="1">COUNTIFS('Combined Employee Worksheet'!$I:$I,"&gt;="&amp;'Adj. Employee Retention'!T$5,'Combined Employee Worksheet'!$I:$I,"&lt;="&amp;'Adj. Employee Retention'!T$1,'Combined Employee Worksheet'!$D:$D,'Adj. Employee Retention'!$B123)-COUNTIFS('Combined Employee Worksheet'!$I:$I,"&gt;="&amp;'Adj. Employee Retention'!T$5,'Combined Employee Worksheet'!$I:$I,"&lt;="&amp;'Adj. Employee Retention'!T$1,'Combined Employee Worksheet'!$D:$D,'Adj. Employee Retention'!$B123,'Combined Employee Worksheet'!$K:$K,"&lt;="&amp;$C$138,'Combined Employee Worksheet'!$J:$J,"&lt;&gt;")</f>
        <v>1</v>
      </c>
      <c r="U125" s="472">
        <f ca="1">COUNTIFS('Combined Employee Worksheet'!$I:$I,"&gt;="&amp;'Adj. Employee Retention'!U$5,'Combined Employee Worksheet'!$I:$I,"&lt;="&amp;'Adj. Employee Retention'!U$1,'Combined Employee Worksheet'!$D:$D,'Adj. Employee Retention'!$B123)-COUNTIFS('Combined Employee Worksheet'!$I:$I,"&gt;="&amp;'Adj. Employee Retention'!U$5,'Combined Employee Worksheet'!$I:$I,"&lt;="&amp;'Adj. Employee Retention'!U$1,'Combined Employee Worksheet'!$D:$D,'Adj. Employee Retention'!$B123,'Combined Employee Worksheet'!$K:$K,"&lt;="&amp;$C$138,'Combined Employee Worksheet'!$J:$J,"&lt;&gt;")</f>
        <v>1</v>
      </c>
      <c r="V125" s="472">
        <f ca="1">COUNTIFS('Combined Employee Worksheet'!$I:$I,"&gt;="&amp;'Adj. Employee Retention'!V$5,'Combined Employee Worksheet'!$I:$I,"&lt;="&amp;'Adj. Employee Retention'!V$1,'Combined Employee Worksheet'!$D:$D,'Adj. Employee Retention'!$B123)-COUNTIFS('Combined Employee Worksheet'!$I:$I,"&gt;="&amp;'Adj. Employee Retention'!V$5,'Combined Employee Worksheet'!$I:$I,"&lt;="&amp;'Adj. Employee Retention'!V$1,'Combined Employee Worksheet'!$D:$D,'Adj. Employee Retention'!$B123,'Combined Employee Worksheet'!$K:$K,"&lt;="&amp;$C$138,'Combined Employee Worksheet'!$J:$J,"&lt;&gt;")</f>
        <v>1</v>
      </c>
      <c r="W125" s="472">
        <f ca="1">COUNTIFS('Combined Employee Worksheet'!$I:$I,"&gt;="&amp;'Adj. Employee Retention'!W$5,'Combined Employee Worksheet'!$I:$I,"&lt;="&amp;'Adj. Employee Retention'!W$1,'Combined Employee Worksheet'!$D:$D,'Adj. Employee Retention'!$B123)-COUNTIFS('Combined Employee Worksheet'!$I:$I,"&gt;="&amp;'Adj. Employee Retention'!W$5,'Combined Employee Worksheet'!$I:$I,"&lt;="&amp;'Adj. Employee Retention'!W$1,'Combined Employee Worksheet'!$D:$D,'Adj. Employee Retention'!$B123,'Combined Employee Worksheet'!$K:$K,"&lt;="&amp;$C$138,'Combined Employee Worksheet'!$J:$J,"&lt;&gt;")</f>
        <v>1</v>
      </c>
      <c r="X125" s="472">
        <f>COUNTIFS('Combined Employee Worksheet'!$I:$I,"&gt;="&amp;'Adj. Employee Retention'!X$5,'Combined Employee Worksheet'!$I:$I,"&lt;="&amp;'Adj. Employee Retention'!X$1,'Combined Employee Worksheet'!$D:$D,'Adj. Employee Retention'!$B123)-COUNTIFS('Combined Employee Worksheet'!$I:$I,"&gt;="&amp;'Adj. Employee Retention'!X$5,'Combined Employee Worksheet'!$I:$I,"&lt;="&amp;'Adj. Employee Retention'!X$1,'Combined Employee Worksheet'!$D:$D,'Adj. Employee Retention'!$B123,'Combined Employee Worksheet'!$K:$K,"&lt;="&amp;$C$138,'Combined Employee Worksheet'!$J:$J,"&lt;&gt;")</f>
        <v>0</v>
      </c>
      <c r="Y125" s="472">
        <f>COUNTIFS('Combined Employee Worksheet'!$I:$I,"&gt;="&amp;'Adj. Employee Retention'!Y$5,'Combined Employee Worksheet'!$I:$I,"&lt;="&amp;'Adj. Employee Retention'!Y$1,'Combined Employee Worksheet'!$D:$D,'Adj. Employee Retention'!$B123)-COUNTIFS('Combined Employee Worksheet'!$I:$I,"&gt;="&amp;'Adj. Employee Retention'!Y$5,'Combined Employee Worksheet'!$I:$I,"&lt;="&amp;'Adj. Employee Retention'!Y$1,'Combined Employee Worksheet'!$D:$D,'Adj. Employee Retention'!$B123,'Combined Employee Worksheet'!$K:$K,"&lt;="&amp;$C$138,'Combined Employee Worksheet'!$J:$J,"&lt;&gt;")</f>
        <v>0</v>
      </c>
      <c r="Z125" s="472">
        <f>COUNTIFS('Combined Employee Worksheet'!$I:$I,"&gt;="&amp;'Adj. Employee Retention'!Z$5,'Combined Employee Worksheet'!$I:$I,"&lt;="&amp;'Adj. Employee Retention'!Z$1,'Combined Employee Worksheet'!$D:$D,'Adj. Employee Retention'!$B123)-COUNTIFS('Combined Employee Worksheet'!$I:$I,"&gt;="&amp;'Adj. Employee Retention'!Z$5,'Combined Employee Worksheet'!$I:$I,"&lt;="&amp;'Adj. Employee Retention'!Z$1,'Combined Employee Worksheet'!$D:$D,'Adj. Employee Retention'!$B123,'Combined Employee Worksheet'!$K:$K,"&lt;="&amp;$C$138,'Combined Employee Worksheet'!$J:$J,"&lt;&gt;")</f>
        <v>0</v>
      </c>
      <c r="AA125" s="472">
        <f>COUNTIFS('Combined Employee Worksheet'!$I:$I,"&gt;="&amp;'Adj. Employee Retention'!AA$5,'Combined Employee Worksheet'!$I:$I,"&lt;="&amp;'Adj. Employee Retention'!AA$1,'Combined Employee Worksheet'!$D:$D,'Adj. Employee Retention'!$B123)-COUNTIFS('Combined Employee Worksheet'!$I:$I,"&gt;="&amp;'Adj. Employee Retention'!AA$5,'Combined Employee Worksheet'!$I:$I,"&lt;="&amp;'Adj. Employee Retention'!AA$1,'Combined Employee Worksheet'!$D:$D,'Adj. Employee Retention'!$B123,'Combined Employee Worksheet'!$K:$K,"&lt;="&amp;$C$138,'Combined Employee Worksheet'!$J:$J,"&lt;&gt;")</f>
        <v>0</v>
      </c>
      <c r="AB125" s="472">
        <f ca="1">COUNTIFS('Combined Employee Worksheet'!$I:$I,"&gt;="&amp;'Adj. Employee Retention'!AB$5,'Combined Employee Worksheet'!$I:$I,"&lt;="&amp;'Adj. Employee Retention'!AB$1,'Combined Employee Worksheet'!$D:$D,'Adj. Employee Retention'!$B123)-COUNTIFS('Combined Employee Worksheet'!$I:$I,"&gt;="&amp;'Adj. Employee Retention'!AB$5,'Combined Employee Worksheet'!$I:$I,"&lt;="&amp;'Adj. Employee Retention'!AB$1,'Combined Employee Worksheet'!$D:$D,'Adj. Employee Retention'!$B123,'Combined Employee Worksheet'!$K:$K,"&lt;="&amp;$C$138,'Combined Employee Worksheet'!$J:$J,"&lt;&gt;")</f>
        <v>1</v>
      </c>
      <c r="AC125" s="417"/>
      <c r="AD125" s="417"/>
      <c r="AE125" s="417"/>
    </row>
    <row r="126" spans="1:31" ht="12" customHeight="1">
      <c r="A126" s="417"/>
      <c r="B126" s="471" t="s">
        <v>1815</v>
      </c>
      <c r="C126" s="433">
        <f ca="1">SUM(H126:S126)</f>
        <v>-1</v>
      </c>
      <c r="D126" s="433">
        <f ca="1">SUM(T126:AB126)</f>
        <v>-2</v>
      </c>
      <c r="E126" s="417"/>
      <c r="F126" s="433">
        <f ca="1">SUM(Q126:AB126)</f>
        <v>-3</v>
      </c>
      <c r="G126" s="417"/>
      <c r="H126" s="472">
        <f>-COUNTIFS('Combined Employee Worksheet'!$J:$J,"&gt;="&amp;'Adj. Employee Retention'!H$5,'Combined Employee Worksheet'!$J:$J,"&lt;="&amp;'Adj. Employee Retention'!H$1,'Combined Employee Worksheet'!$D:$D,'Adj. Employee Retention'!$B123,'Combined Employee Worksheet'!$K:$K,"&gt;"&amp;$C$138)</f>
        <v>0</v>
      </c>
      <c r="I126" s="472">
        <f>-COUNTIFS('Combined Employee Worksheet'!$J:$J,"&gt;="&amp;'Adj. Employee Retention'!I$5,'Combined Employee Worksheet'!$J:$J,"&lt;="&amp;'Adj. Employee Retention'!I$1,'Combined Employee Worksheet'!$D:$D,'Adj. Employee Retention'!$B123,'Combined Employee Worksheet'!$K:$K,"&gt;"&amp;$C$138)</f>
        <v>0</v>
      </c>
      <c r="J126" s="472">
        <f>-COUNTIFS('Combined Employee Worksheet'!$J:$J,"&gt;="&amp;'Adj. Employee Retention'!J$5,'Combined Employee Worksheet'!$J:$J,"&lt;="&amp;'Adj. Employee Retention'!J$1,'Combined Employee Worksheet'!$D:$D,'Adj. Employee Retention'!$B123,'Combined Employee Worksheet'!$K:$K,"&gt;"&amp;$C$138)</f>
        <v>0</v>
      </c>
      <c r="K126" s="472">
        <f>-COUNTIFS('Combined Employee Worksheet'!$J:$J,"&gt;="&amp;'Adj. Employee Retention'!K$5,'Combined Employee Worksheet'!$J:$J,"&lt;="&amp;'Adj. Employee Retention'!K$1,'Combined Employee Worksheet'!$D:$D,'Adj. Employee Retention'!$B123,'Combined Employee Worksheet'!$K:$K,"&gt;"&amp;$C$138)</f>
        <v>0</v>
      </c>
      <c r="L126" s="472">
        <f>-COUNTIFS('Combined Employee Worksheet'!$J:$J,"&gt;="&amp;'Adj. Employee Retention'!L$5,'Combined Employee Worksheet'!$J:$J,"&lt;="&amp;'Adj. Employee Retention'!L$1,'Combined Employee Worksheet'!$D:$D,'Adj. Employee Retention'!$B123,'Combined Employee Worksheet'!$K:$K,"&gt;"&amp;$C$138)</f>
        <v>0</v>
      </c>
      <c r="M126" s="472">
        <f>-COUNTIFS('Combined Employee Worksheet'!$J:$J,"&gt;="&amp;'Adj. Employee Retention'!M$5,'Combined Employee Worksheet'!$J:$J,"&lt;="&amp;'Adj. Employee Retention'!M$1,'Combined Employee Worksheet'!$D:$D,'Adj. Employee Retention'!$B123,'Combined Employee Worksheet'!$K:$K,"&gt;"&amp;$C$138)</f>
        <v>0</v>
      </c>
      <c r="N126" s="472">
        <f>-COUNTIFS('Combined Employee Worksheet'!$J:$J,"&gt;="&amp;'Adj. Employee Retention'!N$5,'Combined Employee Worksheet'!$J:$J,"&lt;="&amp;'Adj. Employee Retention'!N$1,'Combined Employee Worksheet'!$D:$D,'Adj. Employee Retention'!$B123,'Combined Employee Worksheet'!$K:$K,"&gt;"&amp;$C$138)</f>
        <v>0</v>
      </c>
      <c r="O126" s="472">
        <f>-COUNTIFS('Combined Employee Worksheet'!$J:$J,"&gt;="&amp;'Adj. Employee Retention'!O$5,'Combined Employee Worksheet'!$J:$J,"&lt;="&amp;'Adj. Employee Retention'!O$1,'Combined Employee Worksheet'!$D:$D,'Adj. Employee Retention'!$B123,'Combined Employee Worksheet'!$K:$K,"&gt;"&amp;$C$138)</f>
        <v>0</v>
      </c>
      <c r="P126" s="472">
        <f>-COUNTIFS('Combined Employee Worksheet'!$J:$J,"&gt;="&amp;'Adj. Employee Retention'!P$5,'Combined Employee Worksheet'!$J:$J,"&lt;="&amp;'Adj. Employee Retention'!P$1,'Combined Employee Worksheet'!$D:$D,'Adj. Employee Retention'!$B123,'Combined Employee Worksheet'!$K:$K,"&gt;"&amp;$C$138)</f>
        <v>0</v>
      </c>
      <c r="Q126" s="472">
        <f>-COUNTIFS('Combined Employee Worksheet'!$J:$J,"&gt;="&amp;'Adj. Employee Retention'!Q$5,'Combined Employee Worksheet'!$J:$J,"&lt;="&amp;'Adj. Employee Retention'!Q$1,'Combined Employee Worksheet'!$D:$D,'Adj. Employee Retention'!$B123,'Combined Employee Worksheet'!$K:$K,"&gt;"&amp;$C$138)</f>
        <v>0</v>
      </c>
      <c r="R126" s="472">
        <f ca="1">-COUNTIFS('Combined Employee Worksheet'!$J:$J,"&gt;="&amp;'Adj. Employee Retention'!R$5,'Combined Employee Worksheet'!$J:$J,"&lt;="&amp;'Adj. Employee Retention'!R$1,'Combined Employee Worksheet'!$D:$D,'Adj. Employee Retention'!$B123,'Combined Employee Worksheet'!$K:$K,"&gt;"&amp;$C$138)</f>
        <v>-1</v>
      </c>
      <c r="S126" s="472">
        <f ca="1">-COUNTIFS('Combined Employee Worksheet'!$J:$J,"&gt;="&amp;'Adj. Employee Retention'!S$5,'Combined Employee Worksheet'!$J:$J,"&lt;="&amp;'Adj. Employee Retention'!S$1,'Combined Employee Worksheet'!$D:$D,'Adj. Employee Retention'!$B123,'Combined Employee Worksheet'!$K:$K,"&gt;"&amp;$C$138)</f>
        <v>0</v>
      </c>
      <c r="T126" s="472">
        <f ca="1">-COUNTIFS('Combined Employee Worksheet'!$J:$J,"&gt;="&amp;'Adj. Employee Retention'!T$5,'Combined Employee Worksheet'!$J:$J,"&lt;="&amp;'Adj. Employee Retention'!T$1,'Combined Employee Worksheet'!$D:$D,'Adj. Employee Retention'!$B123,'Combined Employee Worksheet'!$K:$K,"&gt;"&amp;$C$138)</f>
        <v>-1</v>
      </c>
      <c r="U126" s="472">
        <f>-COUNTIFS('Combined Employee Worksheet'!$J:$J,"&gt;="&amp;'Adj. Employee Retention'!U$5,'Combined Employee Worksheet'!$J:$J,"&lt;="&amp;'Adj. Employee Retention'!U$1,'Combined Employee Worksheet'!$D:$D,'Adj. Employee Retention'!$B123,'Combined Employee Worksheet'!$K:$K,"&gt;"&amp;$C$138)</f>
        <v>0</v>
      </c>
      <c r="V126" s="472">
        <f>-COUNTIFS('Combined Employee Worksheet'!$J:$J,"&gt;="&amp;'Adj. Employee Retention'!V$5,'Combined Employee Worksheet'!$J:$J,"&lt;="&amp;'Adj. Employee Retention'!V$1,'Combined Employee Worksheet'!$D:$D,'Adj. Employee Retention'!$B123,'Combined Employee Worksheet'!$K:$K,"&gt;"&amp;$C$138)</f>
        <v>0</v>
      </c>
      <c r="W126" s="472">
        <f>-COUNTIFS('Combined Employee Worksheet'!$J:$J,"&gt;="&amp;'Adj. Employee Retention'!W$5,'Combined Employee Worksheet'!$J:$J,"&lt;="&amp;'Adj. Employee Retention'!W$1,'Combined Employee Worksheet'!$D:$D,'Adj. Employee Retention'!$B123,'Combined Employee Worksheet'!$K:$K,"&gt;"&amp;$C$138)</f>
        <v>0</v>
      </c>
      <c r="X126" s="472">
        <f>-COUNTIFS('Combined Employee Worksheet'!$J:$J,"&gt;="&amp;'Adj. Employee Retention'!X$5,'Combined Employee Worksheet'!$J:$J,"&lt;="&amp;'Adj. Employee Retention'!X$1,'Combined Employee Worksheet'!$D:$D,'Adj. Employee Retention'!$B123,'Combined Employee Worksheet'!$K:$K,"&gt;"&amp;$C$138)</f>
        <v>0</v>
      </c>
      <c r="Y126" s="472">
        <f>-COUNTIFS('Combined Employee Worksheet'!$J:$J,"&gt;="&amp;'Adj. Employee Retention'!Y$5,'Combined Employee Worksheet'!$J:$J,"&lt;="&amp;'Adj. Employee Retention'!Y$1,'Combined Employee Worksheet'!$D:$D,'Adj. Employee Retention'!$B123,'Combined Employee Worksheet'!$K:$K,"&gt;"&amp;$C$138)</f>
        <v>0</v>
      </c>
      <c r="Z126" s="472">
        <f ca="1">-COUNTIFS('Combined Employee Worksheet'!$J:$J,"&gt;="&amp;'Adj. Employee Retention'!Z$5,'Combined Employee Worksheet'!$J:$J,"&lt;="&amp;'Adj. Employee Retention'!Z$1,'Combined Employee Worksheet'!$D:$D,'Adj. Employee Retention'!$B123,'Combined Employee Worksheet'!$K:$K,"&gt;"&amp;$C$138)</f>
        <v>-1</v>
      </c>
      <c r="AA126" s="472">
        <f>-COUNTIFS('Combined Employee Worksheet'!$J:$J,"&gt;="&amp;'Adj. Employee Retention'!AA$5,'Combined Employee Worksheet'!$J:$J,"&lt;="&amp;'Adj. Employee Retention'!AA$1,'Combined Employee Worksheet'!$D:$D,'Adj. Employee Retention'!$B123,'Combined Employee Worksheet'!$K:$K,"&gt;"&amp;$C$138)</f>
        <v>0</v>
      </c>
      <c r="AB126" s="472">
        <f>-COUNTIFS('Combined Employee Worksheet'!$J:$J,"&gt;="&amp;'Adj. Employee Retention'!AB$5,'Combined Employee Worksheet'!$J:$J,"&lt;="&amp;'Adj. Employee Retention'!AB$1,'Combined Employee Worksheet'!$D:$D,'Adj. Employee Retention'!$B123,'Combined Employee Worksheet'!$K:$K,"&gt;"&amp;$C$138)</f>
        <v>0</v>
      </c>
      <c r="AC126" s="417"/>
      <c r="AD126" s="417"/>
      <c r="AE126" s="417"/>
    </row>
    <row r="127" spans="1:31" ht="12" customHeight="1">
      <c r="A127" s="417"/>
      <c r="B127" s="474" t="s">
        <v>1315</v>
      </c>
      <c r="C127" s="475">
        <f ca="1">+D124</f>
        <v>1</v>
      </c>
      <c r="D127" s="476">
        <f>+$AB127</f>
        <v>4</v>
      </c>
      <c r="E127" s="417"/>
      <c r="F127" s="477">
        <f>+$AB127</f>
        <v>4</v>
      </c>
      <c r="G127" s="417"/>
      <c r="H127" s="478">
        <f t="shared" ref="H127:AA127" ca="1" si="75">+I124</f>
        <v>1</v>
      </c>
      <c r="I127" s="475">
        <f t="shared" ca="1" si="75"/>
        <v>1</v>
      </c>
      <c r="J127" s="475">
        <f t="shared" ca="1" si="75"/>
        <v>1</v>
      </c>
      <c r="K127" s="475">
        <f t="shared" ca="1" si="75"/>
        <v>1</v>
      </c>
      <c r="L127" s="475">
        <f t="shared" ca="1" si="75"/>
        <v>1</v>
      </c>
      <c r="M127" s="475">
        <f t="shared" ca="1" si="75"/>
        <v>1</v>
      </c>
      <c r="N127" s="475">
        <f t="shared" ca="1" si="75"/>
        <v>1</v>
      </c>
      <c r="O127" s="475">
        <f t="shared" ca="1" si="75"/>
        <v>2</v>
      </c>
      <c r="P127" s="475">
        <f t="shared" ca="1" si="75"/>
        <v>2</v>
      </c>
      <c r="Q127" s="475">
        <f t="shared" ca="1" si="75"/>
        <v>2</v>
      </c>
      <c r="R127" s="475">
        <f t="shared" ca="1" si="75"/>
        <v>1</v>
      </c>
      <c r="S127" s="475">
        <f t="shared" ca="1" si="75"/>
        <v>1</v>
      </c>
      <c r="T127" s="475">
        <f t="shared" ca="1" si="75"/>
        <v>1</v>
      </c>
      <c r="U127" s="475">
        <f t="shared" ca="1" si="75"/>
        <v>2</v>
      </c>
      <c r="V127" s="475">
        <f t="shared" ca="1" si="75"/>
        <v>3</v>
      </c>
      <c r="W127" s="475">
        <f t="shared" ca="1" si="75"/>
        <v>4</v>
      </c>
      <c r="X127" s="475">
        <f t="shared" ca="1" si="75"/>
        <v>4</v>
      </c>
      <c r="Y127" s="475">
        <f t="shared" ca="1" si="75"/>
        <v>4</v>
      </c>
      <c r="Z127" s="475">
        <f t="shared" ca="1" si="75"/>
        <v>3</v>
      </c>
      <c r="AA127" s="475">
        <f t="shared" ca="1" si="75"/>
        <v>3</v>
      </c>
      <c r="AB127" s="479">
        <f>COUNTIFS('Combined Employee Worksheet'!$H:$H,"Active",'Combined Employee Worksheet'!$D:$D,'Adj. Employee Retention'!B123)</f>
        <v>4</v>
      </c>
      <c r="AC127" s="417"/>
      <c r="AD127" s="417"/>
      <c r="AE127" s="417"/>
    </row>
    <row r="128" spans="1:31" ht="3.95" customHeight="1">
      <c r="A128" s="417"/>
      <c r="B128" s="480"/>
      <c r="C128" s="481"/>
      <c r="D128" s="481"/>
      <c r="E128" s="417"/>
      <c r="F128" s="481"/>
      <c r="G128" s="417"/>
      <c r="H128" s="481"/>
      <c r="I128" s="481"/>
      <c r="J128" s="481"/>
      <c r="K128" s="481"/>
      <c r="L128" s="481"/>
      <c r="M128" s="481"/>
      <c r="N128" s="481"/>
      <c r="O128" s="481"/>
      <c r="P128" s="481"/>
      <c r="Q128" s="481"/>
      <c r="R128" s="481"/>
      <c r="S128" s="481"/>
      <c r="T128" s="481"/>
      <c r="U128" s="481"/>
      <c r="V128" s="481"/>
      <c r="W128" s="481"/>
      <c r="X128" s="481"/>
      <c r="Y128" s="481"/>
      <c r="Z128" s="481"/>
      <c r="AA128" s="481"/>
      <c r="AB128" s="501"/>
      <c r="AC128" s="417"/>
      <c r="AD128" s="417"/>
      <c r="AE128" s="417"/>
    </row>
    <row r="129" spans="1:35" ht="12" customHeight="1">
      <c r="A129" s="417"/>
      <c r="B129" s="474" t="s">
        <v>1817</v>
      </c>
      <c r="C129" s="483">
        <f ca="1">AVERAGE(C124,C127)</f>
        <v>1</v>
      </c>
      <c r="D129" s="484">
        <f ca="1">AVERAGE(D124,D127)</f>
        <v>2.5</v>
      </c>
      <c r="E129" s="417"/>
      <c r="F129" s="485">
        <f ca="1">AVERAGE(F124,F127)</f>
        <v>3</v>
      </c>
      <c r="G129" s="417"/>
      <c r="H129" s="486">
        <f t="shared" ref="H129:AB129" ca="1" si="76">AVERAGE(H124,H127)</f>
        <v>1</v>
      </c>
      <c r="I129" s="483">
        <f t="shared" ca="1" si="76"/>
        <v>1</v>
      </c>
      <c r="J129" s="483">
        <f t="shared" ca="1" si="76"/>
        <v>1</v>
      </c>
      <c r="K129" s="483">
        <f t="shared" ca="1" si="76"/>
        <v>1</v>
      </c>
      <c r="L129" s="483">
        <f t="shared" ca="1" si="76"/>
        <v>1</v>
      </c>
      <c r="M129" s="483">
        <f t="shared" ca="1" si="76"/>
        <v>1</v>
      </c>
      <c r="N129" s="483">
        <f t="shared" ca="1" si="76"/>
        <v>1</v>
      </c>
      <c r="O129" s="483">
        <f t="shared" ca="1" si="76"/>
        <v>1.5</v>
      </c>
      <c r="P129" s="483">
        <f t="shared" ca="1" si="76"/>
        <v>2</v>
      </c>
      <c r="Q129" s="483">
        <f t="shared" ca="1" si="76"/>
        <v>2</v>
      </c>
      <c r="R129" s="483">
        <f t="shared" ca="1" si="76"/>
        <v>1.5</v>
      </c>
      <c r="S129" s="483">
        <f t="shared" ca="1" si="76"/>
        <v>1</v>
      </c>
      <c r="T129" s="483">
        <f t="shared" ca="1" si="76"/>
        <v>1</v>
      </c>
      <c r="U129" s="483">
        <f t="shared" ca="1" si="76"/>
        <v>1.5</v>
      </c>
      <c r="V129" s="483">
        <f t="shared" ca="1" si="76"/>
        <v>2.5</v>
      </c>
      <c r="W129" s="483">
        <f t="shared" ca="1" si="76"/>
        <v>3.5</v>
      </c>
      <c r="X129" s="483">
        <f t="shared" ca="1" si="76"/>
        <v>4</v>
      </c>
      <c r="Y129" s="483">
        <f t="shared" ca="1" si="76"/>
        <v>4</v>
      </c>
      <c r="Z129" s="483">
        <f t="shared" ca="1" si="76"/>
        <v>3.5</v>
      </c>
      <c r="AA129" s="483">
        <f t="shared" ca="1" si="76"/>
        <v>3</v>
      </c>
      <c r="AB129" s="484">
        <f t="shared" ca="1" si="76"/>
        <v>3.5</v>
      </c>
      <c r="AC129" s="417"/>
      <c r="AD129" s="417"/>
      <c r="AE129" s="417"/>
    </row>
    <row r="130" spans="1:35" ht="3.95" customHeight="1">
      <c r="A130" s="417"/>
      <c r="B130" s="480"/>
      <c r="C130" s="481"/>
      <c r="D130" s="481"/>
      <c r="E130" s="417"/>
      <c r="F130" s="481"/>
      <c r="G130" s="417"/>
      <c r="H130" s="481"/>
      <c r="I130" s="481"/>
      <c r="J130" s="481"/>
      <c r="K130" s="481"/>
      <c r="L130" s="481"/>
      <c r="M130" s="481"/>
      <c r="N130" s="481"/>
      <c r="O130" s="481"/>
      <c r="P130" s="481"/>
      <c r="Q130" s="481"/>
      <c r="R130" s="481"/>
      <c r="S130" s="481"/>
      <c r="T130" s="481"/>
      <c r="U130" s="481"/>
      <c r="V130" s="481"/>
      <c r="W130" s="481"/>
      <c r="X130" s="481"/>
      <c r="Y130" s="481"/>
      <c r="Z130" s="482"/>
      <c r="AA130" s="482"/>
      <c r="AB130" s="482"/>
      <c r="AC130" s="417"/>
      <c r="AD130" s="417"/>
      <c r="AE130" s="417"/>
    </row>
    <row r="131" spans="1:35" ht="12" customHeight="1">
      <c r="A131" s="417"/>
      <c r="B131" s="487" t="s">
        <v>1813</v>
      </c>
      <c r="C131" s="488">
        <f ca="1">(C125+C124)/C124-1</f>
        <v>1</v>
      </c>
      <c r="D131" s="489">
        <f ca="1">(D125+D124)/D124-1</f>
        <v>5</v>
      </c>
      <c r="E131" s="490"/>
      <c r="F131" s="491">
        <f ca="1">(F125+F124)/F124-1</f>
        <v>2.5</v>
      </c>
      <c r="G131" s="417"/>
      <c r="H131" s="492">
        <f t="shared" ref="H131:AB131" ca="1" si="77">(H125+H124)/H124-1</f>
        <v>0</v>
      </c>
      <c r="I131" s="488">
        <f t="shared" ca="1" si="77"/>
        <v>0</v>
      </c>
      <c r="J131" s="488">
        <f t="shared" ca="1" si="77"/>
        <v>0</v>
      </c>
      <c r="K131" s="488">
        <f t="shared" ca="1" si="77"/>
        <v>0</v>
      </c>
      <c r="L131" s="488">
        <f t="shared" ca="1" si="77"/>
        <v>0</v>
      </c>
      <c r="M131" s="488">
        <f t="shared" ca="1" si="77"/>
        <v>0</v>
      </c>
      <c r="N131" s="488">
        <f t="shared" ca="1" si="77"/>
        <v>0</v>
      </c>
      <c r="O131" s="488">
        <f t="shared" ca="1" si="77"/>
        <v>1</v>
      </c>
      <c r="P131" s="488">
        <f t="shared" ca="1" si="77"/>
        <v>0</v>
      </c>
      <c r="Q131" s="492">
        <f t="shared" ca="1" si="77"/>
        <v>0</v>
      </c>
      <c r="R131" s="488">
        <f t="shared" ca="1" si="77"/>
        <v>0</v>
      </c>
      <c r="S131" s="488">
        <f t="shared" ca="1" si="77"/>
        <v>0</v>
      </c>
      <c r="T131" s="488">
        <f t="shared" ca="1" si="77"/>
        <v>1</v>
      </c>
      <c r="U131" s="488">
        <f t="shared" ca="1" si="77"/>
        <v>1</v>
      </c>
      <c r="V131" s="488">
        <f t="shared" ca="1" si="77"/>
        <v>0.5</v>
      </c>
      <c r="W131" s="488">
        <f t="shared" ca="1" si="77"/>
        <v>0.33333333333333326</v>
      </c>
      <c r="X131" s="488">
        <f t="shared" ca="1" si="77"/>
        <v>0</v>
      </c>
      <c r="Y131" s="488">
        <f t="shared" ca="1" si="77"/>
        <v>0</v>
      </c>
      <c r="Z131" s="488">
        <f t="shared" ca="1" si="77"/>
        <v>0</v>
      </c>
      <c r="AA131" s="488">
        <f t="shared" ca="1" si="77"/>
        <v>0</v>
      </c>
      <c r="AB131" s="489">
        <f t="shared" ca="1" si="77"/>
        <v>0.33333333333333326</v>
      </c>
      <c r="AC131" s="417"/>
      <c r="AD131" s="417"/>
      <c r="AE131" s="417"/>
    </row>
    <row r="132" spans="1:35">
      <c r="A132" s="417"/>
      <c r="B132" s="493" t="s">
        <v>1812</v>
      </c>
      <c r="C132" s="494">
        <f ca="1">(C126+C129)/C129-1</f>
        <v>-1</v>
      </c>
      <c r="D132" s="495">
        <f ca="1">(D126+D129)/D129-1</f>
        <v>-0.8</v>
      </c>
      <c r="E132" s="490"/>
      <c r="F132" s="496">
        <f ca="1">(F126+F129)/F129-1</f>
        <v>-1</v>
      </c>
      <c r="G132" s="417"/>
      <c r="H132" s="497">
        <f t="shared" ref="H132:AB132" ca="1" si="78">(H126+H129)/H129-1</f>
        <v>0</v>
      </c>
      <c r="I132" s="494">
        <f t="shared" ca="1" si="78"/>
        <v>0</v>
      </c>
      <c r="J132" s="494">
        <f t="shared" ca="1" si="78"/>
        <v>0</v>
      </c>
      <c r="K132" s="494">
        <f t="shared" ca="1" si="78"/>
        <v>0</v>
      </c>
      <c r="L132" s="494">
        <f t="shared" ca="1" si="78"/>
        <v>0</v>
      </c>
      <c r="M132" s="494">
        <f t="shared" ca="1" si="78"/>
        <v>0</v>
      </c>
      <c r="N132" s="494">
        <f t="shared" ca="1" si="78"/>
        <v>0</v>
      </c>
      <c r="O132" s="494">
        <f t="shared" ca="1" si="78"/>
        <v>0</v>
      </c>
      <c r="P132" s="494">
        <f t="shared" ca="1" si="78"/>
        <v>0</v>
      </c>
      <c r="Q132" s="497">
        <f t="shared" ca="1" si="78"/>
        <v>0</v>
      </c>
      <c r="R132" s="494">
        <f t="shared" ca="1" si="78"/>
        <v>-0.66666666666666674</v>
      </c>
      <c r="S132" s="494">
        <f t="shared" ca="1" si="78"/>
        <v>0</v>
      </c>
      <c r="T132" s="494">
        <f t="shared" ca="1" si="78"/>
        <v>-1</v>
      </c>
      <c r="U132" s="494">
        <f t="shared" ca="1" si="78"/>
        <v>0</v>
      </c>
      <c r="V132" s="494">
        <f t="shared" ca="1" si="78"/>
        <v>0</v>
      </c>
      <c r="W132" s="494">
        <f t="shared" ca="1" si="78"/>
        <v>0</v>
      </c>
      <c r="X132" s="494">
        <f t="shared" ca="1" si="78"/>
        <v>0</v>
      </c>
      <c r="Y132" s="494">
        <f t="shared" ca="1" si="78"/>
        <v>0</v>
      </c>
      <c r="Z132" s="494">
        <f t="shared" ca="1" si="78"/>
        <v>-0.2857142857142857</v>
      </c>
      <c r="AA132" s="494">
        <f t="shared" ca="1" si="78"/>
        <v>0</v>
      </c>
      <c r="AB132" s="495">
        <f t="shared" ca="1" si="78"/>
        <v>0</v>
      </c>
      <c r="AC132" s="417"/>
      <c r="AD132" s="417"/>
      <c r="AE132" s="417"/>
    </row>
    <row r="133" spans="1:35" ht="15">
      <c r="A133" s="417"/>
      <c r="B133" s="417"/>
      <c r="C133" s="417"/>
      <c r="D133" s="417"/>
      <c r="E133" s="417"/>
      <c r="F133" s="417"/>
      <c r="G133" s="417"/>
      <c r="H133" s="417"/>
      <c r="I133" s="417"/>
      <c r="J133" s="417"/>
      <c r="K133" s="417"/>
      <c r="L133" s="417"/>
      <c r="M133" s="417"/>
      <c r="N133" s="417"/>
      <c r="O133" s="417"/>
      <c r="P133" s="417"/>
      <c r="Q133" s="417"/>
      <c r="R133" s="417"/>
      <c r="S133" s="417"/>
      <c r="T133" s="417"/>
      <c r="U133" s="417"/>
      <c r="V133" s="417"/>
      <c r="W133" s="417"/>
      <c r="X133" s="417"/>
      <c r="Y133" s="417"/>
      <c r="Z133" s="417"/>
      <c r="AA133" s="417"/>
      <c r="AB133" s="417"/>
      <c r="AC133" s="417"/>
      <c r="AD133" s="417"/>
      <c r="AE133" s="417"/>
      <c r="AI133"/>
    </row>
    <row r="134" spans="1:35" ht="15">
      <c r="A134" s="417"/>
      <c r="B134" s="417"/>
      <c r="C134" s="417"/>
      <c r="D134" s="417"/>
      <c r="E134" s="417"/>
      <c r="F134" s="417"/>
      <c r="G134" s="417"/>
      <c r="H134" s="417"/>
      <c r="I134" s="417"/>
      <c r="J134" s="417"/>
      <c r="K134" s="417"/>
      <c r="L134" s="417"/>
      <c r="M134" s="417"/>
      <c r="N134" s="417"/>
      <c r="O134" s="417"/>
      <c r="P134" s="417"/>
      <c r="Q134" s="417"/>
      <c r="R134" s="417"/>
      <c r="S134" s="417"/>
      <c r="T134" s="417"/>
      <c r="U134" s="417"/>
      <c r="V134" s="417"/>
      <c r="W134" s="417"/>
      <c r="X134" s="417"/>
      <c r="Y134" s="417"/>
      <c r="Z134" s="417"/>
      <c r="AA134" s="417"/>
      <c r="AB134" s="417"/>
      <c r="AC134" s="417"/>
      <c r="AD134" s="417"/>
      <c r="AE134" s="417"/>
      <c r="AI134"/>
    </row>
    <row r="135" spans="1:35" ht="15">
      <c r="A135" s="417" t="s">
        <v>294</v>
      </c>
      <c r="B135" s="417"/>
      <c r="C135" s="417"/>
      <c r="D135" s="417"/>
      <c r="E135" s="417"/>
      <c r="F135" s="417"/>
      <c r="G135" s="417"/>
      <c r="H135" s="417"/>
      <c r="I135" s="417"/>
      <c r="J135" s="417"/>
      <c r="K135" s="417"/>
      <c r="L135" s="417"/>
      <c r="M135" s="417"/>
      <c r="N135" s="417"/>
      <c r="O135" s="417"/>
      <c r="P135" s="417"/>
      <c r="Q135" s="417"/>
      <c r="R135" s="417"/>
      <c r="S135" s="417"/>
      <c r="T135" s="417"/>
      <c r="U135" s="417"/>
      <c r="V135" s="417"/>
      <c r="W135" s="417"/>
      <c r="X135" s="417"/>
      <c r="Y135" s="417"/>
      <c r="Z135" s="417"/>
      <c r="AA135" s="417"/>
      <c r="AB135" s="417"/>
      <c r="AC135" s="417"/>
      <c r="AD135" s="417"/>
      <c r="AE135" s="417"/>
      <c r="AI135"/>
    </row>
    <row r="136" spans="1:35" ht="15">
      <c r="A136" s="417"/>
      <c r="B136" s="416" t="s">
        <v>1992</v>
      </c>
      <c r="C136" s="437"/>
      <c r="D136" s="437"/>
      <c r="E136" s="437"/>
      <c r="F136" s="437"/>
      <c r="G136" s="417"/>
      <c r="H136" s="417"/>
      <c r="I136" s="417"/>
      <c r="J136" s="417"/>
      <c r="K136" s="417"/>
      <c r="L136" s="417"/>
      <c r="M136" s="417"/>
      <c r="N136" s="417"/>
      <c r="O136" s="417"/>
      <c r="P136" s="417"/>
      <c r="Q136" s="417"/>
      <c r="R136" s="417"/>
      <c r="S136" s="417"/>
      <c r="T136" s="417"/>
      <c r="U136" s="417"/>
      <c r="V136" s="417"/>
      <c r="W136" s="417"/>
      <c r="X136" s="417"/>
      <c r="Y136" s="417"/>
      <c r="Z136" s="417"/>
      <c r="AA136" s="417"/>
      <c r="AB136" s="417"/>
      <c r="AC136" s="417"/>
      <c r="AD136" s="417"/>
      <c r="AE136" s="417"/>
      <c r="AI136"/>
    </row>
    <row r="137" spans="1:35" ht="15">
      <c r="A137" s="417"/>
      <c r="B137" s="454" t="s">
        <v>1993</v>
      </c>
      <c r="C137" s="455" t="s">
        <v>1197</v>
      </c>
      <c r="D137" s="454" t="s">
        <v>287</v>
      </c>
      <c r="E137" s="517"/>
      <c r="F137" s="517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  <c r="R137" s="417"/>
      <c r="S137" s="417"/>
      <c r="T137" s="417"/>
      <c r="U137" s="417"/>
      <c r="V137" s="417"/>
      <c r="W137" s="417"/>
      <c r="X137" s="417"/>
      <c r="Y137" s="417"/>
      <c r="Z137" s="417"/>
      <c r="AA137" s="417"/>
      <c r="AB137" s="417"/>
      <c r="AC137" s="417"/>
      <c r="AD137" s="417"/>
      <c r="AE137" s="417"/>
      <c r="AI137"/>
    </row>
    <row r="138" spans="1:35" ht="15">
      <c r="A138" s="417"/>
      <c r="B138" s="452" t="s">
        <v>1994</v>
      </c>
      <c r="C138" s="456">
        <v>90</v>
      </c>
      <c r="D138" s="452" t="s">
        <v>1995</v>
      </c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  <c r="R138" s="417"/>
      <c r="S138" s="417"/>
      <c r="T138" s="417"/>
      <c r="U138" s="417"/>
      <c r="V138" s="417"/>
      <c r="W138" s="417"/>
      <c r="X138" s="417"/>
      <c r="Y138" s="417"/>
      <c r="Z138" s="417"/>
      <c r="AA138" s="417"/>
      <c r="AB138" s="417"/>
      <c r="AC138" s="417"/>
      <c r="AD138" s="417"/>
      <c r="AE138" s="417"/>
      <c r="AI138"/>
    </row>
    <row r="139" spans="1:35" ht="15">
      <c r="A139" s="417"/>
      <c r="B139" s="417"/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  <c r="R139" s="417"/>
      <c r="S139" s="417"/>
      <c r="T139" s="417"/>
      <c r="U139" s="417"/>
      <c r="V139" s="417"/>
      <c r="W139" s="417"/>
      <c r="X139" s="417"/>
      <c r="Y139" s="417"/>
      <c r="Z139" s="417"/>
      <c r="AA139" s="417"/>
      <c r="AB139" s="417"/>
      <c r="AC139" s="417"/>
      <c r="AD139" s="417"/>
      <c r="AE139" s="417"/>
      <c r="AI139"/>
    </row>
    <row r="140" spans="1:35" ht="15">
      <c r="A140" s="417"/>
      <c r="B140" s="453" t="s">
        <v>304</v>
      </c>
      <c r="C140" s="457">
        <f>AB10-'Employee Retention'!AB10</f>
        <v>0</v>
      </c>
      <c r="D140" s="452" t="s">
        <v>1996</v>
      </c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  <c r="R140" s="417"/>
      <c r="S140" s="417"/>
      <c r="T140" s="417"/>
      <c r="U140" s="417"/>
      <c r="V140" s="417"/>
      <c r="W140" s="417"/>
      <c r="X140" s="417"/>
      <c r="Y140" s="417"/>
      <c r="Z140" s="417"/>
      <c r="AA140" s="417"/>
      <c r="AB140" s="417"/>
      <c r="AC140" s="417"/>
      <c r="AD140" s="417"/>
      <c r="AE140" s="417"/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B6:AB16 B18:AB31 B33:AB46 B48:AB61 B63:AB76 B78:AB91 B93:AB106 B108:AB121 B123:AB132">
    <cfRule type="expression" dxfId="18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8BE-6678-4E68-863A-8118A54CEC64}">
  <sheetPr>
    <pageSetUpPr fitToPage="1"/>
  </sheetPr>
  <dimension ref="B2:AE38"/>
  <sheetViews>
    <sheetView showGridLines="0" view="pageBreakPreview" zoomScaleNormal="145" zoomScaleSheetLayoutView="100" workbookViewId="0">
      <selection activeCell="AB21" sqref="AB21"/>
    </sheetView>
  </sheetViews>
  <sheetFormatPr defaultRowHeight="15" outlineLevelCol="1"/>
  <cols>
    <col min="1" max="1" width="1.28515625" customWidth="1"/>
    <col min="2" max="2" width="29" customWidth="1"/>
    <col min="3" max="3" width="7.140625" hidden="1" customWidth="1" outlineLevel="1"/>
    <col min="4" max="4" width="8.42578125" hidden="1" customWidth="1" outlineLevel="1"/>
    <col min="5" max="5" width="0.85546875" hidden="1" customWidth="1" outlineLevel="1"/>
    <col min="6" max="6" width="9.85546875" hidden="1" customWidth="1" outlineLevel="1"/>
    <col min="7" max="7" width="0.85546875" hidden="1" customWidth="1" outlineLevel="1"/>
    <col min="8" max="8" width="6.5703125" bestFit="1" customWidth="1" collapsed="1"/>
    <col min="9" max="10" width="6.7109375" bestFit="1" customWidth="1"/>
    <col min="11" max="11" width="6.5703125" bestFit="1" customWidth="1"/>
    <col min="12" max="12" width="7" bestFit="1" customWidth="1"/>
    <col min="13" max="13" width="6.7109375" bestFit="1" customWidth="1"/>
    <col min="14" max="14" width="6.140625" bestFit="1" customWidth="1"/>
    <col min="15" max="15" width="7" bestFit="1" customWidth="1"/>
    <col min="16" max="16" width="6.85546875" bestFit="1" customWidth="1"/>
    <col min="17" max="17" width="6.42578125" bestFit="1" customWidth="1"/>
    <col min="18" max="18" width="7" bestFit="1" customWidth="1"/>
    <col min="19" max="19" width="6.85546875" bestFit="1" customWidth="1"/>
    <col min="20" max="20" width="6.5703125" bestFit="1" customWidth="1"/>
    <col min="21" max="22" width="6.7109375" bestFit="1" customWidth="1"/>
    <col min="23" max="23" width="6.5703125" bestFit="1" customWidth="1"/>
    <col min="24" max="24" width="7" bestFit="1" customWidth="1"/>
    <col min="25" max="25" width="6.7109375" bestFit="1" customWidth="1"/>
    <col min="26" max="26" width="6.140625" bestFit="1" customWidth="1"/>
    <col min="27" max="27" width="7" bestFit="1" customWidth="1"/>
    <col min="28" max="28" width="6.85546875" bestFit="1" customWidth="1"/>
    <col min="29" max="29" width="3.7109375" customWidth="1"/>
  </cols>
  <sheetData>
    <row r="2" spans="2:31" ht="16.5">
      <c r="B2" s="37" t="str">
        <f>+Cover!B24</f>
        <v>Keystone Bookkeepers</v>
      </c>
    </row>
    <row r="3" spans="2:31" s="349" customFormat="1" ht="12">
      <c r="B3" s="38" t="s">
        <v>1875</v>
      </c>
      <c r="C3" s="351"/>
      <c r="D3" s="351"/>
      <c r="E3" s="351"/>
      <c r="F3" s="351"/>
      <c r="G3" s="351"/>
      <c r="H3" s="351"/>
      <c r="I3" s="351"/>
      <c r="J3" s="351"/>
      <c r="K3" s="351"/>
      <c r="L3" s="351"/>
      <c r="AD3" s="349" t="s">
        <v>276</v>
      </c>
      <c r="AE3" s="78">
        <v>1</v>
      </c>
    </row>
    <row r="4" spans="2:31" s="349" customFormat="1" ht="12"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</row>
    <row r="5" spans="2:31" s="349" customFormat="1" ht="12">
      <c r="B5" s="372" t="s">
        <v>1876</v>
      </c>
      <c r="C5" s="371" t="str">
        <f>'Employee Retention'!C5</f>
        <v>FY2025</v>
      </c>
      <c r="D5" s="371" t="str">
        <f>'Employee Retention'!D5</f>
        <v>YTD2026</v>
      </c>
      <c r="E5" s="382"/>
      <c r="F5" s="371" t="str">
        <f>'Employee Retention'!F5</f>
        <v>LTM Sep'26</v>
      </c>
      <c r="G5" s="382"/>
      <c r="H5" s="373">
        <f>'Employee Retention'!H5</f>
        <v>45658</v>
      </c>
      <c r="I5" s="373">
        <f>'Employee Retention'!I5</f>
        <v>45689</v>
      </c>
      <c r="J5" s="373">
        <f>'Employee Retention'!J5</f>
        <v>45717</v>
      </c>
      <c r="K5" s="373">
        <f>'Employee Retention'!K5</f>
        <v>45748</v>
      </c>
      <c r="L5" s="373">
        <f>'Employee Retention'!L5</f>
        <v>45778</v>
      </c>
      <c r="M5" s="373">
        <f>'Employee Retention'!M5</f>
        <v>45809</v>
      </c>
      <c r="N5" s="373">
        <f>'Employee Retention'!N5</f>
        <v>45839</v>
      </c>
      <c r="O5" s="373">
        <f>'Employee Retention'!O5</f>
        <v>45870</v>
      </c>
      <c r="P5" s="373">
        <f>'Employee Retention'!P5</f>
        <v>45901</v>
      </c>
      <c r="Q5" s="373">
        <f>'Employee Retention'!Q5</f>
        <v>45931</v>
      </c>
      <c r="R5" s="373">
        <f>'Employee Retention'!R5</f>
        <v>45962</v>
      </c>
      <c r="S5" s="373">
        <f>'Employee Retention'!S5</f>
        <v>45992</v>
      </c>
      <c r="T5" s="373">
        <f>'Employee Retention'!T5</f>
        <v>46023</v>
      </c>
      <c r="U5" s="373">
        <f>'Employee Retention'!U5</f>
        <v>46054</v>
      </c>
      <c r="V5" s="373">
        <f>'Employee Retention'!V5</f>
        <v>46082</v>
      </c>
      <c r="W5" s="373">
        <f>'Employee Retention'!W5</f>
        <v>46113</v>
      </c>
      <c r="X5" s="373">
        <f>'Employee Retention'!X5</f>
        <v>46143</v>
      </c>
      <c r="Y5" s="373">
        <f>'Employee Retention'!Y5</f>
        <v>46174</v>
      </c>
      <c r="Z5" s="373">
        <f>'Employee Retention'!Z5</f>
        <v>46204</v>
      </c>
      <c r="AA5" s="373">
        <f>'Employee Retention'!AA5</f>
        <v>46235</v>
      </c>
      <c r="AB5" s="373">
        <f>'Employee Retention'!AB5</f>
        <v>46266</v>
      </c>
    </row>
    <row r="6" spans="2:31" s="349" customFormat="1" ht="12">
      <c r="B6" s="374" t="s">
        <v>1877</v>
      </c>
      <c r="C6" s="348"/>
      <c r="D6" s="348"/>
      <c r="F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</row>
    <row r="7" spans="2:31" s="349" customFormat="1" ht="12">
      <c r="B7" s="349" t="s">
        <v>1818</v>
      </c>
      <c r="C7" s="53">
        <f>'Employee Retention'!C19</f>
        <v>162.5</v>
      </c>
      <c r="D7" s="53">
        <f>'Employee Retention'!D19</f>
        <v>179.5</v>
      </c>
      <c r="E7" s="53"/>
      <c r="F7" s="53">
        <f>'Employee Retention'!F19</f>
        <v>178</v>
      </c>
      <c r="G7" s="53"/>
      <c r="H7" s="53">
        <f>'Employee Retention'!H19</f>
        <v>146</v>
      </c>
      <c r="I7" s="53">
        <f>'Employee Retention'!I19</f>
        <v>147.5</v>
      </c>
      <c r="J7" s="53">
        <f>'Employee Retention'!J19</f>
        <v>151</v>
      </c>
      <c r="K7" s="53">
        <f>'Employee Retention'!K19</f>
        <v>156.5</v>
      </c>
      <c r="L7" s="53">
        <f>'Employee Retention'!L19</f>
        <v>162</v>
      </c>
      <c r="M7" s="53">
        <f>'Employee Retention'!M19</f>
        <v>165</v>
      </c>
      <c r="N7" s="53">
        <f>'Employee Retention'!N19</f>
        <v>167</v>
      </c>
      <c r="O7" s="53">
        <f>'Employee Retention'!O19</f>
        <v>172</v>
      </c>
      <c r="P7" s="53">
        <f>'Employee Retention'!P19</f>
        <v>176</v>
      </c>
      <c r="Q7" s="53">
        <f>'Employee Retention'!Q19</f>
        <v>179.5</v>
      </c>
      <c r="R7" s="53">
        <f>'Employee Retention'!R19</f>
        <v>181.5</v>
      </c>
      <c r="S7" s="53">
        <f>'Employee Retention'!S19</f>
        <v>180.5</v>
      </c>
      <c r="T7" s="53">
        <f>'Employee Retention'!T19</f>
        <v>183</v>
      </c>
      <c r="U7" s="53">
        <f>'Employee Retention'!U19</f>
        <v>189.5</v>
      </c>
      <c r="V7" s="53">
        <f>'Employee Retention'!V19</f>
        <v>192.5</v>
      </c>
      <c r="W7" s="53">
        <f>'Employee Retention'!W19</f>
        <v>195</v>
      </c>
      <c r="X7" s="53">
        <f>'Employee Retention'!X19</f>
        <v>193.5</v>
      </c>
      <c r="Y7" s="53">
        <f>'Employee Retention'!Y19</f>
        <v>189</v>
      </c>
      <c r="Z7" s="53">
        <f>'Employee Retention'!Z19</f>
        <v>181.5</v>
      </c>
      <c r="AA7" s="53">
        <f>'Employee Retention'!AA19</f>
        <v>174.5</v>
      </c>
      <c r="AB7" s="53">
        <f>'Employee Retention'!AB19</f>
        <v>177</v>
      </c>
      <c r="AD7" s="364"/>
    </row>
    <row r="8" spans="2:31" s="349" customFormat="1" ht="12">
      <c r="B8" s="349" t="s">
        <v>1878</v>
      </c>
      <c r="C8" s="386">
        <f>('Client Retention $'!E15-'Client Retention $'!E111*12)/C7</f>
        <v>13.008739138461532</v>
      </c>
      <c r="D8" s="386">
        <f>('Client Retention $'!F15-'Client Retention $'!F111*12)/D7</f>
        <v>15.346704289693591</v>
      </c>
      <c r="E8" s="386"/>
      <c r="F8" s="386">
        <f>('Client Retention $'!H15-'Client Retention $'!H111*12)/F7</f>
        <v>14.849686516853929</v>
      </c>
      <c r="G8" s="386"/>
      <c r="H8" s="386">
        <f>('Client Retention $'!J15-'Client Retention $'!J111)*12/H7</f>
        <v>11.977632397260265</v>
      </c>
      <c r="I8" s="386">
        <f>('Client Retention $'!K15-'Client Retention $'!K111)*12/I7</f>
        <v>12.335000406779653</v>
      </c>
      <c r="J8" s="386">
        <f>('Client Retention $'!L15-'Client Retention $'!L111)*12/J7</f>
        <v>12.722761986754959</v>
      </c>
      <c r="K8" s="386">
        <f>('Client Retention $'!M15-'Client Retention $'!M111)*12/K7</f>
        <v>12.910201661341844</v>
      </c>
      <c r="L8" s="386">
        <f>('Client Retention $'!N15-'Client Retention $'!N111)*12/L7</f>
        <v>12.906083703703693</v>
      </c>
      <c r="M8" s="386">
        <f>('Client Retention $'!O15-'Client Retention $'!O111)*12/M7</f>
        <v>13.035614303030293</v>
      </c>
      <c r="N8" s="386">
        <f>('Client Retention $'!P15-'Client Retention $'!P111)*12/N7</f>
        <v>12.976448862275438</v>
      </c>
      <c r="O8" s="386">
        <f>('Client Retention $'!Q15-'Client Retention $'!Q111)*12/O7</f>
        <v>12.868619069767432</v>
      </c>
      <c r="P8" s="386">
        <f>('Client Retention $'!R15-'Client Retention $'!R111)*12/P7</f>
        <v>12.947982613636354</v>
      </c>
      <c r="Q8" s="386">
        <f>('Client Retention $'!S15-'Client Retention $'!S111)*12/Q7</f>
        <v>13.194310194986064</v>
      </c>
      <c r="R8" s="386">
        <f>('Client Retention $'!T15-'Client Retention $'!T111)*12/R7</f>
        <v>13.469281983471065</v>
      </c>
      <c r="S8" s="386">
        <f>('Client Retention $'!U15-'Client Retention $'!U111)*12/S7</f>
        <v>13.823450969529079</v>
      </c>
      <c r="T8" s="386">
        <f>('Client Retention $'!V15-'Client Retention $'!V111)*12/T7</f>
        <v>14.034732896174853</v>
      </c>
      <c r="U8" s="386">
        <f>('Client Retention $'!W15-'Client Retention $'!W111)*12/U7</f>
        <v>13.958834406332445</v>
      </c>
      <c r="V8" s="386">
        <f>('Client Retention $'!X15-'Client Retention $'!X111)*12/V7</f>
        <v>14.04654503896103</v>
      </c>
      <c r="W8" s="386">
        <f>('Client Retention $'!Y15-'Client Retention $'!Y111)*12/W7</f>
        <v>14.143772923076915</v>
      </c>
      <c r="X8" s="386">
        <f>('Client Retention $'!Z15-'Client Retention $'!Z111)*12/X7</f>
        <v>14.616572196382425</v>
      </c>
      <c r="Y8" s="386">
        <f>('Client Retention $'!AA15-'Client Retention $'!AA111)*12/Y7</f>
        <v>15.253466772486766</v>
      </c>
      <c r="Z8" s="386">
        <f>('Client Retention $'!AB15-'Client Retention $'!AB111)*12/Z7</f>
        <v>15.934229862258947</v>
      </c>
      <c r="AA8" s="386">
        <f>('Client Retention $'!AC15-'Client Retention $'!AC111)*12/AA7</f>
        <v>16.593597249283661</v>
      </c>
      <c r="AB8" s="386">
        <f>('Client Retention $'!AD15-'Client Retention $'!AD111)*12/AB7</f>
        <v>16.631472994350275</v>
      </c>
      <c r="AD8" s="392">
        <f>AB8/12*1000</f>
        <v>1385.9560828625231</v>
      </c>
    </row>
    <row r="9" spans="2:31" s="349" customFormat="1" ht="3.95" customHeight="1"/>
    <row r="10" spans="2:31" s="349" customFormat="1" ht="12">
      <c r="B10" s="374" t="s">
        <v>1879</v>
      </c>
      <c r="C10" s="348"/>
      <c r="D10" s="348"/>
      <c r="F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</row>
    <row r="11" spans="2:31" s="349" customFormat="1" ht="12">
      <c r="B11" s="349" t="s">
        <v>490</v>
      </c>
      <c r="C11" s="53">
        <f>'Employee Retention'!C26</f>
        <v>22</v>
      </c>
      <c r="D11" s="53">
        <f>'Employee Retention'!D26</f>
        <v>35.5</v>
      </c>
      <c r="E11" s="53"/>
      <c r="F11" s="53">
        <f>'Employee Retention'!F26</f>
        <v>33.5</v>
      </c>
      <c r="G11" s="385"/>
      <c r="H11" s="53">
        <f>'Employee Retention'!H26</f>
        <v>13</v>
      </c>
      <c r="I11" s="53">
        <f>'Employee Retention'!I26</f>
        <v>13.5</v>
      </c>
      <c r="J11" s="53">
        <f>'Employee Retention'!J26</f>
        <v>14.5</v>
      </c>
      <c r="K11" s="53">
        <f>'Employee Retention'!K26</f>
        <v>16</v>
      </c>
      <c r="L11" s="53">
        <f>'Employee Retention'!L26</f>
        <v>16.5</v>
      </c>
      <c r="M11" s="53">
        <f>'Employee Retention'!M26</f>
        <v>18</v>
      </c>
      <c r="N11" s="53">
        <f>'Employee Retention'!N26</f>
        <v>22</v>
      </c>
      <c r="O11" s="53">
        <f>'Employee Retention'!O26</f>
        <v>25</v>
      </c>
      <c r="P11" s="53">
        <f>'Employee Retention'!P26</f>
        <v>26.5</v>
      </c>
      <c r="Q11" s="53">
        <f>'Employee Retention'!Q26</f>
        <v>28</v>
      </c>
      <c r="R11" s="53">
        <f>'Employee Retention'!R26</f>
        <v>29.5</v>
      </c>
      <c r="S11" s="53">
        <f>'Employee Retention'!S26</f>
        <v>30.5</v>
      </c>
      <c r="T11" s="53">
        <f>'Employee Retention'!T26</f>
        <v>31.5</v>
      </c>
      <c r="U11" s="53">
        <f>'Employee Retention'!U26</f>
        <v>32</v>
      </c>
      <c r="V11" s="53">
        <f>'Employee Retention'!V26</f>
        <v>32</v>
      </c>
      <c r="W11" s="53">
        <f>'Employee Retention'!W26</f>
        <v>33</v>
      </c>
      <c r="X11" s="53">
        <f>'Employee Retention'!X26</f>
        <v>34</v>
      </c>
      <c r="Y11" s="53">
        <f>'Employee Retention'!Y26</f>
        <v>36</v>
      </c>
      <c r="Z11" s="53">
        <f>'Employee Retention'!Z26</f>
        <v>38.5</v>
      </c>
      <c r="AA11" s="53">
        <f>'Employee Retention'!AA26</f>
        <v>39</v>
      </c>
      <c r="AB11" s="53">
        <f>'Employee Retention'!AB26</f>
        <v>39.5</v>
      </c>
      <c r="AD11" s="364"/>
    </row>
    <row r="12" spans="2:31" s="349" customFormat="1" ht="12">
      <c r="B12" s="349" t="s">
        <v>491</v>
      </c>
      <c r="C12" s="53">
        <f>'Employee Retention'!C41</f>
        <v>13</v>
      </c>
      <c r="D12" s="53">
        <f>'Employee Retention'!D41</f>
        <v>14.5</v>
      </c>
      <c r="E12" s="53"/>
      <c r="F12" s="53">
        <f>'Employee Retention'!F41</f>
        <v>14</v>
      </c>
      <c r="G12" s="385"/>
      <c r="H12" s="53">
        <f>'Employee Retention'!H41</f>
        <v>13.5</v>
      </c>
      <c r="I12" s="53">
        <f>'Employee Retention'!I41</f>
        <v>13</v>
      </c>
      <c r="J12" s="53">
        <f>'Employee Retention'!J41</f>
        <v>12.5</v>
      </c>
      <c r="K12" s="53">
        <f>'Employee Retention'!K41</f>
        <v>13</v>
      </c>
      <c r="L12" s="53">
        <f>'Employee Retention'!L41</f>
        <v>13</v>
      </c>
      <c r="M12" s="53">
        <f>'Employee Retention'!M41</f>
        <v>12.5</v>
      </c>
      <c r="N12" s="53">
        <f>'Employee Retention'!N41</f>
        <v>12</v>
      </c>
      <c r="O12" s="53">
        <f>'Employee Retention'!O41</f>
        <v>12</v>
      </c>
      <c r="P12" s="53">
        <f>'Employee Retention'!P41</f>
        <v>12</v>
      </c>
      <c r="Q12" s="53">
        <f>'Employee Retention'!Q41</f>
        <v>12.5</v>
      </c>
      <c r="R12" s="53">
        <f>'Employee Retention'!R41</f>
        <v>13</v>
      </c>
      <c r="S12" s="53">
        <f>'Employee Retention'!S41</f>
        <v>13</v>
      </c>
      <c r="T12" s="53">
        <f>'Employee Retention'!T41</f>
        <v>13</v>
      </c>
      <c r="U12" s="53">
        <f>'Employee Retention'!U41</f>
        <v>13.5</v>
      </c>
      <c r="V12" s="53">
        <f>'Employee Retention'!V41</f>
        <v>15</v>
      </c>
      <c r="W12" s="53">
        <f>'Employee Retention'!W41</f>
        <v>16.5</v>
      </c>
      <c r="X12" s="53">
        <f>'Employee Retention'!X41</f>
        <v>17</v>
      </c>
      <c r="Y12" s="53">
        <f>'Employee Retention'!Y41</f>
        <v>16.5</v>
      </c>
      <c r="Z12" s="53">
        <f>'Employee Retention'!Z41</f>
        <v>16.5</v>
      </c>
      <c r="AA12" s="53">
        <f>'Employee Retention'!AA41</f>
        <v>17.5</v>
      </c>
      <c r="AB12" s="53">
        <f>'Employee Retention'!AB41</f>
        <v>17</v>
      </c>
    </row>
    <row r="13" spans="2:31" s="349" customFormat="1" ht="12">
      <c r="B13" s="349" t="s">
        <v>1361</v>
      </c>
      <c r="C13" s="53">
        <f>'Employee Retention'!C56</f>
        <v>1.5</v>
      </c>
      <c r="D13" s="53">
        <f>'Employee Retention'!D56</f>
        <v>3</v>
      </c>
      <c r="E13" s="53"/>
      <c r="F13" s="53">
        <f>'Employee Retention'!F56</f>
        <v>3.5</v>
      </c>
      <c r="G13" s="385"/>
      <c r="H13" s="53">
        <f>'Employee Retention'!H56</f>
        <v>1</v>
      </c>
      <c r="I13" s="53">
        <f>'Employee Retention'!I56</f>
        <v>1.5</v>
      </c>
      <c r="J13" s="53">
        <f>'Employee Retention'!J56</f>
        <v>2</v>
      </c>
      <c r="K13" s="53">
        <f>'Employee Retention'!K56</f>
        <v>2</v>
      </c>
      <c r="L13" s="53">
        <f>'Employee Retention'!L56</f>
        <v>2</v>
      </c>
      <c r="M13" s="53">
        <f>'Employee Retention'!M56</f>
        <v>2</v>
      </c>
      <c r="N13" s="53">
        <f>'Employee Retention'!N56</f>
        <v>2</v>
      </c>
      <c r="O13" s="53">
        <f>'Employee Retention'!O56</f>
        <v>2</v>
      </c>
      <c r="P13" s="53">
        <f>'Employee Retention'!P56</f>
        <v>2.5</v>
      </c>
      <c r="Q13" s="53">
        <f>'Employee Retention'!Q56</f>
        <v>3</v>
      </c>
      <c r="R13" s="53">
        <f>'Employee Retention'!R56</f>
        <v>3</v>
      </c>
      <c r="S13" s="53">
        <f>'Employee Retention'!S56</f>
        <v>2.5</v>
      </c>
      <c r="T13" s="53">
        <f>'Employee Retention'!T56</f>
        <v>2</v>
      </c>
      <c r="U13" s="53">
        <f>'Employee Retention'!U56</f>
        <v>3</v>
      </c>
      <c r="V13" s="53">
        <f>'Employee Retention'!V56</f>
        <v>4</v>
      </c>
      <c r="W13" s="53">
        <f>'Employee Retention'!W56</f>
        <v>4</v>
      </c>
      <c r="X13" s="53">
        <f>'Employee Retention'!X56</f>
        <v>4</v>
      </c>
      <c r="Y13" s="53">
        <f>'Employee Retention'!Y56</f>
        <v>4</v>
      </c>
      <c r="Z13" s="53">
        <f>'Employee Retention'!Z56</f>
        <v>4</v>
      </c>
      <c r="AA13" s="53">
        <f>'Employee Retention'!AA56</f>
        <v>4</v>
      </c>
      <c r="AB13" s="53">
        <f>'Employee Retention'!AB56</f>
        <v>4</v>
      </c>
    </row>
    <row r="14" spans="2:31" s="349" customFormat="1" ht="3.95" customHeight="1"/>
    <row r="15" spans="2:31" s="349" customFormat="1" ht="12">
      <c r="B15" s="374" t="s">
        <v>1880</v>
      </c>
      <c r="C15" s="348"/>
      <c r="D15" s="348"/>
      <c r="F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</row>
    <row r="16" spans="2:31" s="349" customFormat="1" ht="12">
      <c r="B16" s="349" t="s">
        <v>490</v>
      </c>
      <c r="C16" s="352">
        <f>AVERAGEIFS('Combined Employee Worksheet'!$G:$G,'Combined Employee Worksheet'!$D:$D,$B16,'Combined Employee Worksheet'!$H:$H,"Active")/1000</f>
        <v>12.315</v>
      </c>
      <c r="D16" s="352">
        <f>AVERAGEIFS('Combined Employee Worksheet'!$G:$G,'Combined Employee Worksheet'!$D:$D,$B16,'Combined Employee Worksheet'!$H:$H,"Active")/1000</f>
        <v>12.315</v>
      </c>
      <c r="E16" s="352"/>
      <c r="F16" s="352">
        <f>AVERAGEIFS('Combined Employee Worksheet'!$G:$G,'Combined Employee Worksheet'!$D:$D,$B16,'Combined Employee Worksheet'!$H:$H,"Active")/1000</f>
        <v>12.315</v>
      </c>
      <c r="G16" s="352"/>
      <c r="H16" s="352">
        <f>AVERAGEIFS('Combined Employee Worksheet'!$G:$G,'Combined Employee Worksheet'!$D:$D,$B16,'Combined Employee Worksheet'!$H:$H,"Active")/1000</f>
        <v>12.315</v>
      </c>
      <c r="I16" s="352">
        <f>AVERAGEIFS('Combined Employee Worksheet'!$G:$G,'Combined Employee Worksheet'!$D:$D,$B16,'Combined Employee Worksheet'!$H:$H,"Active")/1000</f>
        <v>12.315</v>
      </c>
      <c r="J16" s="352">
        <f>AVERAGEIFS('Combined Employee Worksheet'!$G:$G,'Combined Employee Worksheet'!$D:$D,$B16,'Combined Employee Worksheet'!$H:$H,"Active")/1000</f>
        <v>12.315</v>
      </c>
      <c r="K16" s="352">
        <f>AVERAGEIFS('Combined Employee Worksheet'!$G:$G,'Combined Employee Worksheet'!$D:$D,$B16,'Combined Employee Worksheet'!$H:$H,"Active")/1000</f>
        <v>12.315</v>
      </c>
      <c r="L16" s="352">
        <f>AVERAGEIFS('Combined Employee Worksheet'!$G:$G,'Combined Employee Worksheet'!$D:$D,$B16,'Combined Employee Worksheet'!$H:$H,"Active")/1000</f>
        <v>12.315</v>
      </c>
      <c r="M16" s="352">
        <f>AVERAGEIFS('Combined Employee Worksheet'!$G:$G,'Combined Employee Worksheet'!$D:$D,$B16,'Combined Employee Worksheet'!$H:$H,"Active")/1000</f>
        <v>12.315</v>
      </c>
      <c r="N16" s="352">
        <f>AVERAGEIFS('Combined Employee Worksheet'!$G:$G,'Combined Employee Worksheet'!$D:$D,$B16,'Combined Employee Worksheet'!$H:$H,"Active")/1000</f>
        <v>12.315</v>
      </c>
      <c r="O16" s="352">
        <f>AVERAGEIFS('Combined Employee Worksheet'!$G:$G,'Combined Employee Worksheet'!$D:$D,$B16,'Combined Employee Worksheet'!$H:$H,"Active")/1000</f>
        <v>12.315</v>
      </c>
      <c r="P16" s="352">
        <f>AVERAGEIFS('Combined Employee Worksheet'!$G:$G,'Combined Employee Worksheet'!$D:$D,$B16,'Combined Employee Worksheet'!$H:$H,"Active")/1000</f>
        <v>12.315</v>
      </c>
      <c r="Q16" s="352">
        <f>AVERAGEIFS('Combined Employee Worksheet'!$G:$G,'Combined Employee Worksheet'!$D:$D,$B16,'Combined Employee Worksheet'!$H:$H,"Active")/1000</f>
        <v>12.315</v>
      </c>
      <c r="R16" s="352">
        <f>AVERAGEIFS('Combined Employee Worksheet'!$G:$G,'Combined Employee Worksheet'!$D:$D,$B16,'Combined Employee Worksheet'!$H:$H,"Active")/1000</f>
        <v>12.315</v>
      </c>
      <c r="S16" s="352">
        <f>AVERAGEIFS('Combined Employee Worksheet'!$G:$G,'Combined Employee Worksheet'!$D:$D,$B16,'Combined Employee Worksheet'!$H:$H,"Active")/1000</f>
        <v>12.315</v>
      </c>
      <c r="T16" s="352">
        <f>AVERAGEIFS('Combined Employee Worksheet'!$G:$G,'Combined Employee Worksheet'!$D:$D,$B16,'Combined Employee Worksheet'!$H:$H,"Active")/1000</f>
        <v>12.315</v>
      </c>
      <c r="U16" s="352">
        <f>AVERAGEIFS('Combined Employee Worksheet'!$G:$G,'Combined Employee Worksheet'!$D:$D,$B16,'Combined Employee Worksheet'!$H:$H,"Active")/1000</f>
        <v>12.315</v>
      </c>
      <c r="V16" s="352">
        <f>AVERAGEIFS('Combined Employee Worksheet'!$G:$G,'Combined Employee Worksheet'!$D:$D,$B16,'Combined Employee Worksheet'!$H:$H,"Active")/1000</f>
        <v>12.315</v>
      </c>
      <c r="W16" s="352">
        <f>AVERAGEIFS('Combined Employee Worksheet'!$G:$G,'Combined Employee Worksheet'!$D:$D,$B16,'Combined Employee Worksheet'!$H:$H,"Active")/1000</f>
        <v>12.315</v>
      </c>
      <c r="X16" s="352">
        <f>AVERAGEIFS('Combined Employee Worksheet'!$G:$G,'Combined Employee Worksheet'!$D:$D,$B16,'Combined Employee Worksheet'!$H:$H,"Active")/1000</f>
        <v>12.315</v>
      </c>
      <c r="Y16" s="352">
        <f>AVERAGEIFS('Combined Employee Worksheet'!$G:$G,'Combined Employee Worksheet'!$D:$D,$B16,'Combined Employee Worksheet'!$H:$H,"Active")/1000</f>
        <v>12.315</v>
      </c>
      <c r="Z16" s="352">
        <f>AVERAGEIFS('Combined Employee Worksheet'!$G:$G,'Combined Employee Worksheet'!$D:$D,$B16,'Combined Employee Worksheet'!$H:$H,"Active")/1000</f>
        <v>12.315</v>
      </c>
      <c r="AA16" s="352">
        <f>AVERAGEIFS('Combined Employee Worksheet'!$G:$G,'Combined Employee Worksheet'!$D:$D,$B16,'Combined Employee Worksheet'!$H:$H,"Active")/1000</f>
        <v>12.315</v>
      </c>
      <c r="AB16" s="352">
        <f>AVERAGEIFS('Combined Employee Worksheet'!$G:$G,'Combined Employee Worksheet'!$D:$D,$B16,'Combined Employee Worksheet'!$H:$H,"Active")/1000</f>
        <v>12.315</v>
      </c>
    </row>
    <row r="17" spans="2:28" s="349" customFormat="1" ht="12">
      <c r="B17" s="349" t="s">
        <v>491</v>
      </c>
      <c r="C17" s="364">
        <f>AVERAGEIFS('Combined Employee Worksheet'!$G:$G,'Combined Employee Worksheet'!$D:$D,$B17,'Combined Employee Worksheet'!$H:$H,"Active")/1000</f>
        <v>23.774999999999999</v>
      </c>
      <c r="D17" s="364">
        <f>AVERAGEIFS('Combined Employee Worksheet'!$G:$G,'Combined Employee Worksheet'!$D:$D,$B17,'Combined Employee Worksheet'!$H:$H,"Active")/1000</f>
        <v>23.774999999999999</v>
      </c>
      <c r="E17" s="364"/>
      <c r="F17" s="364">
        <f>AVERAGEIFS('Combined Employee Worksheet'!$G:$G,'Combined Employee Worksheet'!$D:$D,$B17,'Combined Employee Worksheet'!$H:$H,"Active")/1000</f>
        <v>23.774999999999999</v>
      </c>
      <c r="G17" s="364"/>
      <c r="H17" s="364">
        <f>AVERAGEIFS('Combined Employee Worksheet'!$G:$G,'Combined Employee Worksheet'!$D:$D,$B17,'Combined Employee Worksheet'!$H:$H,"Active")/1000</f>
        <v>23.774999999999999</v>
      </c>
      <c r="I17" s="364">
        <f>AVERAGEIFS('Combined Employee Worksheet'!$G:$G,'Combined Employee Worksheet'!$D:$D,$B17,'Combined Employee Worksheet'!$H:$H,"Active")/1000</f>
        <v>23.774999999999999</v>
      </c>
      <c r="J17" s="364">
        <f>AVERAGEIFS('Combined Employee Worksheet'!$G:$G,'Combined Employee Worksheet'!$D:$D,$B17,'Combined Employee Worksheet'!$H:$H,"Active")/1000</f>
        <v>23.774999999999999</v>
      </c>
      <c r="K17" s="364">
        <f>AVERAGEIFS('Combined Employee Worksheet'!$G:$G,'Combined Employee Worksheet'!$D:$D,$B17,'Combined Employee Worksheet'!$H:$H,"Active")/1000</f>
        <v>23.774999999999999</v>
      </c>
      <c r="L17" s="364">
        <f>AVERAGEIFS('Combined Employee Worksheet'!$G:$G,'Combined Employee Worksheet'!$D:$D,$B17,'Combined Employee Worksheet'!$H:$H,"Active")/1000</f>
        <v>23.774999999999999</v>
      </c>
      <c r="M17" s="364">
        <f>AVERAGEIFS('Combined Employee Worksheet'!$G:$G,'Combined Employee Worksheet'!$D:$D,$B17,'Combined Employee Worksheet'!$H:$H,"Active")/1000</f>
        <v>23.774999999999999</v>
      </c>
      <c r="N17" s="364">
        <f>AVERAGEIFS('Combined Employee Worksheet'!$G:$G,'Combined Employee Worksheet'!$D:$D,$B17,'Combined Employee Worksheet'!$H:$H,"Active")/1000</f>
        <v>23.774999999999999</v>
      </c>
      <c r="O17" s="364">
        <f>AVERAGEIFS('Combined Employee Worksheet'!$G:$G,'Combined Employee Worksheet'!$D:$D,$B17,'Combined Employee Worksheet'!$H:$H,"Active")/1000</f>
        <v>23.774999999999999</v>
      </c>
      <c r="P17" s="364">
        <f>AVERAGEIFS('Combined Employee Worksheet'!$G:$G,'Combined Employee Worksheet'!$D:$D,$B17,'Combined Employee Worksheet'!$H:$H,"Active")/1000</f>
        <v>23.774999999999999</v>
      </c>
      <c r="Q17" s="364">
        <f>AVERAGEIFS('Combined Employee Worksheet'!$G:$G,'Combined Employee Worksheet'!$D:$D,$B17,'Combined Employee Worksheet'!$H:$H,"Active")/1000</f>
        <v>23.774999999999999</v>
      </c>
      <c r="R17" s="364">
        <f>AVERAGEIFS('Combined Employee Worksheet'!$G:$G,'Combined Employee Worksheet'!$D:$D,$B17,'Combined Employee Worksheet'!$H:$H,"Active")/1000</f>
        <v>23.774999999999999</v>
      </c>
      <c r="S17" s="364">
        <f>AVERAGEIFS('Combined Employee Worksheet'!$G:$G,'Combined Employee Worksheet'!$D:$D,$B17,'Combined Employee Worksheet'!$H:$H,"Active")/1000</f>
        <v>23.774999999999999</v>
      </c>
      <c r="T17" s="364">
        <f>AVERAGEIFS('Combined Employee Worksheet'!$G:$G,'Combined Employee Worksheet'!$D:$D,$B17,'Combined Employee Worksheet'!$H:$H,"Active")/1000</f>
        <v>23.774999999999999</v>
      </c>
      <c r="U17" s="364">
        <f>AVERAGEIFS('Combined Employee Worksheet'!$G:$G,'Combined Employee Worksheet'!$D:$D,$B17,'Combined Employee Worksheet'!$H:$H,"Active")/1000</f>
        <v>23.774999999999999</v>
      </c>
      <c r="V17" s="364">
        <f>AVERAGEIFS('Combined Employee Worksheet'!$G:$G,'Combined Employee Worksheet'!$D:$D,$B17,'Combined Employee Worksheet'!$H:$H,"Active")/1000</f>
        <v>23.774999999999999</v>
      </c>
      <c r="W17" s="364">
        <f>AVERAGEIFS('Combined Employee Worksheet'!$G:$G,'Combined Employee Worksheet'!$D:$D,$B17,'Combined Employee Worksheet'!$H:$H,"Active")/1000</f>
        <v>23.774999999999999</v>
      </c>
      <c r="X17" s="364">
        <f>AVERAGEIFS('Combined Employee Worksheet'!$G:$G,'Combined Employee Worksheet'!$D:$D,$B17,'Combined Employee Worksheet'!$H:$H,"Active")/1000</f>
        <v>23.774999999999999</v>
      </c>
      <c r="Y17" s="364">
        <f>AVERAGEIFS('Combined Employee Worksheet'!$G:$G,'Combined Employee Worksheet'!$D:$D,$B17,'Combined Employee Worksheet'!$H:$H,"Active")/1000</f>
        <v>23.774999999999999</v>
      </c>
      <c r="Z17" s="364">
        <f>AVERAGEIFS('Combined Employee Worksheet'!$G:$G,'Combined Employee Worksheet'!$D:$D,$B17,'Combined Employee Worksheet'!$H:$H,"Active")/1000</f>
        <v>23.774999999999999</v>
      </c>
      <c r="AA17" s="364">
        <f>AVERAGEIFS('Combined Employee Worksheet'!$G:$G,'Combined Employee Worksheet'!$D:$D,$B17,'Combined Employee Worksheet'!$H:$H,"Active")/1000</f>
        <v>23.774999999999999</v>
      </c>
      <c r="AB17" s="364">
        <f>AVERAGEIFS('Combined Employee Worksheet'!$G:$G,'Combined Employee Worksheet'!$D:$D,$B17,'Combined Employee Worksheet'!$H:$H,"Active")/1000</f>
        <v>23.774999999999999</v>
      </c>
    </row>
    <row r="18" spans="2:28" s="349" customFormat="1" ht="12">
      <c r="B18" s="349" t="s">
        <v>1361</v>
      </c>
      <c r="C18" s="364">
        <f>AVERAGEIFS('Combined Employee Worksheet'!$G:$G,'Combined Employee Worksheet'!$D:$D,$B18,'Combined Employee Worksheet'!$H:$H,"Active")/1000</f>
        <v>116.25</v>
      </c>
      <c r="D18" s="364">
        <f>AVERAGEIFS('Combined Employee Worksheet'!$G:$G,'Combined Employee Worksheet'!$D:$D,$B18,'Combined Employee Worksheet'!$H:$H,"Active")/1000</f>
        <v>116.25</v>
      </c>
      <c r="E18" s="364"/>
      <c r="F18" s="364">
        <f>AVERAGEIFS('Combined Employee Worksheet'!$G:$G,'Combined Employee Worksheet'!$D:$D,$B18,'Combined Employee Worksheet'!$H:$H,"Active")/1000</f>
        <v>116.25</v>
      </c>
      <c r="G18" s="364"/>
      <c r="H18" s="364">
        <f>AVERAGEIFS('Combined Employee Worksheet'!$G:$G,'Combined Employee Worksheet'!$D:$D,$B18,'Combined Employee Worksheet'!$H:$H,"Active")/1000</f>
        <v>116.25</v>
      </c>
      <c r="I18" s="364">
        <f>AVERAGEIFS('Combined Employee Worksheet'!$G:$G,'Combined Employee Worksheet'!$D:$D,$B18,'Combined Employee Worksheet'!$H:$H,"Active")/1000</f>
        <v>116.25</v>
      </c>
      <c r="J18" s="364">
        <f>AVERAGEIFS('Combined Employee Worksheet'!$G:$G,'Combined Employee Worksheet'!$D:$D,$B18,'Combined Employee Worksheet'!$H:$H,"Active")/1000</f>
        <v>116.25</v>
      </c>
      <c r="K18" s="364">
        <f>AVERAGEIFS('Combined Employee Worksheet'!$G:$G,'Combined Employee Worksheet'!$D:$D,$B18,'Combined Employee Worksheet'!$H:$H,"Active")/1000</f>
        <v>116.25</v>
      </c>
      <c r="L18" s="364">
        <f>AVERAGEIFS('Combined Employee Worksheet'!$G:$G,'Combined Employee Worksheet'!$D:$D,$B18,'Combined Employee Worksheet'!$H:$H,"Active")/1000</f>
        <v>116.25</v>
      </c>
      <c r="M18" s="364">
        <f>AVERAGEIFS('Combined Employee Worksheet'!$G:$G,'Combined Employee Worksheet'!$D:$D,$B18,'Combined Employee Worksheet'!$H:$H,"Active")/1000</f>
        <v>116.25</v>
      </c>
      <c r="N18" s="364">
        <f>AVERAGEIFS('Combined Employee Worksheet'!$G:$G,'Combined Employee Worksheet'!$D:$D,$B18,'Combined Employee Worksheet'!$H:$H,"Active")/1000</f>
        <v>116.25</v>
      </c>
      <c r="O18" s="364">
        <f>AVERAGEIFS('Combined Employee Worksheet'!$G:$G,'Combined Employee Worksheet'!$D:$D,$B18,'Combined Employee Worksheet'!$H:$H,"Active")/1000</f>
        <v>116.25</v>
      </c>
      <c r="P18" s="364">
        <f>AVERAGEIFS('Combined Employee Worksheet'!$G:$G,'Combined Employee Worksheet'!$D:$D,$B18,'Combined Employee Worksheet'!$H:$H,"Active")/1000</f>
        <v>116.25</v>
      </c>
      <c r="Q18" s="364">
        <f>AVERAGEIFS('Combined Employee Worksheet'!$G:$G,'Combined Employee Worksheet'!$D:$D,$B18,'Combined Employee Worksheet'!$H:$H,"Active")/1000</f>
        <v>116.25</v>
      </c>
      <c r="R18" s="364">
        <f>AVERAGEIFS('Combined Employee Worksheet'!$G:$G,'Combined Employee Worksheet'!$D:$D,$B18,'Combined Employee Worksheet'!$H:$H,"Active")/1000</f>
        <v>116.25</v>
      </c>
      <c r="S18" s="364">
        <f>AVERAGEIFS('Combined Employee Worksheet'!$G:$G,'Combined Employee Worksheet'!$D:$D,$B18,'Combined Employee Worksheet'!$H:$H,"Active")/1000</f>
        <v>116.25</v>
      </c>
      <c r="T18" s="364">
        <f>AVERAGEIFS('Combined Employee Worksheet'!$G:$G,'Combined Employee Worksheet'!$D:$D,$B18,'Combined Employee Worksheet'!$H:$H,"Active")/1000</f>
        <v>116.25</v>
      </c>
      <c r="U18" s="364">
        <f>AVERAGEIFS('Combined Employee Worksheet'!$G:$G,'Combined Employee Worksheet'!$D:$D,$B18,'Combined Employee Worksheet'!$H:$H,"Active")/1000</f>
        <v>116.25</v>
      </c>
      <c r="V18" s="364">
        <f>AVERAGEIFS('Combined Employee Worksheet'!$G:$G,'Combined Employee Worksheet'!$D:$D,$B18,'Combined Employee Worksheet'!$H:$H,"Active")/1000</f>
        <v>116.25</v>
      </c>
      <c r="W18" s="364">
        <f>AVERAGEIFS('Combined Employee Worksheet'!$G:$G,'Combined Employee Worksheet'!$D:$D,$B18,'Combined Employee Worksheet'!$H:$H,"Active")/1000</f>
        <v>116.25</v>
      </c>
      <c r="X18" s="364">
        <f>AVERAGEIFS('Combined Employee Worksheet'!$G:$G,'Combined Employee Worksheet'!$D:$D,$B18,'Combined Employee Worksheet'!$H:$H,"Active")/1000</f>
        <v>116.25</v>
      </c>
      <c r="Y18" s="364">
        <f>AVERAGEIFS('Combined Employee Worksheet'!$G:$G,'Combined Employee Worksheet'!$D:$D,$B18,'Combined Employee Worksheet'!$H:$H,"Active")/1000</f>
        <v>116.25</v>
      </c>
      <c r="Z18" s="364">
        <f>AVERAGEIFS('Combined Employee Worksheet'!$G:$G,'Combined Employee Worksheet'!$D:$D,$B18,'Combined Employee Worksheet'!$H:$H,"Active")/1000</f>
        <v>116.25</v>
      </c>
      <c r="AA18" s="364">
        <f>AVERAGEIFS('Combined Employee Worksheet'!$G:$G,'Combined Employee Worksheet'!$D:$D,$B18,'Combined Employee Worksheet'!$H:$H,"Active")/1000</f>
        <v>116.25</v>
      </c>
      <c r="AB18" s="364">
        <f>AVERAGEIFS('Combined Employee Worksheet'!$G:$G,'Combined Employee Worksheet'!$D:$D,$B18,'Combined Employee Worksheet'!$H:$H,"Active")/1000</f>
        <v>116.25</v>
      </c>
    </row>
    <row r="19" spans="2:28" s="349" customFormat="1" ht="3.95" customHeight="1"/>
    <row r="20" spans="2:28" s="349" customFormat="1" ht="12">
      <c r="B20" s="374" t="s">
        <v>1881</v>
      </c>
      <c r="C20" s="348"/>
      <c r="D20" s="348"/>
      <c r="F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</row>
    <row r="21" spans="2:28" s="349" customFormat="1" ht="12">
      <c r="B21" s="349" t="s">
        <v>490</v>
      </c>
      <c r="C21" s="376">
        <f>'Employee Retention'!C27</f>
        <v>7.3863636363636367</v>
      </c>
      <c r="D21" s="376">
        <f>'Employee Retention'!D27</f>
        <v>5.056338028169014</v>
      </c>
      <c r="E21" s="376"/>
      <c r="F21" s="376">
        <f>'Employee Retention'!F27</f>
        <v>5.3134328358208958</v>
      </c>
      <c r="G21" s="376"/>
      <c r="H21" s="376">
        <f>'Employee Retention'!H27</f>
        <v>11.23076923076923</v>
      </c>
      <c r="I21" s="376">
        <f>'Employee Retention'!I27</f>
        <v>10.925925925925926</v>
      </c>
      <c r="J21" s="376">
        <f>'Employee Retention'!J27</f>
        <v>10.413793103448276</v>
      </c>
      <c r="K21" s="376">
        <f>'Employee Retention'!K27</f>
        <v>9.78125</v>
      </c>
      <c r="L21" s="376">
        <f>'Employee Retention'!L27</f>
        <v>9.8181818181818183</v>
      </c>
      <c r="M21" s="376">
        <f>'Employee Retention'!M27</f>
        <v>9.1666666666666661</v>
      </c>
      <c r="N21" s="376">
        <f>'Employee Retention'!N27</f>
        <v>7.5909090909090908</v>
      </c>
      <c r="O21" s="376">
        <f>'Employee Retention'!O27</f>
        <v>6.88</v>
      </c>
      <c r="P21" s="376">
        <f>'Employee Retention'!P27</f>
        <v>6.6415094339622645</v>
      </c>
      <c r="Q21" s="376">
        <f>'Employee Retention'!Q27</f>
        <v>6.4107142857142856</v>
      </c>
      <c r="R21" s="376">
        <f>'Employee Retention'!R27</f>
        <v>6.1525423728813555</v>
      </c>
      <c r="S21" s="376">
        <f>'Employee Retention'!S27</f>
        <v>5.918032786885246</v>
      </c>
      <c r="T21" s="376">
        <f>'Employee Retention'!T27</f>
        <v>5.8095238095238093</v>
      </c>
      <c r="U21" s="376">
        <f>'Employee Retention'!U27</f>
        <v>5.921875</v>
      </c>
      <c r="V21" s="376">
        <f>'Employee Retention'!V27</f>
        <v>6.015625</v>
      </c>
      <c r="W21" s="376">
        <f>'Employee Retention'!W27</f>
        <v>5.9090909090909092</v>
      </c>
      <c r="X21" s="376">
        <f>'Employee Retention'!X27</f>
        <v>5.6911764705882355</v>
      </c>
      <c r="Y21" s="376">
        <f>'Employee Retention'!Y27</f>
        <v>5.25</v>
      </c>
      <c r="Z21" s="376">
        <f>'Employee Retention'!Z27</f>
        <v>4.7142857142857144</v>
      </c>
      <c r="AA21" s="376">
        <f>'Employee Retention'!AA27</f>
        <v>4.4743589743589745</v>
      </c>
      <c r="AB21" s="376">
        <f>'Employee Retention'!AB27</f>
        <v>4.481012658227848</v>
      </c>
    </row>
    <row r="22" spans="2:28" s="349" customFormat="1" ht="12">
      <c r="B22" s="349" t="s">
        <v>491</v>
      </c>
      <c r="C22" s="376">
        <f>'Employee Retention'!C42</f>
        <v>12.5</v>
      </c>
      <c r="D22" s="376">
        <f>'Employee Retention'!D42</f>
        <v>12.379310344827585</v>
      </c>
      <c r="E22" s="376"/>
      <c r="F22" s="376">
        <f>'Employee Retention'!F42</f>
        <v>12.714285714285714</v>
      </c>
      <c r="G22" s="376"/>
      <c r="H22" s="376">
        <f>'Employee Retention'!H42</f>
        <v>10.814814814814815</v>
      </c>
      <c r="I22" s="376">
        <f>'Employee Retention'!I42</f>
        <v>11.346153846153847</v>
      </c>
      <c r="J22" s="376">
        <f>'Employee Retention'!J42</f>
        <v>12.08</v>
      </c>
      <c r="K22" s="376">
        <f>'Employee Retention'!K42</f>
        <v>12.038461538461538</v>
      </c>
      <c r="L22" s="376">
        <f>'Employee Retention'!L42</f>
        <v>12.461538461538462</v>
      </c>
      <c r="M22" s="376">
        <f>'Employee Retention'!M42</f>
        <v>13.2</v>
      </c>
      <c r="N22" s="376">
        <f>'Employee Retention'!N42</f>
        <v>13.916666666666666</v>
      </c>
      <c r="O22" s="376">
        <f>'Employee Retention'!O42</f>
        <v>14.333333333333334</v>
      </c>
      <c r="P22" s="376">
        <f>'Employee Retention'!P42</f>
        <v>14.666666666666666</v>
      </c>
      <c r="Q22" s="376">
        <f>'Employee Retention'!Q42</f>
        <v>14.36</v>
      </c>
      <c r="R22" s="376">
        <f>'Employee Retention'!R42</f>
        <v>13.961538461538462</v>
      </c>
      <c r="S22" s="376">
        <f>'Employee Retention'!S42</f>
        <v>13.884615384615385</v>
      </c>
      <c r="T22" s="376">
        <f>'Employee Retention'!T42</f>
        <v>14.076923076923077</v>
      </c>
      <c r="U22" s="376">
        <f>'Employee Retention'!U42</f>
        <v>14.037037037037036</v>
      </c>
      <c r="V22" s="376">
        <f>'Employee Retention'!V42</f>
        <v>12.833333333333334</v>
      </c>
      <c r="W22" s="376">
        <f>'Employee Retention'!W42</f>
        <v>11.818181818181818</v>
      </c>
      <c r="X22" s="376">
        <f>'Employee Retention'!X42</f>
        <v>11.382352941176471</v>
      </c>
      <c r="Y22" s="376">
        <f>'Employee Retention'!Y42</f>
        <v>11.454545454545455</v>
      </c>
      <c r="Z22" s="376">
        <f>'Employee Retention'!Z42</f>
        <v>11</v>
      </c>
      <c r="AA22" s="376">
        <f>'Employee Retention'!AA42</f>
        <v>9.9714285714285715</v>
      </c>
      <c r="AB22" s="376">
        <f>'Employee Retention'!AB42</f>
        <v>10.411764705882353</v>
      </c>
    </row>
    <row r="23" spans="2:28" s="349" customFormat="1" ht="12">
      <c r="B23" s="349" t="s">
        <v>1361</v>
      </c>
      <c r="C23" s="376">
        <f>'Employee Retention'!C57</f>
        <v>108.33333333333333</v>
      </c>
      <c r="D23" s="376">
        <f>'Employee Retention'!D57</f>
        <v>59.833333333333336</v>
      </c>
      <c r="E23" s="376"/>
      <c r="F23" s="376">
        <f>'Employee Retention'!F57</f>
        <v>50.857142857142854</v>
      </c>
      <c r="G23" s="376"/>
      <c r="H23" s="376">
        <f>'Employee Retention'!H57</f>
        <v>146</v>
      </c>
      <c r="I23" s="376">
        <f>'Employee Retention'!I57</f>
        <v>98.333333333333329</v>
      </c>
      <c r="J23" s="376">
        <f>'Employee Retention'!J57</f>
        <v>75.5</v>
      </c>
      <c r="K23" s="376">
        <f>'Employee Retention'!K57</f>
        <v>78.25</v>
      </c>
      <c r="L23" s="376">
        <f>'Employee Retention'!L57</f>
        <v>81</v>
      </c>
      <c r="M23" s="376">
        <f>'Employee Retention'!M57</f>
        <v>82.5</v>
      </c>
      <c r="N23" s="376">
        <f>'Employee Retention'!N57</f>
        <v>83.5</v>
      </c>
      <c r="O23" s="376">
        <f>'Employee Retention'!O57</f>
        <v>86</v>
      </c>
      <c r="P23" s="376">
        <f>'Employee Retention'!P57</f>
        <v>70.400000000000006</v>
      </c>
      <c r="Q23" s="376">
        <f>'Employee Retention'!Q57</f>
        <v>59.833333333333336</v>
      </c>
      <c r="R23" s="376">
        <f>'Employee Retention'!R57</f>
        <v>60.5</v>
      </c>
      <c r="S23" s="376">
        <f>'Employee Retention'!S57</f>
        <v>72.2</v>
      </c>
      <c r="T23" s="376">
        <f>'Employee Retention'!T57</f>
        <v>91.5</v>
      </c>
      <c r="U23" s="376">
        <f>'Employee Retention'!U57</f>
        <v>63.166666666666664</v>
      </c>
      <c r="V23" s="376">
        <f>'Employee Retention'!V57</f>
        <v>48.125</v>
      </c>
      <c r="W23" s="376">
        <f>'Employee Retention'!W57</f>
        <v>48.75</v>
      </c>
      <c r="X23" s="376">
        <f>'Employee Retention'!X57</f>
        <v>48.375</v>
      </c>
      <c r="Y23" s="376">
        <f>'Employee Retention'!Y57</f>
        <v>47.25</v>
      </c>
      <c r="Z23" s="376">
        <f>'Employee Retention'!Z57</f>
        <v>45.375</v>
      </c>
      <c r="AA23" s="376">
        <f>'Employee Retention'!AA57</f>
        <v>43.625</v>
      </c>
      <c r="AB23" s="376">
        <f>'Employee Retention'!AB57</f>
        <v>44.25</v>
      </c>
    </row>
    <row r="24" spans="2:28" s="349" customFormat="1" ht="3.95" customHeight="1"/>
    <row r="25" spans="2:28" s="349" customFormat="1" ht="12">
      <c r="B25" s="374" t="s">
        <v>1882</v>
      </c>
      <c r="C25" s="348"/>
      <c r="D25" s="348"/>
      <c r="F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</row>
    <row r="26" spans="2:28" s="349" customFormat="1" ht="12">
      <c r="B26" s="349" t="s">
        <v>490</v>
      </c>
      <c r="C26" s="375">
        <f t="shared" ref="C26:D28" si="0">C16/C21</f>
        <v>1.6672615384615384</v>
      </c>
      <c r="D26" s="375">
        <f t="shared" si="0"/>
        <v>2.4355571030640668</v>
      </c>
      <c r="E26" s="375"/>
      <c r="F26" s="375">
        <f>F16/F21</f>
        <v>2.3177106741573033</v>
      </c>
      <c r="G26" s="375"/>
      <c r="H26" s="375">
        <f>H16/H21</f>
        <v>1.0965410958904109</v>
      </c>
      <c r="I26" s="375">
        <f t="shared" ref="I26:AB26" si="1">I16/I21</f>
        <v>1.1271355932203391</v>
      </c>
      <c r="J26" s="375">
        <f t="shared" si="1"/>
        <v>1.1825662251655629</v>
      </c>
      <c r="K26" s="375">
        <f t="shared" si="1"/>
        <v>1.2590415335463259</v>
      </c>
      <c r="L26" s="375">
        <f t="shared" si="1"/>
        <v>1.2543055555555556</v>
      </c>
      <c r="M26" s="375">
        <f t="shared" si="1"/>
        <v>1.3434545454545455</v>
      </c>
      <c r="N26" s="375">
        <f t="shared" si="1"/>
        <v>1.6223353293413174</v>
      </c>
      <c r="O26" s="375">
        <f t="shared" si="1"/>
        <v>1.7899709302325582</v>
      </c>
      <c r="P26" s="375">
        <f t="shared" si="1"/>
        <v>1.8542471590909089</v>
      </c>
      <c r="Q26" s="375">
        <f t="shared" si="1"/>
        <v>1.9210027855153202</v>
      </c>
      <c r="R26" s="375">
        <f t="shared" si="1"/>
        <v>2.0016115702479338</v>
      </c>
      <c r="S26" s="375">
        <f t="shared" si="1"/>
        <v>2.0809279778393353</v>
      </c>
      <c r="T26" s="375">
        <f t="shared" si="1"/>
        <v>2.1197950819672129</v>
      </c>
      <c r="U26" s="375">
        <f t="shared" si="1"/>
        <v>2.0795778364116093</v>
      </c>
      <c r="V26" s="375">
        <f t="shared" si="1"/>
        <v>2.0471688311688312</v>
      </c>
      <c r="W26" s="375">
        <f t="shared" si="1"/>
        <v>2.0840769230769229</v>
      </c>
      <c r="X26" s="375">
        <f t="shared" si="1"/>
        <v>2.1638759689922478</v>
      </c>
      <c r="Y26" s="375">
        <f t="shared" si="1"/>
        <v>2.3457142857142856</v>
      </c>
      <c r="Z26" s="375">
        <f t="shared" si="1"/>
        <v>2.6122727272727273</v>
      </c>
      <c r="AA26" s="375">
        <f t="shared" si="1"/>
        <v>2.7523495702005727</v>
      </c>
      <c r="AB26" s="375">
        <f t="shared" si="1"/>
        <v>2.7482627118644065</v>
      </c>
    </row>
    <row r="27" spans="2:28" s="349" customFormat="1" ht="12">
      <c r="B27" s="349" t="s">
        <v>491</v>
      </c>
      <c r="C27" s="375">
        <f t="shared" si="0"/>
        <v>1.9019999999999999</v>
      </c>
      <c r="D27" s="375">
        <f t="shared" si="0"/>
        <v>1.9205431754874651</v>
      </c>
      <c r="E27" s="375"/>
      <c r="F27" s="375">
        <f>F17/F22</f>
        <v>1.8699438202247192</v>
      </c>
      <c r="G27" s="375"/>
      <c r="H27" s="375">
        <f>H17/H22</f>
        <v>2.1983732876712327</v>
      </c>
      <c r="I27" s="375">
        <f t="shared" ref="I27:AB27" si="2">I17/I22</f>
        <v>2.0954237288135591</v>
      </c>
      <c r="J27" s="375">
        <f t="shared" si="2"/>
        <v>1.9681291390728475</v>
      </c>
      <c r="K27" s="375">
        <f t="shared" si="2"/>
        <v>1.9749201277955271</v>
      </c>
      <c r="L27" s="375">
        <f t="shared" si="2"/>
        <v>1.9078703703703703</v>
      </c>
      <c r="M27" s="375">
        <f t="shared" si="2"/>
        <v>1.8011363636363635</v>
      </c>
      <c r="N27" s="375">
        <f t="shared" si="2"/>
        <v>1.7083832335329341</v>
      </c>
      <c r="O27" s="375">
        <f t="shared" si="2"/>
        <v>1.6587209302325581</v>
      </c>
      <c r="P27" s="375">
        <f t="shared" si="2"/>
        <v>1.6210227272727273</v>
      </c>
      <c r="Q27" s="375">
        <f t="shared" si="2"/>
        <v>1.6556406685236769</v>
      </c>
      <c r="R27" s="375">
        <f t="shared" si="2"/>
        <v>1.7028925619834709</v>
      </c>
      <c r="S27" s="375">
        <f t="shared" si="2"/>
        <v>1.7123268698060941</v>
      </c>
      <c r="T27" s="375">
        <f t="shared" si="2"/>
        <v>1.6889344262295081</v>
      </c>
      <c r="U27" s="375">
        <f t="shared" si="2"/>
        <v>1.6937335092348285</v>
      </c>
      <c r="V27" s="375">
        <f t="shared" si="2"/>
        <v>1.8525974025974024</v>
      </c>
      <c r="W27" s="375">
        <f t="shared" si="2"/>
        <v>2.0117307692307689</v>
      </c>
      <c r="X27" s="375">
        <f t="shared" si="2"/>
        <v>2.0887596899224805</v>
      </c>
      <c r="Y27" s="375">
        <f t="shared" si="2"/>
        <v>2.075595238095238</v>
      </c>
      <c r="Z27" s="375">
        <f t="shared" si="2"/>
        <v>2.1613636363636362</v>
      </c>
      <c r="AA27" s="375">
        <f t="shared" si="2"/>
        <v>2.3843123209169055</v>
      </c>
      <c r="AB27" s="375">
        <f t="shared" si="2"/>
        <v>2.2834745762711863</v>
      </c>
    </row>
    <row r="28" spans="2:28" s="349" customFormat="1" ht="12">
      <c r="B28" s="349" t="s">
        <v>1361</v>
      </c>
      <c r="C28" s="375">
        <f t="shared" si="0"/>
        <v>1.073076923076923</v>
      </c>
      <c r="D28" s="375">
        <f t="shared" si="0"/>
        <v>1.9428969359331476</v>
      </c>
      <c r="E28" s="375"/>
      <c r="F28" s="375">
        <f>F18/F23</f>
        <v>2.2858146067415732</v>
      </c>
      <c r="G28" s="375"/>
      <c r="H28" s="375">
        <f>H18/H23</f>
        <v>0.79623287671232879</v>
      </c>
      <c r="I28" s="375">
        <f t="shared" ref="I28:AB28" si="3">I18/I23</f>
        <v>1.1822033898305084</v>
      </c>
      <c r="J28" s="375">
        <f t="shared" si="3"/>
        <v>1.5397350993377483</v>
      </c>
      <c r="K28" s="375">
        <f t="shared" si="3"/>
        <v>1.4856230031948883</v>
      </c>
      <c r="L28" s="375">
        <f t="shared" si="3"/>
        <v>1.4351851851851851</v>
      </c>
      <c r="M28" s="375">
        <f t="shared" si="3"/>
        <v>1.4090909090909092</v>
      </c>
      <c r="N28" s="375">
        <f t="shared" si="3"/>
        <v>1.3922155688622755</v>
      </c>
      <c r="O28" s="375">
        <f t="shared" si="3"/>
        <v>1.3517441860465116</v>
      </c>
      <c r="P28" s="375">
        <f t="shared" si="3"/>
        <v>1.6512784090909089</v>
      </c>
      <c r="Q28" s="375">
        <f t="shared" si="3"/>
        <v>1.9428969359331476</v>
      </c>
      <c r="R28" s="375">
        <f t="shared" si="3"/>
        <v>1.9214876033057851</v>
      </c>
      <c r="S28" s="375">
        <f t="shared" si="3"/>
        <v>1.6101108033240996</v>
      </c>
      <c r="T28" s="375">
        <f t="shared" si="3"/>
        <v>1.2704918032786885</v>
      </c>
      <c r="U28" s="375">
        <f t="shared" si="3"/>
        <v>1.8403693931398417</v>
      </c>
      <c r="V28" s="375">
        <f t="shared" si="3"/>
        <v>2.4155844155844157</v>
      </c>
      <c r="W28" s="375">
        <f t="shared" si="3"/>
        <v>2.3846153846153846</v>
      </c>
      <c r="X28" s="375">
        <f t="shared" si="3"/>
        <v>2.4031007751937983</v>
      </c>
      <c r="Y28" s="375">
        <f t="shared" si="3"/>
        <v>2.4603174603174605</v>
      </c>
      <c r="Z28" s="375">
        <f t="shared" si="3"/>
        <v>2.5619834710743801</v>
      </c>
      <c r="AA28" s="375">
        <f t="shared" si="3"/>
        <v>2.664756446991404</v>
      </c>
      <c r="AB28" s="375">
        <f t="shared" si="3"/>
        <v>2.6271186440677967</v>
      </c>
    </row>
    <row r="29" spans="2:28" s="349" customFormat="1" ht="12">
      <c r="B29" s="60" t="s">
        <v>1883</v>
      </c>
      <c r="C29" s="378">
        <f>SUM(C26:C28)</f>
        <v>4.6423384615384613</v>
      </c>
      <c r="D29" s="378">
        <f>SUM(D26:D28)</f>
        <v>6.2989972144846789</v>
      </c>
      <c r="E29" s="380"/>
      <c r="F29" s="378">
        <f>SUM(F26:F28)</f>
        <v>6.4734691011235963</v>
      </c>
      <c r="G29" s="380"/>
      <c r="H29" s="378">
        <f>SUM(H26:H28)</f>
        <v>4.0911472602739725</v>
      </c>
      <c r="I29" s="378">
        <f t="shared" ref="I29:AB29" si="4">SUM(I26:I28)</f>
        <v>4.4047627118644064</v>
      </c>
      <c r="J29" s="378">
        <f t="shared" si="4"/>
        <v>4.6904304635761589</v>
      </c>
      <c r="K29" s="378">
        <f t="shared" si="4"/>
        <v>4.7195846645367414</v>
      </c>
      <c r="L29" s="378">
        <f t="shared" si="4"/>
        <v>4.5973611111111108</v>
      </c>
      <c r="M29" s="378">
        <f t="shared" si="4"/>
        <v>4.5536818181818184</v>
      </c>
      <c r="N29" s="378">
        <f t="shared" si="4"/>
        <v>4.722934131736527</v>
      </c>
      <c r="O29" s="378">
        <f t="shared" si="4"/>
        <v>4.8004360465116278</v>
      </c>
      <c r="P29" s="378">
        <f t="shared" si="4"/>
        <v>5.1265482954545449</v>
      </c>
      <c r="Q29" s="378">
        <f t="shared" si="4"/>
        <v>5.5195403899721445</v>
      </c>
      <c r="R29" s="378">
        <f t="shared" si="4"/>
        <v>5.6259917355371893</v>
      </c>
      <c r="S29" s="378">
        <f t="shared" si="4"/>
        <v>5.4033656509695289</v>
      </c>
      <c r="T29" s="378">
        <f t="shared" si="4"/>
        <v>5.0792213114754095</v>
      </c>
      <c r="U29" s="378">
        <f t="shared" si="4"/>
        <v>5.6136807387862797</v>
      </c>
      <c r="V29" s="378">
        <f t="shared" si="4"/>
        <v>6.3153506493506493</v>
      </c>
      <c r="W29" s="378">
        <f t="shared" si="4"/>
        <v>6.480423076923076</v>
      </c>
      <c r="X29" s="378">
        <f t="shared" si="4"/>
        <v>6.655736434108527</v>
      </c>
      <c r="Y29" s="378">
        <f t="shared" si="4"/>
        <v>6.8816269841269841</v>
      </c>
      <c r="Z29" s="378">
        <f t="shared" si="4"/>
        <v>7.3356198347107435</v>
      </c>
      <c r="AA29" s="378">
        <f t="shared" si="4"/>
        <v>7.8014183381088831</v>
      </c>
      <c r="AB29" s="383">
        <f t="shared" si="4"/>
        <v>7.65885593220339</v>
      </c>
    </row>
    <row r="30" spans="2:28" s="349" customFormat="1" ht="3.95" customHeight="1"/>
    <row r="31" spans="2:28" s="349" customFormat="1" ht="12">
      <c r="B31" s="374" t="s">
        <v>1884</v>
      </c>
      <c r="C31" s="348"/>
      <c r="D31" s="348"/>
      <c r="F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</row>
    <row r="32" spans="2:28" s="349" customFormat="1" ht="12">
      <c r="B32" s="349" t="s">
        <v>490</v>
      </c>
      <c r="C32" s="377">
        <f t="shared" ref="C32:D35" si="5">C26/C$8</f>
        <v>0.12816472993390471</v>
      </c>
      <c r="D32" s="377">
        <f t="shared" si="5"/>
        <v>0.15870228924002383</v>
      </c>
      <c r="E32" s="377"/>
      <c r="F32" s="377">
        <f>F26/F$8</f>
        <v>0.15607808767725664</v>
      </c>
      <c r="G32" s="377"/>
      <c r="H32" s="377">
        <f>H26/H$8</f>
        <v>9.1549069091586999E-2</v>
      </c>
      <c r="I32" s="377">
        <f t="shared" ref="I32:AB32" si="6">I26/I$8</f>
        <v>9.1377021163358427E-2</v>
      </c>
      <c r="J32" s="377">
        <f t="shared" si="6"/>
        <v>9.2948860192203109E-2</v>
      </c>
      <c r="K32" s="377">
        <f t="shared" si="6"/>
        <v>9.7522995114505837E-2</v>
      </c>
      <c r="L32" s="377">
        <f t="shared" si="6"/>
        <v>9.7187154860587502E-2</v>
      </c>
      <c r="M32" s="377">
        <f t="shared" si="6"/>
        <v>0.10306031723738884</v>
      </c>
      <c r="N32" s="377">
        <f t="shared" si="6"/>
        <v>0.12502151756307531</v>
      </c>
      <c r="O32" s="377">
        <f t="shared" si="6"/>
        <v>0.13909580511538969</v>
      </c>
      <c r="P32" s="377">
        <f t="shared" si="6"/>
        <v>0.14320741805276149</v>
      </c>
      <c r="Q32" s="377">
        <f t="shared" si="6"/>
        <v>0.14559327142735476</v>
      </c>
      <c r="R32" s="377">
        <f t="shared" si="6"/>
        <v>0.1486056623288626</v>
      </c>
      <c r="S32" s="377">
        <f t="shared" si="6"/>
        <v>0.15053606964182156</v>
      </c>
      <c r="T32" s="377">
        <f t="shared" si="6"/>
        <v>0.15103921803491965</v>
      </c>
      <c r="U32" s="377">
        <f t="shared" si="6"/>
        <v>0.14897933279215678</v>
      </c>
      <c r="V32" s="377">
        <f t="shared" si="6"/>
        <v>0.14574180522616631</v>
      </c>
      <c r="W32" s="377">
        <f t="shared" si="6"/>
        <v>0.14734943316832758</v>
      </c>
      <c r="X32" s="377">
        <f t="shared" si="6"/>
        <v>0.14804264227749672</v>
      </c>
      <c r="Y32" s="377">
        <f t="shared" si="6"/>
        <v>0.15378237096535563</v>
      </c>
      <c r="Z32" s="377">
        <f t="shared" si="6"/>
        <v>0.16394094661958097</v>
      </c>
      <c r="AA32" s="377">
        <f t="shared" si="6"/>
        <v>0.16586816763431994</v>
      </c>
      <c r="AB32" s="377">
        <f t="shared" si="6"/>
        <v>0.16524469677448256</v>
      </c>
    </row>
    <row r="33" spans="2:28" s="349" customFormat="1" ht="12">
      <c r="B33" s="349" t="s">
        <v>491</v>
      </c>
      <c r="C33" s="377">
        <f t="shared" si="5"/>
        <v>0.14620940429011772</v>
      </c>
      <c r="D33" s="377">
        <f t="shared" si="5"/>
        <v>0.1251436881322622</v>
      </c>
      <c r="E33" s="377"/>
      <c r="F33" s="377">
        <f>F27/F$8</f>
        <v>0.1259248010456242</v>
      </c>
      <c r="G33" s="377"/>
      <c r="H33" s="377">
        <f>H27/H$8</f>
        <v>0.18353988624447043</v>
      </c>
      <c r="I33" s="377">
        <f t="shared" ref="I33:AB33" si="7">I27/I$8</f>
        <v>0.16987625940100148</v>
      </c>
      <c r="J33" s="377">
        <f t="shared" si="7"/>
        <v>0.15469354383283831</v>
      </c>
      <c r="K33" s="377">
        <f t="shared" si="7"/>
        <v>0.15297360797308107</v>
      </c>
      <c r="L33" s="377">
        <f t="shared" si="7"/>
        <v>0.1478272118925483</v>
      </c>
      <c r="M33" s="377">
        <f t="shared" si="7"/>
        <v>0.13817042463565885</v>
      </c>
      <c r="N33" s="377">
        <f t="shared" si="7"/>
        <v>0.1316526001577728</v>
      </c>
      <c r="O33" s="377">
        <f t="shared" si="7"/>
        <v>0.12889657555638059</v>
      </c>
      <c r="P33" s="377">
        <f t="shared" si="7"/>
        <v>0.1251950033950095</v>
      </c>
      <c r="Q33" s="377">
        <f t="shared" si="7"/>
        <v>0.12548141161277476</v>
      </c>
      <c r="R33" s="377">
        <f t="shared" si="7"/>
        <v>0.1264278648314876</v>
      </c>
      <c r="S33" s="377">
        <f t="shared" si="7"/>
        <v>0.12387115732392456</v>
      </c>
      <c r="T33" s="377">
        <f t="shared" si="7"/>
        <v>0.12033962019254565</v>
      </c>
      <c r="U33" s="377">
        <f t="shared" si="7"/>
        <v>0.1213377463999762</v>
      </c>
      <c r="V33" s="377">
        <f t="shared" si="7"/>
        <v>0.13188989872305509</v>
      </c>
      <c r="W33" s="377">
        <f t="shared" si="7"/>
        <v>0.1422343797635805</v>
      </c>
      <c r="X33" s="377">
        <f t="shared" si="7"/>
        <v>0.14290352497553735</v>
      </c>
      <c r="Y33" s="377">
        <f t="shared" si="7"/>
        <v>0.13607367223817374</v>
      </c>
      <c r="Z33" s="377">
        <f t="shared" si="7"/>
        <v>0.13564280514635593</v>
      </c>
      <c r="AA33" s="377">
        <f t="shared" si="7"/>
        <v>0.14368869420522035</v>
      </c>
      <c r="AB33" s="377">
        <f t="shared" si="7"/>
        <v>0.13729839666317495</v>
      </c>
    </row>
    <row r="34" spans="2:28" s="349" customFormat="1" ht="12">
      <c r="B34" s="349" t="s">
        <v>1361</v>
      </c>
      <c r="C34" s="377">
        <f t="shared" si="5"/>
        <v>8.2488926225315146E-2</v>
      </c>
      <c r="D34" s="377">
        <f t="shared" si="5"/>
        <v>0.12660027190580206</v>
      </c>
      <c r="E34" s="377"/>
      <c r="F34" s="377">
        <f>F28/F$8</f>
        <v>0.15393015900687501</v>
      </c>
      <c r="G34" s="377"/>
      <c r="H34" s="377">
        <f>H28/H$8</f>
        <v>6.6476650000918139E-2</v>
      </c>
      <c r="I34" s="377">
        <f t="shared" ref="I34:AB34" si="8">I28/I$8</f>
        <v>9.58413742070683E-2</v>
      </c>
      <c r="J34" s="377">
        <f t="shared" si="8"/>
        <v>0.12102207845597447</v>
      </c>
      <c r="K34" s="377">
        <f t="shared" si="8"/>
        <v>0.1150735706664769</v>
      </c>
      <c r="L34" s="377">
        <f t="shared" si="8"/>
        <v>0.11120222200118896</v>
      </c>
      <c r="M34" s="377">
        <f t="shared" si="8"/>
        <v>0.10809547416291292</v>
      </c>
      <c r="N34" s="377">
        <f t="shared" si="8"/>
        <v>0.10728787079103462</v>
      </c>
      <c r="O34" s="377">
        <f t="shared" si="8"/>
        <v>0.10504189911271816</v>
      </c>
      <c r="P34" s="377">
        <f t="shared" si="8"/>
        <v>0.12753171350043685</v>
      </c>
      <c r="Q34" s="377">
        <f t="shared" si="8"/>
        <v>0.14725263444779879</v>
      </c>
      <c r="R34" s="377">
        <f t="shared" si="8"/>
        <v>0.14265701806998723</v>
      </c>
      <c r="S34" s="377">
        <f t="shared" si="8"/>
        <v>0.11647676161858959</v>
      </c>
      <c r="T34" s="377">
        <f t="shared" si="8"/>
        <v>9.0524829555178724E-2</v>
      </c>
      <c r="U34" s="377">
        <f t="shared" si="8"/>
        <v>0.13184262665262048</v>
      </c>
      <c r="V34" s="377">
        <f t="shared" si="8"/>
        <v>0.1719700046441518</v>
      </c>
      <c r="W34" s="377">
        <f t="shared" si="8"/>
        <v>0.16859825151213062</v>
      </c>
      <c r="X34" s="377">
        <f t="shared" si="8"/>
        <v>0.16440932544968112</v>
      </c>
      <c r="Y34" s="377">
        <f t="shared" si="8"/>
        <v>0.16129562525125271</v>
      </c>
      <c r="Z34" s="377">
        <f t="shared" si="8"/>
        <v>0.16078489473423321</v>
      </c>
      <c r="AA34" s="377">
        <f t="shared" si="8"/>
        <v>0.16058943741728096</v>
      </c>
      <c r="AB34" s="377">
        <f t="shared" si="8"/>
        <v>0.15796067161100108</v>
      </c>
    </row>
    <row r="35" spans="2:28" s="349" customFormat="1" ht="12">
      <c r="B35" s="60" t="s">
        <v>1885</v>
      </c>
      <c r="C35" s="379">
        <f t="shared" si="5"/>
        <v>0.35686306044933758</v>
      </c>
      <c r="D35" s="379">
        <f t="shared" si="5"/>
        <v>0.41044624927808804</v>
      </c>
      <c r="E35" s="381"/>
      <c r="F35" s="379">
        <f>F29/F$8</f>
        <v>0.43593304772975588</v>
      </c>
      <c r="G35" s="381"/>
      <c r="H35" s="379">
        <f>H29/H$8</f>
        <v>0.34156560533697555</v>
      </c>
      <c r="I35" s="379">
        <f t="shared" ref="I35:AB35" si="9">I29/I$8</f>
        <v>0.35709465477142821</v>
      </c>
      <c r="J35" s="379">
        <f t="shared" si="9"/>
        <v>0.36866448248101591</v>
      </c>
      <c r="K35" s="379">
        <f t="shared" si="9"/>
        <v>0.36557017375406381</v>
      </c>
      <c r="L35" s="379">
        <f t="shared" si="9"/>
        <v>0.35621658875432471</v>
      </c>
      <c r="M35" s="379">
        <f t="shared" si="9"/>
        <v>0.34932621603596065</v>
      </c>
      <c r="N35" s="379">
        <f t="shared" si="9"/>
        <v>0.36396198851188277</v>
      </c>
      <c r="O35" s="379">
        <f t="shared" si="9"/>
        <v>0.37303427978448844</v>
      </c>
      <c r="P35" s="379">
        <f t="shared" si="9"/>
        <v>0.39593413494820784</v>
      </c>
      <c r="Q35" s="379">
        <f t="shared" si="9"/>
        <v>0.41832731748792829</v>
      </c>
      <c r="R35" s="379">
        <f t="shared" si="9"/>
        <v>0.41769054523033738</v>
      </c>
      <c r="S35" s="379">
        <f t="shared" si="9"/>
        <v>0.39088398858433571</v>
      </c>
      <c r="T35" s="379">
        <f t="shared" si="9"/>
        <v>0.36190366778264399</v>
      </c>
      <c r="U35" s="379">
        <f t="shared" si="9"/>
        <v>0.40215970584475347</v>
      </c>
      <c r="V35" s="379">
        <f t="shared" si="9"/>
        <v>0.44960170859337323</v>
      </c>
      <c r="W35" s="379">
        <f t="shared" si="9"/>
        <v>0.45818206444403864</v>
      </c>
      <c r="X35" s="379">
        <f t="shared" si="9"/>
        <v>0.45535549270271519</v>
      </c>
      <c r="Y35" s="379">
        <f t="shared" si="9"/>
        <v>0.45115166845478205</v>
      </c>
      <c r="Z35" s="379">
        <f t="shared" si="9"/>
        <v>0.46036864650017012</v>
      </c>
      <c r="AA35" s="379">
        <f t="shared" si="9"/>
        <v>0.47014629925682133</v>
      </c>
      <c r="AB35" s="384">
        <f t="shared" si="9"/>
        <v>0.46050376504865859</v>
      </c>
    </row>
    <row r="36" spans="2:28" s="349" customFormat="1" ht="12"/>
    <row r="37" spans="2:28" s="349" customFormat="1" ht="12">
      <c r="B37" s="97" t="s">
        <v>1886</v>
      </c>
    </row>
    <row r="38" spans="2:28" s="349" customFormat="1" ht="12">
      <c r="B38" s="97" t="s">
        <v>1887</v>
      </c>
    </row>
  </sheetData>
  <conditionalFormatting sqref="A7:XFD35">
    <cfRule type="expression" dxfId="17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5" customWidth="1"/>
    <col min="2" max="2" width="27.85546875" style="325" bestFit="1" customWidth="1"/>
    <col min="3" max="5" width="9.140625" style="325"/>
    <col min="6" max="7" width="9.5703125" style="325" customWidth="1"/>
    <col min="8" max="16384" width="9.140625" style="325"/>
  </cols>
  <sheetData>
    <row r="2" spans="2:7" ht="16.5">
      <c r="B2" s="37" t="str">
        <f>+'Employee Retention'!B2</f>
        <v>Keystone Bookkeepers</v>
      </c>
    </row>
    <row r="3" spans="2:7">
      <c r="B3" s="38" t="s">
        <v>1820</v>
      </c>
      <c r="C3" s="326"/>
      <c r="D3" s="326"/>
      <c r="E3" s="326"/>
      <c r="F3" s="326"/>
      <c r="G3" s="326"/>
    </row>
    <row r="5" spans="2:7">
      <c r="B5" s="148" t="s">
        <v>1855</v>
      </c>
    </row>
    <row r="25" spans="2:2">
      <c r="B25" s="148" t="s">
        <v>1856</v>
      </c>
    </row>
    <row r="27" spans="2:2" ht="12" customHeight="1"/>
    <row r="50" spans="2:6">
      <c r="C50" s="76" t="s">
        <v>1829</v>
      </c>
      <c r="E50" s="76" t="s">
        <v>1827</v>
      </c>
      <c r="F50" s="76" t="s">
        <v>1828</v>
      </c>
    </row>
    <row r="51" spans="2:6">
      <c r="B51" s="325" t="s">
        <v>1821</v>
      </c>
      <c r="C51" s="325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5" t="s">
        <v>1822</v>
      </c>
      <c r="C52" s="325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5" t="s">
        <v>1823</v>
      </c>
      <c r="C53" s="325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17">
        <v>365</v>
      </c>
    </row>
    <row r="54" spans="2:6">
      <c r="B54" s="325" t="s">
        <v>1824</v>
      </c>
      <c r="C54" s="325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17">
        <f>F53*2</f>
        <v>730</v>
      </c>
    </row>
    <row r="55" spans="2:6">
      <c r="B55" s="325" t="s">
        <v>1825</v>
      </c>
      <c r="C55" s="325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27" t="s">
        <v>1826</v>
      </c>
      <c r="C56" s="327">
        <f>COUNTIFS('Combined Employee Worksheet'!$H:$H,"Inactive")</f>
        <v>51</v>
      </c>
    </row>
    <row r="58" spans="2:6">
      <c r="C58" s="76" t="s">
        <v>996</v>
      </c>
    </row>
    <row r="59" spans="2:6">
      <c r="B59" s="325" t="s">
        <v>1821</v>
      </c>
      <c r="C59" s="328">
        <f t="shared" ref="C59:C64" ca="1" si="0">C51/$C$56</f>
        <v>0.43137254901960786</v>
      </c>
    </row>
    <row r="60" spans="2:6">
      <c r="B60" s="325" t="s">
        <v>1822</v>
      </c>
      <c r="C60" s="328">
        <f t="shared" ca="1" si="0"/>
        <v>0.19607843137254902</v>
      </c>
    </row>
    <row r="61" spans="2:6">
      <c r="B61" s="325" t="s">
        <v>1823</v>
      </c>
      <c r="C61" s="328">
        <f t="shared" ca="1" si="0"/>
        <v>0.17647058823529413</v>
      </c>
    </row>
    <row r="62" spans="2:6">
      <c r="B62" s="325" t="s">
        <v>1824</v>
      </c>
      <c r="C62" s="328">
        <f t="shared" ca="1" si="0"/>
        <v>0.13725490196078433</v>
      </c>
    </row>
    <row r="63" spans="2:6">
      <c r="B63" s="325" t="s">
        <v>1825</v>
      </c>
      <c r="C63" s="328">
        <f t="shared" ca="1" si="0"/>
        <v>5.8823529411764705E-2</v>
      </c>
    </row>
    <row r="64" spans="2:6">
      <c r="B64" s="327" t="s">
        <v>1826</v>
      </c>
      <c r="C64" s="329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148" t="s">
        <v>1543</v>
      </c>
    </row>
    <row r="32" spans="2:2">
      <c r="B32" s="148" t="s">
        <v>1836</v>
      </c>
    </row>
    <row r="58" spans="2:2">
      <c r="B58" s="148" t="s">
        <v>1835</v>
      </c>
    </row>
    <row r="85" spans="2:2">
      <c r="B85" s="148" t="s">
        <v>1837</v>
      </c>
    </row>
    <row r="112" spans="2:23">
      <c r="B112" s="264" t="s">
        <v>1830</v>
      </c>
      <c r="C112" s="189">
        <v>45658</v>
      </c>
      <c r="D112" s="189">
        <f t="shared" ref="D112:I112" si="0">EOMONTH(C112,0)+1</f>
        <v>45689</v>
      </c>
      <c r="E112" s="189">
        <f t="shared" si="0"/>
        <v>45717</v>
      </c>
      <c r="F112" s="189">
        <f t="shared" si="0"/>
        <v>45748</v>
      </c>
      <c r="G112" s="189">
        <f t="shared" si="0"/>
        <v>45778</v>
      </c>
      <c r="H112" s="189">
        <f t="shared" si="0"/>
        <v>45809</v>
      </c>
      <c r="I112" s="189">
        <f t="shared" si="0"/>
        <v>45839</v>
      </c>
      <c r="J112" s="189">
        <v>45870</v>
      </c>
      <c r="K112" s="189">
        <f t="shared" ref="K112:W112" si="1">EOMONTH(J112,0)+1</f>
        <v>45901</v>
      </c>
      <c r="L112" s="189">
        <f t="shared" si="1"/>
        <v>45931</v>
      </c>
      <c r="M112" s="189">
        <f t="shared" si="1"/>
        <v>45962</v>
      </c>
      <c r="N112" s="189">
        <f t="shared" si="1"/>
        <v>45992</v>
      </c>
      <c r="O112" s="189">
        <f t="shared" si="1"/>
        <v>46023</v>
      </c>
      <c r="P112" s="189">
        <f t="shared" si="1"/>
        <v>46054</v>
      </c>
      <c r="Q112" s="189">
        <f t="shared" si="1"/>
        <v>46082</v>
      </c>
      <c r="R112" s="189">
        <f t="shared" si="1"/>
        <v>46113</v>
      </c>
      <c r="S112" s="189">
        <f t="shared" si="1"/>
        <v>46143</v>
      </c>
      <c r="T112" s="189">
        <f t="shared" si="1"/>
        <v>46174</v>
      </c>
      <c r="U112" s="189">
        <f t="shared" si="1"/>
        <v>46204</v>
      </c>
      <c r="V112" s="189">
        <f t="shared" si="1"/>
        <v>46235</v>
      </c>
      <c r="W112" s="189">
        <f t="shared" si="1"/>
        <v>46266</v>
      </c>
    </row>
    <row r="113" spans="2:23">
      <c r="B113" s="325" t="s">
        <v>1831</v>
      </c>
      <c r="C113" s="53">
        <f>+'Client Retention'!J23</f>
        <v>9</v>
      </c>
      <c r="D113" s="53">
        <f>+'Client Retention'!K23</f>
        <v>5</v>
      </c>
      <c r="E113" s="53">
        <f>+'Client Retention'!L23</f>
        <v>8</v>
      </c>
      <c r="F113" s="53">
        <f>+'Client Retention'!M23</f>
        <v>9</v>
      </c>
      <c r="G113" s="53">
        <f>+'Client Retention'!N23</f>
        <v>9</v>
      </c>
      <c r="H113" s="53">
        <f>+'Client Retention'!O23</f>
        <v>6</v>
      </c>
      <c r="I113" s="53">
        <f>+'Client Retention'!P23</f>
        <v>7</v>
      </c>
      <c r="J113" s="53">
        <f>+'Client Retention'!Q23</f>
        <v>7</v>
      </c>
      <c r="K113" s="53">
        <f>+'Client Retention'!R23</f>
        <v>6</v>
      </c>
      <c r="L113" s="53">
        <f>+'Client Retention'!S23</f>
        <v>6</v>
      </c>
      <c r="M113" s="53">
        <f>+'Client Retention'!T23</f>
        <v>7</v>
      </c>
      <c r="N113" s="53">
        <f>+'Client Retention'!U23</f>
        <v>11</v>
      </c>
      <c r="O113" s="53">
        <f>+'Client Retention'!V23</f>
        <v>10</v>
      </c>
      <c r="P113" s="53">
        <f>+'Client Retention'!W23</f>
        <v>9</v>
      </c>
      <c r="Q113" s="53">
        <f>+'Client Retention'!X23</f>
        <v>6</v>
      </c>
      <c r="R113" s="53">
        <f>+'Client Retention'!Y23</f>
        <v>11</v>
      </c>
      <c r="S113" s="53">
        <f>+'Client Retention'!Z23</f>
        <v>7</v>
      </c>
      <c r="T113" s="53">
        <f>+'Client Retention'!AA23</f>
        <v>4</v>
      </c>
      <c r="U113" s="53">
        <f>+'Client Retention'!AB23</f>
        <v>5</v>
      </c>
      <c r="V113" s="53">
        <f>+'Client Retention'!AC23</f>
        <v>3</v>
      </c>
      <c r="W113" s="53">
        <f>+'Client Retention'!AD23</f>
        <v>4</v>
      </c>
    </row>
    <row r="114" spans="2:23">
      <c r="B114" s="263" t="s">
        <v>1535</v>
      </c>
      <c r="C114" s="53">
        <f>-'Client Retention'!J24</f>
        <v>0</v>
      </c>
      <c r="D114" s="53">
        <f>-'Client Retention'!K24</f>
        <v>2</v>
      </c>
      <c r="E114" s="53">
        <f>-'Client Retention'!L24</f>
        <v>1</v>
      </c>
      <c r="F114" s="53">
        <f>-'Client Retention'!M24</f>
        <v>3</v>
      </c>
      <c r="G114" s="53">
        <f>-'Client Retention'!N24</f>
        <v>0</v>
      </c>
      <c r="H114" s="53">
        <f>-'Client Retention'!O24</f>
        <v>5</v>
      </c>
      <c r="I114" s="53">
        <f>-'Client Retention'!P24</f>
        <v>2</v>
      </c>
      <c r="J114" s="53">
        <f>-'Client Retention'!Q24</f>
        <v>2</v>
      </c>
      <c r="K114" s="53">
        <f>-'Client Retention'!R24</f>
        <v>2</v>
      </c>
      <c r="L114" s="53">
        <f>-'Client Retention'!S24</f>
        <v>1</v>
      </c>
      <c r="M114" s="53">
        <f>-'Client Retention'!T24</f>
        <v>3</v>
      </c>
      <c r="N114" s="53">
        <f>-'Client Retention'!U24</f>
        <v>5</v>
      </c>
      <c r="O114" s="53">
        <f>-'Client Retention'!V24</f>
        <v>1</v>
      </c>
      <c r="P114" s="53">
        <f>-'Client Retention'!W24</f>
        <v>1</v>
      </c>
      <c r="Q114" s="53">
        <f>-'Client Retention'!X24</f>
        <v>2</v>
      </c>
      <c r="R114" s="53">
        <f>-'Client Retention'!Y24</f>
        <v>3</v>
      </c>
      <c r="S114" s="53">
        <f>-'Client Retention'!Z24</f>
        <v>12</v>
      </c>
      <c r="T114" s="53">
        <f>-'Client Retention'!AA24</f>
        <v>4</v>
      </c>
      <c r="U114" s="53">
        <f>-'Client Retention'!AB24</f>
        <v>2</v>
      </c>
      <c r="V114" s="53">
        <f>-'Client Retention'!AC24</f>
        <v>0</v>
      </c>
      <c r="W114" s="53">
        <f>-'Client Retention'!AD24</f>
        <v>0</v>
      </c>
    </row>
    <row r="115" spans="2:23">
      <c r="B115" s="263" t="s">
        <v>1536</v>
      </c>
      <c r="C115" s="53">
        <f>-'Client Retention'!J25</f>
        <v>4</v>
      </c>
      <c r="D115" s="53">
        <f>-'Client Retention'!K25</f>
        <v>1</v>
      </c>
      <c r="E115" s="53">
        <f>-'Client Retention'!L25</f>
        <v>1</v>
      </c>
      <c r="F115" s="53">
        <f>-'Client Retention'!M25</f>
        <v>1</v>
      </c>
      <c r="G115" s="53">
        <f>-'Client Retention'!N25</f>
        <v>2</v>
      </c>
      <c r="H115" s="53">
        <f>-'Client Retention'!O25</f>
        <v>1</v>
      </c>
      <c r="I115" s="53">
        <f>-'Client Retention'!P25</f>
        <v>0</v>
      </c>
      <c r="J115" s="53">
        <f>-'Client Retention'!Q25</f>
        <v>0</v>
      </c>
      <c r="K115" s="53">
        <f>-'Client Retention'!R25</f>
        <v>1</v>
      </c>
      <c r="L115" s="53">
        <f>-'Client Retention'!S25</f>
        <v>0</v>
      </c>
      <c r="M115" s="53">
        <f>-'Client Retention'!T25</f>
        <v>5</v>
      </c>
      <c r="N115" s="53">
        <f>-'Client Retention'!U25</f>
        <v>4</v>
      </c>
      <c r="O115" s="53">
        <f>-'Client Retention'!V25</f>
        <v>2</v>
      </c>
      <c r="P115" s="53">
        <f>-'Client Retention'!W25</f>
        <v>0</v>
      </c>
      <c r="Q115" s="53">
        <f>-'Client Retention'!X25</f>
        <v>0</v>
      </c>
      <c r="R115" s="53">
        <f>-'Client Retention'!Y25</f>
        <v>1</v>
      </c>
      <c r="S115" s="53">
        <f>-'Client Retention'!Z25</f>
        <v>2</v>
      </c>
      <c r="T115" s="53">
        <f>-'Client Retention'!AA25</f>
        <v>0</v>
      </c>
      <c r="U115" s="53">
        <f>-'Client Retention'!AB25</f>
        <v>1</v>
      </c>
      <c r="V115" s="53">
        <f>-'Client Retention'!AC25</f>
        <v>0</v>
      </c>
      <c r="W115" s="53">
        <f>-'Client Retention'!AD25</f>
        <v>0</v>
      </c>
    </row>
    <row r="116" spans="2:23">
      <c r="B116" s="263" t="s">
        <v>1537</v>
      </c>
      <c r="C116" s="53">
        <f>-'Client Retention'!J26</f>
        <v>0</v>
      </c>
      <c r="D116" s="53">
        <f>-'Client Retention'!K26</f>
        <v>0</v>
      </c>
      <c r="E116" s="53">
        <f>-'Client Retention'!L26</f>
        <v>0</v>
      </c>
      <c r="F116" s="53">
        <f>-'Client Retention'!M26</f>
        <v>0</v>
      </c>
      <c r="G116" s="53">
        <f>-'Client Retention'!N26</f>
        <v>0</v>
      </c>
      <c r="H116" s="53">
        <f>-'Client Retention'!O26</f>
        <v>0</v>
      </c>
      <c r="I116" s="53">
        <f>-'Client Retention'!P26</f>
        <v>0</v>
      </c>
      <c r="J116" s="53">
        <f>-'Client Retention'!Q26</f>
        <v>0</v>
      </c>
      <c r="K116" s="53">
        <f>-'Client Retention'!R26</f>
        <v>0</v>
      </c>
      <c r="L116" s="53">
        <f>-'Client Retention'!S26</f>
        <v>0</v>
      </c>
      <c r="M116" s="53">
        <f>-'Client Retention'!T26</f>
        <v>0</v>
      </c>
      <c r="N116" s="53">
        <f>-'Client Retention'!U26</f>
        <v>0</v>
      </c>
      <c r="O116" s="53">
        <f>-'Client Retention'!V26</f>
        <v>0</v>
      </c>
      <c r="P116" s="53">
        <f>-'Client Retention'!W26</f>
        <v>0</v>
      </c>
      <c r="Q116" s="53">
        <f>-'Client Retention'!X26</f>
        <v>3</v>
      </c>
      <c r="R116" s="53">
        <f>-'Client Retention'!Y26</f>
        <v>1</v>
      </c>
      <c r="S116" s="53">
        <f>-'Client Retention'!Z26</f>
        <v>1</v>
      </c>
      <c r="T116" s="53">
        <f>-'Client Retention'!AA26</f>
        <v>0</v>
      </c>
      <c r="U116" s="53">
        <f>-'Client Retention'!AB26</f>
        <v>1</v>
      </c>
      <c r="V116" s="53">
        <f>-'Client Retention'!AC26</f>
        <v>2</v>
      </c>
      <c r="W116" s="53">
        <f>-'Client Retention'!AD26</f>
        <v>0</v>
      </c>
    </row>
    <row r="118" spans="2:23">
      <c r="B118" s="264" t="str">
        <f>+B112</f>
        <v>Total Employee Staffing</v>
      </c>
      <c r="C118" s="189">
        <v>45658</v>
      </c>
      <c r="D118" s="189">
        <f t="shared" ref="D118:I118" si="2">EOMONTH(C118,0)+1</f>
        <v>45689</v>
      </c>
      <c r="E118" s="189">
        <f t="shared" si="2"/>
        <v>45717</v>
      </c>
      <c r="F118" s="189">
        <f t="shared" si="2"/>
        <v>45748</v>
      </c>
      <c r="G118" s="189">
        <f t="shared" si="2"/>
        <v>45778</v>
      </c>
      <c r="H118" s="189">
        <f t="shared" si="2"/>
        <v>45809</v>
      </c>
      <c r="I118" s="189">
        <f t="shared" si="2"/>
        <v>45839</v>
      </c>
      <c r="J118" s="189">
        <v>45870</v>
      </c>
      <c r="K118" s="189">
        <f t="shared" ref="K118:W118" si="3">EOMONTH(J118,0)+1</f>
        <v>45901</v>
      </c>
      <c r="L118" s="189">
        <f t="shared" si="3"/>
        <v>45931</v>
      </c>
      <c r="M118" s="189">
        <f t="shared" si="3"/>
        <v>45962</v>
      </c>
      <c r="N118" s="189">
        <f t="shared" si="3"/>
        <v>45992</v>
      </c>
      <c r="O118" s="189">
        <f t="shared" si="3"/>
        <v>46023</v>
      </c>
      <c r="P118" s="189">
        <f t="shared" si="3"/>
        <v>46054</v>
      </c>
      <c r="Q118" s="189">
        <f t="shared" si="3"/>
        <v>46082</v>
      </c>
      <c r="R118" s="189">
        <f t="shared" si="3"/>
        <v>46113</v>
      </c>
      <c r="S118" s="189">
        <f t="shared" si="3"/>
        <v>46143</v>
      </c>
      <c r="T118" s="189">
        <f t="shared" si="3"/>
        <v>46174</v>
      </c>
      <c r="U118" s="189">
        <f t="shared" si="3"/>
        <v>46204</v>
      </c>
      <c r="V118" s="189">
        <f t="shared" si="3"/>
        <v>46235</v>
      </c>
      <c r="W118" s="189">
        <f t="shared" si="3"/>
        <v>46266</v>
      </c>
    </row>
    <row r="119" spans="2:23">
      <c r="B119" s="325" t="s">
        <v>1832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5" t="s">
        <v>1834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4" t="s">
        <v>1833</v>
      </c>
      <c r="C122" s="189">
        <v>45658</v>
      </c>
      <c r="D122" s="189">
        <f t="shared" ref="D122:I122" si="4">EOMONTH(C122,0)+1</f>
        <v>45689</v>
      </c>
      <c r="E122" s="189">
        <f t="shared" si="4"/>
        <v>45717</v>
      </c>
      <c r="F122" s="189">
        <f t="shared" si="4"/>
        <v>45748</v>
      </c>
      <c r="G122" s="189">
        <f t="shared" si="4"/>
        <v>45778</v>
      </c>
      <c r="H122" s="189">
        <f t="shared" si="4"/>
        <v>45809</v>
      </c>
      <c r="I122" s="189">
        <f t="shared" si="4"/>
        <v>45839</v>
      </c>
      <c r="J122" s="189">
        <v>45870</v>
      </c>
      <c r="K122" s="189">
        <f t="shared" ref="K122:W122" si="5">EOMONTH(J122,0)+1</f>
        <v>45901</v>
      </c>
      <c r="L122" s="189">
        <f t="shared" si="5"/>
        <v>45931</v>
      </c>
      <c r="M122" s="189">
        <f t="shared" si="5"/>
        <v>45962</v>
      </c>
      <c r="N122" s="189">
        <f t="shared" si="5"/>
        <v>45992</v>
      </c>
      <c r="O122" s="189">
        <f t="shared" si="5"/>
        <v>46023</v>
      </c>
      <c r="P122" s="189">
        <f t="shared" si="5"/>
        <v>46054</v>
      </c>
      <c r="Q122" s="189">
        <f t="shared" si="5"/>
        <v>46082</v>
      </c>
      <c r="R122" s="189">
        <f t="shared" si="5"/>
        <v>46113</v>
      </c>
      <c r="S122" s="189">
        <f t="shared" si="5"/>
        <v>46143</v>
      </c>
      <c r="T122" s="189">
        <f t="shared" si="5"/>
        <v>46174</v>
      </c>
      <c r="U122" s="189">
        <f t="shared" si="5"/>
        <v>46204</v>
      </c>
      <c r="V122" s="189">
        <f t="shared" si="5"/>
        <v>46235</v>
      </c>
      <c r="W122" s="189">
        <f t="shared" si="5"/>
        <v>46266</v>
      </c>
    </row>
    <row r="123" spans="2:23">
      <c r="B123" s="263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3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4" t="s">
        <v>1512</v>
      </c>
      <c r="C126" s="189">
        <v>45658</v>
      </c>
      <c r="D126" s="189">
        <f t="shared" ref="D126:I126" si="6">EOMONTH(C126,0)+1</f>
        <v>45689</v>
      </c>
      <c r="E126" s="189">
        <f t="shared" si="6"/>
        <v>45717</v>
      </c>
      <c r="F126" s="189">
        <f t="shared" si="6"/>
        <v>45748</v>
      </c>
      <c r="G126" s="189">
        <f t="shared" si="6"/>
        <v>45778</v>
      </c>
      <c r="H126" s="189">
        <f t="shared" si="6"/>
        <v>45809</v>
      </c>
      <c r="I126" s="189">
        <f t="shared" si="6"/>
        <v>45839</v>
      </c>
      <c r="J126" s="189">
        <v>45870</v>
      </c>
      <c r="K126" s="189">
        <f t="shared" ref="K126:W126" si="7">EOMONTH(J126,0)+1</f>
        <v>45901</v>
      </c>
      <c r="L126" s="189">
        <f t="shared" si="7"/>
        <v>45931</v>
      </c>
      <c r="M126" s="189">
        <f t="shared" si="7"/>
        <v>45962</v>
      </c>
      <c r="N126" s="189">
        <f t="shared" si="7"/>
        <v>45992</v>
      </c>
      <c r="O126" s="189">
        <f t="shared" si="7"/>
        <v>46023</v>
      </c>
      <c r="P126" s="189">
        <f t="shared" si="7"/>
        <v>46054</v>
      </c>
      <c r="Q126" s="189">
        <f t="shared" si="7"/>
        <v>46082</v>
      </c>
      <c r="R126" s="189">
        <f t="shared" si="7"/>
        <v>46113</v>
      </c>
      <c r="S126" s="189">
        <f t="shared" si="7"/>
        <v>46143</v>
      </c>
      <c r="T126" s="189">
        <f t="shared" si="7"/>
        <v>46174</v>
      </c>
      <c r="U126" s="189">
        <f t="shared" si="7"/>
        <v>46204</v>
      </c>
      <c r="V126" s="189">
        <f t="shared" si="7"/>
        <v>46235</v>
      </c>
      <c r="W126" s="189">
        <f t="shared" si="7"/>
        <v>46266</v>
      </c>
    </row>
    <row r="127" spans="2:23">
      <c r="B127" s="263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3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view="pageBreakPreview" zoomScale="145" zoomScaleNormal="145" zoomScaleSheetLayoutView="145" workbookViewId="0"/>
  </sheetViews>
  <sheetFormatPr defaultRowHeight="12"/>
  <cols>
    <col min="1" max="1" width="1.7109375" style="325" customWidth="1"/>
    <col min="2" max="2" width="20.140625" style="325" customWidth="1"/>
    <col min="3" max="3" width="18.7109375" style="325" bestFit="1" customWidth="1"/>
    <col min="4" max="5" width="10.5703125" style="325" customWidth="1"/>
    <col min="6" max="7" width="15.140625" style="325" customWidth="1"/>
    <col min="8" max="16384" width="9.140625" style="325"/>
  </cols>
  <sheetData>
    <row r="2" spans="2:7" ht="16.5">
      <c r="B2" s="37" t="str">
        <f>+'Employee Retention Charts'!B2</f>
        <v>Keystone Bookkeepers</v>
      </c>
      <c r="C2" s="37"/>
    </row>
    <row r="3" spans="2:7">
      <c r="B3" s="326" t="s">
        <v>1838</v>
      </c>
      <c r="C3" s="326"/>
      <c r="D3" s="326"/>
      <c r="E3" s="326"/>
      <c r="F3" s="326"/>
      <c r="G3" s="326"/>
    </row>
    <row r="5" spans="2:7" ht="24">
      <c r="B5" s="159" t="s">
        <v>1839</v>
      </c>
      <c r="C5" s="176" t="s">
        <v>1330</v>
      </c>
      <c r="D5" s="176" t="s">
        <v>1329</v>
      </c>
      <c r="E5" s="176" t="s">
        <v>1602</v>
      </c>
      <c r="F5" s="176" t="s">
        <v>1842</v>
      </c>
      <c r="G5" s="176" t="s">
        <v>1185</v>
      </c>
    </row>
    <row r="6" spans="2:7">
      <c r="B6" s="332" t="s">
        <v>1400</v>
      </c>
      <c r="C6" s="332" t="s">
        <v>491</v>
      </c>
      <c r="D6" s="333">
        <f>INDEX('Combined Employee Worksheet'!I:I,MATCH('Yearly Employee Wins &amp; Losses'!$B6,'Combined Employee Worksheet'!$B:$B,0))</f>
        <v>46071</v>
      </c>
      <c r="E6" s="333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Worksheet'!$B:$B,0))/30</f>
        <v>6.7333333333333334</v>
      </c>
      <c r="G6" s="334" t="str">
        <f>INDEX('Combined Employee Worksheet'!$L:$L,MATCH('Yearly Employee Wins &amp; Losses'!$B6,'Combined Employee Worksheet'!$B:$B,0))</f>
        <v>Resignation</v>
      </c>
    </row>
    <row r="7" spans="2:7">
      <c r="B7" s="332" t="s">
        <v>1610</v>
      </c>
      <c r="C7" s="332" t="s">
        <v>490</v>
      </c>
      <c r="D7" s="333">
        <f>INDEX('Combined Employee Worksheet'!I:I,MATCH('Yearly Employee Wins &amp; Losses'!$B7,'Combined Employee Worksheet'!$B:$B,0))</f>
        <v>46269</v>
      </c>
      <c r="E7" s="333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Worksheet'!$B:$B,0))/30</f>
        <v>0.13333333333333333</v>
      </c>
      <c r="G7" s="334" t="str">
        <f>INDEX('Combined Employee Worksheet'!$L:$L,MATCH('Yearly Employee Wins &amp; Losses'!$B7,'Combined Employee Worksheet'!$B:$B,0))</f>
        <v>Termination</v>
      </c>
    </row>
    <row r="8" spans="2:7">
      <c r="B8" s="332" t="s">
        <v>648</v>
      </c>
      <c r="C8" s="332" t="s">
        <v>491</v>
      </c>
      <c r="D8" s="333">
        <f>INDEX('Combined Employee Worksheet'!I:I,MATCH('Yearly Employee Wins &amp; Losses'!$B8,'Combined Employee Worksheet'!$B:$B,0))</f>
        <v>46162</v>
      </c>
      <c r="E8" s="333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Worksheet'!$B:$B,0))/30</f>
        <v>3.5333333333333332</v>
      </c>
      <c r="G8" s="334" t="str">
        <f>INDEX('Combined Employee Worksheet'!$L:$L,MATCH('Yearly Employee Wins &amp; Losses'!$B8,'Combined Employee Worksheet'!$B:$B,0))</f>
        <v>Resignation</v>
      </c>
    </row>
    <row r="9" spans="2:7">
      <c r="B9" s="332" t="s">
        <v>1351</v>
      </c>
      <c r="C9" s="332" t="s">
        <v>490</v>
      </c>
      <c r="D9" s="333">
        <f>INDEX('Combined Employee Worksheet'!I:I,MATCH('Yearly Employee Wins &amp; Losses'!$B9,'Combined Employee Worksheet'!$B:$B,0))</f>
        <v>46255</v>
      </c>
      <c r="E9" s="333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Worksheet'!$B:$B,0))/30</f>
        <v>0.36666666666666664</v>
      </c>
      <c r="G9" s="334" t="str">
        <f>INDEX('Combined Employee Worksheet'!$L:$L,MATCH('Yearly Employee Wins &amp; Losses'!$B9,'Combined Employee Worksheet'!$B:$B,0))</f>
        <v>Termination</v>
      </c>
    </row>
    <row r="10" spans="2:7">
      <c r="B10" s="330" t="s">
        <v>1627</v>
      </c>
      <c r="C10" s="330" t="s">
        <v>490</v>
      </c>
      <c r="D10" s="331">
        <f>INDEX('Combined Employee Worksheet'!I:I,MATCH('Yearly Employee Wins &amp; Losses'!$B10,'Combined Employee Worksheet'!$B:$B,0))</f>
        <v>45866</v>
      </c>
      <c r="E10" s="331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Worksheet'!$B:$B,0))/30</f>
        <v>12.666666666666666</v>
      </c>
      <c r="G10" s="334" t="str">
        <f>INDEX('Combined Employee Worksheet'!$L:$L,MATCH('Yearly Employee Wins &amp; Losses'!$B10,'Combined Employee Worksheet'!$B:$B,0))</f>
        <v>Resignation</v>
      </c>
    </row>
    <row r="11" spans="2:7">
      <c r="B11" s="330" t="s">
        <v>638</v>
      </c>
      <c r="C11" s="330" t="s">
        <v>1361</v>
      </c>
      <c r="D11" s="331">
        <f>INDEX('Combined Employee Worksheet'!I:I,MATCH('Yearly Employee Wins &amp; Losses'!$B11,'Combined Employee Worksheet'!$B:$B,0))</f>
        <v>44907</v>
      </c>
      <c r="E11" s="331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Worksheet'!$B:$B,0))/30</f>
        <v>44.56666666666667</v>
      </c>
      <c r="G11" s="334" t="str">
        <f>INDEX('Combined Employee Worksheet'!$L:$L,MATCH('Yearly Employee Wins &amp; Losses'!$B11,'Combined Employee Worksheet'!$B:$B,0))</f>
        <v>Resignation</v>
      </c>
    </row>
    <row r="12" spans="2:7">
      <c r="B12" s="330" t="s">
        <v>1636</v>
      </c>
      <c r="C12" s="330" t="s">
        <v>490</v>
      </c>
      <c r="D12" s="331">
        <f>INDEX('Combined Employee Worksheet'!I:I,MATCH('Yearly Employee Wins &amp; Losses'!$B12,'Combined Employee Worksheet'!$B:$B,0))</f>
        <v>45170</v>
      </c>
      <c r="E12" s="331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Worksheet'!$B:$B,0))/30</f>
        <v>35.799999999999997</v>
      </c>
      <c r="G12" s="334" t="str">
        <f>INDEX('Combined Employee Worksheet'!$L:$L,MATCH('Yearly Employee Wins &amp; Losses'!$B12,'Combined Employee Worksheet'!$B:$B,0))</f>
        <v>Resignation</v>
      </c>
    </row>
    <row r="13" spans="2:7">
      <c r="B13" s="330" t="s">
        <v>1639</v>
      </c>
      <c r="C13" s="330" t="s">
        <v>490</v>
      </c>
      <c r="D13" s="331">
        <f>INDEX('Combined Employee Worksheet'!I:I,MATCH('Yearly Employee Wins &amp; Losses'!$B13,'Combined Employee Worksheet'!$B:$B,0))</f>
        <v>45170</v>
      </c>
      <c r="E13" s="331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Worksheet'!$B:$B,0))/30</f>
        <v>35.799999999999997</v>
      </c>
      <c r="G13" s="334" t="str">
        <f>INDEX('Combined Employee Worksheet'!$L:$L,MATCH('Yearly Employee Wins &amp; Losses'!$B13,'Combined Employee Worksheet'!$B:$B,0))</f>
        <v>Resignation</v>
      </c>
    </row>
    <row r="14" spans="2:7">
      <c r="B14" s="332" t="s">
        <v>1642</v>
      </c>
      <c r="C14" s="332" t="s">
        <v>1508</v>
      </c>
      <c r="D14" s="333">
        <f>INDEX('Combined Employee Worksheet'!I:I,MATCH('Yearly Employee Wins &amp; Losses'!$B14,'Combined Employee Worksheet'!$B:$B,0))</f>
        <v>46111</v>
      </c>
      <c r="E14" s="333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Worksheet'!$B:$B,0))/30</f>
        <v>4.0333333333333332</v>
      </c>
      <c r="G14" s="334" t="str">
        <f>INDEX('Combined Employee Worksheet'!$L:$L,MATCH('Yearly Employee Wins &amp; Losses'!$B14,'Combined Employee Worksheet'!$B:$B,0))</f>
        <v>Resignation</v>
      </c>
    </row>
    <row r="15" spans="2:7">
      <c r="B15" s="332" t="s">
        <v>1646</v>
      </c>
      <c r="C15" s="332" t="s">
        <v>490</v>
      </c>
      <c r="D15" s="333">
        <f>INDEX('Combined Employee Worksheet'!I:I,MATCH('Yearly Employee Wins &amp; Losses'!$B15,'Combined Employee Worksheet'!$B:$B,0))</f>
        <v>46216</v>
      </c>
      <c r="E15" s="333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Worksheet'!$B:$B,0))/30</f>
        <v>0.3</v>
      </c>
      <c r="G15" s="334" t="str">
        <f>INDEX('Combined Employee Worksheet'!$L:$L,MATCH('Yearly Employee Wins &amp; Losses'!$B15,'Combined Employee Worksheet'!$B:$B,0))</f>
        <v>Unclassified</v>
      </c>
    </row>
    <row r="16" spans="2:7">
      <c r="B16" s="332" t="s">
        <v>1649</v>
      </c>
      <c r="C16" s="332" t="s">
        <v>1510</v>
      </c>
      <c r="D16" s="333">
        <f>INDEX('Combined Employee Worksheet'!I:I,MATCH('Yearly Employee Wins &amp; Losses'!$B16,'Combined Employee Worksheet'!$B:$B,0))</f>
        <v>46167</v>
      </c>
      <c r="E16" s="333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Worksheet'!$B:$B,0))/30</f>
        <v>1.9</v>
      </c>
      <c r="G16" s="334" t="str">
        <f>INDEX('Combined Employee Worksheet'!$L:$L,MATCH('Yearly Employee Wins &amp; Losses'!$B16,'Combined Employee Worksheet'!$B:$B,0))</f>
        <v>Resignation</v>
      </c>
    </row>
    <row r="17" spans="2:7">
      <c r="B17" s="332" t="s">
        <v>1654</v>
      </c>
      <c r="C17" s="332" t="s">
        <v>1509</v>
      </c>
      <c r="D17" s="333">
        <f>INDEX('Combined Employee Worksheet'!I:I,MATCH('Yearly Employee Wins &amp; Losses'!$B17,'Combined Employee Worksheet'!$B:$B,0))</f>
        <v>46217</v>
      </c>
      <c r="E17" s="333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Worksheet'!$B:$B,0))/30</f>
        <v>0.2</v>
      </c>
      <c r="G17" s="334" t="str">
        <f>INDEX('Combined Employee Worksheet'!$L:$L,MATCH('Yearly Employee Wins &amp; Losses'!$B17,'Combined Employee Worksheet'!$B:$B,0))</f>
        <v>Resignation</v>
      </c>
    </row>
    <row r="18" spans="2:7">
      <c r="B18" s="332" t="s">
        <v>574</v>
      </c>
      <c r="C18" s="332" t="s">
        <v>490</v>
      </c>
      <c r="D18" s="333">
        <f>INDEX('Combined Employee Worksheet'!I:I,MATCH('Yearly Employee Wins &amp; Losses'!$B18,'Combined Employee Worksheet'!$B:$B,0))</f>
        <v>46148</v>
      </c>
      <c r="E18" s="333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Worksheet'!$B:$B,0))/30</f>
        <v>2.1333333333333333</v>
      </c>
      <c r="G18" s="334" t="str">
        <f>INDEX('Combined Employee Worksheet'!$L:$L,MATCH('Yearly Employee Wins &amp; Losses'!$B18,'Combined Employee Worksheet'!$B:$B,0))</f>
        <v>Unclassified</v>
      </c>
    </row>
    <row r="19" spans="2:7">
      <c r="B19" s="332" t="s">
        <v>1659</v>
      </c>
      <c r="C19" s="332" t="s">
        <v>1510</v>
      </c>
      <c r="D19" s="333">
        <f>INDEX('Combined Employee Worksheet'!I:I,MATCH('Yearly Employee Wins &amp; Losses'!$B19,'Combined Employee Worksheet'!$B:$B,0))</f>
        <v>46065</v>
      </c>
      <c r="E19" s="333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Worksheet'!$B:$B,0))/30</f>
        <v>4.6333333333333337</v>
      </c>
      <c r="G19" s="334" t="str">
        <f>INDEX('Combined Employee Worksheet'!$L:$L,MATCH('Yearly Employee Wins &amp; Losses'!$B19,'Combined Employee Worksheet'!$B:$B,0))</f>
        <v>Termination</v>
      </c>
    </row>
    <row r="20" spans="2:7">
      <c r="B20" s="330" t="s">
        <v>833</v>
      </c>
      <c r="C20" s="330" t="s">
        <v>491</v>
      </c>
      <c r="D20" s="331">
        <f>INDEX('Combined Employee Worksheet'!I:I,MATCH('Yearly Employee Wins &amp; Losses'!$B20,'Combined Employee Worksheet'!$B:$B,0))</f>
        <v>46118</v>
      </c>
      <c r="E20" s="331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Worksheet'!$B:$B,0))/30</f>
        <v>2.6</v>
      </c>
      <c r="G20" s="334" t="str">
        <f>INDEX('Combined Employee Worksheet'!$L:$L,MATCH('Yearly Employee Wins &amp; Losses'!$B20,'Combined Employee Worksheet'!$B:$B,0))</f>
        <v>Unclassified</v>
      </c>
    </row>
    <row r="21" spans="2:7">
      <c r="B21" s="330" t="s">
        <v>876</v>
      </c>
      <c r="C21" s="330" t="s">
        <v>490</v>
      </c>
      <c r="D21" s="331">
        <f>INDEX('Combined Employee Worksheet'!I:I,MATCH('Yearly Employee Wins &amp; Losses'!$B21,'Combined Employee Worksheet'!$B:$B,0))</f>
        <v>45838</v>
      </c>
      <c r="E21" s="331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Worksheet'!$B:$B,0))/30</f>
        <v>11.766666666666667</v>
      </c>
      <c r="G21" s="334" t="str">
        <f>INDEX('Combined Employee Worksheet'!$L:$L,MATCH('Yearly Employee Wins &amp; Losses'!$B21,'Combined Employee Worksheet'!$B:$B,0))</f>
        <v>Resignation</v>
      </c>
    </row>
    <row r="22" spans="2:7">
      <c r="B22" s="330" t="s">
        <v>1667</v>
      </c>
      <c r="C22" s="330" t="s">
        <v>490</v>
      </c>
      <c r="D22" s="331">
        <f>INDEX('Combined Employee Worksheet'!I:I,MATCH('Yearly Employee Wins &amp; Losses'!$B22,'Combined Employee Worksheet'!$B:$B,0))</f>
        <v>46177</v>
      </c>
      <c r="E22" s="331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Worksheet'!$B:$B,0))/30</f>
        <v>0</v>
      </c>
      <c r="G22" s="334" t="str">
        <f>INDEX('Combined Employee Worksheet'!$L:$L,MATCH('Yearly Employee Wins &amp; Losses'!$B22,'Combined Employee Worksheet'!$B:$B,0))</f>
        <v>Termination</v>
      </c>
    </row>
    <row r="23" spans="2:7">
      <c r="B23" s="332" t="s">
        <v>852</v>
      </c>
      <c r="C23" s="332" t="s">
        <v>1509</v>
      </c>
      <c r="D23" s="333">
        <f>INDEX('Combined Employee Worksheet'!I:I,MATCH('Yearly Employee Wins &amp; Losses'!$B23,'Combined Employee Worksheet'!$B:$B,0))</f>
        <v>45999</v>
      </c>
      <c r="E23" s="333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Worksheet'!$B:$B,0))/30</f>
        <v>5.7333333333333334</v>
      </c>
      <c r="G23" s="334" t="str">
        <f>INDEX('Combined Employee Worksheet'!$L:$L,MATCH('Yearly Employee Wins &amp; Losses'!$B23,'Combined Employee Worksheet'!$B:$B,0))</f>
        <v>Termination</v>
      </c>
    </row>
    <row r="24" spans="2:7">
      <c r="B24" s="332" t="s">
        <v>851</v>
      </c>
      <c r="C24" s="332" t="s">
        <v>1510</v>
      </c>
      <c r="D24" s="333">
        <f>INDEX('Combined Employee Worksheet'!I:I,MATCH('Yearly Employee Wins &amp; Losses'!$B24,'Combined Employee Worksheet'!$B:$B,0))</f>
        <v>46002</v>
      </c>
      <c r="E24" s="333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Worksheet'!$B:$B,0))/30</f>
        <v>5.6333333333333337</v>
      </c>
      <c r="G24" s="334" t="str">
        <f>INDEX('Combined Employee Worksheet'!$L:$L,MATCH('Yearly Employee Wins &amp; Losses'!$B24,'Combined Employee Worksheet'!$B:$B,0))</f>
        <v>Termination</v>
      </c>
    </row>
    <row r="25" spans="2:7">
      <c r="B25" s="332" t="s">
        <v>1672</v>
      </c>
      <c r="C25" s="332" t="s">
        <v>493</v>
      </c>
      <c r="D25" s="333">
        <f>INDEX('Combined Employee Worksheet'!I:I,MATCH('Yearly Employee Wins &amp; Losses'!$B25,'Combined Employee Worksheet'!$B:$B,0))</f>
        <v>46029</v>
      </c>
      <c r="E25" s="333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Worksheet'!$B:$B,0))/30</f>
        <v>4.6333333333333337</v>
      </c>
      <c r="G25" s="334" t="str">
        <f>INDEX('Combined Employee Worksheet'!$L:$L,MATCH('Yearly Employee Wins &amp; Losses'!$B25,'Combined Employee Worksheet'!$B:$B,0))</f>
        <v>Termination</v>
      </c>
    </row>
    <row r="26" spans="2:7">
      <c r="B26" s="332" t="s">
        <v>1677</v>
      </c>
      <c r="C26" s="332" t="s">
        <v>1510</v>
      </c>
      <c r="D26" s="333">
        <f>INDEX('Combined Employee Worksheet'!I:I,MATCH('Yearly Employee Wins &amp; Losses'!$B26,'Combined Employee Worksheet'!$B:$B,0))</f>
        <v>46149</v>
      </c>
      <c r="E26" s="333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Worksheet'!$B:$B,0))/30</f>
        <v>0.43333333333333335</v>
      </c>
      <c r="G26" s="334" t="str">
        <f>INDEX('Combined Employee Worksheet'!$L:$L,MATCH('Yearly Employee Wins &amp; Losses'!$B26,'Combined Employee Worksheet'!$B:$B,0))</f>
        <v>Termination</v>
      </c>
    </row>
    <row r="27" spans="2:7">
      <c r="B27" s="332" t="s">
        <v>1679</v>
      </c>
      <c r="C27" s="332" t="s">
        <v>490</v>
      </c>
      <c r="D27" s="333">
        <f>INDEX('Combined Employee Worksheet'!I:I,MATCH('Yearly Employee Wins &amp; Losses'!$B27,'Combined Employee Worksheet'!$B:$B,0))</f>
        <v>45824</v>
      </c>
      <c r="E27" s="333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Worksheet'!$B:$B,0))/30</f>
        <v>11.1</v>
      </c>
      <c r="G27" s="334" t="str">
        <f>INDEX('Combined Employee Worksheet'!$L:$L,MATCH('Yearly Employee Wins &amp; Losses'!$B27,'Combined Employee Worksheet'!$B:$B,0))</f>
        <v>Resignation</v>
      </c>
    </row>
    <row r="28" spans="2:7">
      <c r="B28" s="332" t="s">
        <v>1682</v>
      </c>
      <c r="C28" s="332" t="s">
        <v>490</v>
      </c>
      <c r="D28" s="333">
        <f>INDEX('Combined Employee Worksheet'!I:I,MATCH('Yearly Employee Wins &amp; Losses'!$B28,'Combined Employee Worksheet'!$B:$B,0))</f>
        <v>45793</v>
      </c>
      <c r="E28" s="333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Worksheet'!$B:$B,0))/30</f>
        <v>11.833333333333334</v>
      </c>
      <c r="G28" s="334" t="str">
        <f>INDEX('Combined Employee Worksheet'!$L:$L,MATCH('Yearly Employee Wins &amp; Losses'!$B28,'Combined Employee Worksheet'!$B:$B,0))</f>
        <v>Resignation</v>
      </c>
    </row>
    <row r="29" spans="2:7">
      <c r="B29" s="332" t="s">
        <v>1684</v>
      </c>
      <c r="C29" s="332" t="s">
        <v>491</v>
      </c>
      <c r="D29" s="333">
        <f>INDEX('Combined Employee Worksheet'!I:I,MATCH('Yearly Employee Wins &amp; Losses'!$B29,'Combined Employee Worksheet'!$B:$B,0))</f>
        <v>46091</v>
      </c>
      <c r="E29" s="333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Worksheet'!$B:$B,0))/30</f>
        <v>1.7333333333333334</v>
      </c>
      <c r="G29" s="334" t="str">
        <f>INDEX('Combined Employee Worksheet'!$L:$L,MATCH('Yearly Employee Wins &amp; Losses'!$B29,'Combined Employee Worksheet'!$B:$B,0))</f>
        <v>Resignation</v>
      </c>
    </row>
    <row r="30" spans="2:7">
      <c r="B30" s="330" t="s">
        <v>1686</v>
      </c>
      <c r="C30" s="330" t="s">
        <v>1510</v>
      </c>
      <c r="D30" s="331">
        <f>INDEX('Combined Employee Worksheet'!I:I,MATCH('Yearly Employee Wins &amp; Losses'!$B30,'Combined Employee Worksheet'!$B:$B,0))</f>
        <v>45777</v>
      </c>
      <c r="E30" s="331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Worksheet'!$B:$B,0))/30</f>
        <v>11.2</v>
      </c>
      <c r="G30" s="334" t="str">
        <f>INDEX('Combined Employee Worksheet'!$L:$L,MATCH('Yearly Employee Wins &amp; Losses'!$B30,'Combined Employee Worksheet'!$B:$B,0))</f>
        <v>Resignation</v>
      </c>
    </row>
    <row r="31" spans="2:7">
      <c r="B31" s="332" t="s">
        <v>1692</v>
      </c>
      <c r="C31" s="332" t="s">
        <v>491</v>
      </c>
      <c r="D31" s="333">
        <f>INDEX('Combined Employee Worksheet'!I:I,MATCH('Yearly Employee Wins &amp; Losses'!$B31,'Combined Employee Worksheet'!$B:$B,0))</f>
        <v>45733</v>
      </c>
      <c r="E31" s="333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Worksheet'!$B:$B,0))/30</f>
        <v>11.3</v>
      </c>
      <c r="G31" s="334" t="str">
        <f>INDEX('Combined Employee Worksheet'!$L:$L,MATCH('Yearly Employee Wins &amp; Losses'!$B31,'Combined Employee Worksheet'!$B:$B,0))</f>
        <v>Termination</v>
      </c>
    </row>
    <row r="32" spans="2:7">
      <c r="B32" s="330" t="s">
        <v>1695</v>
      </c>
      <c r="C32" s="330" t="s">
        <v>1508</v>
      </c>
      <c r="D32" s="331">
        <f>INDEX('Combined Employee Worksheet'!I:I,MATCH('Yearly Employee Wins &amp; Losses'!$B32,'Combined Employee Worksheet'!$B:$B,0))</f>
        <v>45639</v>
      </c>
      <c r="E32" s="331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Worksheet'!$B:$B,0))/30</f>
        <v>13.3</v>
      </c>
      <c r="G32" s="334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1841</v>
      </c>
      <c r="C34" s="176" t="s">
        <v>1330</v>
      </c>
      <c r="D34" s="176" t="s">
        <v>1329</v>
      </c>
      <c r="E34" s="176" t="s">
        <v>1602</v>
      </c>
      <c r="F34" s="176" t="s">
        <v>1842</v>
      </c>
      <c r="G34" s="176" t="s">
        <v>1185</v>
      </c>
    </row>
    <row r="35" spans="2:7">
      <c r="B35" s="332" t="s">
        <v>1338</v>
      </c>
      <c r="C35" s="332" t="s">
        <v>1508</v>
      </c>
      <c r="D35" s="333">
        <v>46275</v>
      </c>
      <c r="E35" s="333"/>
      <c r="F35" s="82"/>
      <c r="G35" s="334"/>
    </row>
    <row r="36" spans="2:7">
      <c r="B36" s="332" t="s">
        <v>1344</v>
      </c>
      <c r="C36" s="332" t="s">
        <v>490</v>
      </c>
      <c r="D36" s="333">
        <v>46272</v>
      </c>
      <c r="E36" s="333"/>
      <c r="F36" s="82"/>
      <c r="G36" s="334"/>
    </row>
    <row r="37" spans="2:7">
      <c r="B37" s="332" t="s">
        <v>1610</v>
      </c>
      <c r="C37" s="332" t="s">
        <v>490</v>
      </c>
      <c r="D37" s="333">
        <v>46269</v>
      </c>
      <c r="E37" s="333">
        <v>46273</v>
      </c>
      <c r="F37" s="82">
        <v>0.13333333333333333</v>
      </c>
      <c r="G37" s="334" t="str">
        <f>INDEX('Combined Employee Worksheet'!$L:$L,MATCH('Yearly Employee Wins &amp; Losses'!$B37,'Combined Employee Worksheet'!$B:$B,0))</f>
        <v>Termination</v>
      </c>
    </row>
    <row r="38" spans="2:7">
      <c r="B38" s="332" t="s">
        <v>1348</v>
      </c>
      <c r="C38" s="332" t="s">
        <v>490</v>
      </c>
      <c r="D38" s="333">
        <v>46269</v>
      </c>
      <c r="E38" s="333"/>
      <c r="F38" s="82"/>
      <c r="G38" s="334"/>
    </row>
    <row r="39" spans="2:7">
      <c r="B39" s="330" t="s">
        <v>1351</v>
      </c>
      <c r="C39" s="330" t="s">
        <v>490</v>
      </c>
      <c r="D39" s="331">
        <v>46255</v>
      </c>
      <c r="E39" s="331">
        <v>46266</v>
      </c>
      <c r="F39" s="82">
        <v>0.36666666666666664</v>
      </c>
      <c r="G39" s="334" t="str">
        <f>INDEX('Combined Employee Worksheet'!$L:$L,MATCH('Yearly Employee Wins &amp; Losses'!$B39,'Combined Employee Worksheet'!$B:$B,0))</f>
        <v>Termination</v>
      </c>
    </row>
    <row r="40" spans="2:7">
      <c r="B40" s="330" t="s">
        <v>1354</v>
      </c>
      <c r="C40" s="330" t="s">
        <v>490</v>
      </c>
      <c r="D40" s="331">
        <v>46254</v>
      </c>
      <c r="E40" s="331"/>
      <c r="F40" s="82"/>
      <c r="G40" s="334"/>
    </row>
    <row r="41" spans="2:7">
      <c r="B41" s="330" t="s">
        <v>902</v>
      </c>
      <c r="C41" s="330" t="s">
        <v>490</v>
      </c>
      <c r="D41" s="331">
        <v>46247</v>
      </c>
      <c r="E41" s="331"/>
      <c r="F41" s="82"/>
      <c r="G41" s="334"/>
    </row>
    <row r="42" spans="2:7">
      <c r="B42" s="330" t="s">
        <v>522</v>
      </c>
      <c r="C42" s="330" t="s">
        <v>491</v>
      </c>
      <c r="D42" s="331">
        <v>46246</v>
      </c>
      <c r="E42" s="331"/>
      <c r="F42" s="82"/>
      <c r="G42" s="334"/>
    </row>
    <row r="43" spans="2:7">
      <c r="B43" s="330" t="s">
        <v>1359</v>
      </c>
      <c r="C43" s="330" t="s">
        <v>1361</v>
      </c>
      <c r="D43" s="331">
        <v>46244</v>
      </c>
      <c r="E43" s="331"/>
      <c r="F43" s="82"/>
      <c r="G43" s="334"/>
    </row>
    <row r="44" spans="2:7">
      <c r="B44" s="330" t="s">
        <v>682</v>
      </c>
      <c r="C44" s="330" t="s">
        <v>493</v>
      </c>
      <c r="D44" s="331">
        <v>46241</v>
      </c>
      <c r="E44" s="331"/>
      <c r="F44" s="82"/>
      <c r="G44" s="334"/>
    </row>
    <row r="45" spans="2:7">
      <c r="B45" s="332" t="s">
        <v>1369</v>
      </c>
      <c r="C45" s="332" t="s">
        <v>1509</v>
      </c>
      <c r="D45" s="333">
        <v>46233</v>
      </c>
      <c r="E45" s="333"/>
      <c r="F45" s="82"/>
      <c r="G45" s="334"/>
    </row>
    <row r="46" spans="2:7">
      <c r="B46" s="332" t="s">
        <v>1374</v>
      </c>
      <c r="C46" s="332" t="s">
        <v>491</v>
      </c>
      <c r="D46" s="333">
        <v>46227</v>
      </c>
      <c r="E46" s="333"/>
      <c r="F46" s="82"/>
      <c r="G46" s="334"/>
    </row>
    <row r="47" spans="2:7">
      <c r="B47" s="332" t="s">
        <v>1377</v>
      </c>
      <c r="C47" s="332" t="s">
        <v>490</v>
      </c>
      <c r="D47" s="333">
        <v>46227</v>
      </c>
      <c r="E47" s="333"/>
      <c r="F47" s="82"/>
      <c r="G47" s="334"/>
    </row>
    <row r="48" spans="2:7">
      <c r="B48" s="332" t="s">
        <v>1654</v>
      </c>
      <c r="C48" s="332" t="s">
        <v>1509</v>
      </c>
      <c r="D48" s="333">
        <v>46217</v>
      </c>
      <c r="E48" s="333">
        <v>46223</v>
      </c>
      <c r="F48" s="82">
        <v>0.2</v>
      </c>
      <c r="G48" s="334" t="str">
        <f>INDEX('Combined Employee Worksheet'!$L:$L,MATCH('Yearly Employee Wins &amp; Losses'!$B48,'Combined Employee Worksheet'!$B:$B,0))</f>
        <v>Resignation</v>
      </c>
    </row>
    <row r="49" spans="2:7">
      <c r="B49" s="332" t="s">
        <v>1646</v>
      </c>
      <c r="C49" s="332" t="s">
        <v>490</v>
      </c>
      <c r="D49" s="333">
        <v>46216</v>
      </c>
      <c r="E49" s="333">
        <v>46225</v>
      </c>
      <c r="F49" s="82">
        <v>0.3</v>
      </c>
      <c r="G49" s="334" t="str">
        <f>INDEX('Combined Employee Worksheet'!$L:$L,MATCH('Yearly Employee Wins &amp; Losses'!$B49,'Combined Employee Worksheet'!$B:$B,0))</f>
        <v>Unclassified</v>
      </c>
    </row>
    <row r="50" spans="2:7">
      <c r="B50" s="332" t="s">
        <v>576</v>
      </c>
      <c r="C50" s="332" t="s">
        <v>490</v>
      </c>
      <c r="D50" s="333">
        <v>46205</v>
      </c>
      <c r="E50" s="333"/>
      <c r="F50" s="82"/>
      <c r="G50" s="334"/>
    </row>
    <row r="51" spans="2:7">
      <c r="B51" s="330" t="s">
        <v>752</v>
      </c>
      <c r="C51" s="330" t="s">
        <v>490</v>
      </c>
      <c r="D51" s="331">
        <v>46203</v>
      </c>
      <c r="E51" s="331"/>
      <c r="F51" s="82"/>
      <c r="G51" s="334"/>
    </row>
    <row r="52" spans="2:7">
      <c r="B52" s="330" t="s">
        <v>862</v>
      </c>
      <c r="C52" s="330" t="s">
        <v>490</v>
      </c>
      <c r="D52" s="331">
        <v>46192</v>
      </c>
      <c r="E52" s="331"/>
      <c r="F52" s="82"/>
      <c r="G52" s="334"/>
    </row>
    <row r="53" spans="2:7">
      <c r="B53" s="330" t="s">
        <v>612</v>
      </c>
      <c r="C53" s="330" t="s">
        <v>490</v>
      </c>
      <c r="D53" s="331">
        <v>46191</v>
      </c>
      <c r="E53" s="331"/>
      <c r="F53" s="82"/>
      <c r="G53" s="334"/>
    </row>
    <row r="54" spans="2:7">
      <c r="B54" s="330" t="s">
        <v>664</v>
      </c>
      <c r="C54" s="330" t="s">
        <v>490</v>
      </c>
      <c r="D54" s="331">
        <v>46178</v>
      </c>
      <c r="E54" s="331"/>
      <c r="F54" s="82"/>
      <c r="G54" s="334"/>
    </row>
    <row r="55" spans="2:7">
      <c r="B55" s="330" t="s">
        <v>1667</v>
      </c>
      <c r="C55" s="330" t="s">
        <v>490</v>
      </c>
      <c r="D55" s="331">
        <v>46177</v>
      </c>
      <c r="E55" s="331">
        <v>46177</v>
      </c>
      <c r="F55" s="82">
        <v>0</v>
      </c>
      <c r="G55" s="334" t="str">
        <f>INDEX('Combined Employee Worksheet'!$L:$L,MATCH('Yearly Employee Wins &amp; Losses'!$B55,'Combined Employee Worksheet'!$B:$B,0))</f>
        <v>Termination</v>
      </c>
    </row>
    <row r="56" spans="2:7">
      <c r="B56" s="330" t="s">
        <v>1386</v>
      </c>
      <c r="C56" s="330" t="s">
        <v>490</v>
      </c>
      <c r="D56" s="331">
        <v>46177</v>
      </c>
      <c r="E56" s="331"/>
      <c r="F56" s="82"/>
      <c r="G56" s="334"/>
    </row>
    <row r="57" spans="2:7">
      <c r="B57" s="332" t="s">
        <v>1649</v>
      </c>
      <c r="C57" s="332" t="s">
        <v>1510</v>
      </c>
      <c r="D57" s="333">
        <v>46167</v>
      </c>
      <c r="E57" s="333">
        <v>46224</v>
      </c>
      <c r="F57" s="82">
        <v>1.9</v>
      </c>
      <c r="G57" s="334" t="str">
        <f>INDEX('Combined Employee Worksheet'!$L:$L,MATCH('Yearly Employee Wins &amp; Losses'!$B57,'Combined Employee Worksheet'!$B:$B,0))</f>
        <v>Resignation</v>
      </c>
    </row>
    <row r="58" spans="2:7">
      <c r="B58" s="332" t="s">
        <v>626</v>
      </c>
      <c r="C58" s="332" t="s">
        <v>490</v>
      </c>
      <c r="D58" s="333">
        <v>46163</v>
      </c>
      <c r="E58" s="333"/>
      <c r="F58" s="82"/>
      <c r="G58" s="334"/>
    </row>
    <row r="59" spans="2:7">
      <c r="B59" s="332" t="s">
        <v>648</v>
      </c>
      <c r="C59" s="332" t="s">
        <v>491</v>
      </c>
      <c r="D59" s="333">
        <v>46162</v>
      </c>
      <c r="E59" s="333">
        <v>46268</v>
      </c>
      <c r="F59" s="82">
        <v>3.5333333333333332</v>
      </c>
      <c r="G59" s="334" t="str">
        <f>INDEX('Combined Employee Worksheet'!$L:$L,MATCH('Yearly Employee Wins &amp; Losses'!$B59,'Combined Employee Worksheet'!$B:$B,0))</f>
        <v>Resignation</v>
      </c>
    </row>
    <row r="60" spans="2:7">
      <c r="B60" s="332" t="s">
        <v>1677</v>
      </c>
      <c r="C60" s="332" t="s">
        <v>1510</v>
      </c>
      <c r="D60" s="333">
        <v>46149</v>
      </c>
      <c r="E60" s="333">
        <v>46162</v>
      </c>
      <c r="F60" s="82">
        <v>0.43333333333333335</v>
      </c>
      <c r="G60" s="334" t="str">
        <f>INDEX('Combined Employee Worksheet'!$L:$L,MATCH('Yearly Employee Wins &amp; Losses'!$B60,'Combined Employee Worksheet'!$B:$B,0))</f>
        <v>Termination</v>
      </c>
    </row>
    <row r="61" spans="2:7">
      <c r="B61" s="332" t="s">
        <v>574</v>
      </c>
      <c r="C61" s="332" t="s">
        <v>490</v>
      </c>
      <c r="D61" s="333">
        <v>46148</v>
      </c>
      <c r="E61" s="333">
        <v>46212</v>
      </c>
      <c r="F61" s="82">
        <v>2.1333333333333333</v>
      </c>
      <c r="G61" s="334" t="str">
        <f>INDEX('Combined Employee Worksheet'!$L:$L,MATCH('Yearly Employee Wins &amp; Losses'!$B61,'Combined Employee Worksheet'!$B:$B,0))</f>
        <v>Unclassified</v>
      </c>
    </row>
    <row r="62" spans="2:7">
      <c r="B62" s="330" t="s">
        <v>1392</v>
      </c>
      <c r="C62" s="330" t="s">
        <v>490</v>
      </c>
      <c r="D62" s="331">
        <v>46135</v>
      </c>
      <c r="E62" s="331"/>
      <c r="F62" s="82"/>
      <c r="G62" s="334"/>
    </row>
    <row r="63" spans="2:7">
      <c r="B63" s="330" t="s">
        <v>1394</v>
      </c>
      <c r="C63" s="330" t="s">
        <v>1508</v>
      </c>
      <c r="D63" s="331">
        <v>46125</v>
      </c>
      <c r="E63" s="331"/>
      <c r="F63" s="82"/>
      <c r="G63" s="334"/>
    </row>
    <row r="64" spans="2:7">
      <c r="B64" s="330" t="s">
        <v>624</v>
      </c>
      <c r="C64" s="330" t="s">
        <v>490</v>
      </c>
      <c r="D64" s="331">
        <v>46125</v>
      </c>
      <c r="E64" s="331"/>
      <c r="F64" s="82"/>
      <c r="G64" s="334"/>
    </row>
    <row r="65" spans="2:7">
      <c r="B65" s="330" t="s">
        <v>833</v>
      </c>
      <c r="C65" s="330" t="s">
        <v>491</v>
      </c>
      <c r="D65" s="331">
        <v>46118</v>
      </c>
      <c r="E65" s="331">
        <v>46196</v>
      </c>
      <c r="F65" s="82">
        <v>2.6</v>
      </c>
      <c r="G65" s="334" t="str">
        <f>INDEX('Combined Employee Worksheet'!$L:$L,MATCH('Yearly Employee Wins &amp; Losses'!$B65,'Combined Employee Worksheet'!$B:$B,0))</f>
        <v>Unclassified</v>
      </c>
    </row>
    <row r="66" spans="2:7">
      <c r="B66" s="332" t="s">
        <v>1642</v>
      </c>
      <c r="C66" s="332" t="s">
        <v>1508</v>
      </c>
      <c r="D66" s="333">
        <v>46111</v>
      </c>
      <c r="E66" s="333">
        <v>46232</v>
      </c>
      <c r="F66" s="82">
        <v>4.0333333333333332</v>
      </c>
      <c r="G66" s="334" t="str">
        <f>INDEX('Combined Employee Worksheet'!$L:$L,MATCH('Yearly Employee Wins &amp; Losses'!$B66,'Combined Employee Worksheet'!$B:$B,0))</f>
        <v>Resignation</v>
      </c>
    </row>
    <row r="67" spans="2:7">
      <c r="B67" s="332" t="s">
        <v>1350</v>
      </c>
      <c r="C67" s="332" t="s">
        <v>491</v>
      </c>
      <c r="D67" s="333">
        <v>46107</v>
      </c>
      <c r="E67" s="333"/>
      <c r="F67" s="82"/>
      <c r="G67" s="334"/>
    </row>
    <row r="68" spans="2:7">
      <c r="B68" s="332" t="s">
        <v>1684</v>
      </c>
      <c r="C68" s="332" t="s">
        <v>491</v>
      </c>
      <c r="D68" s="333">
        <v>46091</v>
      </c>
      <c r="E68" s="333">
        <v>46143</v>
      </c>
      <c r="F68" s="82">
        <v>1.7333333333333334</v>
      </c>
      <c r="G68" s="334" t="str">
        <f>INDEX('Combined Employee Worksheet'!$L:$L,MATCH('Yearly Employee Wins &amp; Losses'!$B68,'Combined Employee Worksheet'!$B:$B,0))</f>
        <v>Resignation</v>
      </c>
    </row>
    <row r="69" spans="2:7">
      <c r="B69" s="332" t="s">
        <v>715</v>
      </c>
      <c r="C69" s="332" t="s">
        <v>1510</v>
      </c>
      <c r="D69" s="333">
        <v>46091</v>
      </c>
      <c r="E69" s="333"/>
      <c r="F69" s="82"/>
      <c r="G69" s="334"/>
    </row>
    <row r="70" spans="2:7">
      <c r="B70" s="330" t="s">
        <v>533</v>
      </c>
      <c r="C70" s="330" t="s">
        <v>1361</v>
      </c>
      <c r="D70" s="331">
        <v>46076</v>
      </c>
      <c r="E70" s="331"/>
      <c r="F70" s="82"/>
      <c r="G70" s="334"/>
    </row>
    <row r="71" spans="2:7">
      <c r="B71" s="330" t="s">
        <v>1376</v>
      </c>
      <c r="C71" s="330" t="s">
        <v>1361</v>
      </c>
      <c r="D71" s="331">
        <v>46076</v>
      </c>
      <c r="E71" s="331"/>
      <c r="F71" s="82"/>
      <c r="G71" s="334"/>
    </row>
    <row r="72" spans="2:7">
      <c r="B72" s="330" t="s">
        <v>1400</v>
      </c>
      <c r="C72" s="330" t="s">
        <v>491</v>
      </c>
      <c r="D72" s="331">
        <v>46071</v>
      </c>
      <c r="E72" s="331">
        <v>46273</v>
      </c>
      <c r="F72" s="82">
        <v>6.7333333333333334</v>
      </c>
      <c r="G72" s="334" t="str">
        <f>INDEX('Combined Employee Worksheet'!$L:$L,MATCH('Yearly Employee Wins &amp; Losses'!$B72,'Combined Employee Worksheet'!$B:$B,0))</f>
        <v>Resignation</v>
      </c>
    </row>
    <row r="73" spans="2:7">
      <c r="B73" s="330" t="s">
        <v>1659</v>
      </c>
      <c r="C73" s="330" t="s">
        <v>1510</v>
      </c>
      <c r="D73" s="331">
        <v>46065</v>
      </c>
      <c r="E73" s="331">
        <v>46204</v>
      </c>
      <c r="F73" s="82">
        <v>4.6333333333333337</v>
      </c>
      <c r="G73" s="334" t="str">
        <f>INDEX('Combined Employee Worksheet'!$L:$L,MATCH('Yearly Employee Wins &amp; Losses'!$B73,'Combined Employee Worksheet'!$B:$B,0))</f>
        <v>Termination</v>
      </c>
    </row>
    <row r="74" spans="2:7">
      <c r="B74" s="330" t="s">
        <v>1403</v>
      </c>
      <c r="C74" s="330" t="s">
        <v>1508</v>
      </c>
      <c r="D74" s="331">
        <v>46055</v>
      </c>
      <c r="E74" s="331"/>
      <c r="F74" s="82"/>
      <c r="G74" s="334"/>
    </row>
    <row r="75" spans="2:7">
      <c r="B75" s="332" t="s">
        <v>550</v>
      </c>
      <c r="C75" s="332" t="s">
        <v>491</v>
      </c>
      <c r="D75" s="333">
        <v>46055</v>
      </c>
      <c r="E75" s="333"/>
      <c r="F75" s="82"/>
      <c r="G75" s="334"/>
    </row>
    <row r="76" spans="2:7">
      <c r="B76" s="332" t="s">
        <v>602</v>
      </c>
      <c r="C76" s="332" t="s">
        <v>490</v>
      </c>
      <c r="D76" s="333">
        <v>46048</v>
      </c>
      <c r="E76" s="333"/>
      <c r="F76" s="82"/>
      <c r="G76" s="334"/>
    </row>
    <row r="77" spans="2:7">
      <c r="B77" s="332" t="s">
        <v>1342</v>
      </c>
      <c r="C77" s="332" t="s">
        <v>1508</v>
      </c>
      <c r="D77" s="333">
        <v>46044</v>
      </c>
      <c r="E77" s="333"/>
      <c r="F77" s="82"/>
      <c r="G77" s="334"/>
    </row>
    <row r="78" spans="2:7">
      <c r="B78" s="332" t="s">
        <v>1672</v>
      </c>
      <c r="C78" s="332" t="s">
        <v>493</v>
      </c>
      <c r="D78" s="333">
        <v>46029</v>
      </c>
      <c r="E78" s="333">
        <v>46168</v>
      </c>
      <c r="F78" s="82">
        <v>4.6333333333333337</v>
      </c>
      <c r="G78" s="334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16" priority="6" operator="containsText" text="Resignation">
      <formula>NOT(ISERROR(SEARCH("Resignation",G6)))</formula>
    </cfRule>
    <cfRule type="expression" dxfId="15" priority="7">
      <formula>"""Resignation"""</formula>
    </cfRule>
  </conditionalFormatting>
  <conditionalFormatting sqref="G35:G78">
    <cfRule type="containsText" dxfId="14" priority="1" operator="containsText" text="Resignation">
      <formula>NOT(ISERROR(SEARCH("Resignation",G35)))</formula>
    </cfRule>
    <cfRule type="expression" dxfId="13" priority="2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4A07-F659-4BF4-9A22-ABCA39A9F02C}">
  <sheetPr>
    <tabColor rgb="FFC00000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topLeftCell="A68" zoomScale="145" zoomScaleNormal="145" workbookViewId="0">
      <selection activeCell="M93" sqref="M93"/>
    </sheetView>
  </sheetViews>
  <sheetFormatPr defaultRowHeight="12"/>
  <cols>
    <col min="1" max="1" width="1.7109375" style="302" customWidth="1"/>
    <col min="2" max="2" width="28.42578125" style="302" bestFit="1" customWidth="1"/>
    <col min="3" max="3" width="26" style="302" customWidth="1"/>
    <col min="4" max="4" width="18.7109375" style="302" bestFit="1" customWidth="1"/>
    <col min="5" max="5" width="23.42578125" style="302" bestFit="1" customWidth="1"/>
    <col min="6" max="6" width="8.7109375" style="302" customWidth="1"/>
    <col min="7" max="7" width="13.42578125" style="302" customWidth="1"/>
    <col min="8" max="11" width="10.5703125" style="302" customWidth="1"/>
    <col min="12" max="12" width="19.5703125" style="302" bestFit="1" customWidth="1"/>
    <col min="13" max="13" width="74.5703125" style="302" bestFit="1" customWidth="1"/>
    <col min="14" max="16384" width="9.140625" style="302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1807</v>
      </c>
      <c r="C3" s="303"/>
      <c r="D3" s="303"/>
      <c r="E3" s="303"/>
      <c r="F3" s="38"/>
      <c r="G3" s="38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</row>
    <row r="5" spans="2:22">
      <c r="B5" s="283" t="s">
        <v>1802</v>
      </c>
      <c r="C5" s="304" t="s">
        <v>1803</v>
      </c>
      <c r="D5" s="304" t="s">
        <v>1506</v>
      </c>
      <c r="E5" s="304" t="s">
        <v>1805</v>
      </c>
      <c r="F5" s="304" t="s">
        <v>1333</v>
      </c>
      <c r="G5" s="304" t="s">
        <v>1804</v>
      </c>
      <c r="H5" s="304" t="s">
        <v>116</v>
      </c>
      <c r="I5" s="304" t="s">
        <v>1329</v>
      </c>
      <c r="J5" s="304" t="s">
        <v>1602</v>
      </c>
      <c r="K5" s="304" t="s">
        <v>1819</v>
      </c>
      <c r="L5" s="304" t="s">
        <v>1185</v>
      </c>
      <c r="M5" s="304" t="s">
        <v>1808</v>
      </c>
    </row>
    <row r="6" spans="2:22" ht="12" customHeight="1">
      <c r="B6" s="302" t="s">
        <v>1428</v>
      </c>
      <c r="C6" s="302" t="s">
        <v>1346</v>
      </c>
      <c r="D6" s="302" t="str">
        <f>INDEX('Employee Mapping'!C:C,MATCH('Combined Employee Worksheet'!$C6,'Employee Mapping'!$B:$B,0))</f>
        <v>Bookkeeper</v>
      </c>
      <c r="E6" s="302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2" t="s">
        <v>497</v>
      </c>
      <c r="I6" s="305">
        <v>45890</v>
      </c>
      <c r="J6" s="306"/>
      <c r="K6" s="154">
        <f ca="1">IF(J6=0,TODAY()-I6,J6-I6)</f>
        <v>399</v>
      </c>
      <c r="L6" s="306"/>
      <c r="M6" s="302" t="s">
        <v>338</v>
      </c>
    </row>
    <row r="7" spans="2:22">
      <c r="B7" s="302" t="s">
        <v>1356</v>
      </c>
      <c r="C7" s="302" t="s">
        <v>491</v>
      </c>
      <c r="D7" s="302" t="str">
        <f>INDEX('Employee Mapping'!C:C,MATCH('Combined Employee Worksheet'!$C7,'Employee Mapping'!$B:$B,0))</f>
        <v>Client Lead</v>
      </c>
      <c r="E7" s="302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2" t="s">
        <v>497</v>
      </c>
      <c r="I7" s="305">
        <v>44998</v>
      </c>
      <c r="J7" s="306"/>
      <c r="K7" s="154">
        <f t="shared" ref="K7:K70" ca="1" si="0">IF(J7=0,TODAY()-I7,J7-I7)</f>
        <v>1291</v>
      </c>
      <c r="L7" s="306"/>
      <c r="M7" s="302" t="s">
        <v>338</v>
      </c>
    </row>
    <row r="8" spans="2:22">
      <c r="B8" s="302" t="s">
        <v>664</v>
      </c>
      <c r="C8" s="302" t="s">
        <v>1346</v>
      </c>
      <c r="D8" s="302" t="str">
        <f>INDEX('Employee Mapping'!C:C,MATCH('Combined Employee Worksheet'!$C8,'Employee Mapping'!$B:$B,0))</f>
        <v>Bookkeeper</v>
      </c>
      <c r="E8" s="302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2" t="s">
        <v>497</v>
      </c>
      <c r="I8" s="305">
        <v>46178</v>
      </c>
      <c r="J8" s="306"/>
      <c r="K8" s="154">
        <f t="shared" ca="1" si="0"/>
        <v>111</v>
      </c>
      <c r="L8" s="306"/>
      <c r="M8" s="302" t="s">
        <v>338</v>
      </c>
    </row>
    <row r="9" spans="2:22">
      <c r="B9" s="302" t="s">
        <v>543</v>
      </c>
      <c r="C9" s="302" t="s">
        <v>1407</v>
      </c>
      <c r="D9" s="302" t="str">
        <f>INDEX('Employee Mapping'!C:C,MATCH('Combined Employee Worksheet'!$C9,'Employee Mapping'!$B:$B,0))</f>
        <v>Bookkeeper</v>
      </c>
      <c r="E9" s="302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2" t="s">
        <v>497</v>
      </c>
      <c r="I9" s="305">
        <v>45880</v>
      </c>
      <c r="J9" s="306"/>
      <c r="K9" s="154">
        <f t="shared" ca="1" si="0"/>
        <v>409</v>
      </c>
      <c r="L9" s="306"/>
      <c r="M9" s="302" t="s">
        <v>338</v>
      </c>
    </row>
    <row r="10" spans="2:22">
      <c r="B10" s="302" t="s">
        <v>1374</v>
      </c>
      <c r="C10" s="302" t="s">
        <v>491</v>
      </c>
      <c r="D10" s="302" t="str">
        <f>INDEX('Employee Mapping'!C:C,MATCH('Combined Employee Worksheet'!$C10,'Employee Mapping'!$B:$B,0))</f>
        <v>Client Lead</v>
      </c>
      <c r="E10" s="302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2" t="s">
        <v>497</v>
      </c>
      <c r="I10" s="305">
        <v>46227</v>
      </c>
      <c r="J10" s="306"/>
      <c r="K10" s="154">
        <f t="shared" ca="1" si="0"/>
        <v>62</v>
      </c>
      <c r="L10" s="306"/>
      <c r="M10" s="302" t="s">
        <v>338</v>
      </c>
    </row>
    <row r="11" spans="2:22">
      <c r="B11" s="302" t="s">
        <v>1392</v>
      </c>
      <c r="C11" s="302" t="s">
        <v>1346</v>
      </c>
      <c r="D11" s="302" t="str">
        <f>INDEX('Employee Mapping'!C:C,MATCH('Combined Employee Worksheet'!$C11,'Employee Mapping'!$B:$B,0))</f>
        <v>Bookkeeper</v>
      </c>
      <c r="E11" s="302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2" t="s">
        <v>497</v>
      </c>
      <c r="I11" s="305">
        <v>46135</v>
      </c>
      <c r="J11" s="306"/>
      <c r="K11" s="154">
        <f t="shared" ca="1" si="0"/>
        <v>154</v>
      </c>
      <c r="L11" s="306"/>
      <c r="M11" s="302" t="s">
        <v>338</v>
      </c>
    </row>
    <row r="12" spans="2:22">
      <c r="B12" s="302" t="s">
        <v>1483</v>
      </c>
      <c r="C12" s="302" t="s">
        <v>1477</v>
      </c>
      <c r="D12" s="302" t="str">
        <f>INDEX('Employee Mapping'!C:C,MATCH('Combined Employee Worksheet'!$C12,'Employee Mapping'!$B:$B,0))</f>
        <v>Client Lead</v>
      </c>
      <c r="E12" s="302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2" t="s">
        <v>497</v>
      </c>
      <c r="I12" s="305">
        <v>45313</v>
      </c>
      <c r="J12" s="306"/>
      <c r="K12" s="154">
        <f t="shared" ca="1" si="0"/>
        <v>976</v>
      </c>
      <c r="L12" s="306"/>
      <c r="M12" s="302" t="s">
        <v>338</v>
      </c>
    </row>
    <row r="13" spans="2:22">
      <c r="B13" s="302" t="s">
        <v>546</v>
      </c>
      <c r="C13" s="302" t="s">
        <v>491</v>
      </c>
      <c r="D13" s="302" t="str">
        <f>INDEX('Employee Mapping'!C:C,MATCH('Combined Employee Worksheet'!$C13,'Employee Mapping'!$B:$B,0))</f>
        <v>Client Lead</v>
      </c>
      <c r="E13" s="302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2" t="s">
        <v>497</v>
      </c>
      <c r="I13" s="305">
        <v>45621</v>
      </c>
      <c r="J13" s="306"/>
      <c r="K13" s="154">
        <f t="shared" ca="1" si="0"/>
        <v>668</v>
      </c>
      <c r="L13" s="306"/>
      <c r="M13" s="302" t="s">
        <v>338</v>
      </c>
    </row>
    <row r="14" spans="2:22">
      <c r="B14" s="302" t="s">
        <v>1364</v>
      </c>
      <c r="C14" s="302" t="s">
        <v>1500</v>
      </c>
      <c r="D14" s="302" t="str">
        <f>INDEX('Employee Mapping'!C:C,MATCH('Combined Employee Worksheet'!$C14,'Employee Mapping'!$B:$B,0))</f>
        <v>CEO</v>
      </c>
      <c r="E14" s="302" t="str">
        <f>INDEX('Employee Mapping'!D:D,MATCH('Combined Employee Worksheet'!$C14,'Employee Mapping'!$B:$B,0))</f>
        <v>Payroll Wages - Owner</v>
      </c>
      <c r="F14" s="82"/>
      <c r="G14" s="82">
        <v>228245</v>
      </c>
      <c r="H14" s="302" t="s">
        <v>497</v>
      </c>
      <c r="I14" s="305">
        <v>44231</v>
      </c>
      <c r="J14" s="306"/>
      <c r="K14" s="154">
        <f t="shared" ca="1" si="0"/>
        <v>2058</v>
      </c>
      <c r="L14" s="306"/>
      <c r="M14" s="302" t="s">
        <v>1554</v>
      </c>
    </row>
    <row r="15" spans="2:22">
      <c r="B15" s="302" t="s">
        <v>608</v>
      </c>
      <c r="C15" s="302" t="s">
        <v>1346</v>
      </c>
      <c r="D15" s="302" t="str">
        <f>INDEX('Employee Mapping'!C:C,MATCH('Combined Employee Worksheet'!$C15,'Employee Mapping'!$B:$B,0))</f>
        <v>Bookkeeper</v>
      </c>
      <c r="E15" s="302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2" t="s">
        <v>497</v>
      </c>
      <c r="I15" s="305">
        <v>45509</v>
      </c>
      <c r="J15" s="306"/>
      <c r="K15" s="154">
        <f t="shared" ca="1" si="0"/>
        <v>780</v>
      </c>
      <c r="L15" s="306"/>
      <c r="M15" s="302" t="s">
        <v>338</v>
      </c>
    </row>
    <row r="16" spans="2:22">
      <c r="B16" s="302" t="s">
        <v>1350</v>
      </c>
      <c r="C16" s="302" t="s">
        <v>491</v>
      </c>
      <c r="D16" s="302" t="str">
        <f>INDEX('Employee Mapping'!C:C,MATCH('Combined Employee Worksheet'!$C16,'Employee Mapping'!$B:$B,0))</f>
        <v>Client Lead</v>
      </c>
      <c r="E16" s="302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2" t="s">
        <v>497</v>
      </c>
      <c r="I16" s="305">
        <v>46107</v>
      </c>
      <c r="J16" s="306"/>
      <c r="K16" s="154">
        <f t="shared" ca="1" si="0"/>
        <v>182</v>
      </c>
      <c r="L16" s="306"/>
      <c r="M16" s="302" t="s">
        <v>338</v>
      </c>
    </row>
    <row r="17" spans="2:13">
      <c r="B17" s="302" t="s">
        <v>1403</v>
      </c>
      <c r="C17" s="302" t="s">
        <v>1405</v>
      </c>
      <c r="D17" s="302" t="str">
        <f>INDEX('Employee Mapping'!C:C,MATCH('Combined Employee Worksheet'!$C17,'Employee Mapping'!$B:$B,0))</f>
        <v>Tax</v>
      </c>
      <c r="E17" s="302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2" t="s">
        <v>497</v>
      </c>
      <c r="I17" s="305">
        <v>46055</v>
      </c>
      <c r="J17" s="306"/>
      <c r="K17" s="154">
        <f t="shared" ca="1" si="0"/>
        <v>234</v>
      </c>
      <c r="L17" s="306"/>
      <c r="M17" s="302" t="s">
        <v>338</v>
      </c>
    </row>
    <row r="18" spans="2:13">
      <c r="B18" s="302" t="s">
        <v>521</v>
      </c>
      <c r="C18" s="302" t="s">
        <v>1407</v>
      </c>
      <c r="D18" s="302" t="str">
        <f>INDEX('Employee Mapping'!C:C,MATCH('Combined Employee Worksheet'!$C18,'Employee Mapping'!$B:$B,0))</f>
        <v>Bookkeeper</v>
      </c>
      <c r="E18" s="302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2" t="s">
        <v>497</v>
      </c>
      <c r="I18" s="305">
        <v>45075</v>
      </c>
      <c r="J18" s="306"/>
      <c r="K18" s="154">
        <f t="shared" ca="1" si="0"/>
        <v>1214</v>
      </c>
      <c r="L18" s="306"/>
      <c r="M18" s="302" t="s">
        <v>338</v>
      </c>
    </row>
    <row r="19" spans="2:13">
      <c r="B19" s="302" t="s">
        <v>553</v>
      </c>
      <c r="C19" s="302" t="s">
        <v>1346</v>
      </c>
      <c r="D19" s="302" t="str">
        <f>INDEX('Employee Mapping'!C:C,MATCH('Combined Employee Worksheet'!$C19,'Employee Mapping'!$B:$B,0))</f>
        <v>Bookkeeper</v>
      </c>
      <c r="E19" s="302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2" t="s">
        <v>497</v>
      </c>
      <c r="I19" s="305">
        <v>45175</v>
      </c>
      <c r="J19" s="306"/>
      <c r="K19" s="154">
        <f t="shared" ca="1" si="0"/>
        <v>1114</v>
      </c>
      <c r="L19" s="306"/>
      <c r="M19" s="302" t="s">
        <v>338</v>
      </c>
    </row>
    <row r="20" spans="2:13">
      <c r="B20" s="302" t="s">
        <v>1453</v>
      </c>
      <c r="C20" s="302" t="s">
        <v>1491</v>
      </c>
      <c r="D20" s="302" t="str">
        <f>INDEX('Employee Mapping'!C:C,MATCH('Combined Employee Worksheet'!$C20,'Employee Mapping'!$B:$B,0))</f>
        <v>Leadership</v>
      </c>
      <c r="E20" s="302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2" t="s">
        <v>497</v>
      </c>
      <c r="I20" s="305">
        <v>45160</v>
      </c>
      <c r="J20" s="306"/>
      <c r="K20" s="154">
        <f t="shared" ca="1" si="0"/>
        <v>1129</v>
      </c>
      <c r="L20" s="306"/>
      <c r="M20" s="302" t="s">
        <v>338</v>
      </c>
    </row>
    <row r="21" spans="2:13">
      <c r="B21" s="302" t="s">
        <v>1458</v>
      </c>
      <c r="C21" s="302" t="s">
        <v>1367</v>
      </c>
      <c r="D21" s="302" t="str">
        <f>INDEX('Employee Mapping'!C:C,MATCH('Combined Employee Worksheet'!$C21,'Employee Mapping'!$B:$B,0))</f>
        <v>Admin</v>
      </c>
      <c r="E21" s="302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2" t="s">
        <v>497</v>
      </c>
      <c r="I21" s="305">
        <v>45614</v>
      </c>
      <c r="J21" s="306"/>
      <c r="K21" s="154">
        <f t="shared" ca="1" si="0"/>
        <v>675</v>
      </c>
      <c r="L21" s="306"/>
      <c r="M21" s="302" t="s">
        <v>338</v>
      </c>
    </row>
    <row r="22" spans="2:13">
      <c r="B22" s="302" t="s">
        <v>1462</v>
      </c>
      <c r="C22" s="302" t="s">
        <v>1464</v>
      </c>
      <c r="D22" s="302" t="str">
        <f>INDEX('Employee Mapping'!C:C,MATCH('Combined Employee Worksheet'!$C22,'Employee Mapping'!$B:$B,0))</f>
        <v>Admin</v>
      </c>
      <c r="E22" s="302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2" t="s">
        <v>497</v>
      </c>
      <c r="I22" s="305">
        <v>45572</v>
      </c>
      <c r="J22" s="306"/>
      <c r="K22" s="154">
        <f t="shared" ca="1" si="0"/>
        <v>717</v>
      </c>
      <c r="L22" s="306"/>
      <c r="M22" s="302" t="s">
        <v>338</v>
      </c>
    </row>
    <row r="23" spans="2:13">
      <c r="B23" s="302" t="s">
        <v>1344</v>
      </c>
      <c r="C23" s="302" t="s">
        <v>1346</v>
      </c>
      <c r="D23" s="302" t="str">
        <f>INDEX('Employee Mapping'!C:C,MATCH('Combined Employee Worksheet'!$C23,'Employee Mapping'!$B:$B,0))</f>
        <v>Bookkeeper</v>
      </c>
      <c r="E23" s="302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2" t="s">
        <v>497</v>
      </c>
      <c r="I23" s="305">
        <v>46272</v>
      </c>
      <c r="J23" s="306"/>
      <c r="K23" s="154">
        <f t="shared" ca="1" si="0"/>
        <v>17</v>
      </c>
      <c r="L23" s="306"/>
      <c r="M23" s="302" t="s">
        <v>1347</v>
      </c>
    </row>
    <row r="24" spans="2:13">
      <c r="B24" s="302" t="s">
        <v>1467</v>
      </c>
      <c r="C24" s="302" t="s">
        <v>1367</v>
      </c>
      <c r="D24" s="302" t="str">
        <f>INDEX('Employee Mapping'!C:C,MATCH('Combined Employee Worksheet'!$C24,'Employee Mapping'!$B:$B,0))</f>
        <v>Admin</v>
      </c>
      <c r="E24" s="302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2" t="s">
        <v>497</v>
      </c>
      <c r="I24" s="305">
        <v>45551</v>
      </c>
      <c r="J24" s="306"/>
      <c r="K24" s="154">
        <f t="shared" ca="1" si="0"/>
        <v>738</v>
      </c>
      <c r="L24" s="306"/>
      <c r="M24" s="302" t="s">
        <v>338</v>
      </c>
    </row>
    <row r="25" spans="2:13">
      <c r="B25" s="302" t="s">
        <v>902</v>
      </c>
      <c r="C25" s="302" t="s">
        <v>490</v>
      </c>
      <c r="D25" s="302" t="str">
        <f>INDEX('Employee Mapping'!C:C,MATCH('Combined Employee Worksheet'!$C25,'Employee Mapping'!$B:$B,0))</f>
        <v>Bookkeeper</v>
      </c>
      <c r="E25" s="302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2" t="s">
        <v>497</v>
      </c>
      <c r="I25" s="305">
        <v>46247</v>
      </c>
      <c r="J25" s="306"/>
      <c r="K25" s="154">
        <f t="shared" ca="1" si="0"/>
        <v>42</v>
      </c>
      <c r="L25" s="306"/>
      <c r="M25" s="302" t="s">
        <v>338</v>
      </c>
    </row>
    <row r="26" spans="2:13">
      <c r="B26" s="302" t="s">
        <v>1474</v>
      </c>
      <c r="C26" s="302" t="s">
        <v>1346</v>
      </c>
      <c r="D26" s="302" t="str">
        <f>INDEX('Employee Mapping'!C:C,MATCH('Combined Employee Worksheet'!$C26,'Employee Mapping'!$B:$B,0))</f>
        <v>Bookkeeper</v>
      </c>
      <c r="E26" s="302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2" t="s">
        <v>497</v>
      </c>
      <c r="I26" s="305">
        <v>45481</v>
      </c>
      <c r="J26" s="306"/>
      <c r="K26" s="154">
        <f t="shared" ca="1" si="0"/>
        <v>808</v>
      </c>
      <c r="L26" s="306"/>
      <c r="M26" s="302" t="s">
        <v>338</v>
      </c>
    </row>
    <row r="27" spans="2:13">
      <c r="B27" s="302" t="s">
        <v>752</v>
      </c>
      <c r="C27" s="302" t="s">
        <v>1346</v>
      </c>
      <c r="D27" s="302" t="str">
        <f>INDEX('Employee Mapping'!C:C,MATCH('Combined Employee Worksheet'!$C27,'Employee Mapping'!$B:$B,0))</f>
        <v>Bookkeeper</v>
      </c>
      <c r="E27" s="302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2" t="s">
        <v>497</v>
      </c>
      <c r="I27" s="305">
        <v>46203</v>
      </c>
      <c r="J27" s="306"/>
      <c r="K27" s="154">
        <f t="shared" ca="1" si="0"/>
        <v>86</v>
      </c>
      <c r="L27" s="306"/>
      <c r="M27" s="302" t="s">
        <v>338</v>
      </c>
    </row>
    <row r="28" spans="2:13">
      <c r="B28" s="302" t="s">
        <v>1411</v>
      </c>
      <c r="C28" s="302" t="s">
        <v>1413</v>
      </c>
      <c r="D28" s="302" t="str">
        <f>INDEX('Employee Mapping'!C:C,MATCH('Combined Employee Worksheet'!$C28,'Employee Mapping'!$B:$B,0))</f>
        <v>Sales &amp; Marketing</v>
      </c>
      <c r="E28" s="302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2" t="s">
        <v>497</v>
      </c>
      <c r="I28" s="305">
        <v>45992</v>
      </c>
      <c r="J28" s="306"/>
      <c r="K28" s="154">
        <f t="shared" ca="1" si="0"/>
        <v>297</v>
      </c>
      <c r="L28" s="306"/>
      <c r="M28" s="302" t="s">
        <v>338</v>
      </c>
    </row>
    <row r="29" spans="2:13">
      <c r="B29" s="302" t="s">
        <v>550</v>
      </c>
      <c r="C29" s="302" t="s">
        <v>491</v>
      </c>
      <c r="D29" s="302" t="str">
        <f>INDEX('Employee Mapping'!C:C,MATCH('Combined Employee Worksheet'!$C29,'Employee Mapping'!$B:$B,0))</f>
        <v>Client Lead</v>
      </c>
      <c r="E29" s="302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2" t="s">
        <v>497</v>
      </c>
      <c r="I29" s="305">
        <v>46055</v>
      </c>
      <c r="J29" s="306"/>
      <c r="K29" s="154">
        <f t="shared" ca="1" si="0"/>
        <v>234</v>
      </c>
      <c r="L29" s="306"/>
      <c r="M29" s="302" t="s">
        <v>338</v>
      </c>
    </row>
    <row r="30" spans="2:13">
      <c r="B30" s="302" t="s">
        <v>545</v>
      </c>
      <c r="C30" s="302" t="s">
        <v>1346</v>
      </c>
      <c r="D30" s="302" t="str">
        <f>INDEX('Employee Mapping'!C:C,MATCH('Combined Employee Worksheet'!$C30,'Employee Mapping'!$B:$B,0))</f>
        <v>Bookkeeper</v>
      </c>
      <c r="E30" s="302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2" t="s">
        <v>497</v>
      </c>
      <c r="I30" s="305">
        <v>45726</v>
      </c>
      <c r="J30" s="306"/>
      <c r="K30" s="154">
        <f t="shared" ca="1" si="0"/>
        <v>563</v>
      </c>
      <c r="L30" s="306"/>
      <c r="M30" s="302" t="s">
        <v>338</v>
      </c>
    </row>
    <row r="31" spans="2:13">
      <c r="B31" s="302" t="s">
        <v>522</v>
      </c>
      <c r="C31" s="302" t="s">
        <v>491</v>
      </c>
      <c r="D31" s="302" t="str">
        <f>INDEX('Employee Mapping'!C:C,MATCH('Combined Employee Worksheet'!$C31,'Employee Mapping'!$B:$B,0))</f>
        <v>Client Lead</v>
      </c>
      <c r="E31" s="302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2" t="s">
        <v>497</v>
      </c>
      <c r="I31" s="305">
        <v>46246</v>
      </c>
      <c r="J31" s="306"/>
      <c r="K31" s="154">
        <f t="shared" ca="1" si="0"/>
        <v>43</v>
      </c>
      <c r="L31" s="306"/>
      <c r="M31" s="302" t="s">
        <v>338</v>
      </c>
    </row>
    <row r="32" spans="2:13">
      <c r="B32" s="302" t="s">
        <v>1415</v>
      </c>
      <c r="C32" s="302" t="s">
        <v>1346</v>
      </c>
      <c r="D32" s="302" t="str">
        <f>INDEX('Employee Mapping'!C:C,MATCH('Combined Employee Worksheet'!$C32,'Employee Mapping'!$B:$B,0))</f>
        <v>Bookkeeper</v>
      </c>
      <c r="E32" s="302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2" t="s">
        <v>497</v>
      </c>
      <c r="I32" s="305">
        <v>45985</v>
      </c>
      <c r="J32" s="306"/>
      <c r="K32" s="154">
        <f t="shared" ca="1" si="0"/>
        <v>304</v>
      </c>
      <c r="L32" s="306"/>
      <c r="M32" s="302" t="s">
        <v>338</v>
      </c>
    </row>
    <row r="33" spans="2:13">
      <c r="B33" s="302" t="s">
        <v>1354</v>
      </c>
      <c r="C33" s="302" t="s">
        <v>1346</v>
      </c>
      <c r="D33" s="302" t="str">
        <f>INDEX('Employee Mapping'!C:C,MATCH('Combined Employee Worksheet'!$C33,'Employee Mapping'!$B:$B,0))</f>
        <v>Bookkeeper</v>
      </c>
      <c r="E33" s="302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2" t="s">
        <v>497</v>
      </c>
      <c r="I33" s="305">
        <v>46254</v>
      </c>
      <c r="J33" s="306"/>
      <c r="K33" s="154">
        <f t="shared" ca="1" si="0"/>
        <v>35</v>
      </c>
      <c r="L33" s="306"/>
      <c r="M33" s="302" t="s">
        <v>338</v>
      </c>
    </row>
    <row r="34" spans="2:13">
      <c r="B34" s="302" t="s">
        <v>533</v>
      </c>
      <c r="C34" s="302" t="s">
        <v>1361</v>
      </c>
      <c r="D34" s="302" t="str">
        <f>INDEX('Employee Mapping'!C:C,MATCH('Combined Employee Worksheet'!$C34,'Employee Mapping'!$B:$B,0))</f>
        <v>Accounting Manager</v>
      </c>
      <c r="E34" s="302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2" t="s">
        <v>497</v>
      </c>
      <c r="I34" s="305">
        <v>46076</v>
      </c>
      <c r="J34" s="306"/>
      <c r="K34" s="154">
        <f t="shared" ca="1" si="0"/>
        <v>213</v>
      </c>
      <c r="L34" s="306"/>
      <c r="M34" s="302" t="s">
        <v>338</v>
      </c>
    </row>
    <row r="35" spans="2:13">
      <c r="B35" s="302" t="s">
        <v>560</v>
      </c>
      <c r="C35" s="302" t="s">
        <v>1346</v>
      </c>
      <c r="D35" s="302" t="str">
        <f>INDEX('Employee Mapping'!C:C,MATCH('Combined Employee Worksheet'!$C35,'Employee Mapping'!$B:$B,0))</f>
        <v>Bookkeeper</v>
      </c>
      <c r="E35" s="302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2" t="s">
        <v>497</v>
      </c>
      <c r="I35" s="305">
        <v>45761</v>
      </c>
      <c r="J35" s="306"/>
      <c r="K35" s="154">
        <f t="shared" ca="1" si="0"/>
        <v>528</v>
      </c>
      <c r="L35" s="306"/>
      <c r="M35" s="302" t="s">
        <v>338</v>
      </c>
    </row>
    <row r="36" spans="2:13">
      <c r="B36" s="302" t="s">
        <v>1488</v>
      </c>
      <c r="C36" s="302" t="s">
        <v>1470</v>
      </c>
      <c r="D36" s="302" t="str">
        <f>INDEX('Employee Mapping'!C:C,MATCH('Combined Employee Worksheet'!$C36,'Employee Mapping'!$B:$B,0))</f>
        <v>Onboarding Specialist</v>
      </c>
      <c r="E36" s="302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2" t="s">
        <v>497</v>
      </c>
      <c r="I36" s="305">
        <v>45170</v>
      </c>
      <c r="J36" s="306"/>
      <c r="K36" s="154">
        <f t="shared" ca="1" si="0"/>
        <v>1119</v>
      </c>
      <c r="L36" s="306"/>
      <c r="M36" s="302" t="s">
        <v>338</v>
      </c>
    </row>
    <row r="37" spans="2:13">
      <c r="B37" s="302" t="s">
        <v>1368</v>
      </c>
      <c r="C37" s="302" t="s">
        <v>1498</v>
      </c>
      <c r="D37" s="302" t="str">
        <f>INDEX('Employee Mapping'!C:C,MATCH('Combined Employee Worksheet'!$C37,'Employee Mapping'!$B:$B,0))</f>
        <v>Leadership</v>
      </c>
      <c r="E37" s="302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2" t="s">
        <v>497</v>
      </c>
      <c r="I37" s="305">
        <v>44823</v>
      </c>
      <c r="J37" s="306"/>
      <c r="K37" s="154">
        <f t="shared" ca="1" si="0"/>
        <v>1466</v>
      </c>
      <c r="L37" s="306"/>
      <c r="M37" s="302" t="s">
        <v>338</v>
      </c>
    </row>
    <row r="38" spans="2:13">
      <c r="B38" s="302" t="s">
        <v>769</v>
      </c>
      <c r="C38" s="302" t="s">
        <v>1477</v>
      </c>
      <c r="D38" s="302" t="str">
        <f>INDEX('Employee Mapping'!C:C,MATCH('Combined Employee Worksheet'!$C38,'Employee Mapping'!$B:$B,0))</f>
        <v>Client Lead</v>
      </c>
      <c r="E38" s="302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2" t="s">
        <v>497</v>
      </c>
      <c r="I38" s="305">
        <v>45467</v>
      </c>
      <c r="J38" s="306"/>
      <c r="K38" s="154">
        <f t="shared" ca="1" si="0"/>
        <v>822</v>
      </c>
      <c r="L38" s="306"/>
      <c r="M38" s="302" t="s">
        <v>338</v>
      </c>
    </row>
    <row r="39" spans="2:13">
      <c r="B39" s="302" t="s">
        <v>1419</v>
      </c>
      <c r="C39" s="302" t="s">
        <v>1346</v>
      </c>
      <c r="D39" s="302" t="str">
        <f>INDEX('Employee Mapping'!C:C,MATCH('Combined Employee Worksheet'!$C39,'Employee Mapping'!$B:$B,0))</f>
        <v>Bookkeeper</v>
      </c>
      <c r="E39" s="302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2" t="s">
        <v>497</v>
      </c>
      <c r="I39" s="305">
        <v>45943</v>
      </c>
      <c r="J39" s="306"/>
      <c r="K39" s="154">
        <f t="shared" ca="1" si="0"/>
        <v>346</v>
      </c>
      <c r="L39" s="306"/>
      <c r="M39" s="302" t="s">
        <v>338</v>
      </c>
    </row>
    <row r="40" spans="2:13">
      <c r="B40" s="302" t="s">
        <v>1494</v>
      </c>
      <c r="C40" s="302" t="s">
        <v>1496</v>
      </c>
      <c r="D40" s="302" t="str">
        <f>INDEX('Employee Mapping'!C:C,MATCH('Combined Employee Worksheet'!$C40,'Employee Mapping'!$B:$B,0))</f>
        <v>Leadership</v>
      </c>
      <c r="E40" s="302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2" t="s">
        <v>497</v>
      </c>
      <c r="I40" s="305">
        <v>44958</v>
      </c>
      <c r="J40" s="306"/>
      <c r="K40" s="154">
        <f t="shared" ca="1" si="0"/>
        <v>1331</v>
      </c>
      <c r="L40" s="306"/>
      <c r="M40" s="302" t="s">
        <v>338</v>
      </c>
    </row>
    <row r="41" spans="2:13">
      <c r="B41" s="302" t="s">
        <v>584</v>
      </c>
      <c r="C41" s="302" t="s">
        <v>1346</v>
      </c>
      <c r="D41" s="302" t="str">
        <f>INDEX('Employee Mapping'!C:C,MATCH('Combined Employee Worksheet'!$C41,'Employee Mapping'!$B:$B,0))</f>
        <v>Bookkeeper</v>
      </c>
      <c r="E41" s="302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2" t="s">
        <v>497</v>
      </c>
      <c r="I41" s="305">
        <v>45866</v>
      </c>
      <c r="J41" s="306"/>
      <c r="K41" s="154">
        <f t="shared" ca="1" si="0"/>
        <v>423</v>
      </c>
      <c r="L41" s="306"/>
      <c r="M41" s="302" t="s">
        <v>338</v>
      </c>
    </row>
    <row r="42" spans="2:13">
      <c r="B42" s="302" t="s">
        <v>1394</v>
      </c>
      <c r="C42" s="302" t="s">
        <v>1340</v>
      </c>
      <c r="D42" s="302" t="str">
        <f>INDEX('Employee Mapping'!C:C,MATCH('Combined Employee Worksheet'!$C42,'Employee Mapping'!$B:$B,0))</f>
        <v>Tax</v>
      </c>
      <c r="E42" s="302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2" t="s">
        <v>497</v>
      </c>
      <c r="I42" s="305">
        <v>46125</v>
      </c>
      <c r="J42" s="306"/>
      <c r="K42" s="154">
        <f t="shared" ca="1" si="0"/>
        <v>164</v>
      </c>
      <c r="L42" s="306"/>
      <c r="M42" s="302" t="s">
        <v>338</v>
      </c>
    </row>
    <row r="43" spans="2:13">
      <c r="B43" s="302" t="s">
        <v>1373</v>
      </c>
      <c r="C43" s="302" t="s">
        <v>1371</v>
      </c>
      <c r="D43" s="302" t="str">
        <f>INDEX('Employee Mapping'!C:C,MATCH('Combined Employee Worksheet'!$C43,'Employee Mapping'!$B:$B,0))</f>
        <v>Onboarding Specialist</v>
      </c>
      <c r="E43" s="302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2" t="s">
        <v>497</v>
      </c>
      <c r="I43" s="305">
        <v>45467</v>
      </c>
      <c r="J43" s="306"/>
      <c r="K43" s="154">
        <f t="shared" ca="1" si="0"/>
        <v>822</v>
      </c>
      <c r="L43" s="306"/>
      <c r="M43" s="302" t="s">
        <v>338</v>
      </c>
    </row>
    <row r="44" spans="2:13">
      <c r="B44" s="302" t="s">
        <v>1436</v>
      </c>
      <c r="C44" s="302" t="s">
        <v>1346</v>
      </c>
      <c r="D44" s="302" t="str">
        <f>INDEX('Employee Mapping'!C:C,MATCH('Combined Employee Worksheet'!$C44,'Employee Mapping'!$B:$B,0))</f>
        <v>Bookkeeper</v>
      </c>
      <c r="E44" s="302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2" t="s">
        <v>497</v>
      </c>
      <c r="I44" s="305">
        <v>45838</v>
      </c>
      <c r="J44" s="306"/>
      <c r="K44" s="154">
        <f t="shared" ca="1" si="0"/>
        <v>451</v>
      </c>
      <c r="L44" s="306"/>
      <c r="M44" s="302" t="s">
        <v>338</v>
      </c>
    </row>
    <row r="45" spans="2:13">
      <c r="B45" s="302" t="s">
        <v>766</v>
      </c>
      <c r="C45" s="302" t="s">
        <v>1346</v>
      </c>
      <c r="D45" s="302" t="str">
        <f>INDEX('Employee Mapping'!C:C,MATCH('Combined Employee Worksheet'!$C45,'Employee Mapping'!$B:$B,0))</f>
        <v>Bookkeeper</v>
      </c>
      <c r="E45" s="302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2" t="s">
        <v>497</v>
      </c>
      <c r="I45" s="305">
        <v>45992</v>
      </c>
      <c r="J45" s="306"/>
      <c r="K45" s="154">
        <f t="shared" ca="1" si="0"/>
        <v>297</v>
      </c>
      <c r="L45" s="306"/>
      <c r="M45" s="302" t="s">
        <v>338</v>
      </c>
    </row>
    <row r="46" spans="2:13">
      <c r="B46" s="302" t="s">
        <v>1434</v>
      </c>
      <c r="C46" s="302" t="s">
        <v>1346</v>
      </c>
      <c r="D46" s="302" t="str">
        <f>INDEX('Employee Mapping'!C:C,MATCH('Combined Employee Worksheet'!$C46,'Employee Mapping'!$B:$B,0))</f>
        <v>Bookkeeper</v>
      </c>
      <c r="E46" s="302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2" t="s">
        <v>497</v>
      </c>
      <c r="I46" s="305">
        <v>45847</v>
      </c>
      <c r="J46" s="306"/>
      <c r="K46" s="154">
        <f t="shared" ca="1" si="0"/>
        <v>442</v>
      </c>
      <c r="L46" s="306"/>
      <c r="M46" s="302" t="s">
        <v>338</v>
      </c>
    </row>
    <row r="47" spans="2:13">
      <c r="B47" s="302" t="s">
        <v>1438</v>
      </c>
      <c r="C47" s="302" t="s">
        <v>1346</v>
      </c>
      <c r="D47" s="302" t="str">
        <f>INDEX('Employee Mapping'!C:C,MATCH('Combined Employee Worksheet'!$C47,'Employee Mapping'!$B:$B,0))</f>
        <v>Bookkeeper</v>
      </c>
      <c r="E47" s="302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2" t="s">
        <v>497</v>
      </c>
      <c r="I47" s="305">
        <v>45824</v>
      </c>
      <c r="J47" s="306"/>
      <c r="K47" s="154">
        <f t="shared" ca="1" si="0"/>
        <v>465</v>
      </c>
      <c r="L47" s="306"/>
      <c r="M47" s="302" t="s">
        <v>338</v>
      </c>
    </row>
    <row r="48" spans="2:13">
      <c r="B48" s="302" t="s">
        <v>1480</v>
      </c>
      <c r="C48" s="302" t="s">
        <v>1482</v>
      </c>
      <c r="D48" s="302" t="str">
        <f>INDEX('Employee Mapping'!C:C,MATCH('Combined Employee Worksheet'!$C48,'Employee Mapping'!$B:$B,0))</f>
        <v>Admin</v>
      </c>
      <c r="E48" s="302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2" t="s">
        <v>497</v>
      </c>
      <c r="I48" s="305">
        <v>45369</v>
      </c>
      <c r="J48" s="306"/>
      <c r="K48" s="154">
        <f t="shared" ca="1" si="0"/>
        <v>920</v>
      </c>
      <c r="L48" s="306"/>
      <c r="M48" s="302" t="s">
        <v>338</v>
      </c>
    </row>
    <row r="49" spans="2:13">
      <c r="B49" s="302" t="s">
        <v>1376</v>
      </c>
      <c r="C49" s="302" t="s">
        <v>1361</v>
      </c>
      <c r="D49" s="302" t="str">
        <f>INDEX('Employee Mapping'!C:C,MATCH('Combined Employee Worksheet'!$C49,'Employee Mapping'!$B:$B,0))</f>
        <v>Accounting Manager</v>
      </c>
      <c r="E49" s="302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2" t="s">
        <v>497</v>
      </c>
      <c r="I49" s="305">
        <v>46076</v>
      </c>
      <c r="J49" s="306"/>
      <c r="K49" s="154">
        <f t="shared" ca="1" si="0"/>
        <v>213</v>
      </c>
      <c r="L49" s="306"/>
      <c r="M49" s="302" t="s">
        <v>338</v>
      </c>
    </row>
    <row r="50" spans="2:13">
      <c r="B50" s="302" t="s">
        <v>557</v>
      </c>
      <c r="C50" s="302" t="s">
        <v>491</v>
      </c>
      <c r="D50" s="302" t="str">
        <f>INDEX('Employee Mapping'!C:C,MATCH('Combined Employee Worksheet'!$C50,'Employee Mapping'!$B:$B,0))</f>
        <v>Client Lead</v>
      </c>
      <c r="E50" s="302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2" t="s">
        <v>497</v>
      </c>
      <c r="I50" s="305">
        <v>45600</v>
      </c>
      <c r="J50" s="306"/>
      <c r="K50" s="154">
        <f t="shared" ca="1" si="0"/>
        <v>689</v>
      </c>
      <c r="L50" s="306"/>
      <c r="M50" s="302" t="s">
        <v>338</v>
      </c>
    </row>
    <row r="51" spans="2:13">
      <c r="B51" s="302" t="s">
        <v>536</v>
      </c>
      <c r="C51" s="302" t="s">
        <v>491</v>
      </c>
      <c r="D51" s="302" t="str">
        <f>INDEX('Employee Mapping'!C:C,MATCH('Combined Employee Worksheet'!$C51,'Employee Mapping'!$B:$B,0))</f>
        <v>Client Lead</v>
      </c>
      <c r="E51" s="302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2" t="s">
        <v>497</v>
      </c>
      <c r="I51" s="305">
        <v>45481</v>
      </c>
      <c r="J51" s="306"/>
      <c r="K51" s="154">
        <f t="shared" ca="1" si="0"/>
        <v>808</v>
      </c>
      <c r="L51" s="306"/>
      <c r="M51" s="302" t="s">
        <v>338</v>
      </c>
    </row>
    <row r="52" spans="2:13">
      <c r="B52" s="302" t="s">
        <v>705</v>
      </c>
      <c r="C52" s="302" t="s">
        <v>1407</v>
      </c>
      <c r="D52" s="302" t="str">
        <f>INDEX('Employee Mapping'!C:C,MATCH('Combined Employee Worksheet'!$C52,'Employee Mapping'!$B:$B,0))</f>
        <v>Bookkeeper</v>
      </c>
      <c r="E52" s="302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2" t="s">
        <v>497</v>
      </c>
      <c r="I52" s="305">
        <v>45175</v>
      </c>
      <c r="J52" s="306"/>
      <c r="K52" s="154">
        <f t="shared" ca="1" si="0"/>
        <v>1114</v>
      </c>
      <c r="L52" s="306"/>
      <c r="M52" s="302" t="s">
        <v>338</v>
      </c>
    </row>
    <row r="53" spans="2:13">
      <c r="B53" s="302" t="s">
        <v>682</v>
      </c>
      <c r="C53" s="302" t="s">
        <v>1367</v>
      </c>
      <c r="D53" s="302" t="str">
        <f>INDEX('Employee Mapping'!C:C,MATCH('Combined Employee Worksheet'!$C53,'Employee Mapping'!$B:$B,0))</f>
        <v>Admin</v>
      </c>
      <c r="E53" s="302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2" t="s">
        <v>497</v>
      </c>
      <c r="I53" s="305">
        <v>46241</v>
      </c>
      <c r="J53" s="306"/>
      <c r="K53" s="154">
        <f t="shared" ca="1" si="0"/>
        <v>48</v>
      </c>
      <c r="L53" s="306"/>
      <c r="M53" s="302" t="s">
        <v>338</v>
      </c>
    </row>
    <row r="54" spans="2:13">
      <c r="B54" s="302" t="s">
        <v>1342</v>
      </c>
      <c r="C54" s="302" t="s">
        <v>1410</v>
      </c>
      <c r="D54" s="302" t="str">
        <f>INDEX('Employee Mapping'!C:C,MATCH('Combined Employee Worksheet'!$C54,'Employee Mapping'!$B:$B,0))</f>
        <v>Tax</v>
      </c>
      <c r="E54" s="302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2" t="s">
        <v>497</v>
      </c>
      <c r="I54" s="305">
        <v>46044</v>
      </c>
      <c r="J54" s="306"/>
      <c r="K54" s="154">
        <f t="shared" ca="1" si="0"/>
        <v>245</v>
      </c>
      <c r="L54" s="306"/>
      <c r="M54" s="302" t="s">
        <v>338</v>
      </c>
    </row>
    <row r="55" spans="2:13">
      <c r="B55" s="302" t="s">
        <v>1422</v>
      </c>
      <c r="C55" s="302" t="s">
        <v>491</v>
      </c>
      <c r="D55" s="302" t="str">
        <f>INDEX('Employee Mapping'!C:C,MATCH('Combined Employee Worksheet'!$C55,'Employee Mapping'!$B:$B,0))</f>
        <v>Client Lead</v>
      </c>
      <c r="E55" s="302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2" t="s">
        <v>497</v>
      </c>
      <c r="I55" s="305">
        <v>45628</v>
      </c>
      <c r="J55" s="306"/>
      <c r="K55" s="154">
        <f t="shared" ca="1" si="0"/>
        <v>661</v>
      </c>
      <c r="L55" s="306"/>
      <c r="M55" s="302" t="s">
        <v>338</v>
      </c>
    </row>
    <row r="56" spans="2:13">
      <c r="B56" s="302" t="s">
        <v>1389</v>
      </c>
      <c r="C56" s="302" t="s">
        <v>491</v>
      </c>
      <c r="D56" s="302" t="str">
        <f>INDEX('Employee Mapping'!C:C,MATCH('Combined Employee Worksheet'!$C56,'Employee Mapping'!$B:$B,0))</f>
        <v>Client Lead</v>
      </c>
      <c r="E56" s="302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2" t="s">
        <v>497</v>
      </c>
      <c r="I56" s="305">
        <v>45432</v>
      </c>
      <c r="J56" s="306"/>
      <c r="K56" s="154">
        <f t="shared" ca="1" si="0"/>
        <v>857</v>
      </c>
      <c r="L56" s="306"/>
      <c r="M56" s="302" t="s">
        <v>338</v>
      </c>
    </row>
    <row r="57" spans="2:13">
      <c r="B57" s="302" t="s">
        <v>626</v>
      </c>
      <c r="C57" s="302" t="s">
        <v>1346</v>
      </c>
      <c r="D57" s="302" t="str">
        <f>INDEX('Employee Mapping'!C:C,MATCH('Combined Employee Worksheet'!$C57,'Employee Mapping'!$B:$B,0))</f>
        <v>Bookkeeper</v>
      </c>
      <c r="E57" s="302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2" t="s">
        <v>497</v>
      </c>
      <c r="I57" s="305">
        <v>46163</v>
      </c>
      <c r="J57" s="306"/>
      <c r="K57" s="154">
        <f t="shared" ca="1" si="0"/>
        <v>126</v>
      </c>
      <c r="L57" s="306"/>
      <c r="M57" s="302" t="s">
        <v>338</v>
      </c>
    </row>
    <row r="58" spans="2:13">
      <c r="B58" s="302" t="s">
        <v>1382</v>
      </c>
      <c r="C58" s="302" t="s">
        <v>1470</v>
      </c>
      <c r="D58" s="302" t="str">
        <f>INDEX('Employee Mapping'!C:C,MATCH('Combined Employee Worksheet'!$C58,'Employee Mapping'!$B:$B,0))</f>
        <v>Onboarding Specialist</v>
      </c>
      <c r="E58" s="302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2" t="s">
        <v>497</v>
      </c>
      <c r="I58" s="305">
        <v>45533</v>
      </c>
      <c r="J58" s="306"/>
      <c r="K58" s="154">
        <f t="shared" ca="1" si="0"/>
        <v>756</v>
      </c>
      <c r="L58" s="306"/>
      <c r="M58" s="302" t="s">
        <v>338</v>
      </c>
    </row>
    <row r="59" spans="2:13">
      <c r="B59" s="302" t="s">
        <v>612</v>
      </c>
      <c r="C59" s="302" t="s">
        <v>1346</v>
      </c>
      <c r="D59" s="302" t="str">
        <f>INDEX('Employee Mapping'!C:C,MATCH('Combined Employee Worksheet'!$C59,'Employee Mapping'!$B:$B,0))</f>
        <v>Bookkeeper</v>
      </c>
      <c r="E59" s="302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2" t="s">
        <v>497</v>
      </c>
      <c r="I59" s="305">
        <v>46191</v>
      </c>
      <c r="J59" s="306"/>
      <c r="K59" s="154">
        <f t="shared" ca="1" si="0"/>
        <v>98</v>
      </c>
      <c r="L59" s="306"/>
      <c r="M59" s="302" t="s">
        <v>338</v>
      </c>
    </row>
    <row r="60" spans="2:13">
      <c r="B60" s="302" t="s">
        <v>640</v>
      </c>
      <c r="C60" s="302" t="s">
        <v>1346</v>
      </c>
      <c r="D60" s="302" t="str">
        <f>INDEX('Employee Mapping'!C:C,MATCH('Combined Employee Worksheet'!$C60,'Employee Mapping'!$B:$B,0))</f>
        <v>Bookkeeper</v>
      </c>
      <c r="E60" s="302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2" t="s">
        <v>497</v>
      </c>
      <c r="I60" s="305">
        <v>45974</v>
      </c>
      <c r="J60" s="306"/>
      <c r="K60" s="154">
        <f t="shared" ca="1" si="0"/>
        <v>315</v>
      </c>
      <c r="L60" s="306"/>
      <c r="M60" s="302" t="s">
        <v>338</v>
      </c>
    </row>
    <row r="61" spans="2:13">
      <c r="B61" s="302" t="s">
        <v>1348</v>
      </c>
      <c r="C61" s="302" t="s">
        <v>1346</v>
      </c>
      <c r="D61" s="302" t="str">
        <f>INDEX('Employee Mapping'!C:C,MATCH('Combined Employee Worksheet'!$C61,'Employee Mapping'!$B:$B,0))</f>
        <v>Bookkeeper</v>
      </c>
      <c r="E61" s="302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2" t="s">
        <v>497</v>
      </c>
      <c r="I61" s="305">
        <v>46269</v>
      </c>
      <c r="J61" s="306"/>
      <c r="K61" s="154">
        <f t="shared" ca="1" si="0"/>
        <v>20</v>
      </c>
      <c r="L61" s="306"/>
      <c r="M61" s="302" t="s">
        <v>1347</v>
      </c>
    </row>
    <row r="62" spans="2:13">
      <c r="B62" s="302" t="s">
        <v>510</v>
      </c>
      <c r="C62" s="302" t="s">
        <v>1361</v>
      </c>
      <c r="D62" s="302" t="str">
        <f>INDEX('Employee Mapping'!C:C,MATCH('Combined Employee Worksheet'!$C62,'Employee Mapping'!$B:$B,0))</f>
        <v>Accounting Manager</v>
      </c>
      <c r="E62" s="302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2" t="s">
        <v>497</v>
      </c>
      <c r="I62" s="305">
        <v>45915</v>
      </c>
      <c r="J62" s="306"/>
      <c r="K62" s="154">
        <f t="shared" ca="1" si="0"/>
        <v>374</v>
      </c>
      <c r="L62" s="306"/>
      <c r="M62" s="302" t="s">
        <v>338</v>
      </c>
    </row>
    <row r="63" spans="2:13">
      <c r="B63" s="302" t="s">
        <v>1485</v>
      </c>
      <c r="C63" s="302" t="s">
        <v>1346</v>
      </c>
      <c r="D63" s="302" t="s">
        <v>493</v>
      </c>
      <c r="E63" s="302" t="s">
        <v>63</v>
      </c>
      <c r="F63" s="82">
        <v>1125</v>
      </c>
      <c r="G63" s="82">
        <v>13500</v>
      </c>
      <c r="H63" s="302" t="s">
        <v>497</v>
      </c>
      <c r="I63" s="305">
        <v>45306</v>
      </c>
      <c r="J63" s="306"/>
      <c r="K63" s="154">
        <f t="shared" ca="1" si="0"/>
        <v>983</v>
      </c>
      <c r="L63" s="306"/>
      <c r="M63" s="302" t="s">
        <v>338</v>
      </c>
    </row>
    <row r="64" spans="2:13">
      <c r="B64" s="302" t="s">
        <v>1442</v>
      </c>
      <c r="C64" s="302" t="s">
        <v>1444</v>
      </c>
      <c r="D64" s="302" t="str">
        <f>INDEX('Employee Mapping'!C:C,MATCH('Combined Employee Worksheet'!$C64,'Employee Mapping'!$B:$B,0))</f>
        <v>Sales &amp; Marketing</v>
      </c>
      <c r="E64" s="302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2" t="s">
        <v>497</v>
      </c>
      <c r="I64" s="305">
        <v>45810</v>
      </c>
      <c r="J64" s="306"/>
      <c r="K64" s="154">
        <f t="shared" ca="1" si="0"/>
        <v>479</v>
      </c>
      <c r="L64" s="306"/>
      <c r="M64" s="302" t="s">
        <v>338</v>
      </c>
    </row>
    <row r="65" spans="2:13">
      <c r="B65" s="302" t="s">
        <v>651</v>
      </c>
      <c r="C65" s="302" t="s">
        <v>1398</v>
      </c>
      <c r="D65" s="302" t="str">
        <f>INDEX('Employee Mapping'!C:C,MATCH('Combined Employee Worksheet'!$C65,'Employee Mapping'!$B:$B,0))</f>
        <v>Onboarding Support</v>
      </c>
      <c r="E65" s="302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2" t="s">
        <v>497</v>
      </c>
      <c r="I65" s="305">
        <v>45943</v>
      </c>
      <c r="J65" s="306"/>
      <c r="K65" s="154">
        <f t="shared" ca="1" si="0"/>
        <v>346</v>
      </c>
      <c r="L65" s="306"/>
      <c r="M65" s="302" t="s">
        <v>338</v>
      </c>
    </row>
    <row r="66" spans="2:13">
      <c r="B66" s="302" t="s">
        <v>580</v>
      </c>
      <c r="C66" s="302" t="s">
        <v>1407</v>
      </c>
      <c r="D66" s="302" t="str">
        <f>INDEX('Employee Mapping'!C:C,MATCH('Combined Employee Worksheet'!$C66,'Employee Mapping'!$B:$B,0))</f>
        <v>Bookkeeper</v>
      </c>
      <c r="E66" s="302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2" t="s">
        <v>497</v>
      </c>
      <c r="I66" s="305">
        <v>45581</v>
      </c>
      <c r="J66" s="306"/>
      <c r="K66" s="154">
        <f t="shared" ca="1" si="0"/>
        <v>708</v>
      </c>
      <c r="L66" s="306"/>
      <c r="M66" s="302" t="s">
        <v>338</v>
      </c>
    </row>
    <row r="67" spans="2:13">
      <c r="B67" s="302" t="s">
        <v>716</v>
      </c>
      <c r="C67" s="302" t="s">
        <v>1427</v>
      </c>
      <c r="D67" s="302" t="str">
        <f>INDEX('Employee Mapping'!C:C,MATCH('Combined Employee Worksheet'!$C67,'Employee Mapping'!$B:$B,0))</f>
        <v>Onboarding Support</v>
      </c>
      <c r="E67" s="302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2" t="s">
        <v>497</v>
      </c>
      <c r="I67" s="305">
        <v>45313</v>
      </c>
      <c r="J67" s="306"/>
      <c r="K67" s="154">
        <f t="shared" ca="1" si="0"/>
        <v>976</v>
      </c>
      <c r="L67" s="306"/>
      <c r="M67" s="302" t="s">
        <v>338</v>
      </c>
    </row>
    <row r="68" spans="2:13">
      <c r="B68" s="302" t="s">
        <v>862</v>
      </c>
      <c r="C68" s="302" t="s">
        <v>1346</v>
      </c>
      <c r="D68" s="302" t="str">
        <f>INDEX('Employee Mapping'!C:C,MATCH('Combined Employee Worksheet'!$C68,'Employee Mapping'!$B:$B,0))</f>
        <v>Bookkeeper</v>
      </c>
      <c r="E68" s="302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2" t="s">
        <v>497</v>
      </c>
      <c r="I68" s="305">
        <v>46192</v>
      </c>
      <c r="J68" s="306"/>
      <c r="K68" s="154">
        <f t="shared" ca="1" si="0"/>
        <v>97</v>
      </c>
      <c r="L68" s="306"/>
      <c r="M68" s="302" t="s">
        <v>338</v>
      </c>
    </row>
    <row r="69" spans="2:13">
      <c r="B69" s="302" t="s">
        <v>1338</v>
      </c>
      <c r="C69" s="302" t="s">
        <v>1340</v>
      </c>
      <c r="D69" s="302" t="str">
        <f>INDEX('Employee Mapping'!C:C,MATCH('Combined Employee Worksheet'!$C69,'Employee Mapping'!$B:$B,0))</f>
        <v>Tax</v>
      </c>
      <c r="E69" s="302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2" t="s">
        <v>497</v>
      </c>
      <c r="I69" s="305">
        <v>46275</v>
      </c>
      <c r="J69" s="306"/>
      <c r="K69" s="154">
        <f t="shared" ca="1" si="0"/>
        <v>14</v>
      </c>
      <c r="L69" s="306"/>
      <c r="M69" s="302" t="s">
        <v>1343</v>
      </c>
    </row>
    <row r="70" spans="2:13">
      <c r="B70" s="302" t="s">
        <v>1369</v>
      </c>
      <c r="C70" s="302" t="s">
        <v>1371</v>
      </c>
      <c r="D70" s="302" t="str">
        <f>INDEX('Employee Mapping'!C:C,MATCH('Combined Employee Worksheet'!$C70,'Employee Mapping'!$B:$B,0))</f>
        <v>Onboarding Specialist</v>
      </c>
      <c r="E70" s="302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2" t="s">
        <v>497</v>
      </c>
      <c r="I70" s="305">
        <v>46233</v>
      </c>
      <c r="J70" s="306"/>
      <c r="K70" s="154">
        <f t="shared" ca="1" si="0"/>
        <v>56</v>
      </c>
      <c r="L70" s="306"/>
      <c r="M70" s="302" t="s">
        <v>338</v>
      </c>
    </row>
    <row r="71" spans="2:13">
      <c r="B71" s="302" t="s">
        <v>1432</v>
      </c>
      <c r="C71" s="302" t="s">
        <v>1346</v>
      </c>
      <c r="D71" s="302" t="str">
        <f>INDEX('Employee Mapping'!C:C,MATCH('Combined Employee Worksheet'!$C71,'Employee Mapping'!$B:$B,0))</f>
        <v>Bookkeeper</v>
      </c>
      <c r="E71" s="302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2" t="s">
        <v>497</v>
      </c>
      <c r="I71" s="305">
        <v>45852</v>
      </c>
      <c r="J71" s="306"/>
      <c r="K71" s="154">
        <f t="shared" ref="K71:K134" ca="1" si="1">IF(J71=0,TODAY()-I71,J71-I71)</f>
        <v>437</v>
      </c>
      <c r="L71" s="306"/>
      <c r="M71" s="302" t="s">
        <v>338</v>
      </c>
    </row>
    <row r="72" spans="2:13">
      <c r="B72" s="302" t="s">
        <v>681</v>
      </c>
      <c r="C72" s="302" t="s">
        <v>491</v>
      </c>
      <c r="D72" s="302" t="str">
        <f>INDEX('Employee Mapping'!C:C,MATCH('Combined Employee Worksheet'!$C72,'Employee Mapping'!$B:$B,0))</f>
        <v>Client Lead</v>
      </c>
      <c r="E72" s="302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2" t="s">
        <v>497</v>
      </c>
      <c r="I72" s="305">
        <v>45964</v>
      </c>
      <c r="J72" s="306"/>
      <c r="K72" s="154">
        <f t="shared" ca="1" si="1"/>
        <v>325</v>
      </c>
      <c r="L72" s="306"/>
      <c r="M72" s="302" t="s">
        <v>338</v>
      </c>
    </row>
    <row r="73" spans="2:13">
      <c r="B73" s="302" t="s">
        <v>715</v>
      </c>
      <c r="C73" s="302" t="s">
        <v>1398</v>
      </c>
      <c r="D73" s="302" t="str">
        <f>INDEX('Employee Mapping'!C:C,MATCH('Combined Employee Worksheet'!$C73,'Employee Mapping'!$B:$B,0))</f>
        <v>Onboarding Support</v>
      </c>
      <c r="E73" s="302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2" t="s">
        <v>497</v>
      </c>
      <c r="I73" s="305">
        <v>46091</v>
      </c>
      <c r="J73" s="306"/>
      <c r="K73" s="154">
        <f t="shared" ca="1" si="1"/>
        <v>198</v>
      </c>
      <c r="L73" s="306"/>
      <c r="M73" s="302" t="s">
        <v>338</v>
      </c>
    </row>
    <row r="74" spans="2:13">
      <c r="B74" s="302" t="s">
        <v>1378</v>
      </c>
      <c r="C74" s="302" t="s">
        <v>491</v>
      </c>
      <c r="D74" s="302" t="str">
        <f>INDEX('Employee Mapping'!C:C,MATCH('Combined Employee Worksheet'!$C74,'Employee Mapping'!$B:$B,0))</f>
        <v>Client Lead</v>
      </c>
      <c r="E74" s="302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2" t="s">
        <v>497</v>
      </c>
      <c r="I74" s="305">
        <v>45663</v>
      </c>
      <c r="J74" s="306"/>
      <c r="K74" s="154">
        <f t="shared" ca="1" si="1"/>
        <v>626</v>
      </c>
      <c r="L74" s="306"/>
      <c r="M74" s="302" t="s">
        <v>338</v>
      </c>
    </row>
    <row r="75" spans="2:13">
      <c r="B75" s="302" t="s">
        <v>602</v>
      </c>
      <c r="C75" s="302" t="s">
        <v>1407</v>
      </c>
      <c r="D75" s="302" t="str">
        <f>INDEX('Employee Mapping'!C:C,MATCH('Combined Employee Worksheet'!$C75,'Employee Mapping'!$B:$B,0))</f>
        <v>Bookkeeper</v>
      </c>
      <c r="E75" s="302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2" t="s">
        <v>497</v>
      </c>
      <c r="I75" s="305">
        <v>46048</v>
      </c>
      <c r="J75" s="306"/>
      <c r="K75" s="154">
        <f t="shared" ca="1" si="1"/>
        <v>241</v>
      </c>
      <c r="L75" s="306"/>
      <c r="M75" s="302" t="s">
        <v>1408</v>
      </c>
    </row>
    <row r="76" spans="2:13">
      <c r="B76" s="302" t="s">
        <v>1440</v>
      </c>
      <c r="C76" s="302" t="s">
        <v>1346</v>
      </c>
      <c r="D76" s="302" t="str">
        <f>INDEX('Employee Mapping'!C:C,MATCH('Combined Employee Worksheet'!$C76,'Employee Mapping'!$B:$B,0))</f>
        <v>Bookkeeper</v>
      </c>
      <c r="E76" s="302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2" t="s">
        <v>497</v>
      </c>
      <c r="I76" s="305">
        <v>45813</v>
      </c>
      <c r="J76" s="306"/>
      <c r="K76" s="154">
        <f t="shared" ca="1" si="1"/>
        <v>476</v>
      </c>
      <c r="L76" s="306"/>
      <c r="M76" s="302" t="s">
        <v>338</v>
      </c>
    </row>
    <row r="77" spans="2:13">
      <c r="B77" s="302" t="s">
        <v>1445</v>
      </c>
      <c r="C77" s="302" t="s">
        <v>1447</v>
      </c>
      <c r="D77" s="302" t="str">
        <f>INDEX('Employee Mapping'!C:C,MATCH('Combined Employee Worksheet'!$C77,'Employee Mapping'!$B:$B,0))</f>
        <v>Admin</v>
      </c>
      <c r="E77" s="302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2" t="s">
        <v>497</v>
      </c>
      <c r="I77" s="305">
        <v>45782</v>
      </c>
      <c r="J77" s="306"/>
      <c r="K77" s="154">
        <f t="shared" ca="1" si="1"/>
        <v>507</v>
      </c>
      <c r="L77" s="306"/>
      <c r="M77" s="302" t="s">
        <v>338</v>
      </c>
    </row>
    <row r="78" spans="2:13">
      <c r="B78" s="302" t="s">
        <v>624</v>
      </c>
      <c r="C78" s="302" t="s">
        <v>1346</v>
      </c>
      <c r="D78" s="302" t="str">
        <f>INDEX('Employee Mapping'!C:C,MATCH('Combined Employee Worksheet'!$C78,'Employee Mapping'!$B:$B,0))</f>
        <v>Bookkeeper</v>
      </c>
      <c r="E78" s="302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2" t="s">
        <v>497</v>
      </c>
      <c r="I78" s="305">
        <v>46125</v>
      </c>
      <c r="J78" s="306"/>
      <c r="K78" s="154">
        <f t="shared" ca="1" si="1"/>
        <v>164</v>
      </c>
      <c r="L78" s="306"/>
      <c r="M78" s="302" t="s">
        <v>338</v>
      </c>
    </row>
    <row r="79" spans="2:13">
      <c r="B79" s="302" t="s">
        <v>1386</v>
      </c>
      <c r="C79" s="302" t="s">
        <v>1346</v>
      </c>
      <c r="D79" s="302" t="str">
        <f>INDEX('Employee Mapping'!C:C,MATCH('Combined Employee Worksheet'!$C79,'Employee Mapping'!$B:$B,0))</f>
        <v>Bookkeeper</v>
      </c>
      <c r="E79" s="302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2" t="s">
        <v>497</v>
      </c>
      <c r="I79" s="305">
        <v>46177</v>
      </c>
      <c r="J79" s="306"/>
      <c r="K79" s="154">
        <f t="shared" ca="1" si="1"/>
        <v>112</v>
      </c>
      <c r="L79" s="306"/>
      <c r="M79" s="302" t="s">
        <v>338</v>
      </c>
    </row>
    <row r="80" spans="2:13">
      <c r="B80" s="302" t="s">
        <v>565</v>
      </c>
      <c r="C80" s="302" t="s">
        <v>1407</v>
      </c>
      <c r="D80" s="302" t="str">
        <f>INDEX('Employee Mapping'!C:C,MATCH('Combined Employee Worksheet'!$C80,'Employee Mapping'!$B:$B,0))</f>
        <v>Bookkeeper</v>
      </c>
      <c r="E80" s="302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2" t="s">
        <v>497</v>
      </c>
      <c r="I80" s="305">
        <v>45894</v>
      </c>
      <c r="J80" s="306"/>
      <c r="K80" s="154">
        <f t="shared" ca="1" si="1"/>
        <v>395</v>
      </c>
      <c r="L80" s="306"/>
      <c r="M80" s="302" t="s">
        <v>1425</v>
      </c>
    </row>
    <row r="81" spans="2:13">
      <c r="B81" s="302" t="s">
        <v>576</v>
      </c>
      <c r="C81" s="302" t="s">
        <v>1346</v>
      </c>
      <c r="D81" s="302" t="str">
        <f>INDEX('Employee Mapping'!C:C,MATCH('Combined Employee Worksheet'!$C81,'Employee Mapping'!$B:$B,0))</f>
        <v>Bookkeeper</v>
      </c>
      <c r="E81" s="302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2" t="s">
        <v>497</v>
      </c>
      <c r="I81" s="305">
        <v>46205</v>
      </c>
      <c r="J81" s="306"/>
      <c r="K81" s="154">
        <f t="shared" ca="1" si="1"/>
        <v>84</v>
      </c>
      <c r="L81" s="306"/>
      <c r="M81" s="302" t="s">
        <v>338</v>
      </c>
    </row>
    <row r="82" spans="2:13">
      <c r="B82" s="302" t="s">
        <v>556</v>
      </c>
      <c r="C82" s="302" t="s">
        <v>1346</v>
      </c>
      <c r="D82" s="302" t="str">
        <f>INDEX('Employee Mapping'!C:C,MATCH('Combined Employee Worksheet'!$C82,'Employee Mapping'!$B:$B,0))</f>
        <v>Bookkeeper</v>
      </c>
      <c r="E82" s="302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2" t="s">
        <v>497</v>
      </c>
      <c r="I82" s="305">
        <v>45964</v>
      </c>
      <c r="J82" s="306"/>
      <c r="K82" s="154">
        <f t="shared" ca="1" si="1"/>
        <v>325</v>
      </c>
      <c r="L82" s="306"/>
      <c r="M82" s="302" t="s">
        <v>338</v>
      </c>
    </row>
    <row r="83" spans="2:13">
      <c r="B83" s="302" t="s">
        <v>1426</v>
      </c>
      <c r="C83" s="302" t="s">
        <v>1427</v>
      </c>
      <c r="D83" s="302" t="str">
        <f>INDEX('Employee Mapping'!C:C,MATCH('Combined Employee Worksheet'!$C83,'Employee Mapping'!$B:$B,0))</f>
        <v>Onboarding Support</v>
      </c>
      <c r="E83" s="302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2" t="s">
        <v>497</v>
      </c>
      <c r="I83" s="305">
        <v>45894</v>
      </c>
      <c r="J83" s="306"/>
      <c r="K83" s="154">
        <f t="shared" ca="1" si="1"/>
        <v>395</v>
      </c>
      <c r="L83" s="306"/>
      <c r="M83" s="302" t="s">
        <v>338</v>
      </c>
    </row>
    <row r="84" spans="2:13">
      <c r="B84" s="302" t="s">
        <v>877</v>
      </c>
      <c r="C84" s="302" t="s">
        <v>1477</v>
      </c>
      <c r="D84" s="302" t="str">
        <f>INDEX('Employee Mapping'!C:C,MATCH('Combined Employee Worksheet'!$C84,'Employee Mapping'!$B:$B,0))</f>
        <v>Client Lead</v>
      </c>
      <c r="E84" s="302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2" t="s">
        <v>497</v>
      </c>
      <c r="I84" s="305">
        <v>45404</v>
      </c>
      <c r="J84" s="306"/>
      <c r="K84" s="154">
        <f t="shared" ca="1" si="1"/>
        <v>885</v>
      </c>
      <c r="L84" s="306"/>
      <c r="M84" s="302" t="s">
        <v>338</v>
      </c>
    </row>
    <row r="85" spans="2:13">
      <c r="B85" s="302" t="s">
        <v>581</v>
      </c>
      <c r="C85" s="302" t="s">
        <v>491</v>
      </c>
      <c r="D85" s="302" t="str">
        <f>INDEX('Employee Mapping'!C:C,MATCH('Combined Employee Worksheet'!$C85,'Employee Mapping'!$B:$B,0))</f>
        <v>Client Lead</v>
      </c>
      <c r="E85" s="302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2" t="s">
        <v>497</v>
      </c>
      <c r="I85" s="305">
        <v>45075</v>
      </c>
      <c r="J85" s="306"/>
      <c r="K85" s="154">
        <f t="shared" ca="1" si="1"/>
        <v>1214</v>
      </c>
      <c r="L85" s="306"/>
      <c r="M85" s="302" t="s">
        <v>338</v>
      </c>
    </row>
    <row r="86" spans="2:13">
      <c r="B86" s="302" t="s">
        <v>1385</v>
      </c>
      <c r="C86" s="302" t="s">
        <v>1346</v>
      </c>
      <c r="D86" s="302" t="str">
        <f>INDEX('Employee Mapping'!C:C,MATCH('Combined Employee Worksheet'!$C86,'Employee Mapping'!$B:$B,0))</f>
        <v>Bookkeeper</v>
      </c>
      <c r="E86" s="302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2" t="s">
        <v>497</v>
      </c>
      <c r="I86" s="305">
        <v>45936</v>
      </c>
      <c r="J86" s="306"/>
      <c r="K86" s="154">
        <f t="shared" ca="1" si="1"/>
        <v>353</v>
      </c>
      <c r="L86" s="306"/>
      <c r="M86" s="302" t="s">
        <v>338</v>
      </c>
    </row>
    <row r="87" spans="2:13">
      <c r="B87" s="302" t="s">
        <v>1359</v>
      </c>
      <c r="C87" s="302" t="s">
        <v>1361</v>
      </c>
      <c r="D87" s="302" t="str">
        <f>INDEX('Employee Mapping'!C:C,MATCH('Combined Employee Worksheet'!$C87,'Employee Mapping'!$B:$B,0))</f>
        <v>Accounting Manager</v>
      </c>
      <c r="E87" s="302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2" t="s">
        <v>497</v>
      </c>
      <c r="I87" s="305">
        <v>46244</v>
      </c>
      <c r="J87" s="306"/>
      <c r="K87" s="154">
        <f t="shared" ca="1" si="1"/>
        <v>45</v>
      </c>
      <c r="L87" s="306"/>
      <c r="M87" s="302" t="s">
        <v>338</v>
      </c>
    </row>
    <row r="88" spans="2:13">
      <c r="B88" s="302" t="s">
        <v>1377</v>
      </c>
      <c r="C88" s="302" t="s">
        <v>1346</v>
      </c>
      <c r="D88" s="302" t="str">
        <f>INDEX('Employee Mapping'!C:C,MATCH('Combined Employee Worksheet'!$C88,'Employee Mapping'!$B:$B,0))</f>
        <v>Bookkeeper</v>
      </c>
      <c r="E88" s="302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2" t="s">
        <v>497</v>
      </c>
      <c r="I88" s="305">
        <v>46227</v>
      </c>
      <c r="J88" s="306"/>
      <c r="K88" s="154">
        <f t="shared" ca="1" si="1"/>
        <v>62</v>
      </c>
      <c r="L88" s="306"/>
      <c r="M88" s="302" t="s">
        <v>338</v>
      </c>
    </row>
    <row r="89" spans="2:13">
      <c r="B89" s="302" t="s">
        <v>1465</v>
      </c>
      <c r="C89" s="302" t="s">
        <v>1346</v>
      </c>
      <c r="D89" s="302" t="str">
        <f>INDEX('Employee Mapping'!C:C,MATCH('Combined Employee Worksheet'!$C89,'Employee Mapping'!$B:$B,0))</f>
        <v>Bookkeeper</v>
      </c>
      <c r="E89" s="302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2" t="s">
        <v>497</v>
      </c>
      <c r="I89" s="305">
        <v>45565</v>
      </c>
      <c r="J89" s="306"/>
      <c r="K89" s="154">
        <f t="shared" ca="1" si="1"/>
        <v>724</v>
      </c>
      <c r="L89" s="306"/>
      <c r="M89" s="302" t="s">
        <v>338</v>
      </c>
    </row>
    <row r="90" spans="2:13">
      <c r="B90" s="302" t="s">
        <v>523</v>
      </c>
      <c r="C90" s="302" t="s">
        <v>1367</v>
      </c>
      <c r="D90" s="302" t="str">
        <f>INDEX('Employee Mapping'!C:C,MATCH('Combined Employee Worksheet'!$C90,'Employee Mapping'!$B:$B,0))</f>
        <v>Admin</v>
      </c>
      <c r="E90" s="302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2" t="s">
        <v>497</v>
      </c>
      <c r="I90" s="305">
        <v>45992</v>
      </c>
      <c r="J90" s="306"/>
      <c r="K90" s="154">
        <f t="shared" ca="1" si="1"/>
        <v>297</v>
      </c>
      <c r="L90" s="306"/>
      <c r="M90" s="302" t="s">
        <v>338</v>
      </c>
    </row>
    <row r="91" spans="2:13">
      <c r="B91" s="302" t="s">
        <v>1472</v>
      </c>
      <c r="C91" s="302" t="s">
        <v>1407</v>
      </c>
      <c r="D91" s="302" t="str">
        <f>INDEX('Employee Mapping'!C:C,MATCH('Combined Employee Worksheet'!$C91,'Employee Mapping'!$B:$B,0))</f>
        <v>Bookkeeper</v>
      </c>
      <c r="E91" s="302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2" t="s">
        <v>497</v>
      </c>
      <c r="I91" s="305">
        <v>45502</v>
      </c>
      <c r="J91" s="306"/>
      <c r="K91" s="154">
        <f t="shared" ca="1" si="1"/>
        <v>787</v>
      </c>
      <c r="L91" s="306"/>
      <c r="M91" s="302" t="s">
        <v>338</v>
      </c>
    </row>
    <row r="92" spans="2:13">
      <c r="B92" s="302" t="s">
        <v>1450</v>
      </c>
      <c r="C92" s="302" t="s">
        <v>1452</v>
      </c>
      <c r="F92" s="82">
        <v>950</v>
      </c>
      <c r="G92" s="82">
        <v>0</v>
      </c>
      <c r="H92" s="302" t="s">
        <v>497</v>
      </c>
      <c r="I92" s="305">
        <v>45677</v>
      </c>
      <c r="J92" s="306"/>
      <c r="K92" s="154">
        <f t="shared" ca="1" si="1"/>
        <v>612</v>
      </c>
      <c r="L92" s="306"/>
      <c r="M92" s="302" t="s">
        <v>1809</v>
      </c>
    </row>
    <row r="93" spans="2:13" ht="12" customHeight="1">
      <c r="B93" s="302" t="s">
        <v>638</v>
      </c>
      <c r="C93" s="302" t="s">
        <v>1361</v>
      </c>
      <c r="D93" s="302" t="str">
        <f>INDEX('Employee Mapping'!C:C,MATCH('Combined Employee Worksheet'!$C93,'Employee Mapping'!$B:$B,0))</f>
        <v>Accounting Manager</v>
      </c>
      <c r="E93" s="302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2" t="s">
        <v>1806</v>
      </c>
      <c r="I93" s="305">
        <v>44907</v>
      </c>
      <c r="J93" s="305">
        <v>46244</v>
      </c>
      <c r="K93" s="154">
        <f t="shared" ca="1" si="1"/>
        <v>1337</v>
      </c>
      <c r="L93" s="324" t="str">
        <f>INDEX('Inactive Employees'!$O:$O,MATCH('Combined Employee Worksheet'!$B93,'Inactive Employees'!$A:$A,0))</f>
        <v>Resignation</v>
      </c>
    </row>
    <row r="94" spans="2:13" ht="12" customHeight="1">
      <c r="B94" s="302" t="s">
        <v>1636</v>
      </c>
      <c r="C94" s="302" t="s">
        <v>1346</v>
      </c>
      <c r="D94" s="302" t="str">
        <f>INDEX('Employee Mapping'!C:C,MATCH('Combined Employee Worksheet'!$C94,'Employee Mapping'!$B:$B,0))</f>
        <v>Bookkeeper</v>
      </c>
      <c r="E94" s="302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2" t="s">
        <v>1806</v>
      </c>
      <c r="I94" s="305">
        <v>45170</v>
      </c>
      <c r="J94" s="305">
        <v>46244</v>
      </c>
      <c r="K94" s="154">
        <f t="shared" ca="1" si="1"/>
        <v>1074</v>
      </c>
      <c r="L94" s="324" t="str">
        <f>INDEX('Inactive Employees'!$O:$O,MATCH('Combined Employee Worksheet'!$B94,'Inactive Employees'!$A:$A,0))</f>
        <v>Resignation</v>
      </c>
    </row>
    <row r="95" spans="2:13" ht="12" customHeight="1">
      <c r="B95" s="302" t="s">
        <v>1639</v>
      </c>
      <c r="C95" s="302" t="s">
        <v>1407</v>
      </c>
      <c r="D95" s="302" t="str">
        <f>INDEX('Employee Mapping'!C:C,MATCH('Combined Employee Worksheet'!$C95,'Employee Mapping'!$B:$B,0))</f>
        <v>Bookkeeper</v>
      </c>
      <c r="E95" s="302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2" t="s">
        <v>1806</v>
      </c>
      <c r="I95" s="305">
        <v>45170</v>
      </c>
      <c r="J95" s="305">
        <v>46244</v>
      </c>
      <c r="K95" s="154">
        <f t="shared" ca="1" si="1"/>
        <v>1074</v>
      </c>
      <c r="L95" s="324" t="str">
        <f>INDEX('Inactive Employees'!$O:$O,MATCH('Combined Employee Worksheet'!$B95,'Inactive Employees'!$A:$A,0))</f>
        <v>Resignation</v>
      </c>
    </row>
    <row r="96" spans="2:13" ht="12" customHeight="1">
      <c r="B96" s="302" t="s">
        <v>1737</v>
      </c>
      <c r="C96" s="302" t="s">
        <v>490</v>
      </c>
      <c r="D96" s="302" t="str">
        <f>INDEX('Employee Mapping'!C:C,MATCH('Combined Employee Worksheet'!$C96,'Employee Mapping'!$B:$B,0))</f>
        <v>Bookkeeper</v>
      </c>
      <c r="E96" s="302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2" t="s">
        <v>1806</v>
      </c>
      <c r="I96" s="305">
        <v>45250</v>
      </c>
      <c r="J96" s="305">
        <v>45798</v>
      </c>
      <c r="K96" s="154">
        <f t="shared" ca="1" si="1"/>
        <v>548</v>
      </c>
      <c r="L96" s="324" t="str">
        <f>INDEX('Inactive Employees'!$O:$O,MATCH('Combined Employee Worksheet'!$B96,'Inactive Employees'!$A:$A,0))</f>
        <v>Resignation</v>
      </c>
    </row>
    <row r="97" spans="2:12" ht="12" customHeight="1">
      <c r="B97" s="302" t="s">
        <v>1725</v>
      </c>
      <c r="C97" s="302" t="s">
        <v>490</v>
      </c>
      <c r="D97" s="302" t="str">
        <f>INDEX('Employee Mapping'!C:C,MATCH('Combined Employee Worksheet'!$C97,'Employee Mapping'!$B:$B,0))</f>
        <v>Bookkeeper</v>
      </c>
      <c r="E97" s="302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2" t="s">
        <v>1806</v>
      </c>
      <c r="I97" s="305">
        <v>45357</v>
      </c>
      <c r="J97" s="305">
        <v>45895</v>
      </c>
      <c r="K97" s="154">
        <f t="shared" ca="1" si="1"/>
        <v>538</v>
      </c>
      <c r="L97" s="324" t="str">
        <f>INDEX('Inactive Employees'!$O:$O,MATCH('Combined Employee Worksheet'!$B97,'Inactive Employees'!$A:$A,0))</f>
        <v>Termination</v>
      </c>
    </row>
    <row r="98" spans="2:12" ht="12" customHeight="1">
      <c r="B98" s="302" t="s">
        <v>1716</v>
      </c>
      <c r="C98" s="302" t="s">
        <v>490</v>
      </c>
      <c r="D98" s="302" t="str">
        <f>INDEX('Employee Mapping'!C:C,MATCH('Combined Employee Worksheet'!$C98,'Employee Mapping'!$B:$B,0))</f>
        <v>Bookkeeper</v>
      </c>
      <c r="E98" s="302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2" t="s">
        <v>1806</v>
      </c>
      <c r="I98" s="305">
        <v>45558</v>
      </c>
      <c r="J98" s="305">
        <v>45987</v>
      </c>
      <c r="K98" s="154">
        <f t="shared" ca="1" si="1"/>
        <v>429</v>
      </c>
      <c r="L98" s="324" t="str">
        <f>INDEX('Inactive Employees'!$O:$O,MATCH('Combined Employee Worksheet'!$B98,'Inactive Employees'!$A:$A,0))</f>
        <v>Termination</v>
      </c>
    </row>
    <row r="99" spans="2:12" ht="12" customHeight="1">
      <c r="B99" s="302" t="s">
        <v>1750</v>
      </c>
      <c r="C99" s="302" t="s">
        <v>491</v>
      </c>
      <c r="D99" s="302" t="str">
        <f>INDEX('Employee Mapping'!C:C,MATCH('Combined Employee Worksheet'!$C99,'Employee Mapping'!$B:$B,0))</f>
        <v>Client Lead</v>
      </c>
      <c r="E99" s="302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2" t="s">
        <v>1806</v>
      </c>
      <c r="I99" s="305">
        <v>45286</v>
      </c>
      <c r="J99" s="305">
        <v>45712</v>
      </c>
      <c r="K99" s="154">
        <f t="shared" ca="1" si="1"/>
        <v>426</v>
      </c>
      <c r="L99" s="324" t="str">
        <f>INDEX('Inactive Employees'!$O:$O,MATCH('Combined Employee Worksheet'!$B99,'Inactive Employees'!$A:$A,0))</f>
        <v>Resignation</v>
      </c>
    </row>
    <row r="100" spans="2:12" ht="12" customHeight="1">
      <c r="B100" s="302" t="s">
        <v>1762</v>
      </c>
      <c r="C100" s="302" t="s">
        <v>1765</v>
      </c>
      <c r="D100" s="302" t="str">
        <f>INDEX('Employee Mapping'!C:C,MATCH('Combined Employee Worksheet'!$C100,'Employee Mapping'!$B:$B,0))</f>
        <v>Onboarding Specialist</v>
      </c>
      <c r="E100" s="302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2" t="s">
        <v>1806</v>
      </c>
      <c r="I100" s="305">
        <v>45271</v>
      </c>
      <c r="J100" s="305">
        <v>45688</v>
      </c>
      <c r="K100" s="154">
        <f t="shared" ca="1" si="1"/>
        <v>417</v>
      </c>
      <c r="L100" s="324" t="str">
        <f>INDEX('Inactive Employees'!$O:$O,MATCH('Combined Employee Worksheet'!$B100,'Inactive Employees'!$A:$A,0))</f>
        <v>Termination</v>
      </c>
    </row>
    <row r="101" spans="2:12" ht="12" customHeight="1">
      <c r="B101" s="302" t="s">
        <v>1695</v>
      </c>
      <c r="C101" s="302" t="s">
        <v>1698</v>
      </c>
      <c r="D101" s="302" t="str">
        <f>INDEX('Employee Mapping'!C:C,MATCH('Combined Employee Worksheet'!$C101,'Employee Mapping'!$B:$B,0))</f>
        <v>Tax</v>
      </c>
      <c r="E101" s="302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2" t="s">
        <v>1806</v>
      </c>
      <c r="I101" s="305">
        <v>45639</v>
      </c>
      <c r="J101" s="305">
        <v>46038</v>
      </c>
      <c r="K101" s="154">
        <f t="shared" ca="1" si="1"/>
        <v>399</v>
      </c>
      <c r="L101" s="324" t="str">
        <f>INDEX('Inactive Employees'!$O:$O,MATCH('Combined Employee Worksheet'!$B101,'Inactive Employees'!$A:$A,0))</f>
        <v>Resignation</v>
      </c>
    </row>
    <row r="102" spans="2:12" ht="12" customHeight="1">
      <c r="B102" s="302" t="s">
        <v>1627</v>
      </c>
      <c r="C102" s="302" t="s">
        <v>1628</v>
      </c>
      <c r="D102" s="302" t="str">
        <f>INDEX('Employee Mapping'!C:C,MATCH('Combined Employee Worksheet'!$C102,'Employee Mapping'!$B:$B,0))</f>
        <v>Bookkeeper</v>
      </c>
      <c r="E102" s="302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2" t="s">
        <v>1806</v>
      </c>
      <c r="I102" s="305">
        <v>45866</v>
      </c>
      <c r="J102" s="305">
        <v>46246</v>
      </c>
      <c r="K102" s="154">
        <f t="shared" ca="1" si="1"/>
        <v>380</v>
      </c>
      <c r="L102" s="324" t="str">
        <f>INDEX('Inactive Employees'!$O:$O,MATCH('Combined Employee Worksheet'!$B102,'Inactive Employees'!$A:$A,0))</f>
        <v>Resignation</v>
      </c>
    </row>
    <row r="103" spans="2:12" ht="12" customHeight="1">
      <c r="B103" s="302" t="s">
        <v>1682</v>
      </c>
      <c r="C103" s="302" t="s">
        <v>490</v>
      </c>
      <c r="D103" s="302" t="str">
        <f>INDEX('Employee Mapping'!C:C,MATCH('Combined Employee Worksheet'!$C103,'Employee Mapping'!$B:$B,0))</f>
        <v>Bookkeeper</v>
      </c>
      <c r="E103" s="302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2" t="s">
        <v>1806</v>
      </c>
      <c r="I103" s="305">
        <v>45793</v>
      </c>
      <c r="J103" s="305">
        <v>46148</v>
      </c>
      <c r="K103" s="154">
        <f t="shared" ca="1" si="1"/>
        <v>355</v>
      </c>
      <c r="L103" s="324" t="str">
        <f>INDEX('Inactive Employees'!$O:$O,MATCH('Combined Employee Worksheet'!$B103,'Inactive Employees'!$A:$A,0))</f>
        <v>Resignation</v>
      </c>
    </row>
    <row r="104" spans="2:12" ht="12" customHeight="1">
      <c r="B104" s="302" t="s">
        <v>876</v>
      </c>
      <c r="C104" s="302" t="s">
        <v>1346</v>
      </c>
      <c r="D104" s="302" t="str">
        <f>INDEX('Employee Mapping'!C:C,MATCH('Combined Employee Worksheet'!$C104,'Employee Mapping'!$B:$B,0))</f>
        <v>Bookkeeper</v>
      </c>
      <c r="E104" s="302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2" t="s">
        <v>1806</v>
      </c>
      <c r="I104" s="305">
        <v>45838</v>
      </c>
      <c r="J104" s="305">
        <v>46191</v>
      </c>
      <c r="K104" s="154">
        <f t="shared" ca="1" si="1"/>
        <v>353</v>
      </c>
      <c r="L104" s="324" t="str">
        <f>INDEX('Inactive Employees'!$O:$O,MATCH('Combined Employee Worksheet'!$B104,'Inactive Employees'!$A:$A,0))</f>
        <v>Resignation</v>
      </c>
    </row>
    <row r="105" spans="2:12" ht="12" customHeight="1">
      <c r="B105" s="302" t="s">
        <v>1692</v>
      </c>
      <c r="C105" s="302" t="s">
        <v>491</v>
      </c>
      <c r="D105" s="302" t="str">
        <f>INDEX('Employee Mapping'!C:C,MATCH('Combined Employee Worksheet'!$C105,'Employee Mapping'!$B:$B,0))</f>
        <v>Client Lead</v>
      </c>
      <c r="E105" s="302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2" t="s">
        <v>1806</v>
      </c>
      <c r="I105" s="305">
        <v>45733</v>
      </c>
      <c r="J105" s="305">
        <v>46072</v>
      </c>
      <c r="K105" s="154">
        <f t="shared" ca="1" si="1"/>
        <v>339</v>
      </c>
      <c r="L105" s="324" t="str">
        <f>INDEX('Inactive Employees'!$O:$O,MATCH('Combined Employee Worksheet'!$B105,'Inactive Employees'!$A:$A,0))</f>
        <v>Termination</v>
      </c>
    </row>
    <row r="106" spans="2:12" ht="12" customHeight="1">
      <c r="B106" s="302" t="s">
        <v>1686</v>
      </c>
      <c r="C106" s="302" t="s">
        <v>1398</v>
      </c>
      <c r="D106" s="302" t="str">
        <f>INDEX('Employee Mapping'!C:C,MATCH('Combined Employee Worksheet'!$C106,'Employee Mapping'!$B:$B,0))</f>
        <v>Onboarding Support</v>
      </c>
      <c r="E106" s="302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2" t="s">
        <v>1806</v>
      </c>
      <c r="I106" s="305">
        <v>45777</v>
      </c>
      <c r="J106" s="305">
        <v>46113</v>
      </c>
      <c r="K106" s="154">
        <f t="shared" ca="1" si="1"/>
        <v>336</v>
      </c>
      <c r="L106" s="324" t="str">
        <f>INDEX('Inactive Employees'!$O:$O,MATCH('Combined Employee Worksheet'!$B106,'Inactive Employees'!$A:$A,0))</f>
        <v>Resignation</v>
      </c>
    </row>
    <row r="107" spans="2:12" ht="12" customHeight="1">
      <c r="B107" s="302" t="s">
        <v>1679</v>
      </c>
      <c r="C107" s="302" t="s">
        <v>1346</v>
      </c>
      <c r="D107" s="302" t="str">
        <f>INDEX('Employee Mapping'!C:C,MATCH('Combined Employee Worksheet'!$C107,'Employee Mapping'!$B:$B,0))</f>
        <v>Bookkeeper</v>
      </c>
      <c r="E107" s="302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2" t="s">
        <v>1806</v>
      </c>
      <c r="I107" s="305">
        <v>45824</v>
      </c>
      <c r="J107" s="305">
        <v>46157</v>
      </c>
      <c r="K107" s="154">
        <f t="shared" ca="1" si="1"/>
        <v>333</v>
      </c>
      <c r="L107" s="324" t="str">
        <f>INDEX('Inactive Employees'!$O:$O,MATCH('Combined Employee Worksheet'!$B107,'Inactive Employees'!$A:$A,0))</f>
        <v>Resignation</v>
      </c>
    </row>
    <row r="108" spans="2:12" ht="12" customHeight="1">
      <c r="B108" s="302" t="s">
        <v>1710</v>
      </c>
      <c r="C108" s="302" t="s">
        <v>1398</v>
      </c>
      <c r="D108" s="302" t="str">
        <f>INDEX('Employee Mapping'!C:C,MATCH('Combined Employee Worksheet'!$C108,'Employee Mapping'!$B:$B,0))</f>
        <v>Onboarding Support</v>
      </c>
      <c r="E108" s="302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2" t="s">
        <v>1806</v>
      </c>
      <c r="I108" s="305">
        <v>45677</v>
      </c>
      <c r="J108" s="305">
        <v>45989</v>
      </c>
      <c r="K108" s="154">
        <f t="shared" ca="1" si="1"/>
        <v>312</v>
      </c>
      <c r="L108" s="324" t="str">
        <f>INDEX('Inactive Employees'!$O:$O,MATCH('Combined Employee Worksheet'!$B108,'Inactive Employees'!$A:$A,0))</f>
        <v>Resignation</v>
      </c>
    </row>
    <row r="109" spans="2:12" ht="12" customHeight="1">
      <c r="B109" s="302" t="s">
        <v>1704</v>
      </c>
      <c r="C109" s="302" t="s">
        <v>1361</v>
      </c>
      <c r="D109" s="302" t="str">
        <f>INDEX('Employee Mapping'!C:C,MATCH('Combined Employee Worksheet'!$C109,'Employee Mapping'!$B:$B,0))</f>
        <v>Accounting Manager</v>
      </c>
      <c r="E109" s="302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2" t="s">
        <v>1806</v>
      </c>
      <c r="I109" s="305">
        <v>45747</v>
      </c>
      <c r="J109" s="305">
        <v>46014</v>
      </c>
      <c r="K109" s="154">
        <f t="shared" ca="1" si="1"/>
        <v>267</v>
      </c>
      <c r="L109" s="324" t="str">
        <f>INDEX('Inactive Employees'!$O:$O,MATCH('Combined Employee Worksheet'!$B109,'Inactive Employees'!$A:$A,0))</f>
        <v>Resignation</v>
      </c>
    </row>
    <row r="110" spans="2:12" ht="12" customHeight="1">
      <c r="B110" s="302" t="s">
        <v>1754</v>
      </c>
      <c r="C110" s="302" t="s">
        <v>1756</v>
      </c>
      <c r="D110" s="302" t="str">
        <f>INDEX('Employee Mapping'!C:C,MATCH('Combined Employee Worksheet'!$C110,'Employee Mapping'!$B:$B,0))</f>
        <v>Leadership</v>
      </c>
      <c r="E110" s="302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2" t="s">
        <v>1806</v>
      </c>
      <c r="I110" s="305">
        <v>45434</v>
      </c>
      <c r="J110" s="305">
        <v>45698</v>
      </c>
      <c r="K110" s="154">
        <f t="shared" ca="1" si="1"/>
        <v>264</v>
      </c>
      <c r="L110" s="324" t="str">
        <f>INDEX('Inactive Employees'!$O:$O,MATCH('Combined Employee Worksheet'!$B110,'Inactive Employees'!$A:$A,0))</f>
        <v>Termination</v>
      </c>
    </row>
    <row r="111" spans="2:12" ht="12" customHeight="1">
      <c r="B111" s="302" t="s">
        <v>1400</v>
      </c>
      <c r="C111" s="302" t="s">
        <v>491</v>
      </c>
      <c r="D111" s="302" t="str">
        <f>INDEX('Employee Mapping'!C:C,MATCH('Combined Employee Worksheet'!$C111,'Employee Mapping'!$B:$B,0))</f>
        <v>Client Lead</v>
      </c>
      <c r="E111" s="302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2" t="s">
        <v>1806</v>
      </c>
      <c r="I111" s="305">
        <v>46071</v>
      </c>
      <c r="J111" s="305">
        <v>46273</v>
      </c>
      <c r="K111" s="154">
        <f t="shared" ca="1" si="1"/>
        <v>202</v>
      </c>
      <c r="L111" s="324" t="str">
        <f>INDEX('Inactive Employees'!$O:$O,MATCH('Combined Employee Worksheet'!$B111,'Inactive Employees'!$A:$A,0))</f>
        <v>Resignation</v>
      </c>
    </row>
    <row r="112" spans="2:12" ht="12" customHeight="1">
      <c r="B112" s="302" t="s">
        <v>852</v>
      </c>
      <c r="C112" s="302" t="s">
        <v>1470</v>
      </c>
      <c r="D112" s="302" t="str">
        <f>INDEX('Employee Mapping'!C:C,MATCH('Combined Employee Worksheet'!$C112,'Employee Mapping'!$B:$B,0))</f>
        <v>Onboarding Specialist</v>
      </c>
      <c r="E112" s="302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2" t="s">
        <v>1806</v>
      </c>
      <c r="I112" s="305">
        <v>45999</v>
      </c>
      <c r="J112" s="305">
        <v>46171</v>
      </c>
      <c r="K112" s="154">
        <f t="shared" ca="1" si="1"/>
        <v>172</v>
      </c>
      <c r="L112" s="324" t="str">
        <f>INDEX('Inactive Employees'!$O:$O,MATCH('Combined Employee Worksheet'!$B112,'Inactive Employees'!$A:$A,0))</f>
        <v>Termination</v>
      </c>
    </row>
    <row r="113" spans="2:12" ht="12" customHeight="1">
      <c r="B113" s="302" t="s">
        <v>851</v>
      </c>
      <c r="C113" s="302" t="s">
        <v>1398</v>
      </c>
      <c r="D113" s="302" t="str">
        <f>INDEX('Employee Mapping'!C:C,MATCH('Combined Employee Worksheet'!$C113,'Employee Mapping'!$B:$B,0))</f>
        <v>Onboarding Support</v>
      </c>
      <c r="E113" s="302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2" t="s">
        <v>1806</v>
      </c>
      <c r="I113" s="305">
        <v>46002</v>
      </c>
      <c r="J113" s="305">
        <v>46171</v>
      </c>
      <c r="K113" s="154">
        <f t="shared" ca="1" si="1"/>
        <v>169</v>
      </c>
      <c r="L113" s="324" t="str">
        <f>INDEX('Inactive Employees'!$O:$O,MATCH('Combined Employee Worksheet'!$B113,'Inactive Employees'!$A:$A,0))</f>
        <v>Termination</v>
      </c>
    </row>
    <row r="114" spans="2:12" ht="12" customHeight="1">
      <c r="B114" s="302" t="s">
        <v>1760</v>
      </c>
      <c r="C114" s="302" t="s">
        <v>491</v>
      </c>
      <c r="D114" s="302" t="str">
        <f>INDEX('Employee Mapping'!C:C,MATCH('Combined Employee Worksheet'!$C114,'Employee Mapping'!$B:$B,0))</f>
        <v>Client Lead</v>
      </c>
      <c r="E114" s="302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2" t="s">
        <v>1806</v>
      </c>
      <c r="I114" s="305">
        <v>45526</v>
      </c>
      <c r="J114" s="305">
        <v>45691</v>
      </c>
      <c r="K114" s="154">
        <f t="shared" ca="1" si="1"/>
        <v>165</v>
      </c>
      <c r="L114" s="324" t="str">
        <f>INDEX('Inactive Employees'!$O:$O,MATCH('Combined Employee Worksheet'!$B114,'Inactive Employees'!$A:$A,0))</f>
        <v>Termination</v>
      </c>
    </row>
    <row r="115" spans="2:12" ht="12" customHeight="1">
      <c r="B115" s="302" t="s">
        <v>1659</v>
      </c>
      <c r="C115" s="302" t="s">
        <v>1398</v>
      </c>
      <c r="D115" s="302" t="str">
        <f>INDEX('Employee Mapping'!C:C,MATCH('Combined Employee Worksheet'!$C115,'Employee Mapping'!$B:$B,0))</f>
        <v>Onboarding Support</v>
      </c>
      <c r="E115" s="302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2" t="s">
        <v>1806</v>
      </c>
      <c r="I115" s="305">
        <v>46065</v>
      </c>
      <c r="J115" s="305">
        <v>46204</v>
      </c>
      <c r="K115" s="154">
        <f t="shared" ca="1" si="1"/>
        <v>139</v>
      </c>
      <c r="L115" s="324" t="str">
        <f>INDEX('Inactive Employees'!$O:$O,MATCH('Combined Employee Worksheet'!$B115,'Inactive Employees'!$A:$A,0))</f>
        <v>Termination</v>
      </c>
    </row>
    <row r="116" spans="2:12" ht="12" customHeight="1">
      <c r="B116" s="302" t="s">
        <v>1672</v>
      </c>
      <c r="C116" s="302" t="s">
        <v>1676</v>
      </c>
      <c r="D116" s="302" t="str">
        <f>INDEX('Employee Mapping'!C:C,MATCH('Combined Employee Worksheet'!$C116,'Employee Mapping'!$B:$B,0))</f>
        <v>Admin</v>
      </c>
      <c r="E116" s="302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2" t="s">
        <v>1806</v>
      </c>
      <c r="I116" s="305">
        <v>46029</v>
      </c>
      <c r="J116" s="305">
        <v>46168</v>
      </c>
      <c r="K116" s="154">
        <f t="shared" ca="1" si="1"/>
        <v>139</v>
      </c>
      <c r="L116" s="324" t="str">
        <f>INDEX('Inactive Employees'!$O:$O,MATCH('Combined Employee Worksheet'!$B116,'Inactive Employees'!$A:$A,0))</f>
        <v>Termination</v>
      </c>
    </row>
    <row r="117" spans="2:12" ht="12" customHeight="1">
      <c r="B117" s="302" t="s">
        <v>1642</v>
      </c>
      <c r="C117" s="302" t="s">
        <v>1340</v>
      </c>
      <c r="D117" s="302" t="str">
        <f>INDEX('Employee Mapping'!C:C,MATCH('Combined Employee Worksheet'!$C117,'Employee Mapping'!$B:$B,0))</f>
        <v>Tax</v>
      </c>
      <c r="E117" s="302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2" t="s">
        <v>1806</v>
      </c>
      <c r="I117" s="305">
        <v>46111</v>
      </c>
      <c r="J117" s="305">
        <v>46232</v>
      </c>
      <c r="K117" s="154">
        <f t="shared" ca="1" si="1"/>
        <v>121</v>
      </c>
      <c r="L117" s="324" t="str">
        <f>INDEX('Inactive Employees'!$O:$O,MATCH('Combined Employee Worksheet'!$B117,'Inactive Employees'!$A:$A,0))</f>
        <v>Resignation</v>
      </c>
    </row>
    <row r="118" spans="2:12" ht="12" customHeight="1">
      <c r="B118" s="302" t="s">
        <v>648</v>
      </c>
      <c r="C118" s="302" t="s">
        <v>491</v>
      </c>
      <c r="D118" s="302" t="str">
        <f>INDEX('Employee Mapping'!C:C,MATCH('Combined Employee Worksheet'!$C118,'Employee Mapping'!$B:$B,0))</f>
        <v>Client Lead</v>
      </c>
      <c r="E118" s="302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2" t="s">
        <v>1806</v>
      </c>
      <c r="I118" s="305">
        <v>46162</v>
      </c>
      <c r="J118" s="305">
        <v>46268</v>
      </c>
      <c r="K118" s="154">
        <f t="shared" ca="1" si="1"/>
        <v>106</v>
      </c>
      <c r="L118" s="324" t="str">
        <f>INDEX('Inactive Employees'!$O:$O,MATCH('Combined Employee Worksheet'!$B118,'Inactive Employees'!$A:$A,0))</f>
        <v>Resignation</v>
      </c>
    </row>
    <row r="119" spans="2:12" ht="12" customHeight="1">
      <c r="B119" s="302" t="s">
        <v>1731</v>
      </c>
      <c r="C119" s="302" t="s">
        <v>491</v>
      </c>
      <c r="D119" s="302" t="str">
        <f>INDEX('Employee Mapping'!C:C,MATCH('Combined Employee Worksheet'!$C119,'Employee Mapping'!$B:$B,0))</f>
        <v>Client Lead</v>
      </c>
      <c r="E119" s="302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2" t="s">
        <v>1806</v>
      </c>
      <c r="I119" s="305">
        <v>45726</v>
      </c>
      <c r="J119" s="305">
        <v>45831</v>
      </c>
      <c r="K119" s="154">
        <f t="shared" ca="1" si="1"/>
        <v>105</v>
      </c>
      <c r="L119" s="324" t="str">
        <f>INDEX('Inactive Employees'!$O:$O,MATCH('Combined Employee Worksheet'!$B119,'Inactive Employees'!$A:$A,0))</f>
        <v>Termination</v>
      </c>
    </row>
    <row r="120" spans="2:12" ht="12" customHeight="1">
      <c r="B120" s="302" t="s">
        <v>1713</v>
      </c>
      <c r="C120" s="302" t="s">
        <v>1691</v>
      </c>
      <c r="D120" s="302" t="str">
        <f>INDEX('Employee Mapping'!C:C,MATCH('Combined Employee Worksheet'!$C120,'Employee Mapping'!$B:$B,0))</f>
        <v>Tax</v>
      </c>
      <c r="E120" s="302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2" t="s">
        <v>1806</v>
      </c>
      <c r="I120" s="305">
        <v>45887</v>
      </c>
      <c r="J120" s="305">
        <v>45988</v>
      </c>
      <c r="K120" s="154">
        <f t="shared" ca="1" si="1"/>
        <v>101</v>
      </c>
      <c r="L120" s="324" t="str">
        <f>INDEX('Inactive Employees'!$O:$O,MATCH('Combined Employee Worksheet'!$B120,'Inactive Employees'!$A:$A,0))</f>
        <v>Resignation</v>
      </c>
    </row>
    <row r="121" spans="2:12" ht="12" customHeight="1">
      <c r="B121" s="302" t="s">
        <v>1748</v>
      </c>
      <c r="C121" s="302" t="s">
        <v>491</v>
      </c>
      <c r="D121" s="302" t="str">
        <f>INDEX('Employee Mapping'!C:C,MATCH('Combined Employee Worksheet'!$C121,'Employee Mapping'!$B:$B,0))</f>
        <v>Client Lead</v>
      </c>
      <c r="E121" s="302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2" t="s">
        <v>1806</v>
      </c>
      <c r="I121" s="305">
        <v>45628</v>
      </c>
      <c r="J121" s="305">
        <v>45723</v>
      </c>
      <c r="K121" s="154">
        <f t="shared" ca="1" si="1"/>
        <v>95</v>
      </c>
      <c r="L121" s="324" t="str">
        <f>INDEX('Inactive Employees'!$O:$O,MATCH('Combined Employee Worksheet'!$B121,'Inactive Employees'!$A:$A,0))</f>
        <v>Resignation</v>
      </c>
    </row>
    <row r="122" spans="2:12" ht="12" customHeight="1">
      <c r="B122" s="302" t="s">
        <v>833</v>
      </c>
      <c r="C122" s="302" t="s">
        <v>491</v>
      </c>
      <c r="D122" s="302" t="str">
        <f>INDEX('Employee Mapping'!C:C,MATCH('Combined Employee Worksheet'!$C122,'Employee Mapping'!$B:$B,0))</f>
        <v>Client Lead</v>
      </c>
      <c r="E122" s="302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2" t="s">
        <v>1806</v>
      </c>
      <c r="I122" s="305">
        <v>46118</v>
      </c>
      <c r="J122" s="305">
        <v>46196</v>
      </c>
      <c r="K122" s="154">
        <f t="shared" ca="1" si="1"/>
        <v>78</v>
      </c>
      <c r="L122" s="324" t="str">
        <f>INDEX('Inactive Employees'!$O:$O,MATCH('Combined Employee Worksheet'!$B122,'Inactive Employees'!$A:$A,0))</f>
        <v>Unclassified</v>
      </c>
    </row>
    <row r="123" spans="2:12" ht="12" customHeight="1">
      <c r="B123" s="302" t="s">
        <v>1735</v>
      </c>
      <c r="C123" s="302" t="s">
        <v>1407</v>
      </c>
      <c r="D123" s="302" t="str">
        <f>INDEX('Employee Mapping'!C:C,MATCH('Combined Employee Worksheet'!$C123,'Employee Mapping'!$B:$B,0))</f>
        <v>Bookkeeper</v>
      </c>
      <c r="E123" s="302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2" t="s">
        <v>1806</v>
      </c>
      <c r="I123" s="305">
        <v>45743</v>
      </c>
      <c r="J123" s="305">
        <v>45810</v>
      </c>
      <c r="K123" s="154">
        <f t="shared" ca="1" si="1"/>
        <v>67</v>
      </c>
      <c r="L123" s="324" t="str">
        <f>INDEX('Inactive Employees'!$O:$O,MATCH('Combined Employee Worksheet'!$B123,'Inactive Employees'!$A:$A,0))</f>
        <v>Resignation</v>
      </c>
    </row>
    <row r="124" spans="2:12" ht="12" customHeight="1">
      <c r="B124" s="302" t="s">
        <v>574</v>
      </c>
      <c r="C124" s="302" t="s">
        <v>1346</v>
      </c>
      <c r="D124" s="302" t="str">
        <f>INDEX('Employee Mapping'!C:C,MATCH('Combined Employee Worksheet'!$C124,'Employee Mapping'!$B:$B,0))</f>
        <v>Bookkeeper</v>
      </c>
      <c r="E124" s="302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2" t="s">
        <v>1806</v>
      </c>
      <c r="I124" s="305">
        <v>46148</v>
      </c>
      <c r="J124" s="305">
        <v>46212</v>
      </c>
      <c r="K124" s="154">
        <f t="shared" ca="1" si="1"/>
        <v>64</v>
      </c>
      <c r="L124" s="324" t="str">
        <f>INDEX('Inactive Employees'!$O:$O,MATCH('Combined Employee Worksheet'!$B124,'Inactive Employees'!$A:$A,0))</f>
        <v>Unclassified</v>
      </c>
    </row>
    <row r="125" spans="2:12" ht="12" customHeight="1">
      <c r="B125" s="302" t="s">
        <v>1722</v>
      </c>
      <c r="C125" s="302" t="s">
        <v>1346</v>
      </c>
      <c r="D125" s="302" t="str">
        <f>INDEX('Employee Mapping'!C:C,MATCH('Combined Employee Worksheet'!$C125,'Employee Mapping'!$B:$B,0))</f>
        <v>Bookkeeper</v>
      </c>
      <c r="E125" s="302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2" t="s">
        <v>1806</v>
      </c>
      <c r="I125" s="305">
        <v>45908</v>
      </c>
      <c r="J125" s="305">
        <v>45966</v>
      </c>
      <c r="K125" s="154">
        <f t="shared" ca="1" si="1"/>
        <v>58</v>
      </c>
      <c r="L125" s="324" t="str">
        <f>INDEX('Inactive Employees'!$O:$O,MATCH('Combined Employee Worksheet'!$B125,'Inactive Employees'!$A:$A,0))</f>
        <v>Termination</v>
      </c>
    </row>
    <row r="126" spans="2:12" ht="12" customHeight="1">
      <c r="B126" s="302" t="s">
        <v>1649</v>
      </c>
      <c r="C126" s="302" t="s">
        <v>1398</v>
      </c>
      <c r="D126" s="302" t="str">
        <f>INDEX('Employee Mapping'!C:C,MATCH('Combined Employee Worksheet'!$C126,'Employee Mapping'!$B:$B,0))</f>
        <v>Onboarding Support</v>
      </c>
      <c r="E126" s="302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2" t="s">
        <v>1806</v>
      </c>
      <c r="I126" s="305">
        <v>46167</v>
      </c>
      <c r="J126" s="305">
        <v>46224</v>
      </c>
      <c r="K126" s="154">
        <f t="shared" ca="1" si="1"/>
        <v>57</v>
      </c>
      <c r="L126" s="324" t="str">
        <f>INDEX('Inactive Employees'!$O:$O,MATCH('Combined Employee Worksheet'!$B126,'Inactive Employees'!$A:$A,0))</f>
        <v>Resignation</v>
      </c>
    </row>
    <row r="127" spans="2:12" ht="12" customHeight="1">
      <c r="B127" s="302" t="s">
        <v>1684</v>
      </c>
      <c r="C127" s="302" t="s">
        <v>491</v>
      </c>
      <c r="D127" s="302" t="str">
        <f>INDEX('Employee Mapping'!C:C,MATCH('Combined Employee Worksheet'!$C127,'Employee Mapping'!$B:$B,0))</f>
        <v>Client Lead</v>
      </c>
      <c r="E127" s="302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2" t="s">
        <v>1806</v>
      </c>
      <c r="I127" s="305">
        <v>46091</v>
      </c>
      <c r="J127" s="305">
        <v>46143</v>
      </c>
      <c r="K127" s="154">
        <f t="shared" ca="1" si="1"/>
        <v>52</v>
      </c>
      <c r="L127" s="324" t="str">
        <f>INDEX('Inactive Employees'!$O:$O,MATCH('Combined Employee Worksheet'!$B127,'Inactive Employees'!$A:$A,0))</f>
        <v>Resignation</v>
      </c>
    </row>
    <row r="128" spans="2:12" ht="12" customHeight="1">
      <c r="B128" s="302" t="s">
        <v>1700</v>
      </c>
      <c r="C128" s="302" t="s">
        <v>1691</v>
      </c>
      <c r="D128" s="302" t="str">
        <f>INDEX('Employee Mapping'!C:C,MATCH('Combined Employee Worksheet'!$C128,'Employee Mapping'!$B:$B,0))</f>
        <v>Tax</v>
      </c>
      <c r="E128" s="302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2" t="s">
        <v>1806</v>
      </c>
      <c r="I128" s="305">
        <v>45978</v>
      </c>
      <c r="J128" s="305">
        <v>46014</v>
      </c>
      <c r="K128" s="154">
        <f t="shared" ca="1" si="1"/>
        <v>36</v>
      </c>
      <c r="L128" s="324" t="str">
        <f>INDEX('Inactive Employees'!$O:$O,MATCH('Combined Employee Worksheet'!$B128,'Inactive Employees'!$A:$A,0))</f>
        <v>Termination</v>
      </c>
    </row>
    <row r="129" spans="2:12" ht="12" customHeight="1">
      <c r="B129" s="302" t="s">
        <v>1720</v>
      </c>
      <c r="C129" s="302" t="s">
        <v>491</v>
      </c>
      <c r="D129" s="302" t="str">
        <f>INDEX('Employee Mapping'!C:C,MATCH('Combined Employee Worksheet'!$C129,'Employee Mapping'!$B:$B,0))</f>
        <v>Client Lead</v>
      </c>
      <c r="E129" s="302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2" t="s">
        <v>1806</v>
      </c>
      <c r="I129" s="305">
        <v>45936</v>
      </c>
      <c r="J129" s="305">
        <v>45971</v>
      </c>
      <c r="K129" s="154">
        <f t="shared" ca="1" si="1"/>
        <v>35</v>
      </c>
      <c r="L129" s="324" t="str">
        <f>INDEX('Inactive Employees'!$O:$O,MATCH('Combined Employee Worksheet'!$B129,'Inactive Employees'!$A:$A,0))</f>
        <v>Termination</v>
      </c>
    </row>
    <row r="130" spans="2:12" ht="12" customHeight="1">
      <c r="B130" s="302" t="s">
        <v>1707</v>
      </c>
      <c r="C130" s="302" t="s">
        <v>1371</v>
      </c>
      <c r="D130" s="302" t="str">
        <f>INDEX('Employee Mapping'!C:C,MATCH('Combined Employee Worksheet'!$C130,'Employee Mapping'!$B:$B,0))</f>
        <v>Onboarding Specialist</v>
      </c>
      <c r="E130" s="302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2" t="s">
        <v>1806</v>
      </c>
      <c r="I130" s="305">
        <v>45992</v>
      </c>
      <c r="J130" s="305">
        <v>46010</v>
      </c>
      <c r="K130" s="154">
        <f t="shared" ca="1" si="1"/>
        <v>18</v>
      </c>
      <c r="L130" s="324" t="str">
        <f>INDEX('Inactive Employees'!$O:$O,MATCH('Combined Employee Worksheet'!$B130,'Inactive Employees'!$A:$A,0))</f>
        <v>Termination</v>
      </c>
    </row>
    <row r="131" spans="2:12" ht="12" customHeight="1">
      <c r="B131" s="302" t="s">
        <v>1746</v>
      </c>
      <c r="C131" s="302" t="s">
        <v>490</v>
      </c>
      <c r="D131" s="302" t="str">
        <f>INDEX('Employee Mapping'!C:C,MATCH('Combined Employee Worksheet'!$C131,'Employee Mapping'!$B:$B,0))</f>
        <v>Bookkeeper</v>
      </c>
      <c r="E131" s="302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2" t="s">
        <v>1806</v>
      </c>
      <c r="I131" s="305">
        <v>45712</v>
      </c>
      <c r="J131" s="305">
        <v>45726</v>
      </c>
      <c r="K131" s="154">
        <f t="shared" ca="1" si="1"/>
        <v>14</v>
      </c>
      <c r="L131" s="324" t="str">
        <f>INDEX('Inactive Employees'!$O:$O,MATCH('Combined Employee Worksheet'!$B131,'Inactive Employees'!$A:$A,0))</f>
        <v>Termination</v>
      </c>
    </row>
    <row r="132" spans="2:12" ht="12" customHeight="1">
      <c r="B132" s="302" t="s">
        <v>1752</v>
      </c>
      <c r="C132" s="302" t="s">
        <v>1628</v>
      </c>
      <c r="D132" s="302" t="str">
        <f>INDEX('Employee Mapping'!C:C,MATCH('Combined Employee Worksheet'!$C132,'Employee Mapping'!$B:$B,0))</f>
        <v>Bookkeeper</v>
      </c>
      <c r="E132" s="302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2" t="s">
        <v>1806</v>
      </c>
      <c r="I132" s="305">
        <v>45698</v>
      </c>
      <c r="J132" s="305">
        <v>45712</v>
      </c>
      <c r="K132" s="154">
        <f t="shared" ca="1" si="1"/>
        <v>14</v>
      </c>
      <c r="L132" s="324" t="str">
        <f>INDEX('Inactive Employees'!$O:$O,MATCH('Combined Employee Worksheet'!$B132,'Inactive Employees'!$A:$A,0))</f>
        <v>Termination</v>
      </c>
    </row>
    <row r="133" spans="2:12" ht="12" customHeight="1">
      <c r="B133" s="302" t="s">
        <v>1677</v>
      </c>
      <c r="C133" s="302" t="s">
        <v>1398</v>
      </c>
      <c r="D133" s="302" t="str">
        <f>INDEX('Employee Mapping'!C:C,MATCH('Combined Employee Worksheet'!$C133,'Employee Mapping'!$B:$B,0))</f>
        <v>Onboarding Support</v>
      </c>
      <c r="E133" s="302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2" t="s">
        <v>1806</v>
      </c>
      <c r="I133" s="305">
        <v>46149</v>
      </c>
      <c r="J133" s="305">
        <v>46162</v>
      </c>
      <c r="K133" s="154">
        <f t="shared" ca="1" si="1"/>
        <v>13</v>
      </c>
      <c r="L133" s="324" t="str">
        <f>INDEX('Inactive Employees'!$O:$O,MATCH('Combined Employee Worksheet'!$B133,'Inactive Employees'!$A:$A,0))</f>
        <v>Termination</v>
      </c>
    </row>
    <row r="134" spans="2:12" ht="12" customHeight="1">
      <c r="B134" s="302" t="s">
        <v>1743</v>
      </c>
      <c r="C134" s="302" t="s">
        <v>1361</v>
      </c>
      <c r="D134" s="302" t="str">
        <f>INDEX('Employee Mapping'!C:C,MATCH('Combined Employee Worksheet'!$C134,'Employee Mapping'!$B:$B,0))</f>
        <v>Accounting Manager</v>
      </c>
      <c r="E134" s="302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2" t="s">
        <v>1806</v>
      </c>
      <c r="I134" s="305">
        <v>45714</v>
      </c>
      <c r="J134" s="305">
        <v>45726</v>
      </c>
      <c r="K134" s="154">
        <f t="shared" ca="1" si="1"/>
        <v>12</v>
      </c>
      <c r="L134" s="324" t="str">
        <f>INDEX('Inactive Employees'!$O:$O,MATCH('Combined Employee Worksheet'!$B134,'Inactive Employees'!$A:$A,0))</f>
        <v>Termination</v>
      </c>
    </row>
    <row r="135" spans="2:12" ht="12" customHeight="1">
      <c r="B135" s="302" t="s">
        <v>1351</v>
      </c>
      <c r="C135" s="302" t="s">
        <v>1346</v>
      </c>
      <c r="D135" s="302" t="str">
        <f>INDEX('Employee Mapping'!C:C,MATCH('Combined Employee Worksheet'!$C135,'Employee Mapping'!$B:$B,0))</f>
        <v>Bookkeeper</v>
      </c>
      <c r="E135" s="302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2" t="s">
        <v>1806</v>
      </c>
      <c r="I135" s="305">
        <v>46255</v>
      </c>
      <c r="J135" s="305">
        <v>46266</v>
      </c>
      <c r="K135" s="154">
        <f t="shared" ref="K135:K143" ca="1" si="2">IF(J135=0,TODAY()-I135,J135-I135)</f>
        <v>11</v>
      </c>
      <c r="L135" s="324" t="str">
        <f>INDEX('Inactive Employees'!$O:$O,MATCH('Combined Employee Worksheet'!$B135,'Inactive Employees'!$A:$A,0))</f>
        <v>Termination</v>
      </c>
    </row>
    <row r="136" spans="2:12" ht="12" customHeight="1">
      <c r="B136" s="302" t="s">
        <v>1740</v>
      </c>
      <c r="C136" s="302" t="s">
        <v>490</v>
      </c>
      <c r="D136" s="302" t="str">
        <f>INDEX('Employee Mapping'!C:C,MATCH('Combined Employee Worksheet'!$C136,'Employee Mapping'!$B:$B,0))</f>
        <v>Bookkeeper</v>
      </c>
      <c r="E136" s="302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2" t="s">
        <v>1806</v>
      </c>
      <c r="I136" s="305">
        <v>45775</v>
      </c>
      <c r="J136" s="305">
        <v>45786</v>
      </c>
      <c r="K136" s="154">
        <f t="shared" ca="1" si="2"/>
        <v>11</v>
      </c>
      <c r="L136" s="324" t="str">
        <f>INDEX('Inactive Employees'!$O:$O,MATCH('Combined Employee Worksheet'!$B136,'Inactive Employees'!$A:$A,0))</f>
        <v>Termination</v>
      </c>
    </row>
    <row r="137" spans="2:12" ht="12" customHeight="1">
      <c r="B137" s="302" t="s">
        <v>1646</v>
      </c>
      <c r="C137" s="302" t="s">
        <v>1346</v>
      </c>
      <c r="D137" s="302" t="str">
        <f>INDEX('Employee Mapping'!C:C,MATCH('Combined Employee Worksheet'!$C137,'Employee Mapping'!$B:$B,0))</f>
        <v>Bookkeeper</v>
      </c>
      <c r="E137" s="302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2" t="s">
        <v>1806</v>
      </c>
      <c r="I137" s="305">
        <v>46216</v>
      </c>
      <c r="J137" s="305">
        <v>46225</v>
      </c>
      <c r="K137" s="154">
        <f t="shared" ca="1" si="2"/>
        <v>9</v>
      </c>
      <c r="L137" s="324" t="str">
        <f>INDEX('Inactive Employees'!$O:$O,MATCH('Combined Employee Worksheet'!$B137,'Inactive Employees'!$A:$A,0))</f>
        <v>Unclassified</v>
      </c>
    </row>
    <row r="138" spans="2:12" ht="12" customHeight="1">
      <c r="B138" s="302" t="s">
        <v>1729</v>
      </c>
      <c r="C138" s="302" t="s">
        <v>1346</v>
      </c>
      <c r="D138" s="302" t="str">
        <f>INDEX('Employee Mapping'!C:C,MATCH('Combined Employee Worksheet'!$C138,'Employee Mapping'!$B:$B,0))</f>
        <v>Bookkeeper</v>
      </c>
      <c r="E138" s="302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2" t="s">
        <v>1806</v>
      </c>
      <c r="I138" s="305">
        <v>45880</v>
      </c>
      <c r="J138" s="305">
        <v>45889</v>
      </c>
      <c r="K138" s="154">
        <f t="shared" ca="1" si="2"/>
        <v>9</v>
      </c>
      <c r="L138" s="324" t="str">
        <f>INDEX('Inactive Employees'!$O:$O,MATCH('Combined Employee Worksheet'!$B138,'Inactive Employees'!$A:$A,0))</f>
        <v>Termination</v>
      </c>
    </row>
    <row r="139" spans="2:12" ht="12" customHeight="1">
      <c r="B139" s="302" t="s">
        <v>1654</v>
      </c>
      <c r="C139" s="302" t="s">
        <v>1470</v>
      </c>
      <c r="D139" s="302" t="str">
        <f>INDEX('Employee Mapping'!C:C,MATCH('Combined Employee Worksheet'!$C139,'Employee Mapping'!$B:$B,0))</f>
        <v>Onboarding Specialist</v>
      </c>
      <c r="E139" s="302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2" t="s">
        <v>1806</v>
      </c>
      <c r="I139" s="305">
        <v>46217</v>
      </c>
      <c r="J139" s="305">
        <v>46223</v>
      </c>
      <c r="K139" s="154">
        <f t="shared" ca="1" si="2"/>
        <v>6</v>
      </c>
      <c r="L139" s="324" t="str">
        <f>INDEX('Inactive Employees'!$O:$O,MATCH('Combined Employee Worksheet'!$B139,'Inactive Employees'!$A:$A,0))</f>
        <v>Resignation</v>
      </c>
    </row>
    <row r="140" spans="2:12" ht="12" customHeight="1">
      <c r="B140" s="302" t="s">
        <v>1610</v>
      </c>
      <c r="C140" s="302" t="s">
        <v>1346</v>
      </c>
      <c r="D140" s="302" t="str">
        <f>INDEX('Employee Mapping'!C:C,MATCH('Combined Employee Worksheet'!$C140,'Employee Mapping'!$B:$B,0))</f>
        <v>Bookkeeper</v>
      </c>
      <c r="E140" s="302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2" t="s">
        <v>1806</v>
      </c>
      <c r="I140" s="305">
        <v>46269</v>
      </c>
      <c r="J140" s="305">
        <v>46273</v>
      </c>
      <c r="K140" s="154">
        <f t="shared" ca="1" si="2"/>
        <v>4</v>
      </c>
      <c r="L140" s="324" t="str">
        <f>INDEX('Inactive Employees'!$O:$O,MATCH('Combined Employee Worksheet'!$B140,'Inactive Employees'!$A:$A,0))</f>
        <v>Termination</v>
      </c>
    </row>
    <row r="141" spans="2:12" ht="12" customHeight="1">
      <c r="B141" s="302" t="s">
        <v>1757</v>
      </c>
      <c r="C141" s="302" t="s">
        <v>490</v>
      </c>
      <c r="D141" s="302" t="str">
        <f>INDEX('Employee Mapping'!C:C,MATCH('Combined Employee Worksheet'!$C141,'Employee Mapping'!$B:$B,0))</f>
        <v>Bookkeeper</v>
      </c>
      <c r="E141" s="302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2" t="s">
        <v>1806</v>
      </c>
      <c r="I141" s="305">
        <v>45691</v>
      </c>
      <c r="J141" s="305">
        <v>45694</v>
      </c>
      <c r="K141" s="154">
        <f t="shared" ca="1" si="2"/>
        <v>3</v>
      </c>
      <c r="L141" s="324" t="str">
        <f>INDEX('Inactive Employees'!$O:$O,MATCH('Combined Employee Worksheet'!$B141,'Inactive Employees'!$A:$A,0))</f>
        <v>Termination</v>
      </c>
    </row>
    <row r="142" spans="2:12" ht="12" customHeight="1">
      <c r="B142" s="302" t="s">
        <v>1733</v>
      </c>
      <c r="C142" s="302" t="s">
        <v>490</v>
      </c>
      <c r="D142" s="302" t="str">
        <f>INDEX('Employee Mapping'!C:C,MATCH('Combined Employee Worksheet'!$C142,'Employee Mapping'!$B:$B,0))</f>
        <v>Bookkeeper</v>
      </c>
      <c r="E142" s="302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2" t="s">
        <v>1806</v>
      </c>
      <c r="I142" s="305">
        <v>45810</v>
      </c>
      <c r="J142" s="305">
        <v>45812</v>
      </c>
      <c r="K142" s="154">
        <f t="shared" ca="1" si="2"/>
        <v>2</v>
      </c>
      <c r="L142" s="324" t="str">
        <f>INDEX('Inactive Employees'!$O:$O,MATCH('Combined Employee Worksheet'!$B142,'Inactive Employees'!$A:$A,0))</f>
        <v>Termination</v>
      </c>
    </row>
    <row r="143" spans="2:12" ht="12" customHeight="1">
      <c r="B143" s="302" t="s">
        <v>1667</v>
      </c>
      <c r="C143" s="302" t="s">
        <v>1346</v>
      </c>
      <c r="D143" s="302" t="str">
        <f>INDEX('Employee Mapping'!C:C,MATCH('Combined Employee Worksheet'!$C143,'Employee Mapping'!$B:$B,0))</f>
        <v>Bookkeeper</v>
      </c>
      <c r="E143" s="302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2" t="s">
        <v>1806</v>
      </c>
      <c r="I143" s="305">
        <v>46177</v>
      </c>
      <c r="J143" s="305">
        <v>46177</v>
      </c>
      <c r="K143" s="154">
        <f t="shared" ca="1" si="2"/>
        <v>0</v>
      </c>
      <c r="L143" s="324" t="str">
        <f>INDEX('Inactive Employees'!$O:$O,MATCH('Combined Employee Worksheet'!$B143,'Inactive Employees'!$A:$A,0))</f>
        <v>Termination</v>
      </c>
    </row>
    <row r="146" spans="1:1">
      <c r="A146" s="302" t="s">
        <v>294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F36" sqref="F36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3" t="s">
        <v>1328</v>
      </c>
      <c r="B1" s="283" t="s">
        <v>1329</v>
      </c>
      <c r="C1" s="283" t="s">
        <v>1503</v>
      </c>
      <c r="D1" s="283" t="s">
        <v>1330</v>
      </c>
      <c r="E1" s="283" t="s">
        <v>1506</v>
      </c>
      <c r="F1" s="283" t="s">
        <v>1515</v>
      </c>
      <c r="G1" s="283" t="s">
        <v>1331</v>
      </c>
      <c r="H1" s="283" t="s">
        <v>116</v>
      </c>
      <c r="I1" s="283" t="s">
        <v>1332</v>
      </c>
      <c r="J1" s="283" t="s">
        <v>1333</v>
      </c>
      <c r="K1" s="283" t="s">
        <v>1334</v>
      </c>
      <c r="L1" s="283" t="s">
        <v>1335</v>
      </c>
      <c r="M1" s="283" t="s">
        <v>1336</v>
      </c>
      <c r="N1" s="283" t="s">
        <v>1337</v>
      </c>
      <c r="O1" s="283" t="s">
        <v>1249</v>
      </c>
    </row>
    <row r="2" spans="1:15">
      <c r="A2" s="224" t="s">
        <v>1428</v>
      </c>
      <c r="B2" s="224" t="s">
        <v>1429</v>
      </c>
      <c r="C2" s="224" t="s">
        <v>497</v>
      </c>
      <c r="D2" s="224" t="s">
        <v>1346</v>
      </c>
      <c r="E2" s="224" t="s">
        <v>490</v>
      </c>
      <c r="F2" s="224" t="str">
        <f>INDEX('Owner Mapped P&amp;L'!$F:$F,MATCH('Headcount &amp; Compensation'!$A2,'Owner Mapped P&amp;L'!$A:$A,0))</f>
        <v>Bookkeeper Wages</v>
      </c>
      <c r="G2" s="224" t="s">
        <v>1341</v>
      </c>
      <c r="H2" s="224" t="s">
        <v>731</v>
      </c>
      <c r="I2" s="224" t="s">
        <v>1389</v>
      </c>
      <c r="J2" s="225">
        <v>950</v>
      </c>
      <c r="K2" s="224" t="s">
        <v>595</v>
      </c>
      <c r="L2" s="225">
        <v>11400</v>
      </c>
      <c r="M2" s="224" t="s">
        <v>504</v>
      </c>
      <c r="N2" s="224" t="s">
        <v>504</v>
      </c>
      <c r="O2" s="224" t="s">
        <v>338</v>
      </c>
    </row>
    <row r="3" spans="1:15">
      <c r="A3" s="224" t="s">
        <v>1356</v>
      </c>
      <c r="B3" s="224" t="s">
        <v>1493</v>
      </c>
      <c r="C3" s="224" t="s">
        <v>497</v>
      </c>
      <c r="D3" s="224" t="s">
        <v>491</v>
      </c>
      <c r="E3" s="224" t="s">
        <v>491</v>
      </c>
      <c r="F3" s="224" t="str">
        <f>INDEX('Owner Mapped P&amp;L'!$F:$F,MATCH('Headcount &amp; Compensation'!$A3,'Owner Mapped P&amp;L'!$A:$A,0))</f>
        <v>Client Lead Wages</v>
      </c>
      <c r="G3" s="224" t="s">
        <v>1341</v>
      </c>
      <c r="H3" s="224" t="s">
        <v>731</v>
      </c>
      <c r="I3" s="224" t="s">
        <v>1376</v>
      </c>
      <c r="J3" s="225">
        <v>1925</v>
      </c>
      <c r="K3" s="224" t="s">
        <v>595</v>
      </c>
      <c r="L3" s="225">
        <v>23100</v>
      </c>
      <c r="M3" s="224" t="s">
        <v>504</v>
      </c>
      <c r="N3" s="224" t="s">
        <v>504</v>
      </c>
      <c r="O3" s="224" t="s">
        <v>338</v>
      </c>
    </row>
    <row r="4" spans="1:15">
      <c r="A4" s="224" t="s">
        <v>664</v>
      </c>
      <c r="B4" s="224" t="s">
        <v>1384</v>
      </c>
      <c r="C4" s="224" t="s">
        <v>497</v>
      </c>
      <c r="D4" s="224" t="s">
        <v>1346</v>
      </c>
      <c r="E4" s="224" t="s">
        <v>490</v>
      </c>
      <c r="F4" s="224" t="str">
        <f>INDEX('Owner Mapped P&amp;L'!$F:$F,MATCH('Headcount &amp; Compensation'!$A4,'Owner Mapped P&amp;L'!$A:$A,0))</f>
        <v>Bookkeeper Wages</v>
      </c>
      <c r="G4" s="224" t="s">
        <v>1341</v>
      </c>
      <c r="H4" s="224" t="s">
        <v>731</v>
      </c>
      <c r="I4" s="224" t="s">
        <v>1385</v>
      </c>
      <c r="J4" s="225">
        <v>950</v>
      </c>
      <c r="K4" s="224" t="s">
        <v>595</v>
      </c>
      <c r="L4" s="225">
        <v>11400</v>
      </c>
      <c r="M4" s="224" t="s">
        <v>504</v>
      </c>
      <c r="N4" s="224" t="s">
        <v>504</v>
      </c>
      <c r="O4" s="224" t="s">
        <v>338</v>
      </c>
    </row>
    <row r="5" spans="1:15">
      <c r="A5" s="224" t="s">
        <v>543</v>
      </c>
      <c r="B5" s="224" t="s">
        <v>1430</v>
      </c>
      <c r="C5" s="224" t="s">
        <v>497</v>
      </c>
      <c r="D5" s="224" t="s">
        <v>1407</v>
      </c>
      <c r="E5" s="224" t="s">
        <v>490</v>
      </c>
      <c r="F5" s="224" t="str">
        <f>INDEX('Owner Mapped P&amp;L'!$F:$F,MATCH('Headcount &amp; Compensation'!$A5,'Owner Mapped P&amp;L'!$A:$A,0))</f>
        <v>Bookkeeper Wages</v>
      </c>
      <c r="G5" s="224" t="s">
        <v>1341</v>
      </c>
      <c r="H5" s="224" t="s">
        <v>731</v>
      </c>
      <c r="I5" s="224" t="s">
        <v>1356</v>
      </c>
      <c r="J5" s="225">
        <v>1400</v>
      </c>
      <c r="K5" s="224" t="s">
        <v>595</v>
      </c>
      <c r="L5" s="225">
        <v>16800</v>
      </c>
      <c r="M5" s="224" t="s">
        <v>504</v>
      </c>
      <c r="N5" s="224" t="s">
        <v>504</v>
      </c>
      <c r="O5" s="224" t="s">
        <v>338</v>
      </c>
    </row>
    <row r="6" spans="1:15">
      <c r="A6" s="224" t="s">
        <v>1374</v>
      </c>
      <c r="B6" s="224" t="s">
        <v>1375</v>
      </c>
      <c r="C6" s="224" t="s">
        <v>497</v>
      </c>
      <c r="D6" s="224" t="s">
        <v>491</v>
      </c>
      <c r="E6" s="224" t="s">
        <v>491</v>
      </c>
      <c r="F6" s="224" t="str">
        <f>INDEX('Owner Mapped P&amp;L'!$F:$F,MATCH('Headcount &amp; Compensation'!$A6,'Owner Mapped P&amp;L'!$A:$A,0))</f>
        <v>Client Lead Wages</v>
      </c>
      <c r="G6" s="224" t="s">
        <v>1341</v>
      </c>
      <c r="H6" s="224" t="s">
        <v>731</v>
      </c>
      <c r="I6" s="224" t="s">
        <v>1376</v>
      </c>
      <c r="J6" s="225">
        <v>1800</v>
      </c>
      <c r="K6" s="224" t="s">
        <v>595</v>
      </c>
      <c r="L6" s="225">
        <v>21600</v>
      </c>
      <c r="M6" s="224" t="s">
        <v>504</v>
      </c>
      <c r="N6" s="224" t="s">
        <v>504</v>
      </c>
      <c r="O6" s="224" t="s">
        <v>338</v>
      </c>
    </row>
    <row r="7" spans="1:15">
      <c r="A7" s="224" t="s">
        <v>1392</v>
      </c>
      <c r="B7" s="224" t="s">
        <v>1393</v>
      </c>
      <c r="C7" s="224" t="s">
        <v>497</v>
      </c>
      <c r="D7" s="224" t="s">
        <v>1346</v>
      </c>
      <c r="E7" s="224" t="s">
        <v>490</v>
      </c>
      <c r="F7" s="224" t="str">
        <f>INDEX('Owner Mapped P&amp;L'!$F:$F,MATCH('Headcount &amp; Compensation'!$A7,'Owner Mapped P&amp;L'!$A:$A,0))</f>
        <v>Bookkeeper Wages</v>
      </c>
      <c r="G7" s="224" t="s">
        <v>1341</v>
      </c>
      <c r="H7" s="224" t="s">
        <v>731</v>
      </c>
      <c r="I7" s="224" t="s">
        <v>1378</v>
      </c>
      <c r="J7" s="225">
        <v>950</v>
      </c>
      <c r="K7" s="224" t="s">
        <v>595</v>
      </c>
      <c r="L7" s="225">
        <v>11400</v>
      </c>
      <c r="M7" s="224" t="s">
        <v>504</v>
      </c>
      <c r="N7" s="224" t="s">
        <v>504</v>
      </c>
      <c r="O7" s="224" t="s">
        <v>338</v>
      </c>
    </row>
    <row r="8" spans="1:15" ht="15.75" customHeight="1">
      <c r="A8" s="224" t="s">
        <v>1483</v>
      </c>
      <c r="B8" s="224" t="s">
        <v>1484</v>
      </c>
      <c r="C8" s="224" t="s">
        <v>497</v>
      </c>
      <c r="D8" s="224" t="s">
        <v>1477</v>
      </c>
      <c r="E8" s="224" t="s">
        <v>491</v>
      </c>
      <c r="F8" s="224" t="str">
        <f>INDEX('Owner Mapped P&amp;L'!$F:$F,MATCH('Headcount &amp; Compensation'!$A8,'Owner Mapped P&amp;L'!$A:$A,0))</f>
        <v>Sr. Client Lead Wages</v>
      </c>
      <c r="G8" s="275" t="s">
        <v>1341</v>
      </c>
      <c r="H8" s="224" t="s">
        <v>731</v>
      </c>
      <c r="I8" s="224" t="s">
        <v>1376</v>
      </c>
      <c r="J8" s="225">
        <v>2500</v>
      </c>
      <c r="K8" s="224" t="s">
        <v>595</v>
      </c>
      <c r="L8" s="225">
        <v>30000</v>
      </c>
      <c r="M8" s="224" t="s">
        <v>504</v>
      </c>
      <c r="N8" s="224" t="s">
        <v>504</v>
      </c>
      <c r="O8" s="224" t="s">
        <v>338</v>
      </c>
    </row>
    <row r="9" spans="1:15">
      <c r="A9" s="224" t="s">
        <v>546</v>
      </c>
      <c r="B9" s="224" t="s">
        <v>1457</v>
      </c>
      <c r="C9" s="224" t="s">
        <v>497</v>
      </c>
      <c r="D9" s="224" t="s">
        <v>491</v>
      </c>
      <c r="E9" s="224" t="s">
        <v>491</v>
      </c>
      <c r="F9" s="224" t="str">
        <f>INDEX('Owner Mapped P&amp;L'!$F:$F,MATCH('Headcount &amp; Compensation'!$A9,'Owner Mapped P&amp;L'!$A:$A,0))</f>
        <v>Client Lead Wages</v>
      </c>
      <c r="G9" s="224" t="s">
        <v>1341</v>
      </c>
      <c r="H9" s="224" t="s">
        <v>731</v>
      </c>
      <c r="I9" s="224" t="s">
        <v>533</v>
      </c>
      <c r="J9" s="225">
        <v>2000</v>
      </c>
      <c r="K9" s="224" t="s">
        <v>595</v>
      </c>
      <c r="L9" s="225">
        <v>24000</v>
      </c>
      <c r="M9" s="224" t="s">
        <v>504</v>
      </c>
      <c r="N9" s="224" t="s">
        <v>504</v>
      </c>
      <c r="O9" s="224" t="s">
        <v>338</v>
      </c>
    </row>
    <row r="10" spans="1:15" ht="15.75" customHeight="1">
      <c r="A10" s="224" t="s">
        <v>1364</v>
      </c>
      <c r="B10" s="224" t="s">
        <v>1499</v>
      </c>
      <c r="C10" s="224" t="s">
        <v>497</v>
      </c>
      <c r="D10" s="224" t="s">
        <v>1500</v>
      </c>
      <c r="E10" s="224" t="s">
        <v>1500</v>
      </c>
      <c r="F10" s="224" t="str">
        <f>INDEX('Owner Mapped P&amp;L'!$F:$F,MATCH('Headcount &amp; Compensation'!$A10,'Owner Mapped P&amp;L'!$A:$A,0))</f>
        <v>Payroll Wages - Owner</v>
      </c>
      <c r="G10" s="224" t="s">
        <v>1362</v>
      </c>
      <c r="H10" s="224" t="s">
        <v>1363</v>
      </c>
      <c r="I10" s="224" t="s">
        <v>338</v>
      </c>
      <c r="J10" s="224"/>
      <c r="K10" s="224" t="s">
        <v>338</v>
      </c>
      <c r="L10" s="281">
        <v>228245</v>
      </c>
      <c r="M10" s="224" t="s">
        <v>504</v>
      </c>
      <c r="N10" s="224" t="s">
        <v>504</v>
      </c>
      <c r="O10" s="274" t="s">
        <v>1554</v>
      </c>
    </row>
    <row r="11" spans="1:15">
      <c r="A11" s="224" t="s">
        <v>608</v>
      </c>
      <c r="B11" s="224" t="s">
        <v>1471</v>
      </c>
      <c r="C11" s="224" t="s">
        <v>497</v>
      </c>
      <c r="D11" s="224" t="s">
        <v>1346</v>
      </c>
      <c r="E11" s="224" t="s">
        <v>490</v>
      </c>
      <c r="F11" s="224" t="str">
        <f>INDEX('Owner Mapped P&amp;L'!$F:$F,MATCH('Headcount &amp; Compensation'!$A11,'Owner Mapped P&amp;L'!$A:$A,0))</f>
        <v>Bookkeeper Wages</v>
      </c>
      <c r="G11" s="224" t="s">
        <v>1341</v>
      </c>
      <c r="H11" s="224" t="s">
        <v>731</v>
      </c>
      <c r="I11" s="224" t="s">
        <v>1378</v>
      </c>
      <c r="J11" s="225">
        <v>975</v>
      </c>
      <c r="K11" s="224" t="s">
        <v>595</v>
      </c>
      <c r="L11" s="225">
        <v>11700</v>
      </c>
      <c r="M11" s="224" t="s">
        <v>504</v>
      </c>
      <c r="N11" s="224" t="s">
        <v>504</v>
      </c>
      <c r="O11" s="224" t="s">
        <v>338</v>
      </c>
    </row>
    <row r="12" spans="1:15">
      <c r="A12" s="224" t="s">
        <v>1350</v>
      </c>
      <c r="B12" s="224" t="s">
        <v>1396</v>
      </c>
      <c r="C12" s="224" t="s">
        <v>497</v>
      </c>
      <c r="D12" s="224" t="s">
        <v>491</v>
      </c>
      <c r="E12" s="224" t="s">
        <v>491</v>
      </c>
      <c r="F12" s="224" t="str">
        <f>INDEX('Owner Mapped P&amp;L'!$F:$F,MATCH('Headcount &amp; Compensation'!$A12,'Owner Mapped P&amp;L'!$A:$A,0))</f>
        <v>Client Lead Wages</v>
      </c>
      <c r="G12" s="224" t="s">
        <v>1341</v>
      </c>
      <c r="H12" s="224" t="s">
        <v>731</v>
      </c>
      <c r="I12" s="224" t="s">
        <v>533</v>
      </c>
      <c r="J12" s="225">
        <v>1800</v>
      </c>
      <c r="K12" s="224" t="s">
        <v>595</v>
      </c>
      <c r="L12" s="225">
        <v>21600</v>
      </c>
      <c r="M12" s="224" t="s">
        <v>504</v>
      </c>
      <c r="N12" s="224" t="s">
        <v>504</v>
      </c>
      <c r="O12" s="224" t="s">
        <v>338</v>
      </c>
    </row>
    <row r="13" spans="1:15">
      <c r="A13" s="224" t="s">
        <v>1403</v>
      </c>
      <c r="B13" s="224" t="s">
        <v>1404</v>
      </c>
      <c r="C13" s="224" t="s">
        <v>497</v>
      </c>
      <c r="D13" s="224" t="s">
        <v>1405</v>
      </c>
      <c r="E13" s="224" t="s">
        <v>1508</v>
      </c>
      <c r="F13" s="224" t="str">
        <f>INDEX('Owner Mapped P&amp;L'!$F:$F,MATCH('Headcount &amp; Compensation'!$A13,'Owner Mapped P&amp;L'!$A:$A,0))</f>
        <v>Occupancy Tax Specialist</v>
      </c>
      <c r="G13" s="224" t="s">
        <v>1341</v>
      </c>
      <c r="H13" s="224" t="s">
        <v>731</v>
      </c>
      <c r="I13" s="224" t="s">
        <v>1342</v>
      </c>
      <c r="J13" s="225">
        <v>850</v>
      </c>
      <c r="K13" s="224" t="s">
        <v>595</v>
      </c>
      <c r="L13" s="225">
        <v>10200</v>
      </c>
      <c r="M13" s="224" t="s">
        <v>504</v>
      </c>
      <c r="N13" s="224" t="s">
        <v>504</v>
      </c>
      <c r="O13" s="224" t="s">
        <v>338</v>
      </c>
    </row>
    <row r="14" spans="1:15">
      <c r="A14" s="224" t="s">
        <v>521</v>
      </c>
      <c r="B14" s="224" t="s">
        <v>1492</v>
      </c>
      <c r="C14" s="224" t="s">
        <v>497</v>
      </c>
      <c r="D14" s="224" t="s">
        <v>1407</v>
      </c>
      <c r="E14" s="224" t="s">
        <v>490</v>
      </c>
      <c r="F14" s="224" t="str">
        <f>INDEX('Owner Mapped P&amp;L'!$F:$F,MATCH('Headcount &amp; Compensation'!$A14,'Owner Mapped P&amp;L'!$A:$A,0))</f>
        <v>Bookkeeper Wages</v>
      </c>
      <c r="G14" s="224" t="s">
        <v>1341</v>
      </c>
      <c r="H14" s="224" t="s">
        <v>731</v>
      </c>
      <c r="I14" s="224" t="s">
        <v>522</v>
      </c>
      <c r="J14" s="225">
        <v>1200</v>
      </c>
      <c r="K14" s="224" t="s">
        <v>595</v>
      </c>
      <c r="L14" s="225">
        <v>14400</v>
      </c>
      <c r="M14" s="224" t="s">
        <v>504</v>
      </c>
      <c r="N14" s="224" t="s">
        <v>504</v>
      </c>
      <c r="O14" s="224" t="s">
        <v>338</v>
      </c>
    </row>
    <row r="15" spans="1:15">
      <c r="A15" s="224" t="s">
        <v>553</v>
      </c>
      <c r="B15" s="224" t="s">
        <v>1487</v>
      </c>
      <c r="C15" s="224" t="s">
        <v>497</v>
      </c>
      <c r="D15" s="224" t="s">
        <v>1346</v>
      </c>
      <c r="E15" s="224" t="s">
        <v>490</v>
      </c>
      <c r="F15" s="224" t="str">
        <f>INDEX('Owner Mapped P&amp;L'!$F:$F,MATCH('Headcount &amp; Compensation'!$A15,'Owner Mapped P&amp;L'!$A:$A,0))</f>
        <v>Bookkeeper Wages</v>
      </c>
      <c r="G15" s="224" t="s">
        <v>1341</v>
      </c>
      <c r="H15" s="224" t="s">
        <v>731</v>
      </c>
      <c r="I15" s="224" t="s">
        <v>536</v>
      </c>
      <c r="J15" s="225">
        <v>1100</v>
      </c>
      <c r="K15" s="224" t="s">
        <v>595</v>
      </c>
      <c r="L15" s="225">
        <v>13200</v>
      </c>
      <c r="M15" s="224" t="s">
        <v>504</v>
      </c>
      <c r="N15" s="224" t="s">
        <v>504</v>
      </c>
      <c r="O15" s="224" t="s">
        <v>338</v>
      </c>
    </row>
    <row r="16" spans="1:15">
      <c r="A16" s="224" t="s">
        <v>648</v>
      </c>
      <c r="B16" s="224" t="s">
        <v>1390</v>
      </c>
      <c r="C16" s="224" t="s">
        <v>505</v>
      </c>
      <c r="D16" s="224" t="s">
        <v>491</v>
      </c>
      <c r="E16" s="224" t="s">
        <v>491</v>
      </c>
      <c r="F16" s="224" t="str">
        <f>INDEX('Owner Mapped P&amp;L'!$F:$F,MATCH('Headcount &amp; Compensation'!$A16,'Owner Mapped P&amp;L'!$A:$A,0))</f>
        <v>Client Lead Wages</v>
      </c>
      <c r="G16" s="224" t="s">
        <v>1341</v>
      </c>
      <c r="H16" s="224" t="s">
        <v>731</v>
      </c>
      <c r="I16" s="224" t="s">
        <v>338</v>
      </c>
      <c r="J16" s="224"/>
      <c r="K16" s="224" t="s">
        <v>338</v>
      </c>
      <c r="L16" s="224"/>
      <c r="M16" s="224" t="s">
        <v>504</v>
      </c>
      <c r="N16" s="224" t="s">
        <v>505</v>
      </c>
      <c r="O16" s="224" t="s">
        <v>1391</v>
      </c>
    </row>
    <row r="17" spans="1:15">
      <c r="A17" s="224" t="s">
        <v>1453</v>
      </c>
      <c r="B17" s="224" t="s">
        <v>1490</v>
      </c>
      <c r="C17" s="224" t="s">
        <v>497</v>
      </c>
      <c r="D17" s="224" t="s">
        <v>1491</v>
      </c>
      <c r="E17" s="224" t="s">
        <v>1507</v>
      </c>
      <c r="F17" s="224" t="str">
        <f>INDEX('Owner Mapped P&amp;L'!$F:$F,MATCH('Headcount &amp; Compensation'!$A17,'Owner Mapped P&amp;L'!$A:$A,0))</f>
        <v>Indirect Labor</v>
      </c>
      <c r="G17" s="224" t="s">
        <v>1341</v>
      </c>
      <c r="H17" s="224" t="s">
        <v>731</v>
      </c>
      <c r="I17" s="224" t="s">
        <v>1364</v>
      </c>
      <c r="J17" s="225">
        <v>2450</v>
      </c>
      <c r="K17" s="224" t="s">
        <v>595</v>
      </c>
      <c r="L17" s="225">
        <v>29400</v>
      </c>
      <c r="M17" s="224" t="s">
        <v>504</v>
      </c>
      <c r="N17" s="224" t="s">
        <v>504</v>
      </c>
      <c r="O17" s="224" t="s">
        <v>338</v>
      </c>
    </row>
    <row r="18" spans="1:15">
      <c r="A18" s="224" t="s">
        <v>1458</v>
      </c>
      <c r="B18" s="224" t="s">
        <v>1459</v>
      </c>
      <c r="C18" s="224" t="s">
        <v>497</v>
      </c>
      <c r="D18" s="224" t="s">
        <v>1367</v>
      </c>
      <c r="E18" s="224" t="s">
        <v>493</v>
      </c>
      <c r="F18" s="224" t="str">
        <f>INDEX('Owner Mapped P&amp;L'!$F:$F,MATCH('Headcount &amp; Compensation'!$A18,'Owner Mapped P&amp;L'!$A:$A,0))</f>
        <v>Indirect Labor</v>
      </c>
      <c r="G18" s="224" t="s">
        <v>1341</v>
      </c>
      <c r="H18" s="224" t="s">
        <v>731</v>
      </c>
      <c r="I18" s="224" t="s">
        <v>1368</v>
      </c>
      <c r="J18" s="225">
        <v>900</v>
      </c>
      <c r="K18" s="224" t="s">
        <v>595</v>
      </c>
      <c r="L18" s="225">
        <v>10800</v>
      </c>
      <c r="M18" s="224" t="s">
        <v>504</v>
      </c>
      <c r="N18" s="224" t="s">
        <v>504</v>
      </c>
      <c r="O18" s="224" t="s">
        <v>338</v>
      </c>
    </row>
    <row r="19" spans="1:15">
      <c r="A19" s="224" t="s">
        <v>1462</v>
      </c>
      <c r="B19" s="224" t="s">
        <v>1463</v>
      </c>
      <c r="C19" s="224" t="s">
        <v>497</v>
      </c>
      <c r="D19" s="224" t="s">
        <v>1464</v>
      </c>
      <c r="E19" s="224" t="s">
        <v>493</v>
      </c>
      <c r="F19" s="224" t="str">
        <f>INDEX('Owner Mapped P&amp;L'!$F:$F,MATCH('Headcount &amp; Compensation'!$A19,'Owner Mapped P&amp;L'!$A:$A,0))</f>
        <v>Indirect Labor</v>
      </c>
      <c r="G19" s="224" t="s">
        <v>1341</v>
      </c>
      <c r="H19" s="224" t="s">
        <v>731</v>
      </c>
      <c r="I19" s="224" t="s">
        <v>1453</v>
      </c>
      <c r="J19" s="225">
        <v>1800</v>
      </c>
      <c r="K19" s="224" t="s">
        <v>595</v>
      </c>
      <c r="L19" s="225">
        <v>21600</v>
      </c>
      <c r="M19" s="224" t="s">
        <v>504</v>
      </c>
      <c r="N19" s="224" t="s">
        <v>504</v>
      </c>
      <c r="O19" s="224" t="s">
        <v>338</v>
      </c>
    </row>
    <row r="20" spans="1:15">
      <c r="A20" s="224" t="s">
        <v>1344</v>
      </c>
      <c r="B20" s="224" t="s">
        <v>1345</v>
      </c>
      <c r="C20" s="224" t="s">
        <v>497</v>
      </c>
      <c r="D20" s="224" t="s">
        <v>1346</v>
      </c>
      <c r="E20" s="224" t="s">
        <v>490</v>
      </c>
      <c r="F20" s="224" t="str">
        <f>INDEX('Owner Mapped P&amp;L'!$F:$F,MATCH('Headcount &amp; Compensation'!$A20,'Owner Mapped P&amp;L'!$A:$A,0))</f>
        <v>Bookkeeper Wages</v>
      </c>
      <c r="G20" s="224" t="s">
        <v>1341</v>
      </c>
      <c r="H20" s="224" t="s">
        <v>731</v>
      </c>
      <c r="I20" s="224" t="s">
        <v>338</v>
      </c>
      <c r="J20" s="225">
        <v>950</v>
      </c>
      <c r="K20" s="224" t="s">
        <v>595</v>
      </c>
      <c r="L20" s="225">
        <v>11400</v>
      </c>
      <c r="M20" s="224" t="s">
        <v>505</v>
      </c>
      <c r="N20" s="224" t="s">
        <v>504</v>
      </c>
      <c r="O20" s="224" t="s">
        <v>1347</v>
      </c>
    </row>
    <row r="21" spans="1:15">
      <c r="A21" s="224" t="s">
        <v>1467</v>
      </c>
      <c r="B21" s="224" t="s">
        <v>1468</v>
      </c>
      <c r="C21" s="224" t="s">
        <v>497</v>
      </c>
      <c r="D21" s="224" t="s">
        <v>1367</v>
      </c>
      <c r="E21" s="224" t="s">
        <v>493</v>
      </c>
      <c r="F21" s="224" t="str">
        <f>INDEX('Owner Mapped P&amp;L'!$F:$F,MATCH('Headcount &amp; Compensation'!$A21,'Owner Mapped P&amp;L'!$A:$A,0))</f>
        <v>Indirect Labor</v>
      </c>
      <c r="G21" s="224" t="s">
        <v>1341</v>
      </c>
      <c r="H21" s="224" t="s">
        <v>731</v>
      </c>
      <c r="I21" s="224" t="s">
        <v>1368</v>
      </c>
      <c r="J21" s="225">
        <v>900</v>
      </c>
      <c r="K21" s="224" t="s">
        <v>595</v>
      </c>
      <c r="L21" s="225">
        <v>10800</v>
      </c>
      <c r="M21" s="224" t="s">
        <v>504</v>
      </c>
      <c r="N21" s="224" t="s">
        <v>504</v>
      </c>
      <c r="O21" s="224" t="s">
        <v>338</v>
      </c>
    </row>
    <row r="22" spans="1:15">
      <c r="A22" s="224" t="s">
        <v>902</v>
      </c>
      <c r="B22" s="224" t="s">
        <v>1357</v>
      </c>
      <c r="C22" s="224" t="s">
        <v>497</v>
      </c>
      <c r="D22" s="224" t="s">
        <v>490</v>
      </c>
      <c r="E22" s="224" t="s">
        <v>490</v>
      </c>
      <c r="F22" s="224" t="str">
        <f>INDEX('Owner Mapped P&amp;L'!$F:$F,MATCH('Headcount &amp; Compensation'!$A22,'Owner Mapped P&amp;L'!$A:$A,0))</f>
        <v>Bookkeeper Wages</v>
      </c>
      <c r="G22" s="224" t="s">
        <v>1341</v>
      </c>
      <c r="H22" s="224" t="s">
        <v>731</v>
      </c>
      <c r="I22" s="224" t="s">
        <v>533</v>
      </c>
      <c r="J22" s="225">
        <v>950</v>
      </c>
      <c r="K22" s="224" t="s">
        <v>595</v>
      </c>
      <c r="L22" s="225">
        <v>11400</v>
      </c>
      <c r="M22" s="224" t="s">
        <v>504</v>
      </c>
      <c r="N22" s="224" t="s">
        <v>504</v>
      </c>
      <c r="O22" s="224" t="s">
        <v>338</v>
      </c>
    </row>
    <row r="23" spans="1:15">
      <c r="A23" s="224" t="s">
        <v>1474</v>
      </c>
      <c r="B23" s="224" t="s">
        <v>1475</v>
      </c>
      <c r="C23" s="224" t="s">
        <v>497</v>
      </c>
      <c r="D23" s="224" t="s">
        <v>1346</v>
      </c>
      <c r="E23" s="224" t="s">
        <v>490</v>
      </c>
      <c r="F23" s="224" t="str">
        <f>INDEX('Owner Mapped P&amp;L'!$F:$F,MATCH('Headcount &amp; Compensation'!$A23,'Owner Mapped P&amp;L'!$A:$A,0))</f>
        <v>Bookkeeper Wages</v>
      </c>
      <c r="G23" s="224" t="s">
        <v>1341</v>
      </c>
      <c r="H23" s="224" t="s">
        <v>731</v>
      </c>
      <c r="I23" s="224" t="s">
        <v>550</v>
      </c>
      <c r="J23" s="225">
        <v>1025</v>
      </c>
      <c r="K23" s="224" t="s">
        <v>595</v>
      </c>
      <c r="L23" s="225">
        <v>12300</v>
      </c>
      <c r="M23" s="224" t="s">
        <v>504</v>
      </c>
      <c r="N23" s="224" t="s">
        <v>504</v>
      </c>
      <c r="O23" s="224" t="s">
        <v>338</v>
      </c>
    </row>
    <row r="24" spans="1:15">
      <c r="A24" s="224" t="s">
        <v>752</v>
      </c>
      <c r="B24" s="224" t="s">
        <v>1380</v>
      </c>
      <c r="C24" s="224" t="s">
        <v>497</v>
      </c>
      <c r="D24" s="224" t="s">
        <v>1346</v>
      </c>
      <c r="E24" s="224" t="s">
        <v>490</v>
      </c>
      <c r="F24" s="224" t="str">
        <f>INDEX('Owner Mapped P&amp;L'!$F:$F,MATCH('Headcount &amp; Compensation'!$A24,'Owner Mapped P&amp;L'!$A:$A,0))</f>
        <v>Bookkeeper Wages</v>
      </c>
      <c r="G24" s="224" t="s">
        <v>1341</v>
      </c>
      <c r="H24" s="224" t="s">
        <v>731</v>
      </c>
      <c r="I24" s="224" t="s">
        <v>522</v>
      </c>
      <c r="J24" s="225">
        <v>950</v>
      </c>
      <c r="K24" s="224" t="s">
        <v>595</v>
      </c>
      <c r="L24" s="225">
        <v>11400</v>
      </c>
      <c r="M24" s="224" t="s">
        <v>504</v>
      </c>
      <c r="N24" s="224" t="s">
        <v>504</v>
      </c>
      <c r="O24" s="224" t="s">
        <v>338</v>
      </c>
    </row>
    <row r="25" spans="1:15">
      <c r="A25" s="224" t="s">
        <v>1411</v>
      </c>
      <c r="B25" s="224" t="s">
        <v>1412</v>
      </c>
      <c r="C25" s="224" t="s">
        <v>497</v>
      </c>
      <c r="D25" s="224" t="s">
        <v>1413</v>
      </c>
      <c r="E25" s="224" t="s">
        <v>81</v>
      </c>
      <c r="F25" s="224" t="str">
        <f>INDEX('Owner Mapped P&amp;L'!$F:$F,MATCH('Headcount &amp; Compensation'!$A25,'Owner Mapped P&amp;L'!$A:$A,0))</f>
        <v>Sales and Marketing Wages</v>
      </c>
      <c r="G25" s="224" t="s">
        <v>1414</v>
      </c>
      <c r="H25" s="224" t="s">
        <v>731</v>
      </c>
      <c r="I25" s="224" t="s">
        <v>1364</v>
      </c>
      <c r="J25" s="225">
        <v>2350</v>
      </c>
      <c r="K25" s="224" t="s">
        <v>595</v>
      </c>
      <c r="L25" s="225">
        <v>28200</v>
      </c>
      <c r="M25" s="224" t="s">
        <v>504</v>
      </c>
      <c r="N25" s="224" t="s">
        <v>504</v>
      </c>
      <c r="O25" s="224" t="s">
        <v>338</v>
      </c>
    </row>
    <row r="26" spans="1:15">
      <c r="A26" s="224" t="s">
        <v>550</v>
      </c>
      <c r="B26" s="224" t="s">
        <v>1404</v>
      </c>
      <c r="C26" s="224" t="s">
        <v>497</v>
      </c>
      <c r="D26" s="224" t="s">
        <v>491</v>
      </c>
      <c r="E26" s="224" t="s">
        <v>491</v>
      </c>
      <c r="F26" s="224" t="str">
        <f>INDEX('Owner Mapped P&amp;L'!$F:$F,MATCH('Headcount &amp; Compensation'!$A26,'Owner Mapped P&amp;L'!$A:$A,0))</f>
        <v>Client Lead Wages</v>
      </c>
      <c r="G26" s="224" t="s">
        <v>1341</v>
      </c>
      <c r="H26" s="224" t="s">
        <v>731</v>
      </c>
      <c r="I26" s="224" t="s">
        <v>510</v>
      </c>
      <c r="J26" s="225">
        <v>1800</v>
      </c>
      <c r="K26" s="224" t="s">
        <v>595</v>
      </c>
      <c r="L26" s="225">
        <v>21600</v>
      </c>
      <c r="M26" s="224" t="s">
        <v>504</v>
      </c>
      <c r="N26" s="224" t="s">
        <v>504</v>
      </c>
      <c r="O26" s="224" t="s">
        <v>338</v>
      </c>
    </row>
    <row r="27" spans="1:15">
      <c r="A27" s="224" t="s">
        <v>545</v>
      </c>
      <c r="B27" s="224" t="s">
        <v>1449</v>
      </c>
      <c r="C27" s="224" t="s">
        <v>497</v>
      </c>
      <c r="D27" s="224" t="s">
        <v>1346</v>
      </c>
      <c r="E27" s="224" t="s">
        <v>490</v>
      </c>
      <c r="F27" s="224" t="str">
        <f>INDEX('Owner Mapped P&amp;L'!$F:$F,MATCH('Headcount &amp; Compensation'!$A27,'Owner Mapped P&amp;L'!$A:$A,0))</f>
        <v>Bookkeeper Wages</v>
      </c>
      <c r="G27" s="224" t="s">
        <v>1341</v>
      </c>
      <c r="H27" s="224" t="s">
        <v>731</v>
      </c>
      <c r="I27" s="224" t="s">
        <v>546</v>
      </c>
      <c r="J27" s="225">
        <v>1500</v>
      </c>
      <c r="K27" s="224" t="s">
        <v>595</v>
      </c>
      <c r="L27" s="225">
        <v>18000</v>
      </c>
      <c r="M27" s="224" t="s">
        <v>504</v>
      </c>
      <c r="N27" s="224" t="s">
        <v>504</v>
      </c>
      <c r="O27" s="224" t="s">
        <v>338</v>
      </c>
    </row>
    <row r="28" spans="1:15">
      <c r="A28" s="224" t="s">
        <v>522</v>
      </c>
      <c r="B28" s="224" t="s">
        <v>1358</v>
      </c>
      <c r="C28" s="224" t="s">
        <v>497</v>
      </c>
      <c r="D28" s="224" t="s">
        <v>491</v>
      </c>
      <c r="E28" s="224" t="s">
        <v>491</v>
      </c>
      <c r="F28" s="224" t="str">
        <f>INDEX('Owner Mapped P&amp;L'!$F:$F,MATCH('Headcount &amp; Compensation'!$A28,'Owner Mapped P&amp;L'!$A:$A,0))</f>
        <v>Client Lead Wages</v>
      </c>
      <c r="G28" s="224" t="s">
        <v>1341</v>
      </c>
      <c r="H28" s="224" t="s">
        <v>731</v>
      </c>
      <c r="I28" s="224" t="s">
        <v>510</v>
      </c>
      <c r="J28" s="225">
        <v>1800</v>
      </c>
      <c r="K28" s="224" t="s">
        <v>595</v>
      </c>
      <c r="L28" s="225">
        <v>21600</v>
      </c>
      <c r="M28" s="224" t="s">
        <v>504</v>
      </c>
      <c r="N28" s="224" t="s">
        <v>504</v>
      </c>
      <c r="O28" s="224" t="s">
        <v>338</v>
      </c>
    </row>
    <row r="29" spans="1:15">
      <c r="A29" s="224" t="s">
        <v>1415</v>
      </c>
      <c r="B29" s="224" t="s">
        <v>1416</v>
      </c>
      <c r="C29" s="224" t="s">
        <v>497</v>
      </c>
      <c r="D29" s="224" t="s">
        <v>1346</v>
      </c>
      <c r="E29" s="224" t="s">
        <v>490</v>
      </c>
      <c r="F29" s="224" t="str">
        <f>INDEX('Owner Mapped P&amp;L'!$F:$F,MATCH('Headcount &amp; Compensation'!$A29,'Owner Mapped P&amp;L'!$A:$A,0))</f>
        <v>Bookkeeper Wages</v>
      </c>
      <c r="G29" s="224" t="s">
        <v>1341</v>
      </c>
      <c r="H29" s="224" t="s">
        <v>731</v>
      </c>
      <c r="I29" s="224" t="s">
        <v>1389</v>
      </c>
      <c r="J29" s="225">
        <v>950</v>
      </c>
      <c r="K29" s="224" t="s">
        <v>595</v>
      </c>
      <c r="L29" s="225">
        <v>11400</v>
      </c>
      <c r="M29" s="224" t="s">
        <v>504</v>
      </c>
      <c r="N29" s="224" t="s">
        <v>504</v>
      </c>
      <c r="O29" s="224" t="s">
        <v>338</v>
      </c>
    </row>
    <row r="30" spans="1:15">
      <c r="A30" s="224" t="s">
        <v>1354</v>
      </c>
      <c r="B30" s="224" t="s">
        <v>1355</v>
      </c>
      <c r="C30" s="224" t="s">
        <v>497</v>
      </c>
      <c r="D30" s="224" t="s">
        <v>1346</v>
      </c>
      <c r="E30" s="224" t="s">
        <v>490</v>
      </c>
      <c r="F30" s="224" t="str">
        <f>INDEX('Owner Mapped P&amp;L'!$F:$F,MATCH('Headcount &amp; Compensation'!$A30,'Owner Mapped P&amp;L'!$A:$A,0))</f>
        <v>Bookkeeper Wages</v>
      </c>
      <c r="G30" s="224" t="s">
        <v>1341</v>
      </c>
      <c r="H30" s="224" t="s">
        <v>731</v>
      </c>
      <c r="I30" s="224" t="s">
        <v>1356</v>
      </c>
      <c r="J30" s="225">
        <v>950</v>
      </c>
      <c r="K30" s="224" t="s">
        <v>595</v>
      </c>
      <c r="L30" s="225">
        <v>11400</v>
      </c>
      <c r="M30" s="224" t="s">
        <v>504</v>
      </c>
      <c r="N30" s="224" t="s">
        <v>504</v>
      </c>
      <c r="O30" s="224" t="s">
        <v>338</v>
      </c>
    </row>
    <row r="31" spans="1:15">
      <c r="A31" s="224" t="s">
        <v>533</v>
      </c>
      <c r="B31" s="224" t="s">
        <v>1399</v>
      </c>
      <c r="C31" s="224" t="s">
        <v>497</v>
      </c>
      <c r="D31" s="224" t="s">
        <v>1361</v>
      </c>
      <c r="E31" s="224" t="s">
        <v>1361</v>
      </c>
      <c r="F31" s="224" t="str">
        <f>INDEX('Owner Mapped P&amp;L'!$F:$F,MATCH('Headcount &amp; Compensation'!$A31,'Owner Mapped P&amp;L'!$A:$A,0))</f>
        <v>Indirect Labor</v>
      </c>
      <c r="G31" s="224" t="s">
        <v>1362</v>
      </c>
      <c r="H31" s="224" t="s">
        <v>1363</v>
      </c>
      <c r="I31" s="224" t="s">
        <v>1364</v>
      </c>
      <c r="J31" s="225">
        <v>120000</v>
      </c>
      <c r="K31" s="224" t="s">
        <v>1365</v>
      </c>
      <c r="L31" s="225">
        <v>120000</v>
      </c>
      <c r="M31" s="224" t="s">
        <v>504</v>
      </c>
      <c r="N31" s="224" t="s">
        <v>504</v>
      </c>
      <c r="O31" s="224" t="s">
        <v>338</v>
      </c>
    </row>
    <row r="32" spans="1:15">
      <c r="A32" s="224" t="s">
        <v>560</v>
      </c>
      <c r="B32" s="224" t="s">
        <v>1448</v>
      </c>
      <c r="C32" s="224" t="s">
        <v>497</v>
      </c>
      <c r="D32" s="224" t="s">
        <v>1346</v>
      </c>
      <c r="E32" s="224" t="s">
        <v>490</v>
      </c>
      <c r="F32" s="224" t="str">
        <f>INDEX('Owner Mapped P&amp;L'!$F:$F,MATCH('Headcount &amp; Compensation'!$A32,'Owner Mapped P&amp;L'!$A:$A,0))</f>
        <v>Bookkeeper Wages</v>
      </c>
      <c r="G32" s="224" t="s">
        <v>1341</v>
      </c>
      <c r="H32" s="224" t="s">
        <v>731</v>
      </c>
      <c r="I32" s="224" t="s">
        <v>557</v>
      </c>
      <c r="J32" s="225">
        <v>975</v>
      </c>
      <c r="K32" s="224" t="s">
        <v>595</v>
      </c>
      <c r="L32" s="225">
        <v>11700</v>
      </c>
      <c r="M32" s="224" t="s">
        <v>504</v>
      </c>
      <c r="N32" s="224" t="s">
        <v>504</v>
      </c>
      <c r="O32" s="224" t="s">
        <v>338</v>
      </c>
    </row>
    <row r="33" spans="1:15">
      <c r="A33" s="224" t="s">
        <v>1488</v>
      </c>
      <c r="B33" s="224" t="s">
        <v>1489</v>
      </c>
      <c r="C33" s="224" t="s">
        <v>497</v>
      </c>
      <c r="D33" s="224" t="s">
        <v>1470</v>
      </c>
      <c r="E33" s="224" t="s">
        <v>1509</v>
      </c>
      <c r="F33" s="224" t="str">
        <f>INDEX('Owner Mapped P&amp;L'!$F:$F,MATCH('Headcount &amp; Compensation'!$A33,'Owner Mapped P&amp;L'!$A:$A,0))</f>
        <v>Onboarding Team Wages</v>
      </c>
      <c r="G33" s="224" t="s">
        <v>1341</v>
      </c>
      <c r="H33" s="224" t="s">
        <v>731</v>
      </c>
      <c r="I33" s="224" t="s">
        <v>1364</v>
      </c>
      <c r="J33" s="225">
        <v>2100</v>
      </c>
      <c r="K33" s="224" t="s">
        <v>595</v>
      </c>
      <c r="L33" s="225">
        <v>25200</v>
      </c>
      <c r="M33" s="224" t="s">
        <v>504</v>
      </c>
      <c r="N33" s="224" t="s">
        <v>504</v>
      </c>
      <c r="O33" s="224" t="s">
        <v>338</v>
      </c>
    </row>
    <row r="34" spans="1:15">
      <c r="A34" s="224" t="s">
        <v>1368</v>
      </c>
      <c r="B34" s="224" t="s">
        <v>1497</v>
      </c>
      <c r="C34" s="224" t="s">
        <v>497</v>
      </c>
      <c r="D34" s="224" t="s">
        <v>1498</v>
      </c>
      <c r="E34" s="224" t="s">
        <v>1507</v>
      </c>
      <c r="F34" s="224" t="str">
        <f>INDEX('Owner Mapped P&amp;L'!$F:$F,MATCH('Headcount &amp; Compensation'!$A34,'Owner Mapped P&amp;L'!$A:$A,0))</f>
        <v>Indirect Labor</v>
      </c>
      <c r="G34" s="224" t="s">
        <v>1341</v>
      </c>
      <c r="H34" s="224" t="s">
        <v>731</v>
      </c>
      <c r="I34" s="224" t="s">
        <v>1364</v>
      </c>
      <c r="J34" s="225">
        <v>2500</v>
      </c>
      <c r="K34" s="224" t="s">
        <v>595</v>
      </c>
      <c r="L34" s="225">
        <v>30000</v>
      </c>
      <c r="M34" s="224" t="s">
        <v>504</v>
      </c>
      <c r="N34" s="224" t="s">
        <v>504</v>
      </c>
      <c r="O34" s="224" t="s">
        <v>338</v>
      </c>
    </row>
    <row r="35" spans="1:15">
      <c r="A35" s="224" t="s">
        <v>769</v>
      </c>
      <c r="B35" s="224" t="s">
        <v>1476</v>
      </c>
      <c r="C35" s="224" t="s">
        <v>497</v>
      </c>
      <c r="D35" s="224" t="s">
        <v>1477</v>
      </c>
      <c r="E35" s="224" t="s">
        <v>491</v>
      </c>
      <c r="F35" s="224" t="str">
        <f>INDEX('Owner Mapped P&amp;L'!$F:$F,MATCH('Headcount &amp; Compensation'!$A35,'Owner Mapped P&amp;L'!$A:$A,0))</f>
        <v>Sr. Client Lead Wages</v>
      </c>
      <c r="G35" s="224" t="s">
        <v>1341</v>
      </c>
      <c r="H35" s="224" t="s">
        <v>731</v>
      </c>
      <c r="I35" s="224" t="s">
        <v>533</v>
      </c>
      <c r="J35" s="225">
        <v>2300</v>
      </c>
      <c r="K35" s="224" t="s">
        <v>595</v>
      </c>
      <c r="L35" s="225">
        <v>27600</v>
      </c>
      <c r="M35" s="224" t="s">
        <v>504</v>
      </c>
      <c r="N35" s="224" t="s">
        <v>504</v>
      </c>
      <c r="O35" s="224" t="s">
        <v>338</v>
      </c>
    </row>
    <row r="36" spans="1:15">
      <c r="A36" s="224" t="s">
        <v>1419</v>
      </c>
      <c r="B36" s="224" t="s">
        <v>1420</v>
      </c>
      <c r="C36" s="224" t="s">
        <v>497</v>
      </c>
      <c r="D36" s="224" t="s">
        <v>1346</v>
      </c>
      <c r="E36" s="224" t="s">
        <v>490</v>
      </c>
      <c r="F36" s="224" t="str">
        <f>INDEX('Owner Mapped P&amp;L'!$F:$F,MATCH('Headcount &amp; Compensation'!$A36,'Owner Mapped P&amp;L'!$A:$A,0))</f>
        <v>Bookkeeper Wages</v>
      </c>
      <c r="G36" s="224" t="s">
        <v>1341</v>
      </c>
      <c r="H36" s="224" t="s">
        <v>731</v>
      </c>
      <c r="I36" s="224" t="s">
        <v>1356</v>
      </c>
      <c r="J36" s="225">
        <v>950</v>
      </c>
      <c r="K36" s="224" t="s">
        <v>595</v>
      </c>
      <c r="L36" s="225">
        <v>11400</v>
      </c>
      <c r="M36" s="224" t="s">
        <v>504</v>
      </c>
      <c r="N36" s="224" t="s">
        <v>504</v>
      </c>
      <c r="O36" s="224" t="s">
        <v>338</v>
      </c>
    </row>
    <row r="37" spans="1:15">
      <c r="A37" s="224" t="s">
        <v>1494</v>
      </c>
      <c r="B37" s="224" t="s">
        <v>1495</v>
      </c>
      <c r="C37" s="224" t="s">
        <v>497</v>
      </c>
      <c r="D37" s="224" t="s">
        <v>1496</v>
      </c>
      <c r="E37" s="224" t="s">
        <v>1507</v>
      </c>
      <c r="F37" s="224" t="str">
        <f>INDEX('Owner Mapped P&amp;L'!$F:$F,MATCH('Headcount &amp; Compensation'!$A37,'Owner Mapped P&amp;L'!$A:$A,0))</f>
        <v>Indirect Labor</v>
      </c>
      <c r="G37" s="224" t="s">
        <v>1341</v>
      </c>
      <c r="H37" s="224" t="s">
        <v>731</v>
      </c>
      <c r="I37" s="224" t="s">
        <v>1364</v>
      </c>
      <c r="J37" s="225">
        <v>3700</v>
      </c>
      <c r="K37" s="224" t="s">
        <v>595</v>
      </c>
      <c r="L37" s="225">
        <v>44400</v>
      </c>
      <c r="M37" s="224" t="s">
        <v>504</v>
      </c>
      <c r="N37" s="224" t="s">
        <v>504</v>
      </c>
      <c r="O37" s="224" t="s">
        <v>338</v>
      </c>
    </row>
    <row r="38" spans="1:15">
      <c r="A38" s="224" t="s">
        <v>584</v>
      </c>
      <c r="B38" s="224" t="s">
        <v>1431</v>
      </c>
      <c r="C38" s="224" t="s">
        <v>497</v>
      </c>
      <c r="D38" s="224" t="s">
        <v>1346</v>
      </c>
      <c r="E38" s="224" t="s">
        <v>490</v>
      </c>
      <c r="F38" s="224" t="str">
        <f>INDEX('Owner Mapped P&amp;L'!$F:$F,MATCH('Headcount &amp; Compensation'!$A38,'Owner Mapped P&amp;L'!$A:$A,0))</f>
        <v>Bookkeeper Wages</v>
      </c>
      <c r="G38" s="224" t="s">
        <v>1341</v>
      </c>
      <c r="H38" s="224" t="s">
        <v>731</v>
      </c>
      <c r="I38" s="224" t="s">
        <v>581</v>
      </c>
      <c r="J38" s="225">
        <v>1025</v>
      </c>
      <c r="K38" s="224" t="s">
        <v>595</v>
      </c>
      <c r="L38" s="225">
        <v>12300</v>
      </c>
      <c r="M38" s="224" t="s">
        <v>504</v>
      </c>
      <c r="N38" s="224" t="s">
        <v>504</v>
      </c>
      <c r="O38" s="224" t="s">
        <v>338</v>
      </c>
    </row>
    <row r="39" spans="1:15">
      <c r="A39" s="224" t="s">
        <v>1394</v>
      </c>
      <c r="B39" s="224" t="s">
        <v>1395</v>
      </c>
      <c r="C39" s="224" t="s">
        <v>497</v>
      </c>
      <c r="D39" s="224" t="s">
        <v>1340</v>
      </c>
      <c r="E39" s="224" t="s">
        <v>1508</v>
      </c>
      <c r="F39" s="224" t="str">
        <f>INDEX('Owner Mapped P&amp;L'!$F:$F,MATCH('Headcount &amp; Compensation'!$A39,'Owner Mapped P&amp;L'!$A:$A,0))</f>
        <v>Occupancy Tax Specialist</v>
      </c>
      <c r="G39" s="224" t="s">
        <v>1341</v>
      </c>
      <c r="H39" s="224" t="s">
        <v>731</v>
      </c>
      <c r="I39" s="224" t="s">
        <v>1342</v>
      </c>
      <c r="J39" s="225">
        <v>1100</v>
      </c>
      <c r="K39" s="224" t="s">
        <v>595</v>
      </c>
      <c r="L39" s="225">
        <v>13200</v>
      </c>
      <c r="M39" s="224" t="s">
        <v>504</v>
      </c>
      <c r="N39" s="224" t="s">
        <v>504</v>
      </c>
      <c r="O39" s="224" t="s">
        <v>338</v>
      </c>
    </row>
    <row r="40" spans="1:15">
      <c r="A40" s="224" t="s">
        <v>1373</v>
      </c>
      <c r="B40" s="224" t="s">
        <v>1476</v>
      </c>
      <c r="C40" s="224" t="s">
        <v>497</v>
      </c>
      <c r="D40" s="224" t="s">
        <v>1371</v>
      </c>
      <c r="E40" s="224" t="s">
        <v>1509</v>
      </c>
      <c r="F40" s="224" t="str">
        <f>INDEX('Owner Mapped P&amp;L'!$F:$F,MATCH('Headcount &amp; Compensation'!$A40,'Owner Mapped P&amp;L'!$A:$A,0))</f>
        <v>Onboarding Team Wages</v>
      </c>
      <c r="G40" s="224" t="s">
        <v>1372</v>
      </c>
      <c r="H40" s="224" t="s">
        <v>731</v>
      </c>
      <c r="I40" s="224" t="s">
        <v>1364</v>
      </c>
      <c r="J40" s="225">
        <v>1800</v>
      </c>
      <c r="K40" s="224" t="s">
        <v>595</v>
      </c>
      <c r="L40" s="225">
        <v>21600</v>
      </c>
      <c r="M40" s="224" t="s">
        <v>504</v>
      </c>
      <c r="N40" s="224" t="s">
        <v>504</v>
      </c>
      <c r="O40" s="224" t="s">
        <v>338</v>
      </c>
    </row>
    <row r="41" spans="1:15">
      <c r="A41" s="224" t="s">
        <v>1436</v>
      </c>
      <c r="B41" s="224" t="s">
        <v>1437</v>
      </c>
      <c r="C41" s="224" t="s">
        <v>497</v>
      </c>
      <c r="D41" s="224" t="s">
        <v>1346</v>
      </c>
      <c r="E41" s="224" t="s">
        <v>490</v>
      </c>
      <c r="F41" s="224" t="str">
        <f>INDEX('Owner Mapped P&amp;L'!$F:$F,MATCH('Headcount &amp; Compensation'!$A41,'Owner Mapped P&amp;L'!$A:$A,0))</f>
        <v>Bookkeeper Wages</v>
      </c>
      <c r="G41" s="224" t="s">
        <v>1341</v>
      </c>
      <c r="H41" s="224" t="s">
        <v>731</v>
      </c>
      <c r="I41" s="224" t="s">
        <v>581</v>
      </c>
      <c r="J41" s="225">
        <v>1000</v>
      </c>
      <c r="K41" s="224" t="s">
        <v>595</v>
      </c>
      <c r="L41" s="225">
        <v>12000</v>
      </c>
      <c r="M41" s="224" t="s">
        <v>504</v>
      </c>
      <c r="N41" s="224" t="s">
        <v>504</v>
      </c>
      <c r="O41" s="224" t="s">
        <v>338</v>
      </c>
    </row>
    <row r="42" spans="1:15">
      <c r="A42" s="224" t="s">
        <v>766</v>
      </c>
      <c r="B42" s="224" t="s">
        <v>1412</v>
      </c>
      <c r="C42" s="224" t="s">
        <v>497</v>
      </c>
      <c r="D42" s="224" t="s">
        <v>1346</v>
      </c>
      <c r="E42" s="224" t="s">
        <v>490</v>
      </c>
      <c r="F42" s="224" t="str">
        <f>INDEX('Owner Mapped P&amp;L'!$F:$F,MATCH('Headcount &amp; Compensation'!$A42,'Owner Mapped P&amp;L'!$A:$A,0))</f>
        <v>Bookkeeper Wages</v>
      </c>
      <c r="G42" s="224" t="s">
        <v>1341</v>
      </c>
      <c r="H42" s="224" t="s">
        <v>731</v>
      </c>
      <c r="I42" s="224" t="s">
        <v>681</v>
      </c>
      <c r="J42" s="225">
        <v>950</v>
      </c>
      <c r="K42" s="224" t="s">
        <v>595</v>
      </c>
      <c r="L42" s="225">
        <v>11400</v>
      </c>
      <c r="M42" s="224" t="s">
        <v>504</v>
      </c>
      <c r="N42" s="224" t="s">
        <v>504</v>
      </c>
      <c r="O42" s="224" t="s">
        <v>338</v>
      </c>
    </row>
    <row r="43" spans="1:15">
      <c r="A43" s="224" t="s">
        <v>1434</v>
      </c>
      <c r="B43" s="224" t="s">
        <v>1435</v>
      </c>
      <c r="C43" s="224" t="s">
        <v>497</v>
      </c>
      <c r="D43" s="224" t="s">
        <v>1346</v>
      </c>
      <c r="E43" s="224" t="s">
        <v>490</v>
      </c>
      <c r="F43" s="224" t="str">
        <f>INDEX('Owner Mapped P&amp;L'!$F:$F,MATCH('Headcount &amp; Compensation'!$A43,'Owner Mapped P&amp;L'!$A:$A,0))</f>
        <v>Bookkeeper Wages</v>
      </c>
      <c r="G43" s="224" t="s">
        <v>1341</v>
      </c>
      <c r="H43" s="224" t="s">
        <v>731</v>
      </c>
      <c r="I43" s="224" t="s">
        <v>681</v>
      </c>
      <c r="J43" s="225">
        <v>1050</v>
      </c>
      <c r="K43" s="224" t="s">
        <v>595</v>
      </c>
      <c r="L43" s="225">
        <v>12600</v>
      </c>
      <c r="M43" s="224" t="s">
        <v>504</v>
      </c>
      <c r="N43" s="224" t="s">
        <v>504</v>
      </c>
      <c r="O43" s="224" t="s">
        <v>338</v>
      </c>
    </row>
    <row r="44" spans="1:15">
      <c r="A44" s="224" t="s">
        <v>1438</v>
      </c>
      <c r="B44" s="224" t="s">
        <v>1439</v>
      </c>
      <c r="C44" s="224" t="s">
        <v>497</v>
      </c>
      <c r="D44" s="224" t="s">
        <v>1346</v>
      </c>
      <c r="E44" s="224" t="s">
        <v>490</v>
      </c>
      <c r="F44" s="224" t="str">
        <f>INDEX('Owner Mapped P&amp;L'!$F:$F,MATCH('Headcount &amp; Compensation'!$A44,'Owner Mapped P&amp;L'!$A:$A,0))</f>
        <v>Bookkeeper Wages</v>
      </c>
      <c r="G44" s="224" t="s">
        <v>1341</v>
      </c>
      <c r="H44" s="224" t="s">
        <v>731</v>
      </c>
      <c r="I44" s="224" t="s">
        <v>557</v>
      </c>
      <c r="J44" s="225">
        <v>1025</v>
      </c>
      <c r="K44" s="224" t="s">
        <v>595</v>
      </c>
      <c r="L44" s="225">
        <v>12300</v>
      </c>
      <c r="M44" s="224" t="s">
        <v>504</v>
      </c>
      <c r="N44" s="224" t="s">
        <v>504</v>
      </c>
      <c r="O44" s="224" t="s">
        <v>338</v>
      </c>
    </row>
    <row r="45" spans="1:15">
      <c r="A45" s="224" t="s">
        <v>1480</v>
      </c>
      <c r="B45" s="224" t="s">
        <v>1481</v>
      </c>
      <c r="C45" s="224" t="s">
        <v>497</v>
      </c>
      <c r="D45" s="224" t="s">
        <v>1482</v>
      </c>
      <c r="E45" s="224" t="s">
        <v>493</v>
      </c>
      <c r="F45" s="224" t="str">
        <f>INDEX('Owner Mapped P&amp;L'!$F:$F,MATCH('Headcount &amp; Compensation'!$A45,'Owner Mapped P&amp;L'!$A:$A,0))</f>
        <v>Indirect Labor</v>
      </c>
      <c r="G45" s="224" t="s">
        <v>1341</v>
      </c>
      <c r="H45" s="224" t="s">
        <v>731</v>
      </c>
      <c r="I45" s="224" t="s">
        <v>1368</v>
      </c>
      <c r="J45" s="225">
        <v>1000</v>
      </c>
      <c r="K45" s="224" t="s">
        <v>595</v>
      </c>
      <c r="L45" s="225">
        <v>12000</v>
      </c>
      <c r="M45" s="224" t="s">
        <v>504</v>
      </c>
      <c r="N45" s="224" t="s">
        <v>504</v>
      </c>
      <c r="O45" s="224" t="s">
        <v>338</v>
      </c>
    </row>
    <row r="46" spans="1:15">
      <c r="A46" s="224" t="s">
        <v>1376</v>
      </c>
      <c r="B46" s="224" t="s">
        <v>1399</v>
      </c>
      <c r="C46" s="224" t="s">
        <v>497</v>
      </c>
      <c r="D46" s="224" t="s">
        <v>1361</v>
      </c>
      <c r="E46" s="224" t="s">
        <v>1361</v>
      </c>
      <c r="F46" s="224" t="str">
        <f>INDEX('Owner Mapped P&amp;L'!$F:$F,MATCH('Headcount &amp; Compensation'!$A46,'Owner Mapped P&amp;L'!$A:$A,0))</f>
        <v>Indirect Labor</v>
      </c>
      <c r="G46" s="224" t="s">
        <v>1362</v>
      </c>
      <c r="H46" s="224" t="s">
        <v>1363</v>
      </c>
      <c r="I46" s="224" t="s">
        <v>1364</v>
      </c>
      <c r="J46" s="225">
        <v>120000</v>
      </c>
      <c r="K46" s="224" t="s">
        <v>1365</v>
      </c>
      <c r="L46" s="225">
        <v>120000</v>
      </c>
      <c r="M46" s="224" t="s">
        <v>504</v>
      </c>
      <c r="N46" s="224" t="s">
        <v>504</v>
      </c>
      <c r="O46" s="224" t="s">
        <v>338</v>
      </c>
    </row>
    <row r="47" spans="1:15">
      <c r="A47" s="224" t="s">
        <v>557</v>
      </c>
      <c r="B47" s="224" t="s">
        <v>1460</v>
      </c>
      <c r="C47" s="224" t="s">
        <v>497</v>
      </c>
      <c r="D47" s="224" t="s">
        <v>491</v>
      </c>
      <c r="E47" s="224" t="s">
        <v>491</v>
      </c>
      <c r="F47" s="224" t="str">
        <f>INDEX('Owner Mapped P&amp;L'!$F:$F,MATCH('Headcount &amp; Compensation'!$A47,'Owner Mapped P&amp;L'!$A:$A,0))</f>
        <v>Client Lead Wages</v>
      </c>
      <c r="G47" s="224" t="s">
        <v>1341</v>
      </c>
      <c r="H47" s="224" t="s">
        <v>731</v>
      </c>
      <c r="I47" s="224" t="s">
        <v>510</v>
      </c>
      <c r="J47" s="225">
        <v>2000</v>
      </c>
      <c r="K47" s="224" t="s">
        <v>595</v>
      </c>
      <c r="L47" s="225">
        <v>24000</v>
      </c>
      <c r="M47" s="224" t="s">
        <v>504</v>
      </c>
      <c r="N47" s="224" t="s">
        <v>504</v>
      </c>
      <c r="O47" s="224" t="s">
        <v>338</v>
      </c>
    </row>
    <row r="48" spans="1:15">
      <c r="A48" s="224" t="s">
        <v>536</v>
      </c>
      <c r="B48" s="224" t="s">
        <v>1475</v>
      </c>
      <c r="C48" s="224" t="s">
        <v>497</v>
      </c>
      <c r="D48" s="224" t="s">
        <v>491</v>
      </c>
      <c r="E48" s="224" t="s">
        <v>491</v>
      </c>
      <c r="F48" s="224" t="str">
        <f>INDEX('Owner Mapped P&amp;L'!$F:$F,MATCH('Headcount &amp; Compensation'!$A48,'Owner Mapped P&amp;L'!$A:$A,0))</f>
        <v>Client Lead Wages</v>
      </c>
      <c r="G48" s="224" t="s">
        <v>1341</v>
      </c>
      <c r="H48" s="224" t="s">
        <v>731</v>
      </c>
      <c r="I48" s="224" t="s">
        <v>1376</v>
      </c>
      <c r="J48" s="225">
        <v>2150</v>
      </c>
      <c r="K48" s="224" t="s">
        <v>595</v>
      </c>
      <c r="L48" s="225">
        <v>25800</v>
      </c>
      <c r="M48" s="224" t="s">
        <v>504</v>
      </c>
      <c r="N48" s="224" t="s">
        <v>504</v>
      </c>
      <c r="O48" s="224" t="s">
        <v>338</v>
      </c>
    </row>
    <row r="49" spans="1:15">
      <c r="A49" s="224" t="s">
        <v>705</v>
      </c>
      <c r="B49" s="224" t="s">
        <v>1487</v>
      </c>
      <c r="C49" s="224" t="s">
        <v>497</v>
      </c>
      <c r="D49" s="224" t="s">
        <v>1407</v>
      </c>
      <c r="E49" s="224" t="s">
        <v>490</v>
      </c>
      <c r="F49" s="224" t="str">
        <f>INDEX('Owner Mapped P&amp;L'!$F:$F,MATCH('Headcount &amp; Compensation'!$A49,'Owner Mapped P&amp;L'!$A:$A,0))</f>
        <v>Bookkeeper Wages</v>
      </c>
      <c r="G49" s="224" t="s">
        <v>1341</v>
      </c>
      <c r="H49" s="224" t="s">
        <v>731</v>
      </c>
      <c r="I49" s="224" t="s">
        <v>681</v>
      </c>
      <c r="J49" s="225">
        <v>1250</v>
      </c>
      <c r="K49" s="224" t="s">
        <v>595</v>
      </c>
      <c r="L49" s="225">
        <v>15000</v>
      </c>
      <c r="M49" s="224" t="s">
        <v>504</v>
      </c>
      <c r="N49" s="224" t="s">
        <v>504</v>
      </c>
      <c r="O49" s="224" t="s">
        <v>338</v>
      </c>
    </row>
    <row r="50" spans="1:15">
      <c r="A50" s="224" t="s">
        <v>682</v>
      </c>
      <c r="B50" s="224" t="s">
        <v>1366</v>
      </c>
      <c r="C50" s="224" t="s">
        <v>497</v>
      </c>
      <c r="D50" s="224" t="s">
        <v>1367</v>
      </c>
      <c r="E50" s="224" t="s">
        <v>493</v>
      </c>
      <c r="F50" s="224" t="str">
        <f>INDEX('Owner Mapped P&amp;L'!$F:$F,MATCH('Headcount &amp; Compensation'!$A50,'Owner Mapped P&amp;L'!$A:$A,0))</f>
        <v>Indirect Labor</v>
      </c>
      <c r="G50" s="224" t="s">
        <v>1341</v>
      </c>
      <c r="H50" s="224" t="s">
        <v>731</v>
      </c>
      <c r="I50" s="224" t="s">
        <v>1368</v>
      </c>
      <c r="J50" s="225">
        <v>850</v>
      </c>
      <c r="K50" s="224" t="s">
        <v>595</v>
      </c>
      <c r="L50" s="225">
        <v>10200</v>
      </c>
      <c r="M50" s="224" t="s">
        <v>504</v>
      </c>
      <c r="N50" s="224" t="s">
        <v>504</v>
      </c>
      <c r="O50" s="224" t="s">
        <v>338</v>
      </c>
    </row>
    <row r="51" spans="1:15">
      <c r="A51" s="224" t="s">
        <v>1342</v>
      </c>
      <c r="B51" s="224" t="s">
        <v>1409</v>
      </c>
      <c r="C51" s="224" t="s">
        <v>497</v>
      </c>
      <c r="D51" s="224" t="s">
        <v>1410</v>
      </c>
      <c r="E51" s="224" t="s">
        <v>1508</v>
      </c>
      <c r="F51" s="224" t="str">
        <f>INDEX('Owner Mapped P&amp;L'!$F:$F,MATCH('Headcount &amp; Compensation'!$A51,'Owner Mapped P&amp;L'!$A:$A,0))</f>
        <v>Occupancy Tax Specialist</v>
      </c>
      <c r="G51" s="224" t="s">
        <v>1341</v>
      </c>
      <c r="H51" s="224" t="s">
        <v>731</v>
      </c>
      <c r="I51" s="224" t="s">
        <v>1359</v>
      </c>
      <c r="J51" s="225">
        <v>1800</v>
      </c>
      <c r="K51" s="224" t="s">
        <v>595</v>
      </c>
      <c r="L51" s="225">
        <v>21600</v>
      </c>
      <c r="M51" s="224" t="s">
        <v>504</v>
      </c>
      <c r="N51" s="224" t="s">
        <v>504</v>
      </c>
      <c r="O51" s="224" t="s">
        <v>338</v>
      </c>
    </row>
    <row r="52" spans="1:15">
      <c r="A52" s="224" t="s">
        <v>1422</v>
      </c>
      <c r="B52" s="224" t="s">
        <v>1456</v>
      </c>
      <c r="C52" s="224" t="s">
        <v>497</v>
      </c>
      <c r="D52" s="224" t="s">
        <v>491</v>
      </c>
      <c r="E52" s="224" t="s">
        <v>491</v>
      </c>
      <c r="F52" s="224" t="str">
        <f>INDEX('Owner Mapped P&amp;L'!$F:$F,MATCH('Headcount &amp; Compensation'!$A52,'Owner Mapped P&amp;L'!$A:$A,0))</f>
        <v>Client Lead Wages</v>
      </c>
      <c r="G52" s="224" t="s">
        <v>1341</v>
      </c>
      <c r="H52" s="224" t="s">
        <v>731</v>
      </c>
      <c r="I52" s="224" t="s">
        <v>1376</v>
      </c>
      <c r="J52" s="225">
        <v>2000</v>
      </c>
      <c r="K52" s="224" t="s">
        <v>595</v>
      </c>
      <c r="L52" s="225">
        <v>24000</v>
      </c>
      <c r="M52" s="224" t="s">
        <v>504</v>
      </c>
      <c r="N52" s="224" t="s">
        <v>504</v>
      </c>
      <c r="O52" s="224" t="s">
        <v>338</v>
      </c>
    </row>
    <row r="53" spans="1:15">
      <c r="A53" s="224" t="s">
        <v>1389</v>
      </c>
      <c r="B53" s="224" t="s">
        <v>1478</v>
      </c>
      <c r="C53" s="224" t="s">
        <v>497</v>
      </c>
      <c r="D53" s="224" t="s">
        <v>491</v>
      </c>
      <c r="E53" s="224" t="s">
        <v>491</v>
      </c>
      <c r="F53" s="224" t="str">
        <f>INDEX('Owner Mapped P&amp;L'!$F:$F,MATCH('Headcount &amp; Compensation'!$A53,'Owner Mapped P&amp;L'!$A:$A,0))</f>
        <v>Client Lead Wages</v>
      </c>
      <c r="G53" s="224" t="s">
        <v>1341</v>
      </c>
      <c r="H53" s="224" t="s">
        <v>731</v>
      </c>
      <c r="I53" s="224" t="s">
        <v>510</v>
      </c>
      <c r="J53" s="225">
        <v>1800</v>
      </c>
      <c r="K53" s="224" t="s">
        <v>595</v>
      </c>
      <c r="L53" s="225">
        <v>21600</v>
      </c>
      <c r="M53" s="224" t="s">
        <v>504</v>
      </c>
      <c r="N53" s="224" t="s">
        <v>504</v>
      </c>
      <c r="O53" s="224" t="s">
        <v>338</v>
      </c>
    </row>
    <row r="54" spans="1:15">
      <c r="A54" s="224" t="s">
        <v>626</v>
      </c>
      <c r="B54" s="224" t="s">
        <v>1388</v>
      </c>
      <c r="C54" s="224" t="s">
        <v>497</v>
      </c>
      <c r="D54" s="224" t="s">
        <v>1346</v>
      </c>
      <c r="E54" s="224" t="s">
        <v>490</v>
      </c>
      <c r="F54" s="224" t="str">
        <f>INDEX('Owner Mapped P&amp;L'!$F:$F,MATCH('Headcount &amp; Compensation'!$A54,'Owner Mapped P&amp;L'!$A:$A,0))</f>
        <v>Bookkeeper Wages</v>
      </c>
      <c r="G54" s="224" t="s">
        <v>1341</v>
      </c>
      <c r="H54" s="224" t="s">
        <v>731</v>
      </c>
      <c r="I54" s="224" t="s">
        <v>1389</v>
      </c>
      <c r="J54" s="225">
        <v>950</v>
      </c>
      <c r="K54" s="224" t="s">
        <v>595</v>
      </c>
      <c r="L54" s="225">
        <v>11400</v>
      </c>
      <c r="M54" s="224" t="s">
        <v>504</v>
      </c>
      <c r="N54" s="224" t="s">
        <v>504</v>
      </c>
      <c r="O54" s="224" t="s">
        <v>338</v>
      </c>
    </row>
    <row r="55" spans="1:15">
      <c r="A55" s="224" t="s">
        <v>1382</v>
      </c>
      <c r="B55" s="224" t="s">
        <v>1469</v>
      </c>
      <c r="C55" s="224" t="s">
        <v>497</v>
      </c>
      <c r="D55" s="224" t="s">
        <v>1470</v>
      </c>
      <c r="E55" s="224" t="s">
        <v>1509</v>
      </c>
      <c r="F55" s="224" t="str">
        <f>INDEX('Owner Mapped P&amp;L'!$F:$F,MATCH('Headcount &amp; Compensation'!$A55,'Owner Mapped P&amp;L'!$A:$A,0))</f>
        <v>Onboarding Team Wages</v>
      </c>
      <c r="G55" s="224" t="s">
        <v>1341</v>
      </c>
      <c r="H55" s="224" t="s">
        <v>731</v>
      </c>
      <c r="I55" s="224" t="s">
        <v>1364</v>
      </c>
      <c r="J55" s="225">
        <v>2000</v>
      </c>
      <c r="K55" s="224" t="s">
        <v>595</v>
      </c>
      <c r="L55" s="225">
        <v>24000</v>
      </c>
      <c r="M55" s="224" t="s">
        <v>504</v>
      </c>
      <c r="N55" s="224" t="s">
        <v>504</v>
      </c>
      <c r="O55" s="224" t="s">
        <v>338</v>
      </c>
    </row>
    <row r="56" spans="1:15">
      <c r="A56" s="224" t="s">
        <v>612</v>
      </c>
      <c r="B56" s="224" t="s">
        <v>1383</v>
      </c>
      <c r="C56" s="224" t="s">
        <v>497</v>
      </c>
      <c r="D56" s="224" t="s">
        <v>1346</v>
      </c>
      <c r="E56" s="224" t="s">
        <v>490</v>
      </c>
      <c r="F56" s="224" t="str">
        <f>INDEX('Owner Mapped P&amp;L'!$F:$F,MATCH('Headcount &amp; Compensation'!$A56,'Owner Mapped P&amp;L'!$A:$A,0))</f>
        <v>Bookkeeper Wages</v>
      </c>
      <c r="G56" s="224" t="s">
        <v>1341</v>
      </c>
      <c r="H56" s="224" t="s">
        <v>731</v>
      </c>
      <c r="I56" s="224" t="s">
        <v>1350</v>
      </c>
      <c r="J56" s="225">
        <v>950</v>
      </c>
      <c r="K56" s="224" t="s">
        <v>595</v>
      </c>
      <c r="L56" s="225">
        <v>11400</v>
      </c>
      <c r="M56" s="224" t="s">
        <v>504</v>
      </c>
      <c r="N56" s="224" t="s">
        <v>504</v>
      </c>
      <c r="O56" s="224" t="s">
        <v>338</v>
      </c>
    </row>
    <row r="57" spans="1:15">
      <c r="A57" s="224" t="s">
        <v>640</v>
      </c>
      <c r="B57" s="224" t="s">
        <v>1417</v>
      </c>
      <c r="C57" s="224" t="s">
        <v>497</v>
      </c>
      <c r="D57" s="224" t="s">
        <v>1346</v>
      </c>
      <c r="E57" s="224" t="s">
        <v>490</v>
      </c>
      <c r="F57" s="224" t="str">
        <f>INDEX('Owner Mapped P&amp;L'!$F:$F,MATCH('Headcount &amp; Compensation'!$A57,'Owner Mapped P&amp;L'!$A:$A,0))</f>
        <v>Bookkeeper Wages</v>
      </c>
      <c r="G57" s="224" t="s">
        <v>1341</v>
      </c>
      <c r="H57" s="224" t="s">
        <v>731</v>
      </c>
      <c r="I57" s="224" t="s">
        <v>536</v>
      </c>
      <c r="J57" s="225">
        <v>950</v>
      </c>
      <c r="K57" s="224" t="s">
        <v>595</v>
      </c>
      <c r="L57" s="225">
        <v>11400</v>
      </c>
      <c r="M57" s="224" t="s">
        <v>504</v>
      </c>
      <c r="N57" s="224" t="s">
        <v>504</v>
      </c>
      <c r="O57" s="224" t="s">
        <v>338</v>
      </c>
    </row>
    <row r="58" spans="1:15">
      <c r="A58" s="224" t="s">
        <v>1348</v>
      </c>
      <c r="B58" s="224" t="s">
        <v>1349</v>
      </c>
      <c r="C58" s="224" t="s">
        <v>497</v>
      </c>
      <c r="D58" s="224" t="s">
        <v>1346</v>
      </c>
      <c r="E58" s="224" t="s">
        <v>490</v>
      </c>
      <c r="F58" s="224" t="str">
        <f>INDEX('Owner Mapped P&amp;L'!$F:$F,MATCH('Headcount &amp; Compensation'!$A58,'Owner Mapped P&amp;L'!$A:$A,0))</f>
        <v>Bookkeeper Wages</v>
      </c>
      <c r="G58" s="224" t="s">
        <v>1341</v>
      </c>
      <c r="H58" s="224" t="s">
        <v>731</v>
      </c>
      <c r="I58" s="224" t="s">
        <v>1350</v>
      </c>
      <c r="J58" s="225">
        <v>950</v>
      </c>
      <c r="K58" s="224" t="s">
        <v>595</v>
      </c>
      <c r="L58" s="225">
        <v>11400</v>
      </c>
      <c r="M58" s="224" t="s">
        <v>505</v>
      </c>
      <c r="N58" s="224" t="s">
        <v>504</v>
      </c>
      <c r="O58" s="224" t="s">
        <v>1347</v>
      </c>
    </row>
    <row r="59" spans="1:15">
      <c r="A59" s="224" t="s">
        <v>510</v>
      </c>
      <c r="B59" s="224" t="s">
        <v>1423</v>
      </c>
      <c r="C59" s="224" t="s">
        <v>497</v>
      </c>
      <c r="D59" s="224" t="s">
        <v>1361</v>
      </c>
      <c r="E59" s="224" t="s">
        <v>1361</v>
      </c>
      <c r="F59" s="224" t="str">
        <f>INDEX('Owner Mapped P&amp;L'!$F:$F,MATCH('Headcount &amp; Compensation'!$A59,'Owner Mapped P&amp;L'!$A:$A,0))</f>
        <v>Indirect Labor</v>
      </c>
      <c r="G59" s="224" t="s">
        <v>1362</v>
      </c>
      <c r="H59" s="224" t="s">
        <v>1363</v>
      </c>
      <c r="I59" s="224" t="s">
        <v>1364</v>
      </c>
      <c r="J59" s="225">
        <v>115000</v>
      </c>
      <c r="K59" s="224" t="s">
        <v>1365</v>
      </c>
      <c r="L59" s="225">
        <v>115000</v>
      </c>
      <c r="M59" s="224" t="s">
        <v>504</v>
      </c>
      <c r="N59" s="224" t="s">
        <v>504</v>
      </c>
      <c r="O59" s="224" t="s">
        <v>338</v>
      </c>
    </row>
    <row r="60" spans="1:15">
      <c r="A60" s="224" t="s">
        <v>1485</v>
      </c>
      <c r="B60" s="224" t="s">
        <v>1486</v>
      </c>
      <c r="C60" s="224" t="s">
        <v>497</v>
      </c>
      <c r="D60" s="224" t="s">
        <v>1346</v>
      </c>
      <c r="E60" s="224" t="s">
        <v>493</v>
      </c>
      <c r="F60" s="224" t="str">
        <f>INDEX('Owner Mapped P&amp;L'!$F:$F,MATCH('Headcount &amp; Compensation'!$A60,'Owner Mapped P&amp;L'!$A:$A,0))</f>
        <v>Indirect Labor</v>
      </c>
      <c r="G60" s="224" t="s">
        <v>1341</v>
      </c>
      <c r="H60" s="224" t="s">
        <v>731</v>
      </c>
      <c r="I60" s="224" t="s">
        <v>1364</v>
      </c>
      <c r="J60" s="225">
        <v>1125</v>
      </c>
      <c r="K60" s="224" t="s">
        <v>595</v>
      </c>
      <c r="L60" s="225">
        <v>13500</v>
      </c>
      <c r="M60" s="224" t="s">
        <v>504</v>
      </c>
      <c r="N60" s="224" t="s">
        <v>504</v>
      </c>
      <c r="O60" s="224" t="s">
        <v>338</v>
      </c>
    </row>
    <row r="61" spans="1:15">
      <c r="A61" s="224" t="s">
        <v>1442</v>
      </c>
      <c r="B61" s="224" t="s">
        <v>1443</v>
      </c>
      <c r="C61" s="224" t="s">
        <v>497</v>
      </c>
      <c r="D61" s="224" t="s">
        <v>1444</v>
      </c>
      <c r="E61" s="224" t="s">
        <v>81</v>
      </c>
      <c r="F61" s="224" t="str">
        <f>INDEX('Owner Mapped P&amp;L'!$F:$F,MATCH('Headcount &amp; Compensation'!$A61,'Owner Mapped P&amp;L'!$A:$A,0))</f>
        <v>Sales and Marketing Wages</v>
      </c>
      <c r="G61" s="224" t="s">
        <v>1372</v>
      </c>
      <c r="H61" s="224" t="s">
        <v>731</v>
      </c>
      <c r="I61" s="224" t="s">
        <v>1364</v>
      </c>
      <c r="J61" s="225">
        <v>1500</v>
      </c>
      <c r="K61" s="224" t="s">
        <v>595</v>
      </c>
      <c r="L61" s="225">
        <v>18000</v>
      </c>
      <c r="M61" s="224" t="s">
        <v>504</v>
      </c>
      <c r="N61" s="224" t="s">
        <v>504</v>
      </c>
      <c r="O61" s="224" t="s">
        <v>338</v>
      </c>
    </row>
    <row r="62" spans="1:15">
      <c r="A62" s="224" t="s">
        <v>651</v>
      </c>
      <c r="B62" s="224" t="s">
        <v>1420</v>
      </c>
      <c r="C62" s="224" t="s">
        <v>497</v>
      </c>
      <c r="D62" s="224" t="s">
        <v>1398</v>
      </c>
      <c r="E62" s="224" t="s">
        <v>1510</v>
      </c>
      <c r="F62" s="224" t="str">
        <f>INDEX('Owner Mapped P&amp;L'!$F:$F,MATCH('Headcount &amp; Compensation'!$A62,'Owner Mapped P&amp;L'!$A:$A,0))</f>
        <v>Onboarding Team Wages</v>
      </c>
      <c r="G62" s="224" t="s">
        <v>1341</v>
      </c>
      <c r="H62" s="224" t="s">
        <v>731</v>
      </c>
      <c r="I62" s="224" t="s">
        <v>1382</v>
      </c>
      <c r="J62" s="225">
        <v>950</v>
      </c>
      <c r="K62" s="224" t="s">
        <v>595</v>
      </c>
      <c r="L62" s="225">
        <v>11400</v>
      </c>
      <c r="M62" s="224" t="s">
        <v>504</v>
      </c>
      <c r="N62" s="224" t="s">
        <v>504</v>
      </c>
      <c r="O62" s="224" t="s">
        <v>338</v>
      </c>
    </row>
    <row r="63" spans="1:15">
      <c r="A63" s="224" t="s">
        <v>580</v>
      </c>
      <c r="B63" s="224" t="s">
        <v>1461</v>
      </c>
      <c r="C63" s="224" t="s">
        <v>497</v>
      </c>
      <c r="D63" s="224" t="s">
        <v>1407</v>
      </c>
      <c r="E63" s="224" t="s">
        <v>490</v>
      </c>
      <c r="F63" s="224" t="str">
        <f>INDEX('Owner Mapped P&amp;L'!$F:$F,MATCH('Headcount &amp; Compensation'!$A63,'Owner Mapped P&amp;L'!$A:$A,0))</f>
        <v>Bookkeeper Wages</v>
      </c>
      <c r="G63" s="224" t="s">
        <v>1341</v>
      </c>
      <c r="H63" s="224" t="s">
        <v>731</v>
      </c>
      <c r="I63" s="224" t="s">
        <v>581</v>
      </c>
      <c r="J63" s="225">
        <v>1200</v>
      </c>
      <c r="K63" s="224" t="s">
        <v>595</v>
      </c>
      <c r="L63" s="225">
        <v>14400</v>
      </c>
      <c r="M63" s="224" t="s">
        <v>504</v>
      </c>
      <c r="N63" s="224" t="s">
        <v>504</v>
      </c>
      <c r="O63" s="224" t="s">
        <v>338</v>
      </c>
    </row>
    <row r="64" spans="1:15">
      <c r="A64" s="224" t="s">
        <v>716</v>
      </c>
      <c r="B64" s="224" t="s">
        <v>1484</v>
      </c>
      <c r="C64" s="224" t="s">
        <v>497</v>
      </c>
      <c r="D64" s="224" t="s">
        <v>1427</v>
      </c>
      <c r="E64" s="224" t="s">
        <v>1510</v>
      </c>
      <c r="F64" s="224" t="str">
        <f>INDEX('Owner Mapped P&amp;L'!$F:$F,MATCH('Headcount &amp; Compensation'!$A64,'Owner Mapped P&amp;L'!$A:$A,0))</f>
        <v>Onboarding Team Wages</v>
      </c>
      <c r="G64" s="224" t="s">
        <v>1341</v>
      </c>
      <c r="H64" s="224" t="s">
        <v>731</v>
      </c>
      <c r="I64" s="224" t="s">
        <v>1364</v>
      </c>
      <c r="J64" s="225">
        <v>950</v>
      </c>
      <c r="K64" s="224" t="s">
        <v>595</v>
      </c>
      <c r="L64" s="225">
        <v>11400</v>
      </c>
      <c r="M64" s="224" t="s">
        <v>504</v>
      </c>
      <c r="N64" s="224" t="s">
        <v>504</v>
      </c>
      <c r="O64" s="224" t="s">
        <v>338</v>
      </c>
    </row>
    <row r="65" spans="1:15">
      <c r="A65" s="224" t="s">
        <v>862</v>
      </c>
      <c r="B65" s="224" t="s">
        <v>1381</v>
      </c>
      <c r="C65" s="224" t="s">
        <v>497</v>
      </c>
      <c r="D65" s="224" t="s">
        <v>1346</v>
      </c>
      <c r="E65" s="224" t="s">
        <v>490</v>
      </c>
      <c r="F65" s="224" t="str">
        <f>INDEX('Owner Mapped P&amp;L'!$F:$F,MATCH('Headcount &amp; Compensation'!$A65,'Owner Mapped P&amp;L'!$A:$A,0))</f>
        <v>Bookkeeper Wages</v>
      </c>
      <c r="G65" s="224" t="s">
        <v>1341</v>
      </c>
      <c r="H65" s="224" t="s">
        <v>731</v>
      </c>
      <c r="I65" s="224" t="s">
        <v>1382</v>
      </c>
      <c r="J65" s="225">
        <v>950</v>
      </c>
      <c r="K65" s="224" t="s">
        <v>595</v>
      </c>
      <c r="L65" s="225">
        <v>11400</v>
      </c>
      <c r="M65" s="224" t="s">
        <v>504</v>
      </c>
      <c r="N65" s="224" t="s">
        <v>504</v>
      </c>
      <c r="O65" s="224" t="s">
        <v>338</v>
      </c>
    </row>
    <row r="66" spans="1:15">
      <c r="A66" s="224" t="s">
        <v>1338</v>
      </c>
      <c r="B66" s="224" t="s">
        <v>1339</v>
      </c>
      <c r="C66" s="224" t="s">
        <v>497</v>
      </c>
      <c r="D66" s="224" t="s">
        <v>1340</v>
      </c>
      <c r="E66" s="224" t="s">
        <v>1508</v>
      </c>
      <c r="F66" s="224" t="str">
        <f>INDEX('Owner Mapped P&amp;L'!$F:$F,MATCH('Headcount &amp; Compensation'!$A66,'Owner Mapped P&amp;L'!$A:$A,0))</f>
        <v>Occupancy Tax Specialist</v>
      </c>
      <c r="G66" s="224" t="s">
        <v>1341</v>
      </c>
      <c r="H66" s="224" t="s">
        <v>731</v>
      </c>
      <c r="I66" s="224" t="s">
        <v>1342</v>
      </c>
      <c r="J66" s="225">
        <v>1100</v>
      </c>
      <c r="K66" s="224" t="s">
        <v>595</v>
      </c>
      <c r="L66" s="225">
        <v>13200</v>
      </c>
      <c r="M66" s="224" t="s">
        <v>505</v>
      </c>
      <c r="N66" s="224" t="s">
        <v>504</v>
      </c>
      <c r="O66" s="224" t="s">
        <v>1343</v>
      </c>
    </row>
    <row r="67" spans="1:15">
      <c r="A67" s="224" t="s">
        <v>1369</v>
      </c>
      <c r="B67" s="224" t="s">
        <v>1370</v>
      </c>
      <c r="C67" s="224" t="s">
        <v>497</v>
      </c>
      <c r="D67" s="224" t="s">
        <v>1371</v>
      </c>
      <c r="E67" s="224" t="s">
        <v>1509</v>
      </c>
      <c r="F67" s="224" t="str">
        <f>INDEX('Owner Mapped P&amp;L'!$F:$F,MATCH('Headcount &amp; Compensation'!$A67,'Owner Mapped P&amp;L'!$A:$A,0))</f>
        <v>Onboarding Team Wages</v>
      </c>
      <c r="G67" s="224" t="s">
        <v>1372</v>
      </c>
      <c r="H67" s="224" t="s">
        <v>731</v>
      </c>
      <c r="I67" s="224" t="s">
        <v>1373</v>
      </c>
      <c r="J67" s="225">
        <v>1500</v>
      </c>
      <c r="K67" s="224" t="s">
        <v>595</v>
      </c>
      <c r="L67" s="225">
        <v>18000</v>
      </c>
      <c r="M67" s="224" t="s">
        <v>504</v>
      </c>
      <c r="N67" s="224" t="s">
        <v>504</v>
      </c>
      <c r="O67" s="224" t="s">
        <v>338</v>
      </c>
    </row>
    <row r="68" spans="1:15">
      <c r="A68" s="224" t="s">
        <v>1400</v>
      </c>
      <c r="B68" s="224" t="s">
        <v>1401</v>
      </c>
      <c r="C68" s="224" t="s">
        <v>505</v>
      </c>
      <c r="D68" s="224" t="s">
        <v>491</v>
      </c>
      <c r="E68" s="224" t="s">
        <v>491</v>
      </c>
      <c r="F68" s="224" t="str">
        <f>INDEX('Owner Mapped P&amp;L'!$F:$F,MATCH('Headcount &amp; Compensation'!$A68,'Owner Mapped P&amp;L'!$A:$A,0))</f>
        <v>Client Lead Wages</v>
      </c>
      <c r="G68" s="224" t="s">
        <v>1341</v>
      </c>
      <c r="H68" s="224" t="s">
        <v>731</v>
      </c>
      <c r="I68" s="224" t="s">
        <v>338</v>
      </c>
      <c r="J68" s="224"/>
      <c r="K68" s="224" t="s">
        <v>338</v>
      </c>
      <c r="L68" s="224"/>
      <c r="M68" s="224" t="s">
        <v>504</v>
      </c>
      <c r="N68" s="224" t="s">
        <v>505</v>
      </c>
      <c r="O68" s="224" t="s">
        <v>1402</v>
      </c>
    </row>
    <row r="69" spans="1:15">
      <c r="A69" s="224" t="s">
        <v>1432</v>
      </c>
      <c r="B69" s="224" t="s">
        <v>1433</v>
      </c>
      <c r="C69" s="224" t="s">
        <v>497</v>
      </c>
      <c r="D69" s="224" t="s">
        <v>1346</v>
      </c>
      <c r="E69" s="224" t="s">
        <v>490</v>
      </c>
      <c r="F69" s="224" t="str">
        <f>INDEX('Owner Mapped P&amp;L'!$F:$F,MATCH('Headcount &amp; Compensation'!$A69,'Owner Mapped P&amp;L'!$A:$A,0))</f>
        <v>Bookkeeper Wages</v>
      </c>
      <c r="G69" s="224" t="s">
        <v>1341</v>
      </c>
      <c r="H69" s="224" t="s">
        <v>731</v>
      </c>
      <c r="I69" s="224" t="s">
        <v>1422</v>
      </c>
      <c r="J69" s="225">
        <v>1025</v>
      </c>
      <c r="K69" s="224" t="s">
        <v>595</v>
      </c>
      <c r="L69" s="225">
        <v>12300</v>
      </c>
      <c r="M69" s="224" t="s">
        <v>504</v>
      </c>
      <c r="N69" s="224" t="s">
        <v>504</v>
      </c>
      <c r="O69" s="224" t="s">
        <v>338</v>
      </c>
    </row>
    <row r="70" spans="1:15">
      <c r="A70" s="224" t="s">
        <v>681</v>
      </c>
      <c r="B70" s="224" t="s">
        <v>1418</v>
      </c>
      <c r="C70" s="224" t="s">
        <v>497</v>
      </c>
      <c r="D70" s="224" t="s">
        <v>491</v>
      </c>
      <c r="E70" s="224" t="s">
        <v>491</v>
      </c>
      <c r="F70" s="224" t="str">
        <f>INDEX('Owner Mapped P&amp;L'!$F:$F,MATCH('Headcount &amp; Compensation'!$A70,'Owner Mapped P&amp;L'!$A:$A,0))</f>
        <v>Client Lead Wages</v>
      </c>
      <c r="G70" s="224" t="s">
        <v>1341</v>
      </c>
      <c r="H70" s="224" t="s">
        <v>731</v>
      </c>
      <c r="I70" s="224" t="s">
        <v>1359</v>
      </c>
      <c r="J70" s="225">
        <v>1800</v>
      </c>
      <c r="K70" s="224" t="s">
        <v>595</v>
      </c>
      <c r="L70" s="225">
        <v>21600</v>
      </c>
      <c r="M70" s="224" t="s">
        <v>504</v>
      </c>
      <c r="N70" s="224" t="s">
        <v>504</v>
      </c>
      <c r="O70" s="224" t="s">
        <v>338</v>
      </c>
    </row>
    <row r="71" spans="1:15">
      <c r="A71" s="224" t="s">
        <v>715</v>
      </c>
      <c r="B71" s="224" t="s">
        <v>1397</v>
      </c>
      <c r="C71" s="224" t="s">
        <v>497</v>
      </c>
      <c r="D71" s="224" t="s">
        <v>1398</v>
      </c>
      <c r="E71" s="224" t="s">
        <v>1510</v>
      </c>
      <c r="F71" s="224" t="str">
        <f>INDEX('Owner Mapped P&amp;L'!$F:$F,MATCH('Headcount &amp; Compensation'!$A71,'Owner Mapped P&amp;L'!$A:$A,0))</f>
        <v>Onboarding Team Wages</v>
      </c>
      <c r="G71" s="224" t="s">
        <v>1341</v>
      </c>
      <c r="H71" s="224" t="s">
        <v>731</v>
      </c>
      <c r="I71" s="224" t="s">
        <v>1382</v>
      </c>
      <c r="J71" s="225">
        <v>950</v>
      </c>
      <c r="K71" s="224" t="s">
        <v>595</v>
      </c>
      <c r="L71" s="225">
        <v>11400</v>
      </c>
      <c r="M71" s="224" t="s">
        <v>504</v>
      </c>
      <c r="N71" s="224" t="s">
        <v>504</v>
      </c>
      <c r="O71" s="224" t="s">
        <v>338</v>
      </c>
    </row>
    <row r="72" spans="1:15">
      <c r="A72" s="224" t="s">
        <v>1378</v>
      </c>
      <c r="B72" s="224" t="s">
        <v>1455</v>
      </c>
      <c r="C72" s="224" t="s">
        <v>497</v>
      </c>
      <c r="D72" s="224" t="s">
        <v>491</v>
      </c>
      <c r="E72" s="224" t="s">
        <v>491</v>
      </c>
      <c r="F72" s="224" t="str">
        <f>INDEX('Owner Mapped P&amp;L'!$F:$F,MATCH('Headcount &amp; Compensation'!$A72,'Owner Mapped P&amp;L'!$A:$A,0))</f>
        <v>Client Lead Wages</v>
      </c>
      <c r="G72" s="224" t="s">
        <v>1341</v>
      </c>
      <c r="H72" s="224" t="s">
        <v>731</v>
      </c>
      <c r="I72" s="224" t="s">
        <v>533</v>
      </c>
      <c r="J72" s="225">
        <v>1800</v>
      </c>
      <c r="K72" s="224" t="s">
        <v>595</v>
      </c>
      <c r="L72" s="225">
        <v>21600</v>
      </c>
      <c r="M72" s="224" t="s">
        <v>504</v>
      </c>
      <c r="N72" s="224" t="s">
        <v>504</v>
      </c>
      <c r="O72" s="224" t="s">
        <v>338</v>
      </c>
    </row>
    <row r="73" spans="1:15">
      <c r="A73" s="224" t="s">
        <v>602</v>
      </c>
      <c r="B73" s="224" t="s">
        <v>1406</v>
      </c>
      <c r="C73" s="224" t="s">
        <v>497</v>
      </c>
      <c r="D73" s="224" t="s">
        <v>1407</v>
      </c>
      <c r="E73" s="224" t="s">
        <v>490</v>
      </c>
      <c r="F73" s="224" t="str">
        <f>INDEX('Owner Mapped P&amp;L'!$F:$F,MATCH('Headcount &amp; Compensation'!$A73,'Owner Mapped P&amp;L'!$A:$A,0))</f>
        <v>Bookkeeper Wages</v>
      </c>
      <c r="G73" s="224" t="s">
        <v>1341</v>
      </c>
      <c r="H73" s="224" t="s">
        <v>731</v>
      </c>
      <c r="I73" s="224" t="s">
        <v>536</v>
      </c>
      <c r="J73" s="225">
        <v>1200</v>
      </c>
      <c r="K73" s="224" t="s">
        <v>595</v>
      </c>
      <c r="L73" s="225">
        <v>14400</v>
      </c>
      <c r="M73" s="224" t="s">
        <v>504</v>
      </c>
      <c r="N73" s="224" t="s">
        <v>504</v>
      </c>
      <c r="O73" s="224" t="s">
        <v>1408</v>
      </c>
    </row>
    <row r="74" spans="1:15">
      <c r="A74" s="224" t="s">
        <v>1440</v>
      </c>
      <c r="B74" s="224" t="s">
        <v>1441</v>
      </c>
      <c r="C74" s="224" t="s">
        <v>497</v>
      </c>
      <c r="D74" s="224" t="s">
        <v>1346</v>
      </c>
      <c r="E74" s="224" t="s">
        <v>490</v>
      </c>
      <c r="F74" s="224" t="str">
        <f>INDEX('Owner Mapped P&amp;L'!$F:$F,MATCH('Headcount &amp; Compensation'!$A74,'Owner Mapped P&amp;L'!$A:$A,0))</f>
        <v>Bookkeeper Wages</v>
      </c>
      <c r="G74" s="224" t="s">
        <v>1341</v>
      </c>
      <c r="H74" s="224" t="s">
        <v>731</v>
      </c>
      <c r="I74" s="224" t="s">
        <v>546</v>
      </c>
      <c r="J74" s="225">
        <v>950</v>
      </c>
      <c r="K74" s="224" t="s">
        <v>595</v>
      </c>
      <c r="L74" s="225">
        <v>11400</v>
      </c>
      <c r="M74" s="224" t="s">
        <v>504</v>
      </c>
      <c r="N74" s="224" t="s">
        <v>504</v>
      </c>
      <c r="O74" s="224" t="s">
        <v>338</v>
      </c>
    </row>
    <row r="75" spans="1:15">
      <c r="A75" s="224" t="s">
        <v>1351</v>
      </c>
      <c r="B75" s="224" t="s">
        <v>1352</v>
      </c>
      <c r="C75" s="224" t="s">
        <v>505</v>
      </c>
      <c r="D75" s="224" t="s">
        <v>1346</v>
      </c>
      <c r="E75" s="224" t="s">
        <v>490</v>
      </c>
      <c r="F75" s="224" t="str">
        <f>INDEX('Owner Mapped P&amp;L'!$F:$F,MATCH('Headcount &amp; Compensation'!$A75,'Owner Mapped P&amp;L'!$A:$A,0))</f>
        <v>Bookkeeper Wages</v>
      </c>
      <c r="G75" s="224" t="s">
        <v>1341</v>
      </c>
      <c r="H75" s="224" t="s">
        <v>731</v>
      </c>
      <c r="I75" s="224" t="s">
        <v>338</v>
      </c>
      <c r="J75" s="224"/>
      <c r="K75" s="224" t="s">
        <v>338</v>
      </c>
      <c r="L75" s="224"/>
      <c r="M75" s="224" t="s">
        <v>504</v>
      </c>
      <c r="N75" s="224" t="s">
        <v>505</v>
      </c>
      <c r="O75" s="224" t="s">
        <v>1353</v>
      </c>
    </row>
    <row r="76" spans="1:15">
      <c r="A76" s="224" t="s">
        <v>1445</v>
      </c>
      <c r="B76" s="224" t="s">
        <v>1446</v>
      </c>
      <c r="C76" s="224" t="s">
        <v>497</v>
      </c>
      <c r="D76" s="224" t="s">
        <v>1447</v>
      </c>
      <c r="E76" s="224" t="s">
        <v>493</v>
      </c>
      <c r="F76" s="224" t="str">
        <f>INDEX('Owner Mapped P&amp;L'!$F:$F,MATCH('Headcount &amp; Compensation'!$A76,'Owner Mapped P&amp;L'!$A:$A,0))</f>
        <v>Indirect Labor</v>
      </c>
      <c r="G76" s="224" t="s">
        <v>1341</v>
      </c>
      <c r="H76" s="224" t="s">
        <v>731</v>
      </c>
      <c r="I76" s="224" t="s">
        <v>1368</v>
      </c>
      <c r="J76" s="225">
        <v>1950</v>
      </c>
      <c r="K76" s="224" t="s">
        <v>595</v>
      </c>
      <c r="L76" s="225">
        <v>23400</v>
      </c>
      <c r="M76" s="224" t="s">
        <v>504</v>
      </c>
      <c r="N76" s="224" t="s">
        <v>504</v>
      </c>
      <c r="O76" s="224" t="s">
        <v>338</v>
      </c>
    </row>
    <row r="77" spans="1:15">
      <c r="A77" s="224" t="s">
        <v>624</v>
      </c>
      <c r="B77" s="224" t="s">
        <v>1395</v>
      </c>
      <c r="C77" s="224" t="s">
        <v>497</v>
      </c>
      <c r="D77" s="224" t="s">
        <v>1346</v>
      </c>
      <c r="E77" s="224" t="s">
        <v>490</v>
      </c>
      <c r="F77" s="224" t="str">
        <f>INDEX('Owner Mapped P&amp;L'!$F:$F,MATCH('Headcount &amp; Compensation'!$A77,'Owner Mapped P&amp;L'!$A:$A,0))</f>
        <v>Bookkeeper Wages</v>
      </c>
      <c r="G77" s="224" t="s">
        <v>1341</v>
      </c>
      <c r="H77" s="224" t="s">
        <v>731</v>
      </c>
      <c r="I77" s="224" t="s">
        <v>550</v>
      </c>
      <c r="J77" s="225">
        <v>950</v>
      </c>
      <c r="K77" s="224" t="s">
        <v>595</v>
      </c>
      <c r="L77" s="225">
        <v>11400</v>
      </c>
      <c r="M77" s="224" t="s">
        <v>504</v>
      </c>
      <c r="N77" s="224" t="s">
        <v>504</v>
      </c>
      <c r="O77" s="224" t="s">
        <v>338</v>
      </c>
    </row>
    <row r="78" spans="1:15">
      <c r="A78" s="224" t="s">
        <v>1386</v>
      </c>
      <c r="B78" s="224" t="s">
        <v>1387</v>
      </c>
      <c r="C78" s="224" t="s">
        <v>497</v>
      </c>
      <c r="D78" s="224" t="s">
        <v>1346</v>
      </c>
      <c r="E78" s="224" t="s">
        <v>490</v>
      </c>
      <c r="F78" s="224" t="str">
        <f>INDEX('Owner Mapped P&amp;L'!$F:$F,MATCH('Headcount &amp; Compensation'!$A78,'Owner Mapped P&amp;L'!$A:$A,0))</f>
        <v>Bookkeeper Wages</v>
      </c>
      <c r="G78" s="224" t="s">
        <v>1341</v>
      </c>
      <c r="H78" s="224" t="s">
        <v>731</v>
      </c>
      <c r="I78" s="224" t="s">
        <v>522</v>
      </c>
      <c r="J78" s="225">
        <v>950</v>
      </c>
      <c r="K78" s="224" t="s">
        <v>595</v>
      </c>
      <c r="L78" s="225">
        <v>11400</v>
      </c>
      <c r="M78" s="224" t="s">
        <v>504</v>
      </c>
      <c r="N78" s="224" t="s">
        <v>504</v>
      </c>
      <c r="O78" s="224" t="s">
        <v>338</v>
      </c>
    </row>
    <row r="79" spans="1:15">
      <c r="A79" s="224" t="s">
        <v>565</v>
      </c>
      <c r="B79" s="224" t="s">
        <v>1424</v>
      </c>
      <c r="C79" s="224" t="s">
        <v>497</v>
      </c>
      <c r="D79" s="224" t="s">
        <v>1407</v>
      </c>
      <c r="E79" s="224" t="s">
        <v>490</v>
      </c>
      <c r="F79" s="224" t="str">
        <f>INDEX('Owner Mapped P&amp;L'!$F:$F,MATCH('Headcount &amp; Compensation'!$A79,'Owner Mapped P&amp;L'!$A:$A,0))</f>
        <v>Bookkeeper Wages</v>
      </c>
      <c r="G79" s="224" t="s">
        <v>1341</v>
      </c>
      <c r="H79" s="224" t="s">
        <v>731</v>
      </c>
      <c r="I79" s="224" t="s">
        <v>546</v>
      </c>
      <c r="J79" s="225">
        <v>1100</v>
      </c>
      <c r="K79" s="224" t="s">
        <v>595</v>
      </c>
      <c r="L79" s="225">
        <v>13200</v>
      </c>
      <c r="M79" s="224" t="s">
        <v>504</v>
      </c>
      <c r="N79" s="224" t="s">
        <v>504</v>
      </c>
      <c r="O79" s="224" t="s">
        <v>1425</v>
      </c>
    </row>
    <row r="80" spans="1:15">
      <c r="A80" s="224" t="s">
        <v>576</v>
      </c>
      <c r="B80" s="224" t="s">
        <v>1379</v>
      </c>
      <c r="C80" s="224" t="s">
        <v>497</v>
      </c>
      <c r="D80" s="224" t="s">
        <v>1346</v>
      </c>
      <c r="E80" s="224" t="s">
        <v>490</v>
      </c>
      <c r="F80" s="224" t="str">
        <f>INDEX('Owner Mapped P&amp;L'!$F:$F,MATCH('Headcount &amp; Compensation'!$A80,'Owner Mapped P&amp;L'!$A:$A,0))</f>
        <v>Bookkeeper Wages</v>
      </c>
      <c r="G80" s="224" t="s">
        <v>1341</v>
      </c>
      <c r="H80" s="224" t="s">
        <v>731</v>
      </c>
      <c r="I80" s="224" t="s">
        <v>550</v>
      </c>
      <c r="J80" s="225">
        <v>950</v>
      </c>
      <c r="K80" s="224" t="s">
        <v>595</v>
      </c>
      <c r="L80" s="225">
        <v>11400</v>
      </c>
      <c r="M80" s="224" t="s">
        <v>504</v>
      </c>
      <c r="N80" s="224" t="s">
        <v>504</v>
      </c>
      <c r="O80" s="224" t="s">
        <v>338</v>
      </c>
    </row>
    <row r="81" spans="1:15">
      <c r="A81" s="224" t="s">
        <v>556</v>
      </c>
      <c r="B81" s="224" t="s">
        <v>1418</v>
      </c>
      <c r="C81" s="224" t="s">
        <v>497</v>
      </c>
      <c r="D81" s="224" t="s">
        <v>1346</v>
      </c>
      <c r="E81" s="224" t="s">
        <v>490</v>
      </c>
      <c r="F81" s="224" t="str">
        <f>INDEX('Owner Mapped P&amp;L'!$F:$F,MATCH('Headcount &amp; Compensation'!$A81,'Owner Mapped P&amp;L'!$A:$A,0))</f>
        <v>Bookkeeper Wages</v>
      </c>
      <c r="G81" s="224" t="s">
        <v>1341</v>
      </c>
      <c r="H81" s="224" t="s">
        <v>731</v>
      </c>
      <c r="I81" s="224" t="s">
        <v>557</v>
      </c>
      <c r="J81" s="225">
        <v>950</v>
      </c>
      <c r="K81" s="224" t="s">
        <v>595</v>
      </c>
      <c r="L81" s="225">
        <v>11400</v>
      </c>
      <c r="M81" s="224" t="s">
        <v>504</v>
      </c>
      <c r="N81" s="224" t="s">
        <v>504</v>
      </c>
      <c r="O81" s="224" t="s">
        <v>338</v>
      </c>
    </row>
    <row r="82" spans="1:15">
      <c r="A82" s="224" t="s">
        <v>1426</v>
      </c>
      <c r="B82" s="224" t="s">
        <v>1424</v>
      </c>
      <c r="C82" s="224" t="s">
        <v>497</v>
      </c>
      <c r="D82" s="224" t="s">
        <v>1427</v>
      </c>
      <c r="E82" s="224" t="s">
        <v>1510</v>
      </c>
      <c r="F82" s="224" t="str">
        <f>INDEX('Owner Mapped P&amp;L'!$F:$F,MATCH('Headcount &amp; Compensation'!$A82,'Owner Mapped P&amp;L'!$A:$A,0))</f>
        <v>Onboarding Team Wages</v>
      </c>
      <c r="G82" s="224" t="s">
        <v>1341</v>
      </c>
      <c r="H82" s="224" t="s">
        <v>731</v>
      </c>
      <c r="I82" s="224" t="s">
        <v>1364</v>
      </c>
      <c r="J82" s="225">
        <v>925</v>
      </c>
      <c r="K82" s="224" t="s">
        <v>595</v>
      </c>
      <c r="L82" s="225">
        <v>11100</v>
      </c>
      <c r="M82" s="224" t="s">
        <v>504</v>
      </c>
      <c r="N82" s="224" t="s">
        <v>504</v>
      </c>
      <c r="O82" s="224" t="s">
        <v>338</v>
      </c>
    </row>
    <row r="83" spans="1:15">
      <c r="A83" s="224" t="s">
        <v>877</v>
      </c>
      <c r="B83" s="224" t="s">
        <v>1479</v>
      </c>
      <c r="C83" s="224" t="s">
        <v>497</v>
      </c>
      <c r="D83" s="224" t="s">
        <v>1477</v>
      </c>
      <c r="E83" s="224" t="s">
        <v>491</v>
      </c>
      <c r="F83" s="224" t="str">
        <f>INDEX('Owner Mapped P&amp;L'!$F:$F,MATCH('Headcount &amp; Compensation'!$A83,'Owner Mapped P&amp;L'!$A:$A,0))</f>
        <v>Sr. Client Lead Wages</v>
      </c>
      <c r="G83" s="224" t="s">
        <v>1341</v>
      </c>
      <c r="H83" s="224" t="s">
        <v>731</v>
      </c>
      <c r="I83" s="224" t="s">
        <v>510</v>
      </c>
      <c r="J83" s="225">
        <v>2300</v>
      </c>
      <c r="K83" s="224" t="s">
        <v>595</v>
      </c>
      <c r="L83" s="225">
        <v>27600</v>
      </c>
      <c r="M83" s="224" t="s">
        <v>504</v>
      </c>
      <c r="N83" s="224" t="s">
        <v>504</v>
      </c>
      <c r="O83" s="224" t="s">
        <v>338</v>
      </c>
    </row>
    <row r="84" spans="1:15">
      <c r="A84" s="224" t="s">
        <v>581</v>
      </c>
      <c r="B84" s="224" t="s">
        <v>1492</v>
      </c>
      <c r="C84" s="224" t="s">
        <v>497</v>
      </c>
      <c r="D84" s="224" t="s">
        <v>491</v>
      </c>
      <c r="E84" s="224" t="s">
        <v>491</v>
      </c>
      <c r="F84" s="224" t="str">
        <f>INDEX('Owner Mapped P&amp;L'!$F:$F,MATCH('Headcount &amp; Compensation'!$A84,'Owner Mapped P&amp;L'!$A:$A,0))</f>
        <v>Client Lead Wages</v>
      </c>
      <c r="G84" s="224" t="s">
        <v>1341</v>
      </c>
      <c r="H84" s="224" t="s">
        <v>731</v>
      </c>
      <c r="I84" s="224" t="s">
        <v>510</v>
      </c>
      <c r="J84" s="225">
        <v>1925</v>
      </c>
      <c r="K84" s="224" t="s">
        <v>595</v>
      </c>
      <c r="L84" s="225">
        <v>23100</v>
      </c>
      <c r="M84" s="224" t="s">
        <v>504</v>
      </c>
      <c r="N84" s="224" t="s">
        <v>504</v>
      </c>
      <c r="O84" s="224" t="s">
        <v>338</v>
      </c>
    </row>
    <row r="85" spans="1:15">
      <c r="A85" s="224" t="s">
        <v>1385</v>
      </c>
      <c r="B85" s="224" t="s">
        <v>1421</v>
      </c>
      <c r="C85" s="224" t="s">
        <v>497</v>
      </c>
      <c r="D85" s="224" t="s">
        <v>1346</v>
      </c>
      <c r="E85" s="224" t="s">
        <v>490</v>
      </c>
      <c r="F85" s="224" t="str">
        <f>INDEX('Owner Mapped P&amp;L'!$F:$F,MATCH('Headcount &amp; Compensation'!$A85,'Owner Mapped P&amp;L'!$A:$A,0))</f>
        <v>Bookkeeper Wages</v>
      </c>
      <c r="G85" s="224" t="s">
        <v>1341</v>
      </c>
      <c r="H85" s="224" t="s">
        <v>731</v>
      </c>
      <c r="I85" s="224" t="s">
        <v>1422</v>
      </c>
      <c r="J85" s="225">
        <v>950</v>
      </c>
      <c r="K85" s="224" t="s">
        <v>595</v>
      </c>
      <c r="L85" s="225">
        <v>11400</v>
      </c>
      <c r="M85" s="224" t="s">
        <v>504</v>
      </c>
      <c r="N85" s="224" t="s">
        <v>504</v>
      </c>
      <c r="O85" s="224" t="s">
        <v>338</v>
      </c>
    </row>
    <row r="86" spans="1:15">
      <c r="A86" s="224" t="s">
        <v>1359</v>
      </c>
      <c r="B86" s="224" t="s">
        <v>1360</v>
      </c>
      <c r="C86" s="224" t="s">
        <v>497</v>
      </c>
      <c r="D86" s="224" t="s">
        <v>1361</v>
      </c>
      <c r="E86" s="224" t="s">
        <v>1361</v>
      </c>
      <c r="F86" s="224" t="str">
        <f>INDEX('Owner Mapped P&amp;L'!$F:$F,MATCH('Headcount &amp; Compensation'!$A86,'Owner Mapped P&amp;L'!$A:$A,0))</f>
        <v>Indirect Labor</v>
      </c>
      <c r="G86" s="224" t="s">
        <v>1362</v>
      </c>
      <c r="H86" s="224" t="s">
        <v>1363</v>
      </c>
      <c r="I86" s="224" t="s">
        <v>1364</v>
      </c>
      <c r="J86" s="225">
        <v>110000</v>
      </c>
      <c r="K86" s="224" t="s">
        <v>1365</v>
      </c>
      <c r="L86" s="225">
        <v>110000</v>
      </c>
      <c r="M86" s="224" t="s">
        <v>504</v>
      </c>
      <c r="N86" s="224" t="s">
        <v>504</v>
      </c>
      <c r="O86" s="224" t="s">
        <v>338</v>
      </c>
    </row>
    <row r="87" spans="1:15">
      <c r="A87" s="224" t="s">
        <v>1377</v>
      </c>
      <c r="B87" s="224" t="s">
        <v>1375</v>
      </c>
      <c r="C87" s="224" t="s">
        <v>497</v>
      </c>
      <c r="D87" s="224" t="s">
        <v>1346</v>
      </c>
      <c r="E87" s="224" t="s">
        <v>490</v>
      </c>
      <c r="F87" s="224" t="str">
        <f>INDEX('Owner Mapped P&amp;L'!$F:$F,MATCH('Headcount &amp; Compensation'!$A87,'Owner Mapped P&amp;L'!$A:$A,0))</f>
        <v>Bookkeeper Wages</v>
      </c>
      <c r="G87" s="224" t="s">
        <v>1341</v>
      </c>
      <c r="H87" s="224" t="s">
        <v>731</v>
      </c>
      <c r="I87" s="224" t="s">
        <v>1378</v>
      </c>
      <c r="J87" s="225">
        <v>950</v>
      </c>
      <c r="K87" s="224" t="s">
        <v>595</v>
      </c>
      <c r="L87" s="225">
        <v>11400</v>
      </c>
      <c r="M87" s="224" t="s">
        <v>504</v>
      </c>
      <c r="N87" s="224" t="s">
        <v>504</v>
      </c>
      <c r="O87" s="224" t="s">
        <v>338</v>
      </c>
    </row>
    <row r="88" spans="1:15">
      <c r="A88" s="224" t="s">
        <v>1465</v>
      </c>
      <c r="B88" s="224" t="s">
        <v>1466</v>
      </c>
      <c r="C88" s="224" t="s">
        <v>497</v>
      </c>
      <c r="D88" s="224" t="s">
        <v>1346</v>
      </c>
      <c r="E88" s="224" t="s">
        <v>490</v>
      </c>
      <c r="F88" s="224" t="str">
        <f>INDEX('Owner Mapped P&amp;L'!$F:$F,MATCH('Headcount &amp; Compensation'!$A88,'Owner Mapped P&amp;L'!$A:$A,0))</f>
        <v>Bookkeeper Wages</v>
      </c>
      <c r="G88" s="224" t="s">
        <v>1341</v>
      </c>
      <c r="H88" s="224" t="s">
        <v>731</v>
      </c>
      <c r="I88" s="224" t="s">
        <v>1422</v>
      </c>
      <c r="J88" s="225">
        <v>1000</v>
      </c>
      <c r="K88" s="224" t="s">
        <v>595</v>
      </c>
      <c r="L88" s="225">
        <v>12000</v>
      </c>
      <c r="M88" s="224" t="s">
        <v>504</v>
      </c>
      <c r="N88" s="224" t="s">
        <v>504</v>
      </c>
      <c r="O88" s="224" t="s">
        <v>338</v>
      </c>
    </row>
    <row r="89" spans="1:15">
      <c r="A89" s="224" t="s">
        <v>523</v>
      </c>
      <c r="B89" s="224" t="s">
        <v>1412</v>
      </c>
      <c r="C89" s="224" t="s">
        <v>497</v>
      </c>
      <c r="D89" s="224" t="s">
        <v>1367</v>
      </c>
      <c r="E89" s="224" t="s">
        <v>493</v>
      </c>
      <c r="F89" s="224" t="str">
        <f>INDEX('Owner Mapped P&amp;L'!$F:$F,MATCH('Headcount &amp; Compensation'!$A89,'Owner Mapped P&amp;L'!$A:$A,0))</f>
        <v>Indirect Labor</v>
      </c>
      <c r="G89" s="224" t="s">
        <v>1341</v>
      </c>
      <c r="H89" s="224" t="s">
        <v>731</v>
      </c>
      <c r="I89" s="224" t="s">
        <v>1368</v>
      </c>
      <c r="J89" s="225">
        <v>850</v>
      </c>
      <c r="K89" s="224" t="s">
        <v>595</v>
      </c>
      <c r="L89" s="225">
        <v>10200</v>
      </c>
      <c r="M89" s="224" t="s">
        <v>504</v>
      </c>
      <c r="N89" s="224" t="s">
        <v>504</v>
      </c>
      <c r="O89" s="224" t="s">
        <v>338</v>
      </c>
    </row>
    <row r="90" spans="1:15">
      <c r="A90" s="224" t="s">
        <v>1472</v>
      </c>
      <c r="B90" s="224" t="s">
        <v>1473</v>
      </c>
      <c r="C90" s="224" t="s">
        <v>497</v>
      </c>
      <c r="D90" s="224" t="s">
        <v>1407</v>
      </c>
      <c r="E90" s="224" t="s">
        <v>490</v>
      </c>
      <c r="F90" s="224" t="str">
        <f>INDEX('Owner Mapped P&amp;L'!$F:$F,MATCH('Headcount &amp; Compensation'!$A90,'Owner Mapped P&amp;L'!$A:$A,0))</f>
        <v>Bookkeeper Wages</v>
      </c>
      <c r="G90" s="224" t="s">
        <v>1341</v>
      </c>
      <c r="H90" s="224" t="s">
        <v>731</v>
      </c>
      <c r="I90" s="224" t="s">
        <v>536</v>
      </c>
      <c r="J90" s="225">
        <v>1100</v>
      </c>
      <c r="K90" s="224" t="s">
        <v>595</v>
      </c>
      <c r="L90" s="225">
        <v>13200</v>
      </c>
      <c r="M90" s="224" t="s">
        <v>504</v>
      </c>
      <c r="N90" s="224" t="s">
        <v>504</v>
      </c>
      <c r="O90" s="224" t="s">
        <v>338</v>
      </c>
    </row>
    <row r="92" spans="1:15">
      <c r="L92" s="212"/>
    </row>
    <row r="93" spans="1:15">
      <c r="L93" s="216"/>
    </row>
    <row r="98" spans="1:15">
      <c r="A98" s="224" t="s">
        <v>1450</v>
      </c>
      <c r="B98" s="224" t="s">
        <v>1451</v>
      </c>
      <c r="C98" s="273" t="s">
        <v>1580</v>
      </c>
      <c r="D98" s="224" t="s">
        <v>1452</v>
      </c>
      <c r="E98" s="224"/>
      <c r="F98" s="276" t="s">
        <v>1569</v>
      </c>
      <c r="G98" s="224" t="s">
        <v>1341</v>
      </c>
      <c r="H98" s="224" t="s">
        <v>731</v>
      </c>
      <c r="I98" s="224" t="s">
        <v>1453</v>
      </c>
      <c r="J98" s="225">
        <v>950</v>
      </c>
      <c r="K98" s="224" t="s">
        <v>595</v>
      </c>
      <c r="L98" s="225">
        <v>11400</v>
      </c>
      <c r="M98" s="224" t="s">
        <v>505</v>
      </c>
      <c r="N98" s="224" t="s">
        <v>504</v>
      </c>
      <c r="O98" s="224" t="s">
        <v>1454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H54" sqref="H54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3" t="s">
        <v>1328</v>
      </c>
      <c r="B1" s="283" t="s">
        <v>1601</v>
      </c>
      <c r="C1" s="283" t="s">
        <v>1329</v>
      </c>
      <c r="D1" s="283" t="s">
        <v>1602</v>
      </c>
      <c r="E1" s="283" t="s">
        <v>1603</v>
      </c>
      <c r="F1" s="283" t="s">
        <v>1604</v>
      </c>
      <c r="G1" s="283" t="s">
        <v>1506</v>
      </c>
      <c r="H1" s="283" t="s">
        <v>1515</v>
      </c>
      <c r="I1" s="283" t="s">
        <v>1605</v>
      </c>
      <c r="J1" s="283" t="s">
        <v>1333</v>
      </c>
      <c r="K1" s="283" t="s">
        <v>1334</v>
      </c>
      <c r="L1" s="283" t="s">
        <v>1335</v>
      </c>
      <c r="M1" s="283" t="s">
        <v>1606</v>
      </c>
      <c r="N1" s="283" t="s">
        <v>1185</v>
      </c>
      <c r="O1" s="283" t="s">
        <v>1840</v>
      </c>
      <c r="P1" s="283" t="s">
        <v>1607</v>
      </c>
      <c r="Q1" s="283" t="s">
        <v>1245</v>
      </c>
      <c r="R1" s="283" t="s">
        <v>1608</v>
      </c>
      <c r="S1" s="283" t="s">
        <v>1331</v>
      </c>
      <c r="T1" s="283" t="s">
        <v>1609</v>
      </c>
    </row>
    <row r="2" spans="1:20">
      <c r="A2" s="145" t="s">
        <v>638</v>
      </c>
      <c r="B2" s="145" t="s">
        <v>1294</v>
      </c>
      <c r="C2" s="145" t="s">
        <v>1631</v>
      </c>
      <c r="D2" s="145" t="s">
        <v>1360</v>
      </c>
      <c r="E2" s="145">
        <v>1337</v>
      </c>
      <c r="F2" s="145" t="s">
        <v>1361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1632</v>
      </c>
      <c r="J2" s="212">
        <v>88000</v>
      </c>
      <c r="K2" s="145" t="s">
        <v>1365</v>
      </c>
      <c r="L2" s="212">
        <v>88000</v>
      </c>
      <c r="M2" s="145" t="s">
        <v>1633</v>
      </c>
      <c r="N2" s="145" t="s">
        <v>1618</v>
      </c>
      <c r="O2" s="145" t="str">
        <f>IF(N2="Resignation (Voluntary)","Resignation","Termination")</f>
        <v>Resignation</v>
      </c>
      <c r="P2" s="145" t="s">
        <v>1634</v>
      </c>
      <c r="Q2" s="145" t="s">
        <v>1620</v>
      </c>
      <c r="R2" s="145" t="s">
        <v>1629</v>
      </c>
      <c r="S2" s="145" t="s">
        <v>1362</v>
      </c>
      <c r="T2" s="145" t="s">
        <v>1635</v>
      </c>
    </row>
    <row r="3" spans="1:20">
      <c r="A3" s="145" t="s">
        <v>1636</v>
      </c>
      <c r="B3" s="145" t="s">
        <v>1294</v>
      </c>
      <c r="C3" s="145" t="s">
        <v>1489</v>
      </c>
      <c r="D3" s="145" t="s">
        <v>1360</v>
      </c>
      <c r="E3" s="145">
        <v>1074</v>
      </c>
      <c r="F3" s="145" t="s">
        <v>1346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1613</v>
      </c>
      <c r="J3" s="212">
        <v>1200</v>
      </c>
      <c r="K3" s="145" t="s">
        <v>595</v>
      </c>
      <c r="L3" s="212">
        <v>14400</v>
      </c>
      <c r="M3" s="145" t="s">
        <v>1637</v>
      </c>
      <c r="N3" s="145" t="s">
        <v>1618</v>
      </c>
      <c r="O3" s="145" t="str">
        <f t="shared" ref="O3:O52" si="0">IF(N3="Resignation (Voluntary)","Resignation","Termination")</f>
        <v>Resignation</v>
      </c>
      <c r="P3" s="145" t="s">
        <v>1634</v>
      </c>
      <c r="Q3" s="145" t="s">
        <v>1620</v>
      </c>
      <c r="R3" s="145" t="s">
        <v>1629</v>
      </c>
      <c r="S3" s="145" t="s">
        <v>1341</v>
      </c>
      <c r="T3" s="145" t="s">
        <v>1638</v>
      </c>
    </row>
    <row r="4" spans="1:20">
      <c r="A4" s="145" t="s">
        <v>1639</v>
      </c>
      <c r="B4" s="145" t="s">
        <v>1294</v>
      </c>
      <c r="C4" s="145" t="s">
        <v>1489</v>
      </c>
      <c r="D4" s="145" t="s">
        <v>1360</v>
      </c>
      <c r="E4" s="145">
        <v>1074</v>
      </c>
      <c r="F4" s="145" t="s">
        <v>1407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1613</v>
      </c>
      <c r="J4" s="212">
        <v>1100</v>
      </c>
      <c r="K4" s="145" t="s">
        <v>595</v>
      </c>
      <c r="L4" s="212">
        <v>13200</v>
      </c>
      <c r="M4" s="145" t="s">
        <v>1637</v>
      </c>
      <c r="N4" s="145" t="s">
        <v>1618</v>
      </c>
      <c r="O4" s="145" t="str">
        <f t="shared" si="0"/>
        <v>Resignation</v>
      </c>
      <c r="P4" s="145" t="s">
        <v>1634</v>
      </c>
      <c r="Q4" s="145" t="s">
        <v>1620</v>
      </c>
      <c r="R4" s="145" t="s">
        <v>1629</v>
      </c>
      <c r="S4" s="145" t="s">
        <v>1341</v>
      </c>
      <c r="T4" s="145" t="s">
        <v>1638</v>
      </c>
    </row>
    <row r="5" spans="1:20">
      <c r="A5" s="145" t="s">
        <v>1737</v>
      </c>
      <c r="B5" s="145" t="s">
        <v>1611</v>
      </c>
      <c r="C5" s="145" t="s">
        <v>1738</v>
      </c>
      <c r="D5" s="145" t="s">
        <v>1739</v>
      </c>
      <c r="E5" s="145">
        <v>548</v>
      </c>
      <c r="F5" s="145" t="s">
        <v>490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1613</v>
      </c>
      <c r="J5" s="212">
        <v>1300</v>
      </c>
      <c r="K5" s="145" t="s">
        <v>595</v>
      </c>
      <c r="L5" s="212">
        <v>15600</v>
      </c>
      <c r="M5" s="145" t="s">
        <v>1618</v>
      </c>
      <c r="N5" s="145" t="s">
        <v>1618</v>
      </c>
      <c r="O5" s="145" t="str">
        <f t="shared" si="0"/>
        <v>Resignation</v>
      </c>
      <c r="P5" s="145" t="s">
        <v>1619</v>
      </c>
      <c r="Q5" s="145" t="s">
        <v>1620</v>
      </c>
      <c r="R5" s="145" t="s">
        <v>1629</v>
      </c>
      <c r="S5" s="145" t="s">
        <v>1341</v>
      </c>
      <c r="T5" s="145" t="s">
        <v>1728</v>
      </c>
    </row>
    <row r="6" spans="1:20">
      <c r="A6" s="145" t="s">
        <v>1725</v>
      </c>
      <c r="B6" s="145" t="s">
        <v>1611</v>
      </c>
      <c r="C6" s="145" t="s">
        <v>1726</v>
      </c>
      <c r="D6" s="145" t="s">
        <v>1727</v>
      </c>
      <c r="E6" s="145">
        <v>538</v>
      </c>
      <c r="F6" s="145" t="s">
        <v>490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1613</v>
      </c>
      <c r="J6" s="212">
        <v>900</v>
      </c>
      <c r="K6" s="145" t="s">
        <v>595</v>
      </c>
      <c r="L6" s="212">
        <v>10800</v>
      </c>
      <c r="M6" s="145" t="s">
        <v>1614</v>
      </c>
      <c r="N6" s="145" t="s">
        <v>1614</v>
      </c>
      <c r="O6" s="145" t="str">
        <f t="shared" si="0"/>
        <v>Termination</v>
      </c>
      <c r="P6" s="145" t="s">
        <v>1624</v>
      </c>
      <c r="Q6" s="145" t="s">
        <v>338</v>
      </c>
      <c r="R6" s="145" t="s">
        <v>1629</v>
      </c>
      <c r="S6" s="145" t="s">
        <v>1341</v>
      </c>
      <c r="T6" s="145" t="s">
        <v>1728</v>
      </c>
    </row>
    <row r="7" spans="1:20">
      <c r="A7" s="145" t="s">
        <v>1716</v>
      </c>
      <c r="B7" s="145" t="s">
        <v>1611</v>
      </c>
      <c r="C7" s="145" t="s">
        <v>1717</v>
      </c>
      <c r="D7" s="145" t="s">
        <v>1718</v>
      </c>
      <c r="E7" s="145">
        <v>429</v>
      </c>
      <c r="F7" s="145" t="s">
        <v>490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1613</v>
      </c>
      <c r="J7" s="212">
        <v>1000</v>
      </c>
      <c r="K7" s="145" t="s">
        <v>595</v>
      </c>
      <c r="L7" s="212">
        <v>12000</v>
      </c>
      <c r="M7" s="145" t="s">
        <v>1614</v>
      </c>
      <c r="N7" s="145" t="s">
        <v>1614</v>
      </c>
      <c r="O7" s="145" t="str">
        <f t="shared" si="0"/>
        <v>Termination</v>
      </c>
      <c r="P7" s="145" t="s">
        <v>1624</v>
      </c>
      <c r="Q7" s="145" t="s">
        <v>338</v>
      </c>
      <c r="R7" s="145" t="s">
        <v>1629</v>
      </c>
      <c r="S7" s="145" t="s">
        <v>1341</v>
      </c>
      <c r="T7" s="145" t="s">
        <v>1719</v>
      </c>
    </row>
    <row r="8" spans="1:20">
      <c r="A8" s="145" t="s">
        <v>1750</v>
      </c>
      <c r="B8" s="145" t="s">
        <v>1611</v>
      </c>
      <c r="C8" s="145" t="s">
        <v>1751</v>
      </c>
      <c r="D8" s="145" t="s">
        <v>1747</v>
      </c>
      <c r="E8" s="145">
        <v>426</v>
      </c>
      <c r="F8" s="145" t="s">
        <v>491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1613</v>
      </c>
      <c r="J8" s="212">
        <v>1750</v>
      </c>
      <c r="K8" s="145" t="s">
        <v>595</v>
      </c>
      <c r="L8" s="212">
        <v>21000</v>
      </c>
      <c r="M8" s="145" t="s">
        <v>1618</v>
      </c>
      <c r="N8" s="145" t="s">
        <v>1618</v>
      </c>
      <c r="O8" s="145" t="str">
        <f t="shared" si="0"/>
        <v>Resignation</v>
      </c>
      <c r="P8" s="145" t="s">
        <v>1619</v>
      </c>
      <c r="Q8" s="145" t="s">
        <v>1245</v>
      </c>
      <c r="R8" s="145" t="s">
        <v>1629</v>
      </c>
      <c r="S8" s="145" t="s">
        <v>1341</v>
      </c>
      <c r="T8" s="145" t="s">
        <v>1719</v>
      </c>
    </row>
    <row r="9" spans="1:20">
      <c r="A9" s="145" t="s">
        <v>1762</v>
      </c>
      <c r="B9" s="145" t="s">
        <v>19</v>
      </c>
      <c r="C9" s="145" t="s">
        <v>1763</v>
      </c>
      <c r="D9" s="145" t="s">
        <v>1764</v>
      </c>
      <c r="E9" s="145">
        <v>417</v>
      </c>
      <c r="F9" s="145" t="s">
        <v>1765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1613</v>
      </c>
      <c r="J9" s="212">
        <v>950</v>
      </c>
      <c r="K9" s="145" t="s">
        <v>595</v>
      </c>
      <c r="L9" s="212">
        <v>11400</v>
      </c>
      <c r="M9" s="145" t="s">
        <v>1614</v>
      </c>
      <c r="N9" s="145" t="s">
        <v>1614</v>
      </c>
      <c r="O9" s="145" t="str">
        <f t="shared" si="0"/>
        <v>Termination</v>
      </c>
      <c r="P9" s="145" t="s">
        <v>1624</v>
      </c>
      <c r="Q9" s="145" t="s">
        <v>338</v>
      </c>
      <c r="R9" s="145" t="s">
        <v>1629</v>
      </c>
      <c r="S9" s="145" t="s">
        <v>1341</v>
      </c>
      <c r="T9" s="145" t="s">
        <v>1719</v>
      </c>
    </row>
    <row r="10" spans="1:20">
      <c r="A10" s="145" t="s">
        <v>1695</v>
      </c>
      <c r="B10" s="145" t="s">
        <v>483</v>
      </c>
      <c r="C10" s="145" t="s">
        <v>1696</v>
      </c>
      <c r="D10" s="145" t="s">
        <v>1697</v>
      </c>
      <c r="E10" s="145">
        <v>399</v>
      </c>
      <c r="F10" s="145" t="s">
        <v>1698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1613</v>
      </c>
      <c r="J10" s="212">
        <v>1800</v>
      </c>
      <c r="K10" s="145" t="s">
        <v>595</v>
      </c>
      <c r="L10" s="212">
        <v>21600</v>
      </c>
      <c r="M10" s="145" t="s">
        <v>1618</v>
      </c>
      <c r="N10" s="145" t="s">
        <v>1618</v>
      </c>
      <c r="O10" s="145" t="str">
        <f t="shared" si="0"/>
        <v>Resignation</v>
      </c>
      <c r="P10" s="145" t="s">
        <v>1615</v>
      </c>
      <c r="Q10" s="145" t="s">
        <v>1245</v>
      </c>
      <c r="R10" s="145" t="s">
        <v>1629</v>
      </c>
      <c r="S10" s="145" t="s">
        <v>1341</v>
      </c>
      <c r="T10" s="145" t="s">
        <v>1699</v>
      </c>
    </row>
    <row r="11" spans="1:20">
      <c r="A11" s="145" t="s">
        <v>1627</v>
      </c>
      <c r="B11" s="145" t="s">
        <v>1611</v>
      </c>
      <c r="C11" s="145" t="s">
        <v>1431</v>
      </c>
      <c r="D11" s="145" t="s">
        <v>1358</v>
      </c>
      <c r="E11" s="145">
        <v>380</v>
      </c>
      <c r="F11" s="145" t="s">
        <v>1628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1613</v>
      </c>
      <c r="J11" s="212">
        <v>1400</v>
      </c>
      <c r="K11" s="145" t="s">
        <v>595</v>
      </c>
      <c r="L11" s="212">
        <v>16800</v>
      </c>
      <c r="M11" s="145" t="s">
        <v>1618</v>
      </c>
      <c r="N11" s="145" t="s">
        <v>1618</v>
      </c>
      <c r="O11" s="145" t="str">
        <f t="shared" si="0"/>
        <v>Resignation</v>
      </c>
      <c r="P11" s="145" t="s">
        <v>1619</v>
      </c>
      <c r="Q11" s="145" t="s">
        <v>1620</v>
      </c>
      <c r="R11" s="145" t="s">
        <v>1629</v>
      </c>
      <c r="S11" s="145" t="s">
        <v>1341</v>
      </c>
      <c r="T11" s="145" t="s">
        <v>1630</v>
      </c>
    </row>
    <row r="12" spans="1:20">
      <c r="A12" s="145" t="s">
        <v>1682</v>
      </c>
      <c r="B12" s="145" t="s">
        <v>1611</v>
      </c>
      <c r="C12" s="145" t="s">
        <v>1683</v>
      </c>
      <c r="D12" s="145" t="s">
        <v>1657</v>
      </c>
      <c r="E12" s="145">
        <v>355</v>
      </c>
      <c r="F12" s="145" t="s">
        <v>490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1613</v>
      </c>
      <c r="J12" s="212">
        <v>900</v>
      </c>
      <c r="K12" s="145" t="s">
        <v>595</v>
      </c>
      <c r="L12" s="212">
        <v>10800</v>
      </c>
      <c r="M12" s="145" t="s">
        <v>1618</v>
      </c>
      <c r="N12" s="145" t="s">
        <v>1618</v>
      </c>
      <c r="O12" s="145" t="str">
        <f t="shared" si="0"/>
        <v>Resignation</v>
      </c>
      <c r="P12" s="145" t="s">
        <v>1619</v>
      </c>
      <c r="Q12" s="145" t="s">
        <v>1620</v>
      </c>
      <c r="R12" s="145" t="s">
        <v>1621</v>
      </c>
      <c r="S12" s="145" t="s">
        <v>1341</v>
      </c>
      <c r="T12" s="145" t="s">
        <v>1666</v>
      </c>
    </row>
    <row r="13" spans="1:20">
      <c r="A13" s="145" t="s">
        <v>876</v>
      </c>
      <c r="B13" s="145" t="s">
        <v>1611</v>
      </c>
      <c r="C13" s="145" t="s">
        <v>1437</v>
      </c>
      <c r="D13" s="145" t="s">
        <v>1383</v>
      </c>
      <c r="E13" s="145">
        <v>353</v>
      </c>
      <c r="F13" s="145" t="s">
        <v>1346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1613</v>
      </c>
      <c r="J13" s="212">
        <v>950</v>
      </c>
      <c r="K13" s="145" t="s">
        <v>595</v>
      </c>
      <c r="L13" s="212">
        <v>11400</v>
      </c>
      <c r="M13" s="145" t="s">
        <v>1618</v>
      </c>
      <c r="N13" s="145" t="s">
        <v>1618</v>
      </c>
      <c r="O13" s="145" t="str">
        <f t="shared" si="0"/>
        <v>Resignation</v>
      </c>
      <c r="P13" s="145" t="s">
        <v>1619</v>
      </c>
      <c r="Q13" s="145" t="s">
        <v>1620</v>
      </c>
      <c r="R13" s="145" t="s">
        <v>1621</v>
      </c>
      <c r="S13" s="145" t="s">
        <v>1341</v>
      </c>
      <c r="T13" s="145" t="s">
        <v>1666</v>
      </c>
    </row>
    <row r="14" spans="1:20">
      <c r="A14" s="145" t="s">
        <v>1692</v>
      </c>
      <c r="B14" s="145" t="s">
        <v>1294</v>
      </c>
      <c r="C14" s="145" t="s">
        <v>1693</v>
      </c>
      <c r="D14" s="145" t="s">
        <v>1694</v>
      </c>
      <c r="E14" s="145">
        <v>339</v>
      </c>
      <c r="F14" s="145" t="s">
        <v>491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1613</v>
      </c>
      <c r="J14" s="212">
        <v>1800</v>
      </c>
      <c r="K14" s="145" t="s">
        <v>595</v>
      </c>
      <c r="L14" s="212">
        <v>21600</v>
      </c>
      <c r="M14" s="145" t="s">
        <v>1614</v>
      </c>
      <c r="N14" s="145" t="s">
        <v>1614</v>
      </c>
      <c r="O14" s="145" t="str">
        <f t="shared" si="0"/>
        <v>Termination</v>
      </c>
      <c r="P14" s="145" t="s">
        <v>1624</v>
      </c>
      <c r="Q14" s="145" t="s">
        <v>338</v>
      </c>
      <c r="R14" s="145" t="s">
        <v>1621</v>
      </c>
      <c r="S14" s="145" t="s">
        <v>1662</v>
      </c>
      <c r="T14" s="145" t="s">
        <v>1681</v>
      </c>
    </row>
    <row r="15" spans="1:20">
      <c r="A15" s="145" t="s">
        <v>1686</v>
      </c>
      <c r="B15" s="145" t="s">
        <v>1611</v>
      </c>
      <c r="C15" s="145" t="s">
        <v>1687</v>
      </c>
      <c r="D15" s="145" t="s">
        <v>1688</v>
      </c>
      <c r="E15" s="145">
        <v>336</v>
      </c>
      <c r="F15" s="145" t="s">
        <v>1398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1613</v>
      </c>
      <c r="J15" s="212">
        <v>1000</v>
      </c>
      <c r="K15" s="145" t="s">
        <v>595</v>
      </c>
      <c r="L15" s="212">
        <v>12000</v>
      </c>
      <c r="M15" s="145" t="s">
        <v>1618</v>
      </c>
      <c r="N15" s="145" t="s">
        <v>1618</v>
      </c>
      <c r="O15" s="145" t="str">
        <f t="shared" si="0"/>
        <v>Resignation</v>
      </c>
      <c r="P15" s="145" t="s">
        <v>1619</v>
      </c>
      <c r="Q15" s="145" t="s">
        <v>1620</v>
      </c>
      <c r="R15" s="145" t="s">
        <v>1621</v>
      </c>
      <c r="S15" s="145" t="s">
        <v>1341</v>
      </c>
      <c r="T15" s="145" t="s">
        <v>1681</v>
      </c>
    </row>
    <row r="16" spans="1:20">
      <c r="A16" s="145" t="s">
        <v>1679</v>
      </c>
      <c r="B16" s="145" t="s">
        <v>1611</v>
      </c>
      <c r="C16" s="145" t="s">
        <v>1439</v>
      </c>
      <c r="D16" s="145" t="s">
        <v>1680</v>
      </c>
      <c r="E16" s="145">
        <v>333</v>
      </c>
      <c r="F16" s="145" t="s">
        <v>1346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1613</v>
      </c>
      <c r="J16" s="212">
        <v>950</v>
      </c>
      <c r="K16" s="145" t="s">
        <v>595</v>
      </c>
      <c r="L16" s="212">
        <v>11400</v>
      </c>
      <c r="M16" s="145" t="s">
        <v>1618</v>
      </c>
      <c r="N16" s="145" t="s">
        <v>1618</v>
      </c>
      <c r="O16" s="145" t="str">
        <f t="shared" si="0"/>
        <v>Resignation</v>
      </c>
      <c r="P16" s="145" t="s">
        <v>1619</v>
      </c>
      <c r="Q16" s="145" t="s">
        <v>338</v>
      </c>
      <c r="R16" s="145" t="s">
        <v>1621</v>
      </c>
      <c r="S16" s="145" t="s">
        <v>1341</v>
      </c>
      <c r="T16" s="145" t="s">
        <v>1681</v>
      </c>
    </row>
    <row r="17" spans="1:20">
      <c r="A17" s="145" t="s">
        <v>1710</v>
      </c>
      <c r="B17" s="145" t="s">
        <v>19</v>
      </c>
      <c r="C17" s="145" t="s">
        <v>1451</v>
      </c>
      <c r="D17" s="145" t="s">
        <v>1711</v>
      </c>
      <c r="E17" s="145">
        <v>312</v>
      </c>
      <c r="F17" s="145" t="s">
        <v>1398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1613</v>
      </c>
      <c r="J17" s="212">
        <v>950</v>
      </c>
      <c r="K17" s="145" t="s">
        <v>595</v>
      </c>
      <c r="L17" s="212">
        <v>11400</v>
      </c>
      <c r="M17" s="145" t="s">
        <v>1618</v>
      </c>
      <c r="N17" s="145" t="s">
        <v>1618</v>
      </c>
      <c r="O17" s="145" t="str">
        <f t="shared" si="0"/>
        <v>Resignation</v>
      </c>
      <c r="P17" s="145" t="s">
        <v>1619</v>
      </c>
      <c r="Q17" s="145" t="s">
        <v>1620</v>
      </c>
      <c r="R17" s="145" t="s">
        <v>1621</v>
      </c>
      <c r="S17" s="145" t="s">
        <v>1341</v>
      </c>
      <c r="T17" s="145" t="s">
        <v>1712</v>
      </c>
    </row>
    <row r="18" spans="1:20">
      <c r="A18" s="145" t="s">
        <v>1704</v>
      </c>
      <c r="B18" s="145" t="s">
        <v>1611</v>
      </c>
      <c r="C18" s="145" t="s">
        <v>1705</v>
      </c>
      <c r="D18" s="145" t="s">
        <v>1702</v>
      </c>
      <c r="E18" s="145">
        <v>267</v>
      </c>
      <c r="F18" s="145" t="s">
        <v>1361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1632</v>
      </c>
      <c r="J18" s="212">
        <v>115000</v>
      </c>
      <c r="K18" s="145" t="s">
        <v>1365</v>
      </c>
      <c r="L18" s="212">
        <v>115000</v>
      </c>
      <c r="M18" s="145" t="s">
        <v>1618</v>
      </c>
      <c r="N18" s="145" t="s">
        <v>1618</v>
      </c>
      <c r="O18" s="145" t="str">
        <f t="shared" si="0"/>
        <v>Resignation</v>
      </c>
      <c r="P18" s="145" t="s">
        <v>1619</v>
      </c>
      <c r="Q18" s="145" t="s">
        <v>1245</v>
      </c>
      <c r="R18" s="145" t="s">
        <v>1621</v>
      </c>
      <c r="S18" s="145" t="s">
        <v>1362</v>
      </c>
      <c r="T18" s="145" t="s">
        <v>1706</v>
      </c>
    </row>
    <row r="19" spans="1:20">
      <c r="A19" s="145" t="s">
        <v>1754</v>
      </c>
      <c r="B19" s="145" t="s">
        <v>1611</v>
      </c>
      <c r="C19" s="145" t="s">
        <v>1755</v>
      </c>
      <c r="D19" s="145" t="s">
        <v>1753</v>
      </c>
      <c r="E19" s="145">
        <v>264</v>
      </c>
      <c r="F19" s="145" t="s">
        <v>1756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1632</v>
      </c>
      <c r="J19" s="212">
        <v>130000</v>
      </c>
      <c r="K19" s="145" t="s">
        <v>1365</v>
      </c>
      <c r="L19" s="212">
        <v>130000</v>
      </c>
      <c r="M19" s="145" t="s">
        <v>1614</v>
      </c>
      <c r="N19" s="145" t="s">
        <v>1614</v>
      </c>
      <c r="O19" s="145" t="str">
        <f t="shared" si="0"/>
        <v>Termination</v>
      </c>
      <c r="P19" s="145" t="s">
        <v>1624</v>
      </c>
      <c r="Q19" s="145" t="s">
        <v>338</v>
      </c>
      <c r="R19" s="145" t="s">
        <v>1621</v>
      </c>
      <c r="S19" s="145" t="s">
        <v>1362</v>
      </c>
      <c r="T19" s="145" t="s">
        <v>1706</v>
      </c>
    </row>
    <row r="20" spans="1:20">
      <c r="A20" s="145" t="s">
        <v>1400</v>
      </c>
      <c r="B20" s="145" t="s">
        <v>1294</v>
      </c>
      <c r="C20" s="145" t="s">
        <v>1401</v>
      </c>
      <c r="D20" s="145" t="s">
        <v>1612</v>
      </c>
      <c r="E20" s="145">
        <v>202</v>
      </c>
      <c r="F20" s="145" t="s">
        <v>491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1613</v>
      </c>
      <c r="J20" s="212">
        <v>1800</v>
      </c>
      <c r="K20" s="145" t="s">
        <v>595</v>
      </c>
      <c r="L20" s="212">
        <v>21600</v>
      </c>
      <c r="M20" s="145" t="s">
        <v>1618</v>
      </c>
      <c r="N20" s="145" t="s">
        <v>1618</v>
      </c>
      <c r="O20" s="145" t="str">
        <f t="shared" si="0"/>
        <v>Resignation</v>
      </c>
      <c r="P20" s="145" t="s">
        <v>1619</v>
      </c>
      <c r="Q20" s="145" t="s">
        <v>1620</v>
      </c>
      <c r="R20" s="145" t="s">
        <v>1621</v>
      </c>
      <c r="S20" s="145" t="s">
        <v>1341</v>
      </c>
      <c r="T20" s="145" t="s">
        <v>1622</v>
      </c>
    </row>
    <row r="21" spans="1:20">
      <c r="A21" s="145" t="s">
        <v>852</v>
      </c>
      <c r="B21" s="145" t="s">
        <v>19</v>
      </c>
      <c r="C21" s="145" t="s">
        <v>1671</v>
      </c>
      <c r="D21" s="145" t="s">
        <v>1669</v>
      </c>
      <c r="E21" s="145">
        <v>172</v>
      </c>
      <c r="F21" s="145" t="s">
        <v>1470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1613</v>
      </c>
      <c r="J21" s="212">
        <v>1800</v>
      </c>
      <c r="K21" s="145" t="s">
        <v>595</v>
      </c>
      <c r="L21" s="212">
        <v>21600</v>
      </c>
      <c r="M21" s="145" t="s">
        <v>1614</v>
      </c>
      <c r="N21" s="145" t="s">
        <v>1614</v>
      </c>
      <c r="O21" s="145" t="str">
        <f t="shared" si="0"/>
        <v>Termination</v>
      </c>
      <c r="P21" s="145" t="s">
        <v>1624</v>
      </c>
      <c r="Q21" s="145" t="s">
        <v>338</v>
      </c>
      <c r="R21" s="145" t="s">
        <v>1621</v>
      </c>
      <c r="S21" s="145" t="s">
        <v>1341</v>
      </c>
      <c r="T21" s="145" t="s">
        <v>1670</v>
      </c>
    </row>
    <row r="22" spans="1:20">
      <c r="A22" s="145" t="s">
        <v>851</v>
      </c>
      <c r="B22" s="145" t="s">
        <v>19</v>
      </c>
      <c r="C22" s="145" t="s">
        <v>1668</v>
      </c>
      <c r="D22" s="145" t="s">
        <v>1669</v>
      </c>
      <c r="E22" s="145">
        <v>169</v>
      </c>
      <c r="F22" s="145" t="s">
        <v>1398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1613</v>
      </c>
      <c r="J22" s="212">
        <v>950</v>
      </c>
      <c r="K22" s="145" t="s">
        <v>595</v>
      </c>
      <c r="L22" s="212">
        <v>11400</v>
      </c>
      <c r="M22" s="145" t="s">
        <v>1614</v>
      </c>
      <c r="N22" s="145" t="s">
        <v>1614</v>
      </c>
      <c r="O22" s="145" t="str">
        <f t="shared" si="0"/>
        <v>Termination</v>
      </c>
      <c r="P22" s="145" t="s">
        <v>1624</v>
      </c>
      <c r="Q22" s="145" t="s">
        <v>338</v>
      </c>
      <c r="R22" s="145" t="s">
        <v>1621</v>
      </c>
      <c r="S22" s="145" t="s">
        <v>1341</v>
      </c>
      <c r="T22" s="145" t="s">
        <v>1670</v>
      </c>
    </row>
    <row r="23" spans="1:20">
      <c r="A23" s="145" t="s">
        <v>1760</v>
      </c>
      <c r="B23" s="145" t="s">
        <v>1611</v>
      </c>
      <c r="C23" s="145" t="s">
        <v>1761</v>
      </c>
      <c r="D23" s="145" t="s">
        <v>1758</v>
      </c>
      <c r="E23" s="145">
        <v>165</v>
      </c>
      <c r="F23" s="145" t="s">
        <v>491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1613</v>
      </c>
      <c r="J23" s="212">
        <v>1800</v>
      </c>
      <c r="K23" s="145" t="s">
        <v>595</v>
      </c>
      <c r="L23" s="212">
        <v>21600</v>
      </c>
      <c r="M23" s="145" t="s">
        <v>1614</v>
      </c>
      <c r="N23" s="145" t="s">
        <v>1614</v>
      </c>
      <c r="O23" s="145" t="str">
        <f t="shared" si="0"/>
        <v>Termination</v>
      </c>
      <c r="P23" s="145" t="s">
        <v>1624</v>
      </c>
      <c r="Q23" s="145" t="s">
        <v>338</v>
      </c>
      <c r="R23" s="145" t="s">
        <v>1621</v>
      </c>
      <c r="S23" s="145" t="s">
        <v>1341</v>
      </c>
      <c r="T23" s="145" t="s">
        <v>1663</v>
      </c>
    </row>
    <row r="24" spans="1:20">
      <c r="A24" s="145" t="s">
        <v>1659</v>
      </c>
      <c r="B24" s="145" t="s">
        <v>19</v>
      </c>
      <c r="C24" s="145" t="s">
        <v>1660</v>
      </c>
      <c r="D24" s="145" t="s">
        <v>1661</v>
      </c>
      <c r="E24" s="145">
        <v>139</v>
      </c>
      <c r="F24" s="145" t="s">
        <v>1398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1613</v>
      </c>
      <c r="J24" s="212">
        <v>1200</v>
      </c>
      <c r="K24" s="145" t="s">
        <v>595</v>
      </c>
      <c r="L24" s="212">
        <v>14400</v>
      </c>
      <c r="M24" s="145" t="s">
        <v>1614</v>
      </c>
      <c r="N24" s="145" t="s">
        <v>1614</v>
      </c>
      <c r="O24" s="145" t="str">
        <f t="shared" si="0"/>
        <v>Termination</v>
      </c>
      <c r="P24" s="145" t="s">
        <v>1624</v>
      </c>
      <c r="Q24" s="145" t="s">
        <v>338</v>
      </c>
      <c r="R24" s="145" t="s">
        <v>1621</v>
      </c>
      <c r="S24" s="145" t="s">
        <v>1662</v>
      </c>
      <c r="T24" s="145" t="s">
        <v>1663</v>
      </c>
    </row>
    <row r="25" spans="1:20">
      <c r="A25" s="145" t="s">
        <v>1672</v>
      </c>
      <c r="B25" s="145" t="s">
        <v>1673</v>
      </c>
      <c r="C25" s="145" t="s">
        <v>1674</v>
      </c>
      <c r="D25" s="145" t="s">
        <v>1675</v>
      </c>
      <c r="E25" s="145">
        <v>139</v>
      </c>
      <c r="F25" s="145" t="s">
        <v>1676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1613</v>
      </c>
      <c r="J25" s="212">
        <v>2300</v>
      </c>
      <c r="K25" s="145" t="s">
        <v>595</v>
      </c>
      <c r="L25" s="212">
        <v>27600</v>
      </c>
      <c r="M25" s="145" t="s">
        <v>1614</v>
      </c>
      <c r="N25" s="145" t="s">
        <v>1614</v>
      </c>
      <c r="O25" s="145" t="str">
        <f t="shared" si="0"/>
        <v>Termination</v>
      </c>
      <c r="P25" s="145" t="s">
        <v>338</v>
      </c>
      <c r="Q25" s="145" t="s">
        <v>338</v>
      </c>
      <c r="R25" s="145" t="s">
        <v>1621</v>
      </c>
      <c r="S25" s="145" t="s">
        <v>1662</v>
      </c>
      <c r="T25" s="145" t="s">
        <v>1663</v>
      </c>
    </row>
    <row r="26" spans="1:20">
      <c r="A26" s="145" t="s">
        <v>1642</v>
      </c>
      <c r="B26" s="145" t="s">
        <v>483</v>
      </c>
      <c r="C26" s="145" t="s">
        <v>1643</v>
      </c>
      <c r="D26" s="145" t="s">
        <v>1644</v>
      </c>
      <c r="E26" s="145">
        <v>121</v>
      </c>
      <c r="F26" s="145" t="s">
        <v>1340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1613</v>
      </c>
      <c r="J26" s="212">
        <v>1100</v>
      </c>
      <c r="K26" s="145" t="s">
        <v>595</v>
      </c>
      <c r="L26" s="212">
        <v>13200</v>
      </c>
      <c r="M26" s="145" t="s">
        <v>1618</v>
      </c>
      <c r="N26" s="145" t="s">
        <v>1618</v>
      </c>
      <c r="O26" s="145" t="str">
        <f t="shared" si="0"/>
        <v>Resignation</v>
      </c>
      <c r="P26" s="145" t="s">
        <v>1624</v>
      </c>
      <c r="Q26" s="145" t="s">
        <v>1620</v>
      </c>
      <c r="R26" s="145" t="s">
        <v>1621</v>
      </c>
      <c r="S26" s="145" t="s">
        <v>1341</v>
      </c>
      <c r="T26" s="145" t="s">
        <v>1645</v>
      </c>
    </row>
    <row r="27" spans="1:20">
      <c r="A27" s="145" t="s">
        <v>648</v>
      </c>
      <c r="B27" s="145" t="s">
        <v>1611</v>
      </c>
      <c r="C27" s="145" t="s">
        <v>1390</v>
      </c>
      <c r="D27" s="145" t="s">
        <v>1623</v>
      </c>
      <c r="E27" s="145">
        <v>106</v>
      </c>
      <c r="F27" s="145" t="s">
        <v>491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1613</v>
      </c>
      <c r="J27" s="212">
        <v>1800</v>
      </c>
      <c r="K27" s="145" t="s">
        <v>595</v>
      </c>
      <c r="L27" s="212">
        <v>21600</v>
      </c>
      <c r="M27" s="145" t="s">
        <v>1618</v>
      </c>
      <c r="N27" s="145" t="s">
        <v>1618</v>
      </c>
      <c r="O27" s="145" t="str">
        <f t="shared" si="0"/>
        <v>Resignation</v>
      </c>
      <c r="P27" s="145" t="s">
        <v>1624</v>
      </c>
      <c r="Q27" s="145" t="s">
        <v>1620</v>
      </c>
      <c r="R27" s="145" t="s">
        <v>1621</v>
      </c>
      <c r="S27" s="145" t="s">
        <v>1341</v>
      </c>
      <c r="T27" s="145" t="s">
        <v>1625</v>
      </c>
    </row>
    <row r="28" spans="1:20">
      <c r="A28" s="145" t="s">
        <v>1731</v>
      </c>
      <c r="B28" s="145" t="s">
        <v>1611</v>
      </c>
      <c r="C28" s="145" t="s">
        <v>1449</v>
      </c>
      <c r="D28" s="145" t="s">
        <v>1732</v>
      </c>
      <c r="E28" s="145">
        <v>105</v>
      </c>
      <c r="F28" s="145" t="s">
        <v>491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1613</v>
      </c>
      <c r="J28" s="212">
        <v>1800</v>
      </c>
      <c r="K28" s="145" t="s">
        <v>595</v>
      </c>
      <c r="L28" s="212">
        <v>21600</v>
      </c>
      <c r="M28" s="145" t="s">
        <v>1614</v>
      </c>
      <c r="N28" s="145" t="s">
        <v>1614</v>
      </c>
      <c r="O28" s="145" t="str">
        <f t="shared" si="0"/>
        <v>Termination</v>
      </c>
      <c r="P28" s="145" t="s">
        <v>1624</v>
      </c>
      <c r="Q28" s="145" t="s">
        <v>338</v>
      </c>
      <c r="R28" s="145" t="s">
        <v>1621</v>
      </c>
      <c r="S28" s="145" t="s">
        <v>1341</v>
      </c>
      <c r="T28" s="145" t="s">
        <v>1625</v>
      </c>
    </row>
    <row r="29" spans="1:20">
      <c r="A29" s="145" t="s">
        <v>1713</v>
      </c>
      <c r="B29" s="145" t="s">
        <v>483</v>
      </c>
      <c r="C29" s="145" t="s">
        <v>1714</v>
      </c>
      <c r="D29" s="145" t="s">
        <v>1715</v>
      </c>
      <c r="E29" s="145">
        <v>101</v>
      </c>
      <c r="F29" s="145" t="s">
        <v>1691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1613</v>
      </c>
      <c r="J29" s="212">
        <v>900</v>
      </c>
      <c r="K29" s="145" t="s">
        <v>595</v>
      </c>
      <c r="L29" s="212">
        <v>10800</v>
      </c>
      <c r="M29" s="145" t="s">
        <v>1618</v>
      </c>
      <c r="N29" s="145" t="s">
        <v>1618</v>
      </c>
      <c r="O29" s="145" t="str">
        <f t="shared" si="0"/>
        <v>Resignation</v>
      </c>
      <c r="P29" s="145" t="s">
        <v>1619</v>
      </c>
      <c r="Q29" s="145" t="s">
        <v>1620</v>
      </c>
      <c r="R29" s="145" t="s">
        <v>1621</v>
      </c>
      <c r="S29" s="145" t="s">
        <v>1341</v>
      </c>
      <c r="T29" s="145" t="s">
        <v>1625</v>
      </c>
    </row>
    <row r="30" spans="1:20">
      <c r="A30" s="145" t="s">
        <v>1748</v>
      </c>
      <c r="B30" s="145" t="s">
        <v>1294</v>
      </c>
      <c r="C30" s="145" t="s">
        <v>1456</v>
      </c>
      <c r="D30" s="145" t="s">
        <v>1749</v>
      </c>
      <c r="E30" s="145">
        <v>95</v>
      </c>
      <c r="F30" s="145" t="s">
        <v>491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1613</v>
      </c>
      <c r="J30" s="212">
        <v>2500</v>
      </c>
      <c r="K30" s="145" t="s">
        <v>595</v>
      </c>
      <c r="L30" s="212">
        <v>30000</v>
      </c>
      <c r="M30" s="145" t="s">
        <v>1618</v>
      </c>
      <c r="N30" s="145" t="s">
        <v>1618</v>
      </c>
      <c r="O30" s="145" t="str">
        <f t="shared" si="0"/>
        <v>Resignation</v>
      </c>
      <c r="P30" s="145" t="s">
        <v>1619</v>
      </c>
      <c r="Q30" s="145" t="s">
        <v>1245</v>
      </c>
      <c r="R30" s="145" t="s">
        <v>1621</v>
      </c>
      <c r="S30" s="145" t="s">
        <v>1662</v>
      </c>
      <c r="T30" s="145" t="s">
        <v>1625</v>
      </c>
    </row>
    <row r="31" spans="1:20">
      <c r="A31" s="145" t="s">
        <v>833</v>
      </c>
      <c r="B31" s="145" t="s">
        <v>1611</v>
      </c>
      <c r="C31" s="145" t="s">
        <v>1664</v>
      </c>
      <c r="D31" s="145" t="s">
        <v>1665</v>
      </c>
      <c r="E31" s="145">
        <v>78</v>
      </c>
      <c r="F31" s="145" t="s">
        <v>491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1613</v>
      </c>
      <c r="J31" s="212">
        <v>1800</v>
      </c>
      <c r="K31" s="145" t="s">
        <v>595</v>
      </c>
      <c r="L31" s="212">
        <v>21600</v>
      </c>
      <c r="M31" s="145" t="s">
        <v>338</v>
      </c>
      <c r="N31" s="145" t="s">
        <v>1531</v>
      </c>
      <c r="O31" s="145" t="s">
        <v>1531</v>
      </c>
      <c r="P31" s="145" t="s">
        <v>338</v>
      </c>
      <c r="Q31" s="145" t="s">
        <v>338</v>
      </c>
      <c r="R31" s="145" t="s">
        <v>1652</v>
      </c>
      <c r="S31" s="145" t="s">
        <v>1341</v>
      </c>
      <c r="T31" s="145" t="s">
        <v>1625</v>
      </c>
    </row>
    <row r="32" spans="1:20">
      <c r="A32" s="145" t="s">
        <v>1735</v>
      </c>
      <c r="B32" s="145" t="s">
        <v>1611</v>
      </c>
      <c r="C32" s="145" t="s">
        <v>1736</v>
      </c>
      <c r="D32" s="145" t="s">
        <v>1443</v>
      </c>
      <c r="E32" s="145">
        <v>67</v>
      </c>
      <c r="F32" s="145" t="s">
        <v>1407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1613</v>
      </c>
      <c r="J32" s="212">
        <v>1100</v>
      </c>
      <c r="K32" s="145" t="s">
        <v>595</v>
      </c>
      <c r="L32" s="212">
        <v>13200</v>
      </c>
      <c r="M32" s="145" t="s">
        <v>1618</v>
      </c>
      <c r="N32" s="145" t="s">
        <v>1618</v>
      </c>
      <c r="O32" s="145" t="str">
        <f t="shared" si="0"/>
        <v>Resignation</v>
      </c>
      <c r="P32" s="145" t="s">
        <v>1619</v>
      </c>
      <c r="Q32" s="145" t="s">
        <v>1620</v>
      </c>
      <c r="R32" s="145" t="s">
        <v>1652</v>
      </c>
      <c r="S32" s="145" t="s">
        <v>1341</v>
      </c>
      <c r="T32" s="145" t="s">
        <v>1653</v>
      </c>
    </row>
    <row r="33" spans="1:20">
      <c r="A33" s="145" t="s">
        <v>574</v>
      </c>
      <c r="B33" s="145" t="s">
        <v>1611</v>
      </c>
      <c r="C33" s="145" t="s">
        <v>1657</v>
      </c>
      <c r="D33" s="145" t="s">
        <v>1658</v>
      </c>
      <c r="E33" s="145">
        <v>64</v>
      </c>
      <c r="F33" s="145" t="s">
        <v>1346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1613</v>
      </c>
      <c r="J33" s="212">
        <v>950</v>
      </c>
      <c r="K33" s="145" t="s">
        <v>595</v>
      </c>
      <c r="L33" s="212">
        <v>11400</v>
      </c>
      <c r="M33" s="145" t="s">
        <v>338</v>
      </c>
      <c r="N33" s="145" t="s">
        <v>1531</v>
      </c>
      <c r="O33" s="145" t="s">
        <v>1531</v>
      </c>
      <c r="P33" s="145" t="s">
        <v>1619</v>
      </c>
      <c r="Q33" s="145" t="s">
        <v>338</v>
      </c>
      <c r="R33" s="145" t="s">
        <v>1652</v>
      </c>
      <c r="S33" s="145" t="s">
        <v>1341</v>
      </c>
      <c r="T33" s="145" t="s">
        <v>1653</v>
      </c>
    </row>
    <row r="34" spans="1:20">
      <c r="A34" s="145" t="s">
        <v>1722</v>
      </c>
      <c r="B34" s="145" t="s">
        <v>1611</v>
      </c>
      <c r="C34" s="145" t="s">
        <v>1723</v>
      </c>
      <c r="D34" s="145" t="s">
        <v>1724</v>
      </c>
      <c r="E34" s="145">
        <v>58</v>
      </c>
      <c r="F34" s="145" t="s">
        <v>1346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1613</v>
      </c>
      <c r="J34" s="212">
        <v>950</v>
      </c>
      <c r="K34" s="145" t="s">
        <v>595</v>
      </c>
      <c r="L34" s="212">
        <v>11400</v>
      </c>
      <c r="M34" s="145" t="s">
        <v>1614</v>
      </c>
      <c r="N34" s="145" t="s">
        <v>1614</v>
      </c>
      <c r="O34" s="145" t="str">
        <f t="shared" si="0"/>
        <v>Termination</v>
      </c>
      <c r="P34" s="145" t="s">
        <v>1624</v>
      </c>
      <c r="Q34" s="145" t="s">
        <v>338</v>
      </c>
      <c r="R34" s="145" t="s">
        <v>1652</v>
      </c>
      <c r="S34" s="145" t="s">
        <v>1341</v>
      </c>
      <c r="T34" s="145" t="s">
        <v>1653</v>
      </c>
    </row>
    <row r="35" spans="1:20">
      <c r="A35" s="145" t="s">
        <v>1649</v>
      </c>
      <c r="B35" s="145" t="s">
        <v>19</v>
      </c>
      <c r="C35" s="145" t="s">
        <v>1650</v>
      </c>
      <c r="D35" s="145" t="s">
        <v>1651</v>
      </c>
      <c r="E35" s="145">
        <v>57</v>
      </c>
      <c r="F35" s="145" t="s">
        <v>1398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1613</v>
      </c>
      <c r="J35" s="212">
        <v>950</v>
      </c>
      <c r="K35" s="145" t="s">
        <v>595</v>
      </c>
      <c r="L35" s="212">
        <v>11400</v>
      </c>
      <c r="M35" s="145" t="s">
        <v>1618</v>
      </c>
      <c r="N35" s="145" t="s">
        <v>1618</v>
      </c>
      <c r="O35" s="145" t="str">
        <f t="shared" si="0"/>
        <v>Resignation</v>
      </c>
      <c r="P35" s="145" t="s">
        <v>1619</v>
      </c>
      <c r="Q35" s="145" t="s">
        <v>1620</v>
      </c>
      <c r="R35" s="145" t="s">
        <v>1652</v>
      </c>
      <c r="S35" s="145" t="s">
        <v>1341</v>
      </c>
      <c r="T35" s="145" t="s">
        <v>1653</v>
      </c>
    </row>
    <row r="36" spans="1:20">
      <c r="A36" s="145" t="s">
        <v>1684</v>
      </c>
      <c r="B36" s="145" t="s">
        <v>1611</v>
      </c>
      <c r="C36" s="145" t="s">
        <v>1397</v>
      </c>
      <c r="D36" s="145" t="s">
        <v>1685</v>
      </c>
      <c r="E36" s="145">
        <v>52</v>
      </c>
      <c r="F36" s="145" t="s">
        <v>491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1613</v>
      </c>
      <c r="J36" s="212">
        <v>1800</v>
      </c>
      <c r="K36" s="145" t="s">
        <v>595</v>
      </c>
      <c r="L36" s="212">
        <v>21600</v>
      </c>
      <c r="M36" s="145" t="s">
        <v>1618</v>
      </c>
      <c r="N36" s="145" t="s">
        <v>1618</v>
      </c>
      <c r="O36" s="145" t="str">
        <f t="shared" si="0"/>
        <v>Resignation</v>
      </c>
      <c r="P36" s="145" t="s">
        <v>1619</v>
      </c>
      <c r="Q36" s="145" t="s">
        <v>338</v>
      </c>
      <c r="R36" s="145" t="s">
        <v>1652</v>
      </c>
      <c r="S36" s="145" t="s">
        <v>1341</v>
      </c>
      <c r="T36" s="145" t="s">
        <v>1653</v>
      </c>
    </row>
    <row r="37" spans="1:20">
      <c r="A37" s="145" t="s">
        <v>1700</v>
      </c>
      <c r="B37" s="145" t="s">
        <v>483</v>
      </c>
      <c r="C37" s="145" t="s">
        <v>1701</v>
      </c>
      <c r="D37" s="145" t="s">
        <v>1702</v>
      </c>
      <c r="E37" s="145">
        <v>36</v>
      </c>
      <c r="F37" s="145" t="s">
        <v>1691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1613</v>
      </c>
      <c r="J37" s="212">
        <v>1800</v>
      </c>
      <c r="K37" s="145" t="s">
        <v>595</v>
      </c>
      <c r="L37" s="212">
        <v>21600</v>
      </c>
      <c r="M37" s="145" t="s">
        <v>1614</v>
      </c>
      <c r="N37" s="145" t="s">
        <v>1614</v>
      </c>
      <c r="O37" s="145" t="str">
        <f t="shared" si="0"/>
        <v>Termination</v>
      </c>
      <c r="P37" s="145" t="s">
        <v>1624</v>
      </c>
      <c r="Q37" s="145" t="s">
        <v>338</v>
      </c>
      <c r="R37" s="145" t="s">
        <v>1652</v>
      </c>
      <c r="S37" s="145" t="s">
        <v>1662</v>
      </c>
      <c r="T37" s="145" t="s">
        <v>1703</v>
      </c>
    </row>
    <row r="38" spans="1:20">
      <c r="A38" s="145" t="s">
        <v>1720</v>
      </c>
      <c r="B38" s="145" t="s">
        <v>1611</v>
      </c>
      <c r="C38" s="145" t="s">
        <v>1421</v>
      </c>
      <c r="D38" s="145" t="s">
        <v>1721</v>
      </c>
      <c r="E38" s="145">
        <v>35</v>
      </c>
      <c r="F38" s="145" t="s">
        <v>491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1613</v>
      </c>
      <c r="J38" s="212">
        <v>1800</v>
      </c>
      <c r="K38" s="145" t="s">
        <v>595</v>
      </c>
      <c r="L38" s="212">
        <v>21600</v>
      </c>
      <c r="M38" s="145" t="s">
        <v>1614</v>
      </c>
      <c r="N38" s="145" t="s">
        <v>1614</v>
      </c>
      <c r="O38" s="145" t="str">
        <f t="shared" si="0"/>
        <v>Termination</v>
      </c>
      <c r="P38" s="145" t="s">
        <v>1624</v>
      </c>
      <c r="Q38" s="145" t="s">
        <v>338</v>
      </c>
      <c r="R38" s="145" t="s">
        <v>1652</v>
      </c>
      <c r="S38" s="145" t="s">
        <v>1341</v>
      </c>
      <c r="T38" s="145" t="s">
        <v>1703</v>
      </c>
    </row>
    <row r="39" spans="1:20">
      <c r="A39" s="145" t="s">
        <v>1707</v>
      </c>
      <c r="B39" s="145" t="s">
        <v>19</v>
      </c>
      <c r="C39" s="145" t="s">
        <v>1412</v>
      </c>
      <c r="D39" s="145" t="s">
        <v>1708</v>
      </c>
      <c r="E39" s="145">
        <v>18</v>
      </c>
      <c r="F39" s="145" t="s">
        <v>1371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1613</v>
      </c>
      <c r="J39" s="212">
        <v>1350</v>
      </c>
      <c r="K39" s="145" t="s">
        <v>595</v>
      </c>
      <c r="L39" s="212">
        <v>16200</v>
      </c>
      <c r="M39" s="145" t="s">
        <v>1614</v>
      </c>
      <c r="N39" s="145" t="s">
        <v>1614</v>
      </c>
      <c r="O39" s="145" t="str">
        <f t="shared" si="0"/>
        <v>Termination</v>
      </c>
      <c r="P39" s="145" t="s">
        <v>1624</v>
      </c>
      <c r="Q39" s="145" t="s">
        <v>338</v>
      </c>
      <c r="R39" s="145" t="s">
        <v>1709</v>
      </c>
      <c r="S39" s="145" t="s">
        <v>1341</v>
      </c>
      <c r="T39" s="145" t="s">
        <v>1617</v>
      </c>
    </row>
    <row r="40" spans="1:20">
      <c r="A40" s="145" t="s">
        <v>1746</v>
      </c>
      <c r="B40" s="145" t="s">
        <v>1611</v>
      </c>
      <c r="C40" s="145" t="s">
        <v>1747</v>
      </c>
      <c r="D40" s="145" t="s">
        <v>1449</v>
      </c>
      <c r="E40" s="145">
        <v>14</v>
      </c>
      <c r="F40" s="145" t="s">
        <v>490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1613</v>
      </c>
      <c r="J40" s="212">
        <v>900</v>
      </c>
      <c r="K40" s="145" t="s">
        <v>595</v>
      </c>
      <c r="L40" s="212">
        <v>10800</v>
      </c>
      <c r="M40" s="145" t="s">
        <v>1614</v>
      </c>
      <c r="N40" s="145" t="s">
        <v>1614</v>
      </c>
      <c r="O40" s="145" t="str">
        <f t="shared" si="0"/>
        <v>Termination</v>
      </c>
      <c r="P40" s="145" t="s">
        <v>1624</v>
      </c>
      <c r="Q40" s="145" t="s">
        <v>338</v>
      </c>
      <c r="R40" s="145" t="s">
        <v>1616</v>
      </c>
      <c r="S40" s="145" t="s">
        <v>1341</v>
      </c>
      <c r="T40" s="145" t="s">
        <v>1617</v>
      </c>
    </row>
    <row r="41" spans="1:20">
      <c r="A41" s="145" t="s">
        <v>1752</v>
      </c>
      <c r="B41" s="145" t="s">
        <v>1611</v>
      </c>
      <c r="C41" s="145" t="s">
        <v>1753</v>
      </c>
      <c r="D41" s="145" t="s">
        <v>1747</v>
      </c>
      <c r="E41" s="145">
        <v>14</v>
      </c>
      <c r="F41" s="145" t="s">
        <v>1628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1613</v>
      </c>
      <c r="J41" s="212">
        <v>1400</v>
      </c>
      <c r="K41" s="145" t="s">
        <v>595</v>
      </c>
      <c r="L41" s="212">
        <v>16800</v>
      </c>
      <c r="M41" s="145" t="s">
        <v>1614</v>
      </c>
      <c r="N41" s="145" t="s">
        <v>1614</v>
      </c>
      <c r="O41" s="145" t="str">
        <f t="shared" si="0"/>
        <v>Termination</v>
      </c>
      <c r="P41" s="145" t="s">
        <v>1624</v>
      </c>
      <c r="Q41" s="145" t="s">
        <v>338</v>
      </c>
      <c r="R41" s="145" t="s">
        <v>1616</v>
      </c>
      <c r="S41" s="145" t="s">
        <v>1341</v>
      </c>
      <c r="T41" s="145" t="s">
        <v>1617</v>
      </c>
    </row>
    <row r="42" spans="1:20">
      <c r="A42" s="145" t="s">
        <v>1677</v>
      </c>
      <c r="B42" s="145" t="s">
        <v>19</v>
      </c>
      <c r="C42" s="145" t="s">
        <v>1678</v>
      </c>
      <c r="D42" s="145" t="s">
        <v>1390</v>
      </c>
      <c r="E42" s="145">
        <v>13</v>
      </c>
      <c r="F42" s="145" t="s">
        <v>1398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1613</v>
      </c>
      <c r="J42" s="212">
        <v>950</v>
      </c>
      <c r="K42" s="145" t="s">
        <v>595</v>
      </c>
      <c r="L42" s="212">
        <v>11400</v>
      </c>
      <c r="M42" s="145" t="s">
        <v>1614</v>
      </c>
      <c r="N42" s="145" t="s">
        <v>1614</v>
      </c>
      <c r="O42" s="145" t="str">
        <f t="shared" si="0"/>
        <v>Termination</v>
      </c>
      <c r="P42" s="145" t="s">
        <v>1634</v>
      </c>
      <c r="Q42" s="145" t="s">
        <v>338</v>
      </c>
      <c r="R42" s="145" t="s">
        <v>1616</v>
      </c>
      <c r="S42" s="145" t="s">
        <v>1341</v>
      </c>
      <c r="T42" s="145" t="s">
        <v>1617</v>
      </c>
    </row>
    <row r="43" spans="1:20">
      <c r="A43" s="145" t="s">
        <v>1743</v>
      </c>
      <c r="B43" s="145" t="s">
        <v>1611</v>
      </c>
      <c r="C43" s="145" t="s">
        <v>1744</v>
      </c>
      <c r="D43" s="145" t="s">
        <v>1449</v>
      </c>
      <c r="E43" s="145">
        <v>12</v>
      </c>
      <c r="F43" s="145" t="s">
        <v>1361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1632</v>
      </c>
      <c r="J43" s="212">
        <v>108000</v>
      </c>
      <c r="K43" s="145" t="s">
        <v>1365</v>
      </c>
      <c r="L43" s="212">
        <v>108000</v>
      </c>
      <c r="M43" s="145" t="s">
        <v>1614</v>
      </c>
      <c r="N43" s="145" t="s">
        <v>1614</v>
      </c>
      <c r="O43" s="145" t="str">
        <f t="shared" si="0"/>
        <v>Termination</v>
      </c>
      <c r="P43" s="145" t="s">
        <v>1624</v>
      </c>
      <c r="Q43" s="145" t="s">
        <v>338</v>
      </c>
      <c r="R43" s="145" t="s">
        <v>1745</v>
      </c>
      <c r="S43" s="145" t="s">
        <v>1362</v>
      </c>
      <c r="T43" s="145" t="s">
        <v>1617</v>
      </c>
    </row>
    <row r="44" spans="1:20">
      <c r="A44" s="145" t="s">
        <v>1351</v>
      </c>
      <c r="B44" s="145" t="s">
        <v>1611</v>
      </c>
      <c r="C44" s="145" t="s">
        <v>1352</v>
      </c>
      <c r="D44" s="145" t="s">
        <v>1626</v>
      </c>
      <c r="E44" s="145">
        <v>11</v>
      </c>
      <c r="F44" s="145" t="s">
        <v>1346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1613</v>
      </c>
      <c r="J44" s="212">
        <v>950</v>
      </c>
      <c r="K44" s="145" t="s">
        <v>595</v>
      </c>
      <c r="L44" s="212">
        <v>11400</v>
      </c>
      <c r="M44" s="145" t="s">
        <v>1614</v>
      </c>
      <c r="N44" s="145" t="s">
        <v>1614</v>
      </c>
      <c r="O44" s="145" t="str">
        <f t="shared" si="0"/>
        <v>Termination</v>
      </c>
      <c r="P44" s="145" t="s">
        <v>338</v>
      </c>
      <c r="Q44" s="145" t="s">
        <v>338</v>
      </c>
      <c r="R44" s="145" t="s">
        <v>1616</v>
      </c>
      <c r="S44" s="145" t="s">
        <v>1341</v>
      </c>
      <c r="T44" s="145" t="s">
        <v>1617</v>
      </c>
    </row>
    <row r="45" spans="1:20">
      <c r="A45" s="145" t="s">
        <v>1740</v>
      </c>
      <c r="B45" s="145" t="s">
        <v>1611</v>
      </c>
      <c r="C45" s="145" t="s">
        <v>1741</v>
      </c>
      <c r="D45" s="145" t="s">
        <v>1742</v>
      </c>
      <c r="E45" s="145">
        <v>11</v>
      </c>
      <c r="F45" s="145" t="s">
        <v>490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1613</v>
      </c>
      <c r="J45" s="212">
        <v>900</v>
      </c>
      <c r="K45" s="145" t="s">
        <v>595</v>
      </c>
      <c r="L45" s="212">
        <v>10800</v>
      </c>
      <c r="M45" s="145" t="s">
        <v>1614</v>
      </c>
      <c r="N45" s="145" t="s">
        <v>1614</v>
      </c>
      <c r="O45" s="145" t="str">
        <f t="shared" si="0"/>
        <v>Termination</v>
      </c>
      <c r="P45" s="145" t="s">
        <v>1624</v>
      </c>
      <c r="Q45" s="145" t="s">
        <v>338</v>
      </c>
      <c r="R45" s="145" t="s">
        <v>1616</v>
      </c>
      <c r="S45" s="145" t="s">
        <v>1341</v>
      </c>
      <c r="T45" s="145" t="s">
        <v>1617</v>
      </c>
    </row>
    <row r="46" spans="1:20">
      <c r="A46" s="145" t="s">
        <v>1646</v>
      </c>
      <c r="B46" s="145" t="s">
        <v>1611</v>
      </c>
      <c r="C46" s="145" t="s">
        <v>1647</v>
      </c>
      <c r="D46" s="145" t="s">
        <v>1648</v>
      </c>
      <c r="E46" s="145">
        <v>9</v>
      </c>
      <c r="F46" s="145" t="s">
        <v>1346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1613</v>
      </c>
      <c r="J46" s="212">
        <v>950</v>
      </c>
      <c r="K46" s="145" t="s">
        <v>595</v>
      </c>
      <c r="L46" s="212">
        <v>11400</v>
      </c>
      <c r="M46" s="145" t="s">
        <v>338</v>
      </c>
      <c r="N46" s="145" t="s">
        <v>1531</v>
      </c>
      <c r="O46" s="145" t="s">
        <v>1531</v>
      </c>
      <c r="P46" s="145" t="s">
        <v>338</v>
      </c>
      <c r="Q46" s="145" t="s">
        <v>338</v>
      </c>
      <c r="R46" s="145" t="s">
        <v>1616</v>
      </c>
      <c r="S46" s="145" t="s">
        <v>1341</v>
      </c>
      <c r="T46" s="145" t="s">
        <v>1617</v>
      </c>
    </row>
    <row r="47" spans="1:20">
      <c r="A47" s="145" t="s">
        <v>1729</v>
      </c>
      <c r="B47" s="145" t="s">
        <v>1611</v>
      </c>
      <c r="C47" s="145" t="s">
        <v>1430</v>
      </c>
      <c r="D47" s="145" t="s">
        <v>1730</v>
      </c>
      <c r="E47" s="145">
        <v>9</v>
      </c>
      <c r="F47" s="145" t="s">
        <v>1346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1613</v>
      </c>
      <c r="J47" s="212">
        <v>950</v>
      </c>
      <c r="K47" s="145" t="s">
        <v>595</v>
      </c>
      <c r="L47" s="212">
        <v>11400</v>
      </c>
      <c r="M47" s="145" t="s">
        <v>1614</v>
      </c>
      <c r="N47" s="145" t="s">
        <v>1614</v>
      </c>
      <c r="O47" s="145" t="str">
        <f t="shared" si="0"/>
        <v>Termination</v>
      </c>
      <c r="P47" s="145" t="s">
        <v>1624</v>
      </c>
      <c r="Q47" s="145" t="s">
        <v>338</v>
      </c>
      <c r="R47" s="145" t="s">
        <v>1616</v>
      </c>
      <c r="S47" s="145" t="s">
        <v>1341</v>
      </c>
      <c r="T47" s="145" t="s">
        <v>1617</v>
      </c>
    </row>
    <row r="48" spans="1:20">
      <c r="A48" s="145" t="s">
        <v>1654</v>
      </c>
      <c r="B48" s="145" t="s">
        <v>19</v>
      </c>
      <c r="C48" s="145" t="s">
        <v>1655</v>
      </c>
      <c r="D48" s="145" t="s">
        <v>1656</v>
      </c>
      <c r="E48" s="145">
        <v>6</v>
      </c>
      <c r="F48" s="145" t="s">
        <v>1470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1613</v>
      </c>
      <c r="J48" s="212">
        <v>1300</v>
      </c>
      <c r="K48" s="145" t="s">
        <v>595</v>
      </c>
      <c r="L48" s="212">
        <v>15600</v>
      </c>
      <c r="M48" s="145" t="s">
        <v>1618</v>
      </c>
      <c r="N48" s="145" t="s">
        <v>1618</v>
      </c>
      <c r="O48" s="145" t="str">
        <f t="shared" si="0"/>
        <v>Resignation</v>
      </c>
      <c r="P48" s="145" t="s">
        <v>1619</v>
      </c>
      <c r="Q48" s="145" t="s">
        <v>1620</v>
      </c>
      <c r="R48" s="145" t="s">
        <v>1616</v>
      </c>
      <c r="S48" s="145" t="s">
        <v>1341</v>
      </c>
      <c r="T48" s="145" t="s">
        <v>1617</v>
      </c>
    </row>
    <row r="49" spans="1:20">
      <c r="A49" s="145" t="s">
        <v>1610</v>
      </c>
      <c r="B49" s="145" t="s">
        <v>1611</v>
      </c>
      <c r="C49" s="145" t="s">
        <v>1349</v>
      </c>
      <c r="D49" s="145" t="s">
        <v>1612</v>
      </c>
      <c r="E49" s="145">
        <v>4</v>
      </c>
      <c r="F49" s="145" t="s">
        <v>1346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1613</v>
      </c>
      <c r="J49" s="212">
        <v>950</v>
      </c>
      <c r="K49" s="145" t="s">
        <v>595</v>
      </c>
      <c r="L49" s="212">
        <v>11400</v>
      </c>
      <c r="M49" s="145" t="s">
        <v>1614</v>
      </c>
      <c r="N49" s="145" t="s">
        <v>1614</v>
      </c>
      <c r="O49" s="145" t="str">
        <f t="shared" si="0"/>
        <v>Termination</v>
      </c>
      <c r="P49" s="145" t="s">
        <v>1615</v>
      </c>
      <c r="Q49" s="145" t="s">
        <v>338</v>
      </c>
      <c r="R49" s="145" t="s">
        <v>1616</v>
      </c>
      <c r="S49" s="145" t="s">
        <v>1341</v>
      </c>
      <c r="T49" s="145" t="s">
        <v>1617</v>
      </c>
    </row>
    <row r="50" spans="1:20">
      <c r="A50" s="145" t="s">
        <v>1757</v>
      </c>
      <c r="B50" s="145" t="s">
        <v>1611</v>
      </c>
      <c r="C50" s="145" t="s">
        <v>1758</v>
      </c>
      <c r="D50" s="145" t="s">
        <v>1759</v>
      </c>
      <c r="E50" s="145">
        <v>3</v>
      </c>
      <c r="F50" s="145" t="s">
        <v>490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1613</v>
      </c>
      <c r="J50" s="212">
        <v>900</v>
      </c>
      <c r="K50" s="145" t="s">
        <v>595</v>
      </c>
      <c r="L50" s="212">
        <v>10800</v>
      </c>
      <c r="M50" s="145" t="s">
        <v>1614</v>
      </c>
      <c r="N50" s="145" t="s">
        <v>1614</v>
      </c>
      <c r="O50" s="145" t="str">
        <f t="shared" si="0"/>
        <v>Termination</v>
      </c>
      <c r="P50" s="145" t="s">
        <v>1619</v>
      </c>
      <c r="Q50" s="145" t="s">
        <v>338</v>
      </c>
      <c r="R50" s="145" t="s">
        <v>1616</v>
      </c>
      <c r="S50" s="145" t="s">
        <v>1341</v>
      </c>
      <c r="T50" s="145" t="s">
        <v>1617</v>
      </c>
    </row>
    <row r="51" spans="1:20">
      <c r="A51" s="145" t="s">
        <v>1733</v>
      </c>
      <c r="B51" s="145" t="s">
        <v>1611</v>
      </c>
      <c r="C51" s="145" t="s">
        <v>1443</v>
      </c>
      <c r="D51" s="145" t="s">
        <v>1734</v>
      </c>
      <c r="E51" s="145">
        <v>2</v>
      </c>
      <c r="F51" s="145" t="s">
        <v>490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1613</v>
      </c>
      <c r="J51" s="212">
        <v>900</v>
      </c>
      <c r="K51" s="145" t="s">
        <v>595</v>
      </c>
      <c r="L51" s="212">
        <v>10800</v>
      </c>
      <c r="M51" s="145" t="s">
        <v>1614</v>
      </c>
      <c r="N51" s="145" t="s">
        <v>1614</v>
      </c>
      <c r="O51" s="145" t="str">
        <f t="shared" si="0"/>
        <v>Termination</v>
      </c>
      <c r="P51" s="145" t="s">
        <v>1615</v>
      </c>
      <c r="Q51" s="145" t="s">
        <v>338</v>
      </c>
      <c r="R51" s="145" t="s">
        <v>1616</v>
      </c>
      <c r="S51" s="145" t="s">
        <v>1341</v>
      </c>
      <c r="T51" s="145" t="s">
        <v>1617</v>
      </c>
    </row>
    <row r="52" spans="1:20">
      <c r="A52" s="145" t="s">
        <v>1667</v>
      </c>
      <c r="B52" s="145" t="s">
        <v>1611</v>
      </c>
      <c r="C52" s="145" t="s">
        <v>1387</v>
      </c>
      <c r="D52" s="145" t="s">
        <v>1387</v>
      </c>
      <c r="E52" s="145">
        <v>0</v>
      </c>
      <c r="F52" s="145" t="s">
        <v>1346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1613</v>
      </c>
      <c r="J52" s="212">
        <v>950</v>
      </c>
      <c r="K52" s="145" t="s">
        <v>595</v>
      </c>
      <c r="L52" s="212">
        <v>11400</v>
      </c>
      <c r="M52" s="145" t="s">
        <v>1614</v>
      </c>
      <c r="N52" s="145" t="s">
        <v>1614</v>
      </c>
      <c r="O52" s="145" t="str">
        <f t="shared" si="0"/>
        <v>Termination</v>
      </c>
      <c r="P52" s="145" t="s">
        <v>338</v>
      </c>
      <c r="Q52" s="145" t="s">
        <v>338</v>
      </c>
      <c r="R52" s="145" t="s">
        <v>1616</v>
      </c>
      <c r="S52" s="145" t="s">
        <v>1341</v>
      </c>
      <c r="T52" s="145" t="s">
        <v>1617</v>
      </c>
    </row>
    <row r="53" spans="1:20">
      <c r="J53" s="212"/>
      <c r="L53" s="212"/>
    </row>
    <row r="54" spans="1:20">
      <c r="J54" s="212"/>
      <c r="L54" s="212"/>
    </row>
    <row r="55" spans="1:20">
      <c r="J55" s="212"/>
      <c r="L55" s="212"/>
    </row>
    <row r="56" spans="1:20">
      <c r="A56" s="145" t="s">
        <v>1640</v>
      </c>
      <c r="B56" s="145" t="s">
        <v>1611</v>
      </c>
      <c r="C56" s="145" t="s">
        <v>1360</v>
      </c>
      <c r="D56" s="301"/>
      <c r="E56" s="145">
        <v>-3</v>
      </c>
      <c r="F56" s="145" t="s">
        <v>1346</v>
      </c>
      <c r="I56" s="145" t="s">
        <v>1613</v>
      </c>
      <c r="J56" s="212">
        <v>950</v>
      </c>
      <c r="K56" s="145" t="s">
        <v>595</v>
      </c>
      <c r="L56" s="212">
        <v>11400</v>
      </c>
      <c r="M56" s="301" t="s">
        <v>1800</v>
      </c>
      <c r="N56" s="301"/>
      <c r="O56" s="301"/>
      <c r="P56" s="145" t="s">
        <v>338</v>
      </c>
      <c r="Q56" s="145" t="s">
        <v>338</v>
      </c>
      <c r="R56" s="145" t="s">
        <v>1641</v>
      </c>
      <c r="S56" s="145" t="s">
        <v>1341</v>
      </c>
      <c r="T56" s="145" t="s">
        <v>1617</v>
      </c>
    </row>
    <row r="57" spans="1:20">
      <c r="A57" s="145" t="s">
        <v>1689</v>
      </c>
      <c r="B57" s="145" t="s">
        <v>483</v>
      </c>
      <c r="C57" s="145" t="s">
        <v>1690</v>
      </c>
      <c r="D57" s="301"/>
      <c r="E57" s="145">
        <v>-260</v>
      </c>
      <c r="F57" s="145" t="s">
        <v>1691</v>
      </c>
      <c r="I57" s="145" t="s">
        <v>1613</v>
      </c>
      <c r="J57" s="212">
        <v>900</v>
      </c>
      <c r="K57" s="145" t="s">
        <v>595</v>
      </c>
      <c r="L57" s="212">
        <v>10800</v>
      </c>
      <c r="M57" s="301" t="s">
        <v>1800</v>
      </c>
      <c r="N57" s="301"/>
      <c r="O57" s="301"/>
      <c r="P57" s="145" t="s">
        <v>1624</v>
      </c>
      <c r="Q57" s="145" t="s">
        <v>338</v>
      </c>
      <c r="R57" s="145" t="s">
        <v>1641</v>
      </c>
      <c r="S57" s="145" t="s">
        <v>1341</v>
      </c>
      <c r="T57" s="145" t="s">
        <v>1625</v>
      </c>
    </row>
    <row r="60" spans="1:20">
      <c r="B60" s="300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2" customWidth="1"/>
    <col min="2" max="2" width="40.140625" style="302" bestFit="1" customWidth="1"/>
    <col min="3" max="3" width="18.7109375" style="302" bestFit="1" customWidth="1"/>
    <col min="4" max="4" width="23.42578125" style="302" bestFit="1" customWidth="1"/>
    <col min="5" max="16384" width="9.140625" style="302"/>
  </cols>
  <sheetData>
    <row r="2" spans="2:8" ht="16.5">
      <c r="B2" s="37" t="str">
        <f>+'Employee Overview'!B2</f>
        <v>Keystone Bookkeepers</v>
      </c>
    </row>
    <row r="3" spans="2:8">
      <c r="B3" s="38" t="s">
        <v>1801</v>
      </c>
      <c r="C3" s="303"/>
      <c r="D3" s="303"/>
      <c r="E3" s="303"/>
      <c r="F3" s="303"/>
      <c r="G3" s="303"/>
      <c r="H3" s="303"/>
    </row>
    <row r="5" spans="2:8">
      <c r="B5" s="283" t="s">
        <v>1330</v>
      </c>
      <c r="C5" s="283" t="s">
        <v>1506</v>
      </c>
      <c r="D5" s="283" t="s">
        <v>1515</v>
      </c>
    </row>
    <row r="6" spans="2:8">
      <c r="B6" s="224" t="s">
        <v>1346</v>
      </c>
      <c r="C6" s="224" t="s">
        <v>490</v>
      </c>
      <c r="D6" s="224" t="s">
        <v>34</v>
      </c>
    </row>
    <row r="7" spans="2:8">
      <c r="B7" s="224" t="s">
        <v>491</v>
      </c>
      <c r="C7" s="224" t="s">
        <v>491</v>
      </c>
      <c r="D7" s="224" t="s">
        <v>35</v>
      </c>
    </row>
    <row r="8" spans="2:8">
      <c r="B8" s="224" t="s">
        <v>1407</v>
      </c>
      <c r="C8" s="224" t="s">
        <v>490</v>
      </c>
      <c r="D8" s="224" t="s">
        <v>34</v>
      </c>
    </row>
    <row r="9" spans="2:8">
      <c r="B9" s="224" t="s">
        <v>1477</v>
      </c>
      <c r="C9" s="224" t="s">
        <v>491</v>
      </c>
      <c r="D9" s="224" t="s">
        <v>38</v>
      </c>
    </row>
    <row r="10" spans="2:8">
      <c r="B10" s="224" t="s">
        <v>1500</v>
      </c>
      <c r="C10" s="224" t="s">
        <v>1500</v>
      </c>
      <c r="D10" s="224" t="s">
        <v>80</v>
      </c>
    </row>
    <row r="11" spans="2:8">
      <c r="B11" s="224" t="s">
        <v>1405</v>
      </c>
      <c r="C11" s="224" t="s">
        <v>1508</v>
      </c>
      <c r="D11" s="224" t="s">
        <v>36</v>
      </c>
    </row>
    <row r="12" spans="2:8">
      <c r="B12" s="224" t="s">
        <v>1491</v>
      </c>
      <c r="C12" s="224" t="s">
        <v>1507</v>
      </c>
      <c r="D12" s="224" t="s">
        <v>63</v>
      </c>
    </row>
    <row r="13" spans="2:8">
      <c r="B13" s="224" t="s">
        <v>1367</v>
      </c>
      <c r="C13" s="224" t="s">
        <v>493</v>
      </c>
      <c r="D13" s="224" t="s">
        <v>63</v>
      </c>
    </row>
    <row r="14" spans="2:8">
      <c r="B14" s="224" t="s">
        <v>1464</v>
      </c>
      <c r="C14" s="224" t="s">
        <v>493</v>
      </c>
      <c r="D14" s="224" t="s">
        <v>63</v>
      </c>
    </row>
    <row r="15" spans="2:8">
      <c r="B15" s="224" t="s">
        <v>490</v>
      </c>
      <c r="C15" s="224" t="s">
        <v>490</v>
      </c>
      <c r="D15" s="224" t="s">
        <v>34</v>
      </c>
    </row>
    <row r="16" spans="2:8">
      <c r="B16" s="224" t="s">
        <v>1413</v>
      </c>
      <c r="C16" s="224" t="s">
        <v>81</v>
      </c>
      <c r="D16" s="224" t="s">
        <v>87</v>
      </c>
    </row>
    <row r="17" spans="2:4">
      <c r="B17" s="224" t="s">
        <v>1361</v>
      </c>
      <c r="C17" s="224" t="s">
        <v>1361</v>
      </c>
      <c r="D17" s="224" t="s">
        <v>63</v>
      </c>
    </row>
    <row r="18" spans="2:4">
      <c r="B18" s="224" t="s">
        <v>1470</v>
      </c>
      <c r="C18" s="224" t="s">
        <v>1509</v>
      </c>
      <c r="D18" s="224" t="s">
        <v>37</v>
      </c>
    </row>
    <row r="19" spans="2:4">
      <c r="B19" s="224" t="s">
        <v>1498</v>
      </c>
      <c r="C19" s="224" t="s">
        <v>1507</v>
      </c>
      <c r="D19" s="224" t="s">
        <v>63</v>
      </c>
    </row>
    <row r="20" spans="2:4">
      <c r="B20" s="224" t="s">
        <v>1496</v>
      </c>
      <c r="C20" s="224" t="s">
        <v>1507</v>
      </c>
      <c r="D20" s="224" t="s">
        <v>63</v>
      </c>
    </row>
    <row r="21" spans="2:4">
      <c r="B21" s="224" t="s">
        <v>1340</v>
      </c>
      <c r="C21" s="224" t="s">
        <v>1508</v>
      </c>
      <c r="D21" s="224" t="s">
        <v>36</v>
      </c>
    </row>
    <row r="22" spans="2:4" s="224" customFormat="1">
      <c r="B22" s="224" t="s">
        <v>1371</v>
      </c>
      <c r="C22" s="224" t="s">
        <v>1509</v>
      </c>
      <c r="D22" s="224" t="s">
        <v>37</v>
      </c>
    </row>
    <row r="23" spans="2:4" s="224" customFormat="1">
      <c r="B23" s="224" t="s">
        <v>1482</v>
      </c>
      <c r="C23" s="224" t="s">
        <v>493</v>
      </c>
      <c r="D23" s="224" t="s">
        <v>63</v>
      </c>
    </row>
    <row r="24" spans="2:4" s="224" customFormat="1">
      <c r="B24" s="224" t="s">
        <v>1410</v>
      </c>
      <c r="C24" s="224" t="s">
        <v>1508</v>
      </c>
      <c r="D24" s="224" t="s">
        <v>36</v>
      </c>
    </row>
    <row r="25" spans="2:4" s="224" customFormat="1">
      <c r="B25" s="224" t="s">
        <v>1444</v>
      </c>
      <c r="C25" s="224" t="s">
        <v>81</v>
      </c>
      <c r="D25" s="224" t="s">
        <v>87</v>
      </c>
    </row>
    <row r="26" spans="2:4" s="224" customFormat="1">
      <c r="B26" s="224" t="s">
        <v>1398</v>
      </c>
      <c r="C26" s="224" t="s">
        <v>1510</v>
      </c>
      <c r="D26" s="224" t="s">
        <v>37</v>
      </c>
    </row>
    <row r="27" spans="2:4" s="224" customFormat="1">
      <c r="B27" s="224" t="s">
        <v>1427</v>
      </c>
      <c r="C27" s="224" t="s">
        <v>1510</v>
      </c>
      <c r="D27" s="224" t="s">
        <v>37</v>
      </c>
    </row>
    <row r="28" spans="2:4" s="224" customFormat="1">
      <c r="B28" s="224" t="s">
        <v>1447</v>
      </c>
      <c r="C28" s="224" t="s">
        <v>493</v>
      </c>
      <c r="D28" s="224" t="s">
        <v>63</v>
      </c>
    </row>
    <row r="29" spans="2:4" s="224" customFormat="1">
      <c r="B29" s="224" t="s">
        <v>1765</v>
      </c>
      <c r="C29" s="224" t="s">
        <v>1509</v>
      </c>
      <c r="D29" s="224" t="s">
        <v>37</v>
      </c>
    </row>
    <row r="30" spans="2:4" s="224" customFormat="1">
      <c r="B30" s="224" t="s">
        <v>1698</v>
      </c>
      <c r="C30" s="224" t="s">
        <v>1508</v>
      </c>
      <c r="D30" s="224" t="s">
        <v>36</v>
      </c>
    </row>
    <row r="31" spans="2:4" s="224" customFormat="1">
      <c r="B31" s="224" t="s">
        <v>1628</v>
      </c>
      <c r="C31" s="224" t="s">
        <v>490</v>
      </c>
      <c r="D31" s="224" t="s">
        <v>34</v>
      </c>
    </row>
    <row r="32" spans="2:4" s="224" customFormat="1">
      <c r="B32" s="224" t="s">
        <v>1756</v>
      </c>
      <c r="C32" s="224" t="s">
        <v>1507</v>
      </c>
      <c r="D32" s="224" t="s">
        <v>63</v>
      </c>
    </row>
    <row r="33" spans="2:4" s="224" customFormat="1">
      <c r="B33" s="224" t="s">
        <v>1676</v>
      </c>
      <c r="C33" s="224" t="s">
        <v>493</v>
      </c>
      <c r="D33" s="224" t="s">
        <v>63</v>
      </c>
    </row>
    <row r="34" spans="2:4" s="224" customFormat="1">
      <c r="B34" s="224" t="s">
        <v>1691</v>
      </c>
      <c r="C34" s="224" t="s">
        <v>1508</v>
      </c>
      <c r="D34" s="224" t="s">
        <v>36</v>
      </c>
    </row>
    <row r="35" spans="2:4" s="224" customFormat="1"/>
    <row r="36" spans="2:4" s="224" customFormat="1"/>
    <row r="37" spans="2:4" s="224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1766</v>
      </c>
    </row>
    <row r="2" spans="1:3">
      <c r="A2" s="145" t="s">
        <v>1767</v>
      </c>
      <c r="B2" s="145">
        <v>70</v>
      </c>
    </row>
    <row r="3" spans="1:3">
      <c r="A3" s="145" t="s">
        <v>1768</v>
      </c>
      <c r="B3" s="145">
        <v>55</v>
      </c>
    </row>
    <row r="4" spans="1:3">
      <c r="A4" s="145" t="s">
        <v>1769</v>
      </c>
      <c r="B4" s="145">
        <v>15</v>
      </c>
    </row>
    <row r="5" spans="1:3">
      <c r="A5" s="145" t="s">
        <v>1770</v>
      </c>
      <c r="B5" s="145" t="s">
        <v>1455</v>
      </c>
    </row>
    <row r="6" spans="1:3">
      <c r="A6" s="145" t="s">
        <v>1771</v>
      </c>
      <c r="B6" s="145" t="s">
        <v>1612</v>
      </c>
    </row>
    <row r="8" spans="1:3">
      <c r="A8" s="145" t="s">
        <v>1772</v>
      </c>
      <c r="B8" s="145" t="s">
        <v>1064</v>
      </c>
      <c r="C8" s="145" t="s">
        <v>1773</v>
      </c>
    </row>
    <row r="9" spans="1:3">
      <c r="A9" s="145" t="s">
        <v>490</v>
      </c>
      <c r="B9" s="145">
        <v>17</v>
      </c>
      <c r="C9" s="170">
        <v>0.24285714285714285</v>
      </c>
    </row>
    <row r="10" spans="1:3">
      <c r="A10" s="145" t="s">
        <v>1346</v>
      </c>
      <c r="B10" s="145">
        <v>11</v>
      </c>
      <c r="C10" s="170">
        <v>0.15714285714285714</v>
      </c>
    </row>
    <row r="11" spans="1:3">
      <c r="A11" s="145" t="s">
        <v>491</v>
      </c>
      <c r="B11" s="145">
        <v>10</v>
      </c>
      <c r="C11" s="170">
        <v>0.14285714285714285</v>
      </c>
    </row>
    <row r="12" spans="1:3">
      <c r="A12" s="145" t="s">
        <v>1398</v>
      </c>
      <c r="B12" s="145">
        <v>6</v>
      </c>
      <c r="C12" s="170">
        <v>8.5714285714285715E-2</v>
      </c>
    </row>
    <row r="13" spans="1:3">
      <c r="A13" s="145" t="s">
        <v>1774</v>
      </c>
      <c r="B13" s="145">
        <v>5</v>
      </c>
      <c r="C13" s="170">
        <v>7.1428571428571425E-2</v>
      </c>
    </row>
    <row r="14" spans="1:3">
      <c r="A14" s="145" t="s">
        <v>1361</v>
      </c>
      <c r="B14" s="145">
        <v>4</v>
      </c>
      <c r="C14" s="170">
        <v>5.7142857142857141E-2</v>
      </c>
    </row>
    <row r="15" spans="1:3">
      <c r="A15" s="145" t="s">
        <v>1691</v>
      </c>
      <c r="B15" s="145">
        <v>3</v>
      </c>
      <c r="C15" s="170">
        <v>4.2857142857142858E-2</v>
      </c>
    </row>
    <row r="16" spans="1:3">
      <c r="A16" s="145" t="s">
        <v>1371</v>
      </c>
      <c r="B16" s="145">
        <v>3</v>
      </c>
      <c r="C16" s="170">
        <v>4.2857142857142858E-2</v>
      </c>
    </row>
    <row r="17" spans="1:3">
      <c r="A17" s="145" t="s">
        <v>1628</v>
      </c>
      <c r="B17" s="145">
        <v>2</v>
      </c>
      <c r="C17" s="170">
        <v>2.8571428571428571E-2</v>
      </c>
    </row>
    <row r="18" spans="1:3">
      <c r="A18" s="145" t="s">
        <v>1407</v>
      </c>
      <c r="B18" s="145">
        <v>2</v>
      </c>
      <c r="C18" s="170">
        <v>2.8571428571428571E-2</v>
      </c>
    </row>
    <row r="19" spans="1:3">
      <c r="A19" s="145" t="s">
        <v>1470</v>
      </c>
      <c r="B19" s="145">
        <v>2</v>
      </c>
      <c r="C19" s="170">
        <v>2.8571428571428571E-2</v>
      </c>
    </row>
    <row r="20" spans="1:3">
      <c r="A20" s="145" t="s">
        <v>1340</v>
      </c>
      <c r="B20" s="145">
        <v>1</v>
      </c>
      <c r="C20" s="170">
        <v>1.4285714285714285E-2</v>
      </c>
    </row>
    <row r="21" spans="1:3">
      <c r="A21" s="145" t="s">
        <v>1676</v>
      </c>
      <c r="B21" s="145">
        <v>1</v>
      </c>
      <c r="C21" s="170">
        <v>1.4285714285714285E-2</v>
      </c>
    </row>
    <row r="22" spans="1:3">
      <c r="A22" s="145" t="s">
        <v>1698</v>
      </c>
      <c r="B22" s="145">
        <v>1</v>
      </c>
      <c r="C22" s="170">
        <v>1.4285714285714285E-2</v>
      </c>
    </row>
    <row r="23" spans="1:3">
      <c r="A23" s="145" t="s">
        <v>1756</v>
      </c>
      <c r="B23" s="145">
        <v>1</v>
      </c>
      <c r="C23" s="170">
        <v>1.4285714285714285E-2</v>
      </c>
    </row>
    <row r="24" spans="1:3">
      <c r="A24" s="145" t="s">
        <v>1765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1775</v>
      </c>
      <c r="B27" s="145" t="s">
        <v>1064</v>
      </c>
      <c r="C27" s="145" t="s">
        <v>1773</v>
      </c>
    </row>
    <row r="28" spans="1:3">
      <c r="A28" s="145" t="s">
        <v>1613</v>
      </c>
      <c r="B28" s="145">
        <v>64</v>
      </c>
      <c r="C28" s="170">
        <v>0.91428571428571426</v>
      </c>
    </row>
    <row r="29" spans="1:3">
      <c r="A29" s="145" t="s">
        <v>1632</v>
      </c>
      <c r="B29" s="145">
        <v>5</v>
      </c>
      <c r="C29" s="170">
        <v>7.1428571428571425E-2</v>
      </c>
    </row>
    <row r="30" spans="1:3">
      <c r="A30" s="145" t="s">
        <v>1776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1777</v>
      </c>
      <c r="B33" s="145" t="s">
        <v>1064</v>
      </c>
      <c r="C33" s="145" t="s">
        <v>1773</v>
      </c>
    </row>
    <row r="34" spans="1:3">
      <c r="A34" s="145" t="s">
        <v>1614</v>
      </c>
      <c r="B34" s="145">
        <v>27</v>
      </c>
      <c r="C34" s="170">
        <v>0.49090909090909091</v>
      </c>
    </row>
    <row r="35" spans="1:3">
      <c r="A35" s="145" t="s">
        <v>1618</v>
      </c>
      <c r="B35" s="145">
        <v>22</v>
      </c>
      <c r="C35" s="170">
        <v>0.4</v>
      </c>
    </row>
    <row r="36" spans="1:3">
      <c r="A36" s="145" t="s">
        <v>1776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1778</v>
      </c>
      <c r="B39" s="145" t="s">
        <v>1064</v>
      </c>
      <c r="C39" s="145" t="s">
        <v>1773</v>
      </c>
    </row>
    <row r="40" spans="1:3">
      <c r="A40" s="145" t="s">
        <v>1624</v>
      </c>
      <c r="B40" s="145">
        <v>22</v>
      </c>
      <c r="C40" s="170">
        <v>0.4</v>
      </c>
    </row>
    <row r="41" spans="1:3">
      <c r="A41" s="145" t="s">
        <v>1619</v>
      </c>
      <c r="B41" s="145">
        <v>18</v>
      </c>
      <c r="C41" s="170">
        <v>0.32727272727272727</v>
      </c>
    </row>
    <row r="42" spans="1:3">
      <c r="A42" s="145" t="s">
        <v>1776</v>
      </c>
      <c r="B42" s="145">
        <v>7</v>
      </c>
      <c r="C42" s="170">
        <v>0.12727272727272726</v>
      </c>
    </row>
    <row r="43" spans="1:3">
      <c r="A43" s="145" t="s">
        <v>1634</v>
      </c>
      <c r="B43" s="145">
        <v>5</v>
      </c>
      <c r="C43" s="170">
        <v>9.0909090909090912E-2</v>
      </c>
    </row>
    <row r="44" spans="1:3">
      <c r="A44" s="145" t="s">
        <v>1615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1779</v>
      </c>
      <c r="B47" s="145" t="s">
        <v>1064</v>
      </c>
      <c r="C47" s="145" t="s">
        <v>1773</v>
      </c>
    </row>
    <row r="48" spans="1:3">
      <c r="A48" s="145" t="s">
        <v>1780</v>
      </c>
      <c r="B48" s="145">
        <v>34</v>
      </c>
      <c r="C48" s="170">
        <v>0.48571428571428571</v>
      </c>
    </row>
    <row r="49" spans="1:3">
      <c r="A49" s="145" t="s">
        <v>1776</v>
      </c>
      <c r="B49" s="145">
        <v>17</v>
      </c>
      <c r="C49" s="170">
        <v>0.24285714285714285</v>
      </c>
    </row>
    <row r="50" spans="1:3">
      <c r="A50" s="145" t="s">
        <v>1781</v>
      </c>
      <c r="B50" s="145">
        <v>9</v>
      </c>
      <c r="C50" s="170">
        <v>0.12857142857142856</v>
      </c>
    </row>
    <row r="51" spans="1:3">
      <c r="A51" s="145" t="s">
        <v>1782</v>
      </c>
      <c r="B51" s="145">
        <v>9</v>
      </c>
      <c r="C51" s="170">
        <v>0.12857142857142856</v>
      </c>
    </row>
    <row r="52" spans="1:3">
      <c r="A52" s="145" t="s">
        <v>1783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1784</v>
      </c>
      <c r="B55" s="145" t="s">
        <v>1785</v>
      </c>
      <c r="C55" s="145" t="s">
        <v>338</v>
      </c>
    </row>
    <row r="56" spans="1:3">
      <c r="A56" s="145" t="s">
        <v>1786</v>
      </c>
      <c r="B56" s="145">
        <v>38</v>
      </c>
      <c r="C56" s="145" t="s">
        <v>338</v>
      </c>
    </row>
    <row r="58" spans="1:3">
      <c r="A58" s="145" t="s">
        <v>1787</v>
      </c>
      <c r="B58" s="145" t="s">
        <v>1064</v>
      </c>
      <c r="C58" s="145" t="s">
        <v>1773</v>
      </c>
    </row>
    <row r="59" spans="1:3">
      <c r="A59" s="145" t="s">
        <v>1619</v>
      </c>
      <c r="B59" s="145">
        <v>13</v>
      </c>
      <c r="C59" s="170">
        <v>0.34210526315789475</v>
      </c>
    </row>
    <row r="60" spans="1:3">
      <c r="A60" s="145" t="s">
        <v>1624</v>
      </c>
      <c r="B60" s="145">
        <v>12</v>
      </c>
      <c r="C60" s="170">
        <v>0.31578947368421051</v>
      </c>
    </row>
    <row r="61" spans="1:3">
      <c r="A61" s="145" t="s">
        <v>1776</v>
      </c>
      <c r="B61" s="145">
        <v>6</v>
      </c>
      <c r="C61" s="170">
        <v>0.15789473684210525</v>
      </c>
    </row>
    <row r="62" spans="1:3">
      <c r="A62" s="145" t="s">
        <v>1634</v>
      </c>
      <c r="B62" s="145">
        <v>5</v>
      </c>
      <c r="C62" s="170">
        <v>0.13157894736842105</v>
      </c>
    </row>
    <row r="63" spans="1:3">
      <c r="A63" s="145" t="s">
        <v>1615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1788</v>
      </c>
    </row>
    <row r="67" spans="1:3">
      <c r="A67" s="145" t="s">
        <v>1789</v>
      </c>
    </row>
    <row r="69" spans="1:3">
      <c r="A69" s="145" t="s">
        <v>1790</v>
      </c>
      <c r="B69" s="145" t="s">
        <v>1064</v>
      </c>
      <c r="C69" s="145" t="s">
        <v>1773</v>
      </c>
    </row>
    <row r="70" spans="1:3">
      <c r="A70" s="145" t="s">
        <v>1621</v>
      </c>
      <c r="B70" s="145">
        <v>19</v>
      </c>
      <c r="C70" s="170">
        <v>0.27142857142857141</v>
      </c>
    </row>
    <row r="71" spans="1:3">
      <c r="A71" s="145" t="s">
        <v>1641</v>
      </c>
      <c r="B71" s="145">
        <v>17</v>
      </c>
      <c r="C71" s="170">
        <v>0.24285714285714285</v>
      </c>
    </row>
    <row r="72" spans="1:3">
      <c r="A72" s="145" t="s">
        <v>1616</v>
      </c>
      <c r="B72" s="145">
        <v>13</v>
      </c>
      <c r="C72" s="170">
        <v>0.18571428571428572</v>
      </c>
    </row>
    <row r="73" spans="1:3">
      <c r="A73" s="145" t="s">
        <v>1629</v>
      </c>
      <c r="B73" s="145">
        <v>10</v>
      </c>
      <c r="C73" s="170">
        <v>0.14285714285714285</v>
      </c>
    </row>
    <row r="74" spans="1:3">
      <c r="A74" s="145" t="s">
        <v>1652</v>
      </c>
      <c r="B74" s="145">
        <v>8</v>
      </c>
      <c r="C74" s="170">
        <v>0.11428571428571428</v>
      </c>
    </row>
    <row r="75" spans="1:3">
      <c r="A75" s="145" t="s">
        <v>1791</v>
      </c>
      <c r="B75" s="145">
        <v>1</v>
      </c>
      <c r="C75" s="170">
        <v>1.4285714285714285E-2</v>
      </c>
    </row>
    <row r="76" spans="1:3">
      <c r="A76" s="145" t="s">
        <v>1709</v>
      </c>
      <c r="B76" s="145">
        <v>1</v>
      </c>
      <c r="C76" s="170">
        <v>1.4285714285714285E-2</v>
      </c>
    </row>
    <row r="77" spans="1:3">
      <c r="A77" s="145" t="s">
        <v>1745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1792</v>
      </c>
      <c r="B80" s="145" t="s">
        <v>338</v>
      </c>
      <c r="C80" s="145" t="s">
        <v>338</v>
      </c>
    </row>
    <row r="81" spans="1:3">
      <c r="A81" s="145" t="s">
        <v>1793</v>
      </c>
      <c r="B81" s="145">
        <v>38</v>
      </c>
      <c r="C81" s="145" t="s">
        <v>338</v>
      </c>
    </row>
    <row r="82" spans="1:3">
      <c r="A82" s="145" t="s">
        <v>1794</v>
      </c>
      <c r="B82" s="145">
        <v>-1</v>
      </c>
      <c r="C82" s="145" t="s">
        <v>338</v>
      </c>
    </row>
    <row r="83" spans="1:3">
      <c r="A83" s="145" t="s">
        <v>1795</v>
      </c>
      <c r="B83" s="145">
        <v>0</v>
      </c>
      <c r="C83" s="145" t="s">
        <v>338</v>
      </c>
    </row>
    <row r="84" spans="1:3">
      <c r="A84" s="145" t="s">
        <v>1796</v>
      </c>
      <c r="B84" s="145">
        <v>37</v>
      </c>
      <c r="C84" s="145" t="s">
        <v>338</v>
      </c>
    </row>
    <row r="86" spans="1:3">
      <c r="A86" s="145" t="s">
        <v>1797</v>
      </c>
      <c r="B86" s="145" t="s">
        <v>338</v>
      </c>
      <c r="C86" s="145" t="s">
        <v>338</v>
      </c>
    </row>
    <row r="87" spans="1:3">
      <c r="A87" s="145" t="s">
        <v>1328</v>
      </c>
      <c r="B87" s="145" t="s">
        <v>1604</v>
      </c>
      <c r="C87" s="145" t="s">
        <v>1059</v>
      </c>
    </row>
    <row r="88" spans="1:3">
      <c r="A88" s="145" t="s">
        <v>1754</v>
      </c>
      <c r="B88" s="145" t="s">
        <v>1756</v>
      </c>
      <c r="C88" s="170">
        <v>130000</v>
      </c>
    </row>
    <row r="89" spans="1:3">
      <c r="A89" s="145" t="s">
        <v>1704</v>
      </c>
      <c r="B89" s="145" t="s">
        <v>1361</v>
      </c>
      <c r="C89" s="170">
        <v>115000</v>
      </c>
    </row>
    <row r="90" spans="1:3">
      <c r="A90" s="145" t="s">
        <v>1743</v>
      </c>
      <c r="B90" s="145" t="s">
        <v>1361</v>
      </c>
      <c r="C90" s="170">
        <v>108000</v>
      </c>
    </row>
    <row r="91" spans="1:3">
      <c r="A91" s="145" t="s">
        <v>1798</v>
      </c>
      <c r="B91" s="145" t="s">
        <v>1361</v>
      </c>
      <c r="C91" s="170">
        <v>100000</v>
      </c>
    </row>
    <row r="92" spans="1:3">
      <c r="A92" s="145" t="s">
        <v>638</v>
      </c>
      <c r="B92" s="145" t="s">
        <v>1361</v>
      </c>
      <c r="C92" s="170">
        <v>88000</v>
      </c>
    </row>
    <row r="94" spans="1:3">
      <c r="A94" s="145" t="s">
        <v>1328</v>
      </c>
      <c r="B94" s="145" t="s">
        <v>1603</v>
      </c>
      <c r="C94" s="145" t="s">
        <v>1799</v>
      </c>
    </row>
    <row r="95" spans="1:3">
      <c r="A95" s="145" t="s">
        <v>1754</v>
      </c>
      <c r="B95" s="145">
        <v>264</v>
      </c>
      <c r="C95" s="145" t="s">
        <v>1621</v>
      </c>
    </row>
    <row r="96" spans="1:3">
      <c r="A96" s="145" t="s">
        <v>1704</v>
      </c>
      <c r="B96" s="145">
        <v>267</v>
      </c>
      <c r="C96" s="145" t="s">
        <v>1621</v>
      </c>
    </row>
    <row r="97" spans="1:3">
      <c r="A97" s="145" t="s">
        <v>1743</v>
      </c>
      <c r="B97" s="145">
        <v>12</v>
      </c>
      <c r="C97" s="145" t="s">
        <v>1745</v>
      </c>
    </row>
    <row r="98" spans="1:3">
      <c r="A98" s="145" t="s">
        <v>1798</v>
      </c>
      <c r="B98" s="145">
        <v>0</v>
      </c>
      <c r="C98" s="145" t="s">
        <v>1791</v>
      </c>
    </row>
    <row r="99" spans="1:3">
      <c r="A99" s="145" t="s">
        <v>638</v>
      </c>
      <c r="B99" s="145">
        <v>1337</v>
      </c>
      <c r="C99" s="145" t="s">
        <v>1629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1328</v>
      </c>
      <c r="B1" t="s">
        <v>1329</v>
      </c>
      <c r="C1" t="s">
        <v>1503</v>
      </c>
      <c r="D1" t="s">
        <v>1330</v>
      </c>
      <c r="E1" t="s">
        <v>1506</v>
      </c>
      <c r="F1" t="s">
        <v>1515</v>
      </c>
      <c r="G1" t="s">
        <v>1331</v>
      </c>
      <c r="H1" t="s">
        <v>116</v>
      </c>
      <c r="I1" t="s">
        <v>1332</v>
      </c>
      <c r="J1" t="s">
        <v>1333</v>
      </c>
      <c r="K1" t="s">
        <v>1334</v>
      </c>
      <c r="L1" t="s">
        <v>1335</v>
      </c>
      <c r="M1" t="s">
        <v>1336</v>
      </c>
      <c r="N1" t="s">
        <v>1337</v>
      </c>
      <c r="O1" t="s">
        <v>1249</v>
      </c>
      <c r="P1" t="s">
        <v>1553</v>
      </c>
    </row>
    <row r="2" spans="1:16">
      <c r="A2" t="s">
        <v>1428</v>
      </c>
      <c r="B2" t="s">
        <v>1429</v>
      </c>
      <c r="C2" t="s">
        <v>497</v>
      </c>
      <c r="D2" t="s">
        <v>1346</v>
      </c>
      <c r="E2" t="s">
        <v>490</v>
      </c>
      <c r="F2" t="s">
        <v>34</v>
      </c>
      <c r="G2" t="s">
        <v>1341</v>
      </c>
      <c r="H2" t="s">
        <v>731</v>
      </c>
      <c r="I2" t="s">
        <v>1389</v>
      </c>
      <c r="J2">
        <v>950</v>
      </c>
      <c r="K2" t="s">
        <v>595</v>
      </c>
      <c r="L2">
        <v>11400</v>
      </c>
      <c r="M2" t="s">
        <v>504</v>
      </c>
      <c r="N2" t="s">
        <v>504</v>
      </c>
      <c r="O2" t="s">
        <v>338</v>
      </c>
      <c r="P2" t="s">
        <v>338</v>
      </c>
    </row>
    <row r="3" spans="1:16">
      <c r="A3" t="s">
        <v>1356</v>
      </c>
      <c r="B3" t="s">
        <v>1493</v>
      </c>
      <c r="C3" t="s">
        <v>497</v>
      </c>
      <c r="D3" t="s">
        <v>491</v>
      </c>
      <c r="E3" t="s">
        <v>491</v>
      </c>
      <c r="F3" t="s">
        <v>35</v>
      </c>
      <c r="G3" t="s">
        <v>1341</v>
      </c>
      <c r="H3" t="s">
        <v>731</v>
      </c>
      <c r="I3" t="s">
        <v>1376</v>
      </c>
      <c r="J3">
        <v>1925</v>
      </c>
      <c r="K3" t="s">
        <v>595</v>
      </c>
      <c r="L3">
        <v>23100</v>
      </c>
      <c r="M3" t="s">
        <v>504</v>
      </c>
      <c r="N3" t="s">
        <v>504</v>
      </c>
      <c r="O3" t="s">
        <v>338</v>
      </c>
      <c r="P3" t="s">
        <v>338</v>
      </c>
    </row>
    <row r="4" spans="1:16">
      <c r="A4" t="s">
        <v>664</v>
      </c>
      <c r="B4" t="s">
        <v>1384</v>
      </c>
      <c r="C4" t="s">
        <v>497</v>
      </c>
      <c r="D4" t="s">
        <v>1346</v>
      </c>
      <c r="E4" t="s">
        <v>490</v>
      </c>
      <c r="F4" t="s">
        <v>34</v>
      </c>
      <c r="G4" t="s">
        <v>1341</v>
      </c>
      <c r="H4" t="s">
        <v>731</v>
      </c>
      <c r="I4" t="s">
        <v>1385</v>
      </c>
      <c r="J4">
        <v>950</v>
      </c>
      <c r="K4" t="s">
        <v>595</v>
      </c>
      <c r="L4">
        <v>11400</v>
      </c>
      <c r="M4" t="s">
        <v>504</v>
      </c>
      <c r="N4" t="s">
        <v>504</v>
      </c>
      <c r="O4" t="s">
        <v>338</v>
      </c>
      <c r="P4" t="s">
        <v>338</v>
      </c>
    </row>
    <row r="5" spans="1:16">
      <c r="A5" t="s">
        <v>543</v>
      </c>
      <c r="B5" t="s">
        <v>1430</v>
      </c>
      <c r="C5" t="s">
        <v>497</v>
      </c>
      <c r="D5" t="s">
        <v>1407</v>
      </c>
      <c r="E5" t="s">
        <v>490</v>
      </c>
      <c r="F5" t="s">
        <v>34</v>
      </c>
      <c r="G5" t="s">
        <v>1341</v>
      </c>
      <c r="H5" t="s">
        <v>731</v>
      </c>
      <c r="I5" t="s">
        <v>1356</v>
      </c>
      <c r="J5">
        <v>1400</v>
      </c>
      <c r="K5" t="s">
        <v>595</v>
      </c>
      <c r="L5">
        <v>16800</v>
      </c>
      <c r="M5" t="s">
        <v>504</v>
      </c>
      <c r="N5" t="s">
        <v>504</v>
      </c>
      <c r="O5" t="s">
        <v>338</v>
      </c>
      <c r="P5" t="s">
        <v>338</v>
      </c>
    </row>
    <row r="6" spans="1:16">
      <c r="A6" t="s">
        <v>1374</v>
      </c>
      <c r="B6" t="s">
        <v>1375</v>
      </c>
      <c r="C6" t="s">
        <v>497</v>
      </c>
      <c r="D6" t="s">
        <v>491</v>
      </c>
      <c r="E6" t="s">
        <v>491</v>
      </c>
      <c r="F6" t="s">
        <v>35</v>
      </c>
      <c r="G6" t="s">
        <v>1341</v>
      </c>
      <c r="H6" t="s">
        <v>731</v>
      </c>
      <c r="I6" t="s">
        <v>1376</v>
      </c>
      <c r="J6">
        <v>1800</v>
      </c>
      <c r="K6" t="s">
        <v>595</v>
      </c>
      <c r="L6">
        <v>21600</v>
      </c>
      <c r="M6" t="s">
        <v>504</v>
      </c>
      <c r="N6" t="s">
        <v>504</v>
      </c>
      <c r="O6" t="s">
        <v>338</v>
      </c>
      <c r="P6" t="s">
        <v>338</v>
      </c>
    </row>
    <row r="7" spans="1:16">
      <c r="A7" t="s">
        <v>1392</v>
      </c>
      <c r="B7" t="s">
        <v>1393</v>
      </c>
      <c r="C7" t="s">
        <v>497</v>
      </c>
      <c r="D7" t="s">
        <v>1346</v>
      </c>
      <c r="E7" t="s">
        <v>490</v>
      </c>
      <c r="F7" t="s">
        <v>34</v>
      </c>
      <c r="G7" t="s">
        <v>1341</v>
      </c>
      <c r="H7" t="s">
        <v>731</v>
      </c>
      <c r="I7" t="s">
        <v>1378</v>
      </c>
      <c r="J7">
        <v>950</v>
      </c>
      <c r="K7" t="s">
        <v>595</v>
      </c>
      <c r="L7">
        <v>11400</v>
      </c>
      <c r="M7" t="s">
        <v>504</v>
      </c>
      <c r="N7" t="s">
        <v>504</v>
      </c>
      <c r="O7" t="s">
        <v>338</v>
      </c>
      <c r="P7" t="s">
        <v>338</v>
      </c>
    </row>
    <row r="8" spans="1:16">
      <c r="A8" t="s">
        <v>1483</v>
      </c>
      <c r="B8" t="s">
        <v>1484</v>
      </c>
      <c r="C8" t="s">
        <v>497</v>
      </c>
      <c r="D8" t="s">
        <v>1477</v>
      </c>
      <c r="E8" t="s">
        <v>491</v>
      </c>
      <c r="F8" t="s">
        <v>38</v>
      </c>
      <c r="G8" t="s">
        <v>1341</v>
      </c>
      <c r="H8" t="s">
        <v>731</v>
      </c>
      <c r="I8" t="s">
        <v>1376</v>
      </c>
      <c r="J8">
        <v>2500</v>
      </c>
      <c r="K8" t="s">
        <v>595</v>
      </c>
      <c r="L8">
        <v>30000</v>
      </c>
      <c r="M8" t="s">
        <v>504</v>
      </c>
      <c r="N8" t="s">
        <v>504</v>
      </c>
      <c r="O8" t="s">
        <v>338</v>
      </c>
      <c r="P8" t="s">
        <v>338</v>
      </c>
    </row>
    <row r="9" spans="1:16">
      <c r="A9" t="s">
        <v>546</v>
      </c>
      <c r="B9" t="s">
        <v>1457</v>
      </c>
      <c r="C9" t="s">
        <v>497</v>
      </c>
      <c r="D9" t="s">
        <v>491</v>
      </c>
      <c r="E9" t="s">
        <v>491</v>
      </c>
      <c r="F9" t="s">
        <v>35</v>
      </c>
      <c r="G9" t="s">
        <v>1341</v>
      </c>
      <c r="H9" t="s">
        <v>731</v>
      </c>
      <c r="I9" t="s">
        <v>533</v>
      </c>
      <c r="J9">
        <v>2000</v>
      </c>
      <c r="K9" t="s">
        <v>595</v>
      </c>
      <c r="L9">
        <v>24000</v>
      </c>
      <c r="M9" t="s">
        <v>504</v>
      </c>
      <c r="N9" t="s">
        <v>504</v>
      </c>
      <c r="O9" t="s">
        <v>338</v>
      </c>
      <c r="P9" t="s">
        <v>338</v>
      </c>
    </row>
    <row r="10" spans="1:16">
      <c r="A10" t="s">
        <v>1364</v>
      </c>
      <c r="B10" t="s">
        <v>1499</v>
      </c>
      <c r="C10" t="s">
        <v>497</v>
      </c>
      <c r="D10" t="s">
        <v>1500</v>
      </c>
      <c r="E10" t="s">
        <v>1500</v>
      </c>
      <c r="F10" t="s">
        <v>80</v>
      </c>
      <c r="G10" t="s">
        <v>1362</v>
      </c>
      <c r="H10" t="s">
        <v>1363</v>
      </c>
      <c r="I10" t="s">
        <v>338</v>
      </c>
      <c r="K10" t="s">
        <v>338</v>
      </c>
      <c r="L10">
        <v>228245</v>
      </c>
      <c r="M10" t="s">
        <v>504</v>
      </c>
      <c r="N10" t="s">
        <v>504</v>
      </c>
      <c r="O10" t="s">
        <v>338</v>
      </c>
      <c r="P10" t="s">
        <v>1554</v>
      </c>
    </row>
    <row r="11" spans="1:16">
      <c r="A11" t="s">
        <v>608</v>
      </c>
      <c r="B11" t="s">
        <v>1471</v>
      </c>
      <c r="C11" t="s">
        <v>497</v>
      </c>
      <c r="D11" t="s">
        <v>1346</v>
      </c>
      <c r="E11" t="s">
        <v>490</v>
      </c>
      <c r="F11" t="s">
        <v>34</v>
      </c>
      <c r="G11" t="s">
        <v>1341</v>
      </c>
      <c r="H11" t="s">
        <v>731</v>
      </c>
      <c r="I11" t="s">
        <v>1378</v>
      </c>
      <c r="J11">
        <v>975</v>
      </c>
      <c r="K11" t="s">
        <v>595</v>
      </c>
      <c r="L11">
        <v>11700</v>
      </c>
      <c r="M11" t="s">
        <v>504</v>
      </c>
      <c r="N11" t="s">
        <v>504</v>
      </c>
      <c r="O11" t="s">
        <v>338</v>
      </c>
      <c r="P11" t="s">
        <v>338</v>
      </c>
    </row>
    <row r="12" spans="1:16">
      <c r="A12" t="s">
        <v>1350</v>
      </c>
      <c r="B12" t="s">
        <v>1396</v>
      </c>
      <c r="C12" t="s">
        <v>497</v>
      </c>
      <c r="D12" t="s">
        <v>491</v>
      </c>
      <c r="E12" t="s">
        <v>491</v>
      </c>
      <c r="F12" t="s">
        <v>35</v>
      </c>
      <c r="G12" t="s">
        <v>1341</v>
      </c>
      <c r="H12" t="s">
        <v>731</v>
      </c>
      <c r="I12" t="s">
        <v>533</v>
      </c>
      <c r="J12">
        <v>1800</v>
      </c>
      <c r="K12" t="s">
        <v>595</v>
      </c>
      <c r="L12">
        <v>21600</v>
      </c>
      <c r="M12" t="s">
        <v>504</v>
      </c>
      <c r="N12" t="s">
        <v>504</v>
      </c>
      <c r="O12" t="s">
        <v>338</v>
      </c>
      <c r="P12" t="s">
        <v>338</v>
      </c>
    </row>
    <row r="13" spans="1:16">
      <c r="A13" t="s">
        <v>1403</v>
      </c>
      <c r="B13" t="s">
        <v>1404</v>
      </c>
      <c r="C13" t="s">
        <v>497</v>
      </c>
      <c r="D13" t="s">
        <v>1405</v>
      </c>
      <c r="E13" t="s">
        <v>1508</v>
      </c>
      <c r="F13" t="s">
        <v>36</v>
      </c>
      <c r="G13" t="s">
        <v>1341</v>
      </c>
      <c r="H13" t="s">
        <v>731</v>
      </c>
      <c r="I13" t="s">
        <v>1342</v>
      </c>
      <c r="J13">
        <v>850</v>
      </c>
      <c r="K13" t="s">
        <v>595</v>
      </c>
      <c r="L13">
        <v>10200</v>
      </c>
      <c r="M13" t="s">
        <v>504</v>
      </c>
      <c r="N13" t="s">
        <v>504</v>
      </c>
      <c r="O13" t="s">
        <v>338</v>
      </c>
      <c r="P13" t="s">
        <v>1555</v>
      </c>
    </row>
    <row r="14" spans="1:16">
      <c r="A14" t="s">
        <v>521</v>
      </c>
      <c r="B14" t="s">
        <v>1492</v>
      </c>
      <c r="C14" t="s">
        <v>497</v>
      </c>
      <c r="D14" t="s">
        <v>1407</v>
      </c>
      <c r="E14" t="s">
        <v>490</v>
      </c>
      <c r="F14" t="s">
        <v>34</v>
      </c>
      <c r="G14" t="s">
        <v>1341</v>
      </c>
      <c r="H14" t="s">
        <v>731</v>
      </c>
      <c r="I14" t="s">
        <v>522</v>
      </c>
      <c r="J14">
        <v>1200</v>
      </c>
      <c r="K14" t="s">
        <v>595</v>
      </c>
      <c r="L14">
        <v>14400</v>
      </c>
      <c r="M14" t="s">
        <v>504</v>
      </c>
      <c r="N14" t="s">
        <v>504</v>
      </c>
      <c r="O14" t="s">
        <v>338</v>
      </c>
      <c r="P14" t="s">
        <v>338</v>
      </c>
    </row>
    <row r="15" spans="1:16">
      <c r="A15" t="s">
        <v>553</v>
      </c>
      <c r="B15" t="s">
        <v>1487</v>
      </c>
      <c r="C15" t="s">
        <v>497</v>
      </c>
      <c r="D15" t="s">
        <v>1346</v>
      </c>
      <c r="E15" t="s">
        <v>490</v>
      </c>
      <c r="F15" t="s">
        <v>34</v>
      </c>
      <c r="G15" t="s">
        <v>1341</v>
      </c>
      <c r="H15" t="s">
        <v>731</v>
      </c>
      <c r="I15" t="s">
        <v>536</v>
      </c>
      <c r="J15">
        <v>1100</v>
      </c>
      <c r="K15" t="s">
        <v>595</v>
      </c>
      <c r="L15">
        <v>13200</v>
      </c>
      <c r="M15" t="s">
        <v>504</v>
      </c>
      <c r="N15" t="s">
        <v>504</v>
      </c>
      <c r="O15" t="s">
        <v>338</v>
      </c>
      <c r="P15" t="s">
        <v>338</v>
      </c>
    </row>
    <row r="16" spans="1:16">
      <c r="A16" t="s">
        <v>648</v>
      </c>
      <c r="B16" t="s">
        <v>1390</v>
      </c>
      <c r="C16" t="s">
        <v>505</v>
      </c>
      <c r="D16" t="s">
        <v>491</v>
      </c>
      <c r="E16" t="s">
        <v>491</v>
      </c>
      <c r="F16" t="s">
        <v>35</v>
      </c>
      <c r="G16" t="s">
        <v>1341</v>
      </c>
      <c r="H16" t="s">
        <v>731</v>
      </c>
      <c r="I16" t="s">
        <v>338</v>
      </c>
      <c r="K16" t="s">
        <v>338</v>
      </c>
      <c r="M16" t="s">
        <v>504</v>
      </c>
      <c r="N16" t="s">
        <v>505</v>
      </c>
      <c r="O16" t="s">
        <v>1391</v>
      </c>
      <c r="P16" t="s">
        <v>338</v>
      </c>
    </row>
    <row r="17" spans="1:16">
      <c r="A17" t="s">
        <v>1453</v>
      </c>
      <c r="B17" t="s">
        <v>1490</v>
      </c>
      <c r="C17" t="s">
        <v>497</v>
      </c>
      <c r="D17" t="s">
        <v>1491</v>
      </c>
      <c r="E17" t="s">
        <v>1507</v>
      </c>
      <c r="F17" t="s">
        <v>63</v>
      </c>
      <c r="G17" t="s">
        <v>1341</v>
      </c>
      <c r="H17" t="s">
        <v>731</v>
      </c>
      <c r="I17" t="s">
        <v>1364</v>
      </c>
      <c r="J17">
        <v>2450</v>
      </c>
      <c r="K17" t="s">
        <v>595</v>
      </c>
      <c r="L17">
        <v>29400</v>
      </c>
      <c r="M17" t="s">
        <v>504</v>
      </c>
      <c r="N17" t="s">
        <v>504</v>
      </c>
      <c r="O17" t="s">
        <v>338</v>
      </c>
      <c r="P17" t="s">
        <v>338</v>
      </c>
    </row>
    <row r="18" spans="1:16">
      <c r="A18" t="s">
        <v>1458</v>
      </c>
      <c r="B18" t="s">
        <v>1459</v>
      </c>
      <c r="C18" t="s">
        <v>497</v>
      </c>
      <c r="D18" t="s">
        <v>1367</v>
      </c>
      <c r="E18" t="s">
        <v>493</v>
      </c>
      <c r="F18" t="s">
        <v>63</v>
      </c>
      <c r="G18" t="s">
        <v>1341</v>
      </c>
      <c r="H18" t="s">
        <v>731</v>
      </c>
      <c r="I18" t="s">
        <v>1368</v>
      </c>
      <c r="J18">
        <v>900</v>
      </c>
      <c r="K18" t="s">
        <v>595</v>
      </c>
      <c r="L18">
        <v>10800</v>
      </c>
      <c r="M18" t="s">
        <v>504</v>
      </c>
      <c r="N18" t="s">
        <v>504</v>
      </c>
      <c r="O18" t="s">
        <v>338</v>
      </c>
      <c r="P18" t="s">
        <v>338</v>
      </c>
    </row>
    <row r="19" spans="1:16">
      <c r="A19" t="s">
        <v>1462</v>
      </c>
      <c r="B19" t="s">
        <v>1463</v>
      </c>
      <c r="C19" t="s">
        <v>497</v>
      </c>
      <c r="D19" t="s">
        <v>1464</v>
      </c>
      <c r="E19" t="s">
        <v>493</v>
      </c>
      <c r="F19" t="s">
        <v>63</v>
      </c>
      <c r="G19" t="s">
        <v>1341</v>
      </c>
      <c r="H19" t="s">
        <v>731</v>
      </c>
      <c r="I19" t="s">
        <v>1453</v>
      </c>
      <c r="J19">
        <v>1800</v>
      </c>
      <c r="K19" t="s">
        <v>595</v>
      </c>
      <c r="L19">
        <v>21600</v>
      </c>
      <c r="M19" t="s">
        <v>504</v>
      </c>
      <c r="N19" t="s">
        <v>504</v>
      </c>
      <c r="O19" t="s">
        <v>338</v>
      </c>
      <c r="P19" t="s">
        <v>338</v>
      </c>
    </row>
    <row r="20" spans="1:16">
      <c r="A20" t="s">
        <v>1344</v>
      </c>
      <c r="B20" t="s">
        <v>1345</v>
      </c>
      <c r="C20" t="s">
        <v>497</v>
      </c>
      <c r="D20" t="s">
        <v>1346</v>
      </c>
      <c r="E20" t="s">
        <v>490</v>
      </c>
      <c r="F20" t="s">
        <v>34</v>
      </c>
      <c r="G20" t="s">
        <v>1341</v>
      </c>
      <c r="H20" t="s">
        <v>731</v>
      </c>
      <c r="I20" t="s">
        <v>338</v>
      </c>
      <c r="J20">
        <v>950</v>
      </c>
      <c r="K20" t="s">
        <v>595</v>
      </c>
      <c r="L20">
        <v>11400</v>
      </c>
      <c r="M20" t="s">
        <v>505</v>
      </c>
      <c r="N20" t="s">
        <v>504</v>
      </c>
      <c r="O20" t="s">
        <v>1347</v>
      </c>
      <c r="P20" t="s">
        <v>338</v>
      </c>
    </row>
    <row r="21" spans="1:16">
      <c r="A21" t="s">
        <v>1467</v>
      </c>
      <c r="B21" t="s">
        <v>1468</v>
      </c>
      <c r="C21" t="s">
        <v>497</v>
      </c>
      <c r="D21" t="s">
        <v>1367</v>
      </c>
      <c r="E21" t="s">
        <v>493</v>
      </c>
      <c r="F21" t="s">
        <v>63</v>
      </c>
      <c r="G21" t="s">
        <v>1341</v>
      </c>
      <c r="H21" t="s">
        <v>731</v>
      </c>
      <c r="I21" t="s">
        <v>1368</v>
      </c>
      <c r="J21">
        <v>900</v>
      </c>
      <c r="K21" t="s">
        <v>595</v>
      </c>
      <c r="L21">
        <v>10800</v>
      </c>
      <c r="M21" t="s">
        <v>504</v>
      </c>
      <c r="N21" t="s">
        <v>504</v>
      </c>
      <c r="O21" t="s">
        <v>338</v>
      </c>
      <c r="P21" t="s">
        <v>338</v>
      </c>
    </row>
    <row r="22" spans="1:16">
      <c r="A22" t="s">
        <v>902</v>
      </c>
      <c r="B22" t="s">
        <v>1357</v>
      </c>
      <c r="C22" t="s">
        <v>497</v>
      </c>
      <c r="D22" t="s">
        <v>490</v>
      </c>
      <c r="E22" t="s">
        <v>490</v>
      </c>
      <c r="F22" t="s">
        <v>34</v>
      </c>
      <c r="G22" t="s">
        <v>1341</v>
      </c>
      <c r="H22" t="s">
        <v>731</v>
      </c>
      <c r="I22" t="s">
        <v>533</v>
      </c>
      <c r="J22">
        <v>950</v>
      </c>
      <c r="K22" t="s">
        <v>595</v>
      </c>
      <c r="L22">
        <v>11400</v>
      </c>
      <c r="M22" t="s">
        <v>504</v>
      </c>
      <c r="N22" t="s">
        <v>504</v>
      </c>
      <c r="O22" t="s">
        <v>338</v>
      </c>
      <c r="P22" t="s">
        <v>338</v>
      </c>
    </row>
    <row r="23" spans="1:16">
      <c r="A23" t="s">
        <v>1474</v>
      </c>
      <c r="B23" t="s">
        <v>1475</v>
      </c>
      <c r="C23" t="s">
        <v>497</v>
      </c>
      <c r="D23" t="s">
        <v>1346</v>
      </c>
      <c r="E23" t="s">
        <v>490</v>
      </c>
      <c r="F23" t="s">
        <v>34</v>
      </c>
      <c r="G23" t="s">
        <v>1341</v>
      </c>
      <c r="H23" t="s">
        <v>731</v>
      </c>
      <c r="I23" t="s">
        <v>550</v>
      </c>
      <c r="J23">
        <v>1025</v>
      </c>
      <c r="K23" t="s">
        <v>595</v>
      </c>
      <c r="L23">
        <v>12300</v>
      </c>
      <c r="M23" t="s">
        <v>504</v>
      </c>
      <c r="N23" t="s">
        <v>504</v>
      </c>
      <c r="O23" t="s">
        <v>338</v>
      </c>
      <c r="P23" t="s">
        <v>338</v>
      </c>
    </row>
    <row r="24" spans="1:16">
      <c r="A24" t="s">
        <v>752</v>
      </c>
      <c r="B24" t="s">
        <v>1380</v>
      </c>
      <c r="C24" t="s">
        <v>497</v>
      </c>
      <c r="D24" t="s">
        <v>1346</v>
      </c>
      <c r="E24" t="s">
        <v>490</v>
      </c>
      <c r="F24" t="s">
        <v>34</v>
      </c>
      <c r="G24" t="s">
        <v>1341</v>
      </c>
      <c r="H24" t="s">
        <v>731</v>
      </c>
      <c r="I24" t="s">
        <v>522</v>
      </c>
      <c r="J24">
        <v>950</v>
      </c>
      <c r="K24" t="s">
        <v>595</v>
      </c>
      <c r="L24">
        <v>11400</v>
      </c>
      <c r="M24" t="s">
        <v>504</v>
      </c>
      <c r="N24" t="s">
        <v>504</v>
      </c>
      <c r="O24" t="s">
        <v>338</v>
      </c>
      <c r="P24" t="s">
        <v>338</v>
      </c>
    </row>
    <row r="25" spans="1:16">
      <c r="A25" t="s">
        <v>1411</v>
      </c>
      <c r="B25" t="s">
        <v>1412</v>
      </c>
      <c r="C25" t="s">
        <v>497</v>
      </c>
      <c r="D25" t="s">
        <v>1413</v>
      </c>
      <c r="E25" t="s">
        <v>81</v>
      </c>
      <c r="F25" t="s">
        <v>87</v>
      </c>
      <c r="G25" t="s">
        <v>1414</v>
      </c>
      <c r="H25" t="s">
        <v>731</v>
      </c>
      <c r="I25" t="s">
        <v>1364</v>
      </c>
      <c r="J25">
        <v>2350</v>
      </c>
      <c r="K25" t="s">
        <v>595</v>
      </c>
      <c r="L25">
        <v>28200</v>
      </c>
      <c r="M25" t="s">
        <v>504</v>
      </c>
      <c r="N25" t="s">
        <v>504</v>
      </c>
      <c r="O25" t="s">
        <v>338</v>
      </c>
      <c r="P25" t="s">
        <v>1556</v>
      </c>
    </row>
    <row r="26" spans="1:16">
      <c r="A26" t="s">
        <v>550</v>
      </c>
      <c r="B26" t="s">
        <v>1404</v>
      </c>
      <c r="C26" t="s">
        <v>497</v>
      </c>
      <c r="D26" t="s">
        <v>491</v>
      </c>
      <c r="E26" t="s">
        <v>491</v>
      </c>
      <c r="F26" t="s">
        <v>35</v>
      </c>
      <c r="G26" t="s">
        <v>1341</v>
      </c>
      <c r="H26" t="s">
        <v>731</v>
      </c>
      <c r="I26" t="s">
        <v>510</v>
      </c>
      <c r="J26">
        <v>1800</v>
      </c>
      <c r="K26" t="s">
        <v>595</v>
      </c>
      <c r="L26">
        <v>21600</v>
      </c>
      <c r="M26" t="s">
        <v>504</v>
      </c>
      <c r="N26" t="s">
        <v>504</v>
      </c>
      <c r="O26" t="s">
        <v>338</v>
      </c>
      <c r="P26" t="s">
        <v>338</v>
      </c>
    </row>
    <row r="27" spans="1:16">
      <c r="A27" t="s">
        <v>545</v>
      </c>
      <c r="B27" t="s">
        <v>1449</v>
      </c>
      <c r="C27" t="s">
        <v>497</v>
      </c>
      <c r="D27" t="s">
        <v>1346</v>
      </c>
      <c r="E27" t="s">
        <v>490</v>
      </c>
      <c r="F27" t="s">
        <v>34</v>
      </c>
      <c r="G27" t="s">
        <v>1341</v>
      </c>
      <c r="H27" t="s">
        <v>731</v>
      </c>
      <c r="I27" t="s">
        <v>546</v>
      </c>
      <c r="J27">
        <v>1500</v>
      </c>
      <c r="K27" t="s">
        <v>595</v>
      </c>
      <c r="L27">
        <v>18000</v>
      </c>
      <c r="M27" t="s">
        <v>504</v>
      </c>
      <c r="N27" t="s">
        <v>504</v>
      </c>
      <c r="O27" t="s">
        <v>338</v>
      </c>
      <c r="P27" t="s">
        <v>338</v>
      </c>
    </row>
    <row r="28" spans="1:16">
      <c r="A28" t="s">
        <v>522</v>
      </c>
      <c r="B28" t="s">
        <v>1358</v>
      </c>
      <c r="C28" t="s">
        <v>497</v>
      </c>
      <c r="D28" t="s">
        <v>491</v>
      </c>
      <c r="E28" t="s">
        <v>491</v>
      </c>
      <c r="F28" t="s">
        <v>35</v>
      </c>
      <c r="G28" t="s">
        <v>1341</v>
      </c>
      <c r="H28" t="s">
        <v>731</v>
      </c>
      <c r="I28" t="s">
        <v>510</v>
      </c>
      <c r="J28">
        <v>1800</v>
      </c>
      <c r="K28" t="s">
        <v>595</v>
      </c>
      <c r="L28">
        <v>21600</v>
      </c>
      <c r="M28" t="s">
        <v>504</v>
      </c>
      <c r="N28" t="s">
        <v>504</v>
      </c>
      <c r="O28" t="s">
        <v>338</v>
      </c>
      <c r="P28" t="s">
        <v>338</v>
      </c>
    </row>
    <row r="29" spans="1:16">
      <c r="A29" t="s">
        <v>1415</v>
      </c>
      <c r="B29" t="s">
        <v>1416</v>
      </c>
      <c r="C29" t="s">
        <v>497</v>
      </c>
      <c r="D29" t="s">
        <v>1346</v>
      </c>
      <c r="E29" t="s">
        <v>490</v>
      </c>
      <c r="F29" t="s">
        <v>34</v>
      </c>
      <c r="G29" t="s">
        <v>1341</v>
      </c>
      <c r="H29" t="s">
        <v>731</v>
      </c>
      <c r="I29" t="s">
        <v>1389</v>
      </c>
      <c r="J29">
        <v>950</v>
      </c>
      <c r="K29" t="s">
        <v>595</v>
      </c>
      <c r="L29">
        <v>11400</v>
      </c>
      <c r="M29" t="s">
        <v>504</v>
      </c>
      <c r="N29" t="s">
        <v>504</v>
      </c>
      <c r="O29" t="s">
        <v>338</v>
      </c>
      <c r="P29" t="s">
        <v>338</v>
      </c>
    </row>
    <row r="30" spans="1:16">
      <c r="A30" t="s">
        <v>1354</v>
      </c>
      <c r="B30" t="s">
        <v>1355</v>
      </c>
      <c r="C30" t="s">
        <v>497</v>
      </c>
      <c r="D30" t="s">
        <v>1346</v>
      </c>
      <c r="E30" t="s">
        <v>490</v>
      </c>
      <c r="F30" t="s">
        <v>34</v>
      </c>
      <c r="G30" t="s">
        <v>1341</v>
      </c>
      <c r="H30" t="s">
        <v>731</v>
      </c>
      <c r="I30" t="s">
        <v>1356</v>
      </c>
      <c r="J30">
        <v>950</v>
      </c>
      <c r="K30" t="s">
        <v>595</v>
      </c>
      <c r="L30">
        <v>11400</v>
      </c>
      <c r="M30" t="s">
        <v>504</v>
      </c>
      <c r="N30" t="s">
        <v>504</v>
      </c>
      <c r="O30" t="s">
        <v>338</v>
      </c>
      <c r="P30" t="s">
        <v>338</v>
      </c>
    </row>
    <row r="31" spans="1:16">
      <c r="A31" t="s">
        <v>533</v>
      </c>
      <c r="B31" t="s">
        <v>1399</v>
      </c>
      <c r="C31" t="s">
        <v>497</v>
      </c>
      <c r="D31" t="s">
        <v>1361</v>
      </c>
      <c r="E31" t="s">
        <v>1361</v>
      </c>
      <c r="F31" t="s">
        <v>63</v>
      </c>
      <c r="G31" t="s">
        <v>1362</v>
      </c>
      <c r="H31" t="s">
        <v>1363</v>
      </c>
      <c r="I31" t="s">
        <v>1364</v>
      </c>
      <c r="J31">
        <v>120000</v>
      </c>
      <c r="K31" t="s">
        <v>1365</v>
      </c>
      <c r="L31">
        <v>120000</v>
      </c>
      <c r="M31" t="s">
        <v>504</v>
      </c>
      <c r="N31" t="s">
        <v>504</v>
      </c>
      <c r="O31" t="s">
        <v>338</v>
      </c>
      <c r="P31" t="s">
        <v>338</v>
      </c>
    </row>
    <row r="32" spans="1:16">
      <c r="A32" t="s">
        <v>560</v>
      </c>
      <c r="B32" t="s">
        <v>1448</v>
      </c>
      <c r="C32" t="s">
        <v>497</v>
      </c>
      <c r="D32" t="s">
        <v>1346</v>
      </c>
      <c r="E32" t="s">
        <v>490</v>
      </c>
      <c r="F32" t="s">
        <v>34</v>
      </c>
      <c r="G32" t="s">
        <v>1341</v>
      </c>
      <c r="H32" t="s">
        <v>731</v>
      </c>
      <c r="I32" t="s">
        <v>557</v>
      </c>
      <c r="J32">
        <v>975</v>
      </c>
      <c r="K32" t="s">
        <v>595</v>
      </c>
      <c r="L32">
        <v>11700</v>
      </c>
      <c r="M32" t="s">
        <v>504</v>
      </c>
      <c r="N32" t="s">
        <v>504</v>
      </c>
      <c r="O32" t="s">
        <v>338</v>
      </c>
      <c r="P32" t="s">
        <v>338</v>
      </c>
    </row>
    <row r="33" spans="1:16">
      <c r="A33" t="s">
        <v>1488</v>
      </c>
      <c r="B33" t="s">
        <v>1489</v>
      </c>
      <c r="C33" t="s">
        <v>497</v>
      </c>
      <c r="D33" t="s">
        <v>1470</v>
      </c>
      <c r="E33" t="s">
        <v>1509</v>
      </c>
      <c r="F33" t="s">
        <v>37</v>
      </c>
      <c r="G33" t="s">
        <v>1341</v>
      </c>
      <c r="H33" t="s">
        <v>731</v>
      </c>
      <c r="I33" t="s">
        <v>1364</v>
      </c>
      <c r="J33">
        <v>2100</v>
      </c>
      <c r="K33" t="s">
        <v>595</v>
      </c>
      <c r="L33">
        <v>25200</v>
      </c>
      <c r="M33" t="s">
        <v>504</v>
      </c>
      <c r="N33" t="s">
        <v>504</v>
      </c>
      <c r="O33" t="s">
        <v>338</v>
      </c>
      <c r="P33" t="s">
        <v>338</v>
      </c>
    </row>
    <row r="34" spans="1:16">
      <c r="A34" t="s">
        <v>1368</v>
      </c>
      <c r="B34" t="s">
        <v>1497</v>
      </c>
      <c r="C34" t="s">
        <v>497</v>
      </c>
      <c r="D34" t="s">
        <v>1498</v>
      </c>
      <c r="E34" t="s">
        <v>1507</v>
      </c>
      <c r="F34" t="s">
        <v>63</v>
      </c>
      <c r="G34" t="s">
        <v>1341</v>
      </c>
      <c r="H34" t="s">
        <v>731</v>
      </c>
      <c r="I34" t="s">
        <v>1364</v>
      </c>
      <c r="J34">
        <v>2500</v>
      </c>
      <c r="K34" t="s">
        <v>595</v>
      </c>
      <c r="L34">
        <v>30000</v>
      </c>
      <c r="M34" t="s">
        <v>504</v>
      </c>
      <c r="N34" t="s">
        <v>504</v>
      </c>
      <c r="O34" t="s">
        <v>338</v>
      </c>
      <c r="P34" t="s">
        <v>338</v>
      </c>
    </row>
    <row r="35" spans="1:16">
      <c r="A35" t="s">
        <v>769</v>
      </c>
      <c r="B35" t="s">
        <v>1476</v>
      </c>
      <c r="C35" t="s">
        <v>497</v>
      </c>
      <c r="D35" t="s">
        <v>1477</v>
      </c>
      <c r="E35" t="s">
        <v>491</v>
      </c>
      <c r="F35" t="s">
        <v>38</v>
      </c>
      <c r="G35" t="s">
        <v>1341</v>
      </c>
      <c r="H35" t="s">
        <v>731</v>
      </c>
      <c r="I35" t="s">
        <v>533</v>
      </c>
      <c r="J35">
        <v>2300</v>
      </c>
      <c r="K35" t="s">
        <v>595</v>
      </c>
      <c r="L35">
        <v>27600</v>
      </c>
      <c r="M35" t="s">
        <v>504</v>
      </c>
      <c r="N35" t="s">
        <v>504</v>
      </c>
      <c r="O35" t="s">
        <v>338</v>
      </c>
      <c r="P35" t="s">
        <v>338</v>
      </c>
    </row>
    <row r="36" spans="1:16">
      <c r="A36" t="s">
        <v>1419</v>
      </c>
      <c r="B36" t="s">
        <v>1420</v>
      </c>
      <c r="C36" t="s">
        <v>497</v>
      </c>
      <c r="D36" t="s">
        <v>1346</v>
      </c>
      <c r="E36" t="s">
        <v>490</v>
      </c>
      <c r="F36" t="s">
        <v>34</v>
      </c>
      <c r="G36" t="s">
        <v>1341</v>
      </c>
      <c r="H36" t="s">
        <v>731</v>
      </c>
      <c r="I36" t="s">
        <v>1356</v>
      </c>
      <c r="J36">
        <v>950</v>
      </c>
      <c r="K36" t="s">
        <v>595</v>
      </c>
      <c r="L36">
        <v>11400</v>
      </c>
      <c r="M36" t="s">
        <v>504</v>
      </c>
      <c r="N36" t="s">
        <v>504</v>
      </c>
      <c r="O36" t="s">
        <v>338</v>
      </c>
      <c r="P36" t="s">
        <v>338</v>
      </c>
    </row>
    <row r="37" spans="1:16">
      <c r="A37" t="s">
        <v>1494</v>
      </c>
      <c r="B37" t="s">
        <v>1495</v>
      </c>
      <c r="C37" t="s">
        <v>497</v>
      </c>
      <c r="D37" t="s">
        <v>1496</v>
      </c>
      <c r="E37" t="s">
        <v>1507</v>
      </c>
      <c r="F37" t="s">
        <v>63</v>
      </c>
      <c r="G37" t="s">
        <v>1341</v>
      </c>
      <c r="H37" t="s">
        <v>731</v>
      </c>
      <c r="I37" t="s">
        <v>1364</v>
      </c>
      <c r="J37">
        <v>3700</v>
      </c>
      <c r="K37" t="s">
        <v>595</v>
      </c>
      <c r="L37">
        <v>44400</v>
      </c>
      <c r="M37" t="s">
        <v>504</v>
      </c>
      <c r="N37" t="s">
        <v>504</v>
      </c>
      <c r="O37" t="s">
        <v>338</v>
      </c>
      <c r="P37" t="s">
        <v>338</v>
      </c>
    </row>
    <row r="38" spans="1:16">
      <c r="A38" t="s">
        <v>584</v>
      </c>
      <c r="B38" t="s">
        <v>1431</v>
      </c>
      <c r="C38" t="s">
        <v>497</v>
      </c>
      <c r="D38" t="s">
        <v>1346</v>
      </c>
      <c r="E38" t="s">
        <v>490</v>
      </c>
      <c r="F38" t="s">
        <v>34</v>
      </c>
      <c r="G38" t="s">
        <v>1341</v>
      </c>
      <c r="H38" t="s">
        <v>731</v>
      </c>
      <c r="I38" t="s">
        <v>581</v>
      </c>
      <c r="J38">
        <v>1025</v>
      </c>
      <c r="K38" t="s">
        <v>595</v>
      </c>
      <c r="L38">
        <v>12300</v>
      </c>
      <c r="M38" t="s">
        <v>504</v>
      </c>
      <c r="N38" t="s">
        <v>504</v>
      </c>
      <c r="O38" t="s">
        <v>338</v>
      </c>
      <c r="P38" t="s">
        <v>338</v>
      </c>
    </row>
    <row r="39" spans="1:16">
      <c r="A39" t="s">
        <v>1394</v>
      </c>
      <c r="B39" t="s">
        <v>1395</v>
      </c>
      <c r="C39" t="s">
        <v>497</v>
      </c>
      <c r="D39" t="s">
        <v>1340</v>
      </c>
      <c r="E39" t="s">
        <v>1508</v>
      </c>
      <c r="F39" t="s">
        <v>36</v>
      </c>
      <c r="G39" t="s">
        <v>1341</v>
      </c>
      <c r="H39" t="s">
        <v>731</v>
      </c>
      <c r="I39" t="s">
        <v>1342</v>
      </c>
      <c r="J39">
        <v>1100</v>
      </c>
      <c r="K39" t="s">
        <v>595</v>
      </c>
      <c r="L39">
        <v>13200</v>
      </c>
      <c r="M39" t="s">
        <v>504</v>
      </c>
      <c r="N39" t="s">
        <v>504</v>
      </c>
      <c r="O39" t="s">
        <v>338</v>
      </c>
      <c r="P39" t="s">
        <v>1557</v>
      </c>
    </row>
    <row r="40" spans="1:16">
      <c r="A40" t="s">
        <v>1373</v>
      </c>
      <c r="B40" t="s">
        <v>1476</v>
      </c>
      <c r="C40" t="s">
        <v>497</v>
      </c>
      <c r="D40" t="s">
        <v>1371</v>
      </c>
      <c r="E40" t="s">
        <v>1509</v>
      </c>
      <c r="F40" t="s">
        <v>37</v>
      </c>
      <c r="G40" t="s">
        <v>1372</v>
      </c>
      <c r="H40" t="s">
        <v>731</v>
      </c>
      <c r="I40" t="s">
        <v>1364</v>
      </c>
      <c r="J40">
        <v>1800</v>
      </c>
      <c r="K40" t="s">
        <v>595</v>
      </c>
      <c r="L40">
        <v>21600</v>
      </c>
      <c r="M40" t="s">
        <v>504</v>
      </c>
      <c r="N40" t="s">
        <v>504</v>
      </c>
      <c r="O40" t="s">
        <v>338</v>
      </c>
      <c r="P40" t="s">
        <v>338</v>
      </c>
    </row>
    <row r="41" spans="1:16">
      <c r="A41" t="s">
        <v>1436</v>
      </c>
      <c r="B41" t="s">
        <v>1437</v>
      </c>
      <c r="C41" t="s">
        <v>497</v>
      </c>
      <c r="D41" t="s">
        <v>1346</v>
      </c>
      <c r="E41" t="s">
        <v>490</v>
      </c>
      <c r="F41" t="s">
        <v>34</v>
      </c>
      <c r="G41" t="s">
        <v>1341</v>
      </c>
      <c r="H41" t="s">
        <v>731</v>
      </c>
      <c r="I41" t="s">
        <v>581</v>
      </c>
      <c r="J41">
        <v>1000</v>
      </c>
      <c r="K41" t="s">
        <v>595</v>
      </c>
      <c r="L41">
        <v>12000</v>
      </c>
      <c r="M41" t="s">
        <v>504</v>
      </c>
      <c r="N41" t="s">
        <v>504</v>
      </c>
      <c r="O41" t="s">
        <v>338</v>
      </c>
      <c r="P41" t="s">
        <v>338</v>
      </c>
    </row>
    <row r="42" spans="1:16">
      <c r="A42" t="s">
        <v>766</v>
      </c>
      <c r="B42" t="s">
        <v>1412</v>
      </c>
      <c r="C42" t="s">
        <v>497</v>
      </c>
      <c r="D42" t="s">
        <v>1346</v>
      </c>
      <c r="E42" t="s">
        <v>490</v>
      </c>
      <c r="F42" t="s">
        <v>34</v>
      </c>
      <c r="G42" t="s">
        <v>1341</v>
      </c>
      <c r="H42" t="s">
        <v>731</v>
      </c>
      <c r="I42" t="s">
        <v>681</v>
      </c>
      <c r="J42">
        <v>950</v>
      </c>
      <c r="K42" t="s">
        <v>595</v>
      </c>
      <c r="L42">
        <v>11400</v>
      </c>
      <c r="M42" t="s">
        <v>504</v>
      </c>
      <c r="N42" t="s">
        <v>504</v>
      </c>
      <c r="O42" t="s">
        <v>338</v>
      </c>
      <c r="P42" t="s">
        <v>338</v>
      </c>
    </row>
    <row r="43" spans="1:16">
      <c r="A43" t="s">
        <v>1434</v>
      </c>
      <c r="B43" t="s">
        <v>1435</v>
      </c>
      <c r="C43" t="s">
        <v>497</v>
      </c>
      <c r="D43" t="s">
        <v>1346</v>
      </c>
      <c r="E43" t="s">
        <v>490</v>
      </c>
      <c r="F43" t="s">
        <v>34</v>
      </c>
      <c r="G43" t="s">
        <v>1341</v>
      </c>
      <c r="H43" t="s">
        <v>731</v>
      </c>
      <c r="I43" t="s">
        <v>681</v>
      </c>
      <c r="J43">
        <v>1050</v>
      </c>
      <c r="K43" t="s">
        <v>595</v>
      </c>
      <c r="L43">
        <v>12600</v>
      </c>
      <c r="M43" t="s">
        <v>504</v>
      </c>
      <c r="N43" t="s">
        <v>504</v>
      </c>
      <c r="O43" t="s">
        <v>338</v>
      </c>
      <c r="P43" t="s">
        <v>338</v>
      </c>
    </row>
    <row r="44" spans="1:16">
      <c r="A44" t="s">
        <v>1438</v>
      </c>
      <c r="B44" t="s">
        <v>1439</v>
      </c>
      <c r="C44" t="s">
        <v>497</v>
      </c>
      <c r="D44" t="s">
        <v>1346</v>
      </c>
      <c r="E44" t="s">
        <v>490</v>
      </c>
      <c r="F44" t="s">
        <v>34</v>
      </c>
      <c r="G44" t="s">
        <v>1341</v>
      </c>
      <c r="H44" t="s">
        <v>731</v>
      </c>
      <c r="I44" t="s">
        <v>557</v>
      </c>
      <c r="J44">
        <v>1025</v>
      </c>
      <c r="K44" t="s">
        <v>595</v>
      </c>
      <c r="L44">
        <v>12300</v>
      </c>
      <c r="M44" t="s">
        <v>504</v>
      </c>
      <c r="N44" t="s">
        <v>504</v>
      </c>
      <c r="O44" t="s">
        <v>338</v>
      </c>
      <c r="P44" t="s">
        <v>338</v>
      </c>
    </row>
    <row r="45" spans="1:16">
      <c r="A45" t="s">
        <v>1480</v>
      </c>
      <c r="B45" t="s">
        <v>1481</v>
      </c>
      <c r="C45" t="s">
        <v>497</v>
      </c>
      <c r="D45" t="s">
        <v>1482</v>
      </c>
      <c r="E45" t="s">
        <v>493</v>
      </c>
      <c r="F45" t="s">
        <v>63</v>
      </c>
      <c r="G45" t="s">
        <v>1341</v>
      </c>
      <c r="H45" t="s">
        <v>731</v>
      </c>
      <c r="I45" t="s">
        <v>1368</v>
      </c>
      <c r="J45">
        <v>1000</v>
      </c>
      <c r="K45" t="s">
        <v>595</v>
      </c>
      <c r="L45">
        <v>12000</v>
      </c>
      <c r="M45" t="s">
        <v>504</v>
      </c>
      <c r="N45" t="s">
        <v>504</v>
      </c>
      <c r="O45" t="s">
        <v>338</v>
      </c>
      <c r="P45" t="s">
        <v>338</v>
      </c>
    </row>
    <row r="46" spans="1:16">
      <c r="A46" t="s">
        <v>1376</v>
      </c>
      <c r="B46" t="s">
        <v>1399</v>
      </c>
      <c r="C46" t="s">
        <v>497</v>
      </c>
      <c r="D46" t="s">
        <v>1361</v>
      </c>
      <c r="E46" t="s">
        <v>1361</v>
      </c>
      <c r="F46" t="s">
        <v>63</v>
      </c>
      <c r="G46" t="s">
        <v>1362</v>
      </c>
      <c r="H46" t="s">
        <v>1363</v>
      </c>
      <c r="I46" t="s">
        <v>1364</v>
      </c>
      <c r="J46">
        <v>120000</v>
      </c>
      <c r="K46" t="s">
        <v>1365</v>
      </c>
      <c r="L46">
        <v>120000</v>
      </c>
      <c r="M46" t="s">
        <v>504</v>
      </c>
      <c r="N46" t="s">
        <v>504</v>
      </c>
      <c r="O46" t="s">
        <v>338</v>
      </c>
      <c r="P46" t="s">
        <v>338</v>
      </c>
    </row>
    <row r="47" spans="1:16">
      <c r="A47" t="s">
        <v>557</v>
      </c>
      <c r="B47" t="s">
        <v>1460</v>
      </c>
      <c r="C47" t="s">
        <v>497</v>
      </c>
      <c r="D47" t="s">
        <v>491</v>
      </c>
      <c r="E47" t="s">
        <v>491</v>
      </c>
      <c r="F47" t="s">
        <v>35</v>
      </c>
      <c r="G47" t="s">
        <v>1341</v>
      </c>
      <c r="H47" t="s">
        <v>731</v>
      </c>
      <c r="I47" t="s">
        <v>510</v>
      </c>
      <c r="J47">
        <v>2000</v>
      </c>
      <c r="K47" t="s">
        <v>595</v>
      </c>
      <c r="L47">
        <v>24000</v>
      </c>
      <c r="M47" t="s">
        <v>504</v>
      </c>
      <c r="N47" t="s">
        <v>504</v>
      </c>
      <c r="O47" t="s">
        <v>338</v>
      </c>
      <c r="P47" t="s">
        <v>338</v>
      </c>
    </row>
    <row r="48" spans="1:16">
      <c r="A48" t="s">
        <v>536</v>
      </c>
      <c r="B48" t="s">
        <v>1475</v>
      </c>
      <c r="C48" t="s">
        <v>497</v>
      </c>
      <c r="D48" t="s">
        <v>491</v>
      </c>
      <c r="E48" t="s">
        <v>491</v>
      </c>
      <c r="F48" t="s">
        <v>35</v>
      </c>
      <c r="G48" t="s">
        <v>1341</v>
      </c>
      <c r="H48" t="s">
        <v>731</v>
      </c>
      <c r="I48" t="s">
        <v>1376</v>
      </c>
      <c r="J48">
        <v>2150</v>
      </c>
      <c r="K48" t="s">
        <v>595</v>
      </c>
      <c r="L48">
        <v>25800</v>
      </c>
      <c r="M48" t="s">
        <v>504</v>
      </c>
      <c r="N48" t="s">
        <v>504</v>
      </c>
      <c r="O48" t="s">
        <v>338</v>
      </c>
      <c r="P48" t="s">
        <v>338</v>
      </c>
    </row>
    <row r="49" spans="1:16">
      <c r="A49" t="s">
        <v>705</v>
      </c>
      <c r="B49" t="s">
        <v>1487</v>
      </c>
      <c r="C49" t="s">
        <v>497</v>
      </c>
      <c r="D49" t="s">
        <v>1407</v>
      </c>
      <c r="E49" t="s">
        <v>490</v>
      </c>
      <c r="F49" t="s">
        <v>34</v>
      </c>
      <c r="G49" t="s">
        <v>1341</v>
      </c>
      <c r="H49" t="s">
        <v>731</v>
      </c>
      <c r="I49" t="s">
        <v>681</v>
      </c>
      <c r="J49">
        <v>1250</v>
      </c>
      <c r="K49" t="s">
        <v>595</v>
      </c>
      <c r="L49">
        <v>15000</v>
      </c>
      <c r="M49" t="s">
        <v>504</v>
      </c>
      <c r="N49" t="s">
        <v>504</v>
      </c>
      <c r="O49" t="s">
        <v>338</v>
      </c>
      <c r="P49" t="s">
        <v>338</v>
      </c>
    </row>
    <row r="50" spans="1:16">
      <c r="A50" t="s">
        <v>682</v>
      </c>
      <c r="B50" t="s">
        <v>1366</v>
      </c>
      <c r="C50" t="s">
        <v>497</v>
      </c>
      <c r="D50" t="s">
        <v>1367</v>
      </c>
      <c r="E50" t="s">
        <v>493</v>
      </c>
      <c r="F50" t="s">
        <v>63</v>
      </c>
      <c r="G50" t="s">
        <v>1341</v>
      </c>
      <c r="H50" t="s">
        <v>731</v>
      </c>
      <c r="I50" t="s">
        <v>1368</v>
      </c>
      <c r="J50">
        <v>850</v>
      </c>
      <c r="K50" t="s">
        <v>595</v>
      </c>
      <c r="L50">
        <v>10200</v>
      </c>
      <c r="M50" t="s">
        <v>504</v>
      </c>
      <c r="N50" t="s">
        <v>504</v>
      </c>
      <c r="O50" t="s">
        <v>338</v>
      </c>
      <c r="P50" t="s">
        <v>338</v>
      </c>
    </row>
    <row r="51" spans="1:16">
      <c r="A51" t="s">
        <v>1342</v>
      </c>
      <c r="B51" t="s">
        <v>1409</v>
      </c>
      <c r="C51" t="s">
        <v>497</v>
      </c>
      <c r="D51" t="s">
        <v>1410</v>
      </c>
      <c r="E51" t="s">
        <v>1508</v>
      </c>
      <c r="F51" t="s">
        <v>36</v>
      </c>
      <c r="G51" t="s">
        <v>1341</v>
      </c>
      <c r="H51" t="s">
        <v>731</v>
      </c>
      <c r="I51" t="s">
        <v>1359</v>
      </c>
      <c r="J51">
        <v>1800</v>
      </c>
      <c r="K51" t="s">
        <v>595</v>
      </c>
      <c r="L51">
        <v>21600</v>
      </c>
      <c r="M51" t="s">
        <v>504</v>
      </c>
      <c r="N51" t="s">
        <v>504</v>
      </c>
      <c r="O51" t="s">
        <v>338</v>
      </c>
      <c r="P51" t="s">
        <v>1555</v>
      </c>
    </row>
    <row r="52" spans="1:16">
      <c r="A52" t="s">
        <v>1422</v>
      </c>
      <c r="B52" t="s">
        <v>1456</v>
      </c>
      <c r="C52" t="s">
        <v>497</v>
      </c>
      <c r="D52" t="s">
        <v>491</v>
      </c>
      <c r="E52" t="s">
        <v>491</v>
      </c>
      <c r="F52" t="s">
        <v>35</v>
      </c>
      <c r="G52" t="s">
        <v>1341</v>
      </c>
      <c r="H52" t="s">
        <v>731</v>
      </c>
      <c r="I52" t="s">
        <v>1376</v>
      </c>
      <c r="J52">
        <v>2000</v>
      </c>
      <c r="K52" t="s">
        <v>595</v>
      </c>
      <c r="L52">
        <v>24000</v>
      </c>
      <c r="M52" t="s">
        <v>504</v>
      </c>
      <c r="N52" t="s">
        <v>504</v>
      </c>
      <c r="O52" t="s">
        <v>338</v>
      </c>
      <c r="P52" t="s">
        <v>338</v>
      </c>
    </row>
    <row r="53" spans="1:16">
      <c r="A53" t="s">
        <v>1389</v>
      </c>
      <c r="B53" t="s">
        <v>1478</v>
      </c>
      <c r="C53" t="s">
        <v>497</v>
      </c>
      <c r="D53" t="s">
        <v>491</v>
      </c>
      <c r="E53" t="s">
        <v>491</v>
      </c>
      <c r="F53" t="s">
        <v>35</v>
      </c>
      <c r="G53" t="s">
        <v>1341</v>
      </c>
      <c r="H53" t="s">
        <v>731</v>
      </c>
      <c r="I53" t="s">
        <v>510</v>
      </c>
      <c r="J53">
        <v>1800</v>
      </c>
      <c r="K53" t="s">
        <v>595</v>
      </c>
      <c r="L53">
        <v>21600</v>
      </c>
      <c r="M53" t="s">
        <v>504</v>
      </c>
      <c r="N53" t="s">
        <v>504</v>
      </c>
      <c r="O53" t="s">
        <v>338</v>
      </c>
      <c r="P53" t="s">
        <v>338</v>
      </c>
    </row>
    <row r="54" spans="1:16">
      <c r="A54" t="s">
        <v>626</v>
      </c>
      <c r="B54" t="s">
        <v>1388</v>
      </c>
      <c r="C54" t="s">
        <v>497</v>
      </c>
      <c r="D54" t="s">
        <v>1346</v>
      </c>
      <c r="E54" t="s">
        <v>490</v>
      </c>
      <c r="F54" t="s">
        <v>34</v>
      </c>
      <c r="G54" t="s">
        <v>1341</v>
      </c>
      <c r="H54" t="s">
        <v>731</v>
      </c>
      <c r="I54" t="s">
        <v>1389</v>
      </c>
      <c r="J54">
        <v>950</v>
      </c>
      <c r="K54" t="s">
        <v>595</v>
      </c>
      <c r="L54">
        <v>11400</v>
      </c>
      <c r="M54" t="s">
        <v>504</v>
      </c>
      <c r="N54" t="s">
        <v>504</v>
      </c>
      <c r="O54" t="s">
        <v>338</v>
      </c>
      <c r="P54" t="s">
        <v>338</v>
      </c>
    </row>
    <row r="55" spans="1:16">
      <c r="A55" t="s">
        <v>1382</v>
      </c>
      <c r="B55" t="s">
        <v>1469</v>
      </c>
      <c r="C55" t="s">
        <v>497</v>
      </c>
      <c r="D55" t="s">
        <v>1470</v>
      </c>
      <c r="E55" t="s">
        <v>1509</v>
      </c>
      <c r="F55" t="s">
        <v>37</v>
      </c>
      <c r="G55" t="s">
        <v>1341</v>
      </c>
      <c r="H55" t="s">
        <v>731</v>
      </c>
      <c r="I55" t="s">
        <v>1364</v>
      </c>
      <c r="J55">
        <v>2000</v>
      </c>
      <c r="K55" t="s">
        <v>595</v>
      </c>
      <c r="L55">
        <v>24000</v>
      </c>
      <c r="M55" t="s">
        <v>504</v>
      </c>
      <c r="N55" t="s">
        <v>504</v>
      </c>
      <c r="O55" t="s">
        <v>338</v>
      </c>
      <c r="P55" t="s">
        <v>338</v>
      </c>
    </row>
    <row r="56" spans="1:16">
      <c r="A56" t="s">
        <v>612</v>
      </c>
      <c r="B56" t="s">
        <v>1383</v>
      </c>
      <c r="C56" t="s">
        <v>497</v>
      </c>
      <c r="D56" t="s">
        <v>1346</v>
      </c>
      <c r="E56" t="s">
        <v>490</v>
      </c>
      <c r="F56" t="s">
        <v>34</v>
      </c>
      <c r="G56" t="s">
        <v>1341</v>
      </c>
      <c r="H56" t="s">
        <v>731</v>
      </c>
      <c r="I56" t="s">
        <v>1350</v>
      </c>
      <c r="J56">
        <v>950</v>
      </c>
      <c r="K56" t="s">
        <v>595</v>
      </c>
      <c r="L56">
        <v>11400</v>
      </c>
      <c r="M56" t="s">
        <v>504</v>
      </c>
      <c r="N56" t="s">
        <v>504</v>
      </c>
      <c r="O56" t="s">
        <v>338</v>
      </c>
      <c r="P56" t="s">
        <v>338</v>
      </c>
    </row>
    <row r="57" spans="1:16">
      <c r="A57" t="s">
        <v>640</v>
      </c>
      <c r="B57" t="s">
        <v>1417</v>
      </c>
      <c r="C57" t="s">
        <v>497</v>
      </c>
      <c r="D57" t="s">
        <v>1346</v>
      </c>
      <c r="E57" t="s">
        <v>490</v>
      </c>
      <c r="F57" t="s">
        <v>34</v>
      </c>
      <c r="G57" t="s">
        <v>1341</v>
      </c>
      <c r="H57" t="s">
        <v>731</v>
      </c>
      <c r="I57" t="s">
        <v>536</v>
      </c>
      <c r="J57">
        <v>950</v>
      </c>
      <c r="K57" t="s">
        <v>595</v>
      </c>
      <c r="L57">
        <v>11400</v>
      </c>
      <c r="M57" t="s">
        <v>504</v>
      </c>
      <c r="N57" t="s">
        <v>504</v>
      </c>
      <c r="O57" t="s">
        <v>338</v>
      </c>
      <c r="P57" t="s">
        <v>338</v>
      </c>
    </row>
    <row r="58" spans="1:16">
      <c r="A58" t="s">
        <v>1348</v>
      </c>
      <c r="B58" t="s">
        <v>1349</v>
      </c>
      <c r="C58" t="s">
        <v>497</v>
      </c>
      <c r="D58" t="s">
        <v>1346</v>
      </c>
      <c r="E58" t="s">
        <v>490</v>
      </c>
      <c r="F58" t="s">
        <v>34</v>
      </c>
      <c r="G58" t="s">
        <v>1341</v>
      </c>
      <c r="H58" t="s">
        <v>731</v>
      </c>
      <c r="I58" t="s">
        <v>1350</v>
      </c>
      <c r="J58">
        <v>950</v>
      </c>
      <c r="K58" t="s">
        <v>595</v>
      </c>
      <c r="L58">
        <v>11400</v>
      </c>
      <c r="M58" t="s">
        <v>505</v>
      </c>
      <c r="N58" t="s">
        <v>504</v>
      </c>
      <c r="O58" t="s">
        <v>1347</v>
      </c>
      <c r="P58" t="s">
        <v>338</v>
      </c>
    </row>
    <row r="59" spans="1:16">
      <c r="A59" t="s">
        <v>510</v>
      </c>
      <c r="B59" t="s">
        <v>1423</v>
      </c>
      <c r="C59" t="s">
        <v>497</v>
      </c>
      <c r="D59" t="s">
        <v>1361</v>
      </c>
      <c r="E59" t="s">
        <v>1361</v>
      </c>
      <c r="F59" t="s">
        <v>63</v>
      </c>
      <c r="G59" t="s">
        <v>1362</v>
      </c>
      <c r="H59" t="s">
        <v>1363</v>
      </c>
      <c r="I59" t="s">
        <v>1364</v>
      </c>
      <c r="J59">
        <v>115000</v>
      </c>
      <c r="K59" t="s">
        <v>1365</v>
      </c>
      <c r="L59">
        <v>115000</v>
      </c>
      <c r="M59" t="s">
        <v>504</v>
      </c>
      <c r="N59" t="s">
        <v>504</v>
      </c>
      <c r="O59" t="s">
        <v>338</v>
      </c>
      <c r="P59" t="s">
        <v>338</v>
      </c>
    </row>
    <row r="60" spans="1:16">
      <c r="A60" t="s">
        <v>1485</v>
      </c>
      <c r="B60" t="s">
        <v>1486</v>
      </c>
      <c r="C60" t="s">
        <v>497</v>
      </c>
      <c r="D60" t="s">
        <v>1346</v>
      </c>
      <c r="E60" t="s">
        <v>490</v>
      </c>
      <c r="F60" t="s">
        <v>63</v>
      </c>
      <c r="G60" t="s">
        <v>1341</v>
      </c>
      <c r="H60" t="s">
        <v>731</v>
      </c>
      <c r="I60" t="s">
        <v>1364</v>
      </c>
      <c r="J60">
        <v>1125</v>
      </c>
      <c r="K60" t="s">
        <v>595</v>
      </c>
      <c r="L60">
        <v>13500</v>
      </c>
      <c r="M60" t="s">
        <v>504</v>
      </c>
      <c r="N60" t="s">
        <v>504</v>
      </c>
      <c r="O60" t="s">
        <v>338</v>
      </c>
      <c r="P60" t="s">
        <v>1558</v>
      </c>
    </row>
    <row r="61" spans="1:16">
      <c r="A61" t="s">
        <v>1442</v>
      </c>
      <c r="B61" t="s">
        <v>1443</v>
      </c>
      <c r="C61" t="s">
        <v>497</v>
      </c>
      <c r="D61" t="s">
        <v>1444</v>
      </c>
      <c r="E61" t="s">
        <v>81</v>
      </c>
      <c r="F61" t="s">
        <v>87</v>
      </c>
      <c r="G61" t="s">
        <v>1372</v>
      </c>
      <c r="H61" t="s">
        <v>731</v>
      </c>
      <c r="I61" t="s">
        <v>1364</v>
      </c>
      <c r="J61">
        <v>1500</v>
      </c>
      <c r="K61" t="s">
        <v>595</v>
      </c>
      <c r="L61">
        <v>18000</v>
      </c>
      <c r="M61" t="s">
        <v>504</v>
      </c>
      <c r="N61" t="s">
        <v>504</v>
      </c>
      <c r="O61" t="s">
        <v>338</v>
      </c>
      <c r="P61" t="s">
        <v>1556</v>
      </c>
    </row>
    <row r="62" spans="1:16">
      <c r="A62" t="s">
        <v>651</v>
      </c>
      <c r="B62" t="s">
        <v>1420</v>
      </c>
      <c r="C62" t="s">
        <v>497</v>
      </c>
      <c r="D62" t="s">
        <v>1398</v>
      </c>
      <c r="E62" t="s">
        <v>1510</v>
      </c>
      <c r="F62" t="s">
        <v>37</v>
      </c>
      <c r="G62" t="s">
        <v>1341</v>
      </c>
      <c r="H62" t="s">
        <v>731</v>
      </c>
      <c r="I62" t="s">
        <v>1382</v>
      </c>
      <c r="J62">
        <v>950</v>
      </c>
      <c r="K62" t="s">
        <v>595</v>
      </c>
      <c r="L62">
        <v>11400</v>
      </c>
      <c r="M62" t="s">
        <v>504</v>
      </c>
      <c r="N62" t="s">
        <v>504</v>
      </c>
      <c r="O62" t="s">
        <v>338</v>
      </c>
      <c r="P62" t="s">
        <v>338</v>
      </c>
    </row>
    <row r="63" spans="1:16">
      <c r="A63" t="s">
        <v>580</v>
      </c>
      <c r="B63" t="s">
        <v>1461</v>
      </c>
      <c r="C63" t="s">
        <v>497</v>
      </c>
      <c r="D63" t="s">
        <v>1407</v>
      </c>
      <c r="E63" t="s">
        <v>490</v>
      </c>
      <c r="F63" t="s">
        <v>34</v>
      </c>
      <c r="G63" t="s">
        <v>1341</v>
      </c>
      <c r="H63" t="s">
        <v>731</v>
      </c>
      <c r="I63" t="s">
        <v>581</v>
      </c>
      <c r="J63">
        <v>1200</v>
      </c>
      <c r="K63" t="s">
        <v>595</v>
      </c>
      <c r="L63">
        <v>14400</v>
      </c>
      <c r="M63" t="s">
        <v>504</v>
      </c>
      <c r="N63" t="s">
        <v>504</v>
      </c>
      <c r="O63" t="s">
        <v>338</v>
      </c>
      <c r="P63" t="s">
        <v>338</v>
      </c>
    </row>
    <row r="64" spans="1:16">
      <c r="A64" t="s">
        <v>716</v>
      </c>
      <c r="B64" t="s">
        <v>1484</v>
      </c>
      <c r="C64" t="s">
        <v>497</v>
      </c>
      <c r="D64" t="s">
        <v>1427</v>
      </c>
      <c r="E64" t="s">
        <v>1510</v>
      </c>
      <c r="F64" t="s">
        <v>37</v>
      </c>
      <c r="G64" t="s">
        <v>1341</v>
      </c>
      <c r="H64" t="s">
        <v>731</v>
      </c>
      <c r="I64" t="s">
        <v>1364</v>
      </c>
      <c r="J64">
        <v>950</v>
      </c>
      <c r="K64" t="s">
        <v>595</v>
      </c>
      <c r="L64">
        <v>11400</v>
      </c>
      <c r="M64" t="s">
        <v>504</v>
      </c>
      <c r="N64" t="s">
        <v>504</v>
      </c>
      <c r="O64" t="s">
        <v>338</v>
      </c>
      <c r="P64" t="s">
        <v>338</v>
      </c>
    </row>
    <row r="65" spans="1:16">
      <c r="A65" t="s">
        <v>862</v>
      </c>
      <c r="B65" t="s">
        <v>1381</v>
      </c>
      <c r="C65" t="s">
        <v>497</v>
      </c>
      <c r="D65" t="s">
        <v>1346</v>
      </c>
      <c r="E65" t="s">
        <v>490</v>
      </c>
      <c r="F65" t="s">
        <v>34</v>
      </c>
      <c r="G65" t="s">
        <v>1341</v>
      </c>
      <c r="H65" t="s">
        <v>731</v>
      </c>
      <c r="I65" t="s">
        <v>1382</v>
      </c>
      <c r="J65">
        <v>950</v>
      </c>
      <c r="K65" t="s">
        <v>595</v>
      </c>
      <c r="L65">
        <v>11400</v>
      </c>
      <c r="M65" t="s">
        <v>504</v>
      </c>
      <c r="N65" t="s">
        <v>504</v>
      </c>
      <c r="O65" t="s">
        <v>338</v>
      </c>
      <c r="P65" t="s">
        <v>338</v>
      </c>
    </row>
    <row r="66" spans="1:16">
      <c r="A66" t="s">
        <v>1338</v>
      </c>
      <c r="B66" t="s">
        <v>1339</v>
      </c>
      <c r="C66" t="s">
        <v>497</v>
      </c>
      <c r="D66" t="s">
        <v>1340</v>
      </c>
      <c r="E66" t="s">
        <v>1508</v>
      </c>
      <c r="F66" t="s">
        <v>36</v>
      </c>
      <c r="G66" t="s">
        <v>1341</v>
      </c>
      <c r="H66" t="s">
        <v>731</v>
      </c>
      <c r="I66" t="s">
        <v>1342</v>
      </c>
      <c r="J66">
        <v>1100</v>
      </c>
      <c r="K66" t="s">
        <v>595</v>
      </c>
      <c r="L66">
        <v>13200</v>
      </c>
      <c r="M66" t="s">
        <v>505</v>
      </c>
      <c r="N66" t="s">
        <v>504</v>
      </c>
      <c r="O66" t="s">
        <v>1343</v>
      </c>
      <c r="P66" t="s">
        <v>1557</v>
      </c>
    </row>
    <row r="67" spans="1:16">
      <c r="A67" t="s">
        <v>1369</v>
      </c>
      <c r="B67" t="s">
        <v>1370</v>
      </c>
      <c r="C67" t="s">
        <v>497</v>
      </c>
      <c r="D67" t="s">
        <v>1371</v>
      </c>
      <c r="E67" t="s">
        <v>1509</v>
      </c>
      <c r="F67" t="s">
        <v>37</v>
      </c>
      <c r="G67" t="s">
        <v>1372</v>
      </c>
      <c r="H67" t="s">
        <v>731</v>
      </c>
      <c r="I67" t="s">
        <v>1373</v>
      </c>
      <c r="J67">
        <v>1500</v>
      </c>
      <c r="K67" t="s">
        <v>595</v>
      </c>
      <c r="L67">
        <v>18000</v>
      </c>
      <c r="M67" t="s">
        <v>504</v>
      </c>
      <c r="N67" t="s">
        <v>504</v>
      </c>
      <c r="O67" t="s">
        <v>338</v>
      </c>
      <c r="P67" t="s">
        <v>338</v>
      </c>
    </row>
    <row r="68" spans="1:16">
      <c r="A68" t="s">
        <v>1400</v>
      </c>
      <c r="B68" t="s">
        <v>1401</v>
      </c>
      <c r="C68" t="s">
        <v>505</v>
      </c>
      <c r="D68" t="s">
        <v>491</v>
      </c>
      <c r="E68" t="s">
        <v>491</v>
      </c>
      <c r="F68" t="s">
        <v>35</v>
      </c>
      <c r="G68" t="s">
        <v>1341</v>
      </c>
      <c r="H68" t="s">
        <v>731</v>
      </c>
      <c r="I68" t="s">
        <v>338</v>
      </c>
      <c r="K68" t="s">
        <v>338</v>
      </c>
      <c r="M68" t="s">
        <v>504</v>
      </c>
      <c r="N68" t="s">
        <v>505</v>
      </c>
      <c r="O68" t="s">
        <v>1402</v>
      </c>
      <c r="P68" t="s">
        <v>338</v>
      </c>
    </row>
    <row r="69" spans="1:16">
      <c r="A69" t="s">
        <v>1432</v>
      </c>
      <c r="B69" t="s">
        <v>1433</v>
      </c>
      <c r="C69" t="s">
        <v>497</v>
      </c>
      <c r="D69" t="s">
        <v>1346</v>
      </c>
      <c r="E69" t="s">
        <v>490</v>
      </c>
      <c r="F69" t="s">
        <v>34</v>
      </c>
      <c r="G69" t="s">
        <v>1341</v>
      </c>
      <c r="H69" t="s">
        <v>731</v>
      </c>
      <c r="I69" t="s">
        <v>1422</v>
      </c>
      <c r="J69">
        <v>1025</v>
      </c>
      <c r="K69" t="s">
        <v>595</v>
      </c>
      <c r="L69">
        <v>12300</v>
      </c>
      <c r="M69" t="s">
        <v>504</v>
      </c>
      <c r="N69" t="s">
        <v>504</v>
      </c>
      <c r="O69" t="s">
        <v>338</v>
      </c>
      <c r="P69" t="s">
        <v>338</v>
      </c>
    </row>
    <row r="70" spans="1:16">
      <c r="A70" t="s">
        <v>681</v>
      </c>
      <c r="B70" t="s">
        <v>1418</v>
      </c>
      <c r="C70" t="s">
        <v>497</v>
      </c>
      <c r="D70" t="s">
        <v>491</v>
      </c>
      <c r="E70" t="s">
        <v>491</v>
      </c>
      <c r="F70" t="s">
        <v>35</v>
      </c>
      <c r="G70" t="s">
        <v>1341</v>
      </c>
      <c r="H70" t="s">
        <v>731</v>
      </c>
      <c r="I70" t="s">
        <v>1359</v>
      </c>
      <c r="J70">
        <v>1800</v>
      </c>
      <c r="K70" t="s">
        <v>595</v>
      </c>
      <c r="L70">
        <v>21600</v>
      </c>
      <c r="M70" t="s">
        <v>504</v>
      </c>
      <c r="N70" t="s">
        <v>504</v>
      </c>
      <c r="O70" t="s">
        <v>338</v>
      </c>
      <c r="P70" t="s">
        <v>338</v>
      </c>
    </row>
    <row r="71" spans="1:16">
      <c r="A71" t="s">
        <v>715</v>
      </c>
      <c r="B71" t="s">
        <v>1397</v>
      </c>
      <c r="C71" t="s">
        <v>497</v>
      </c>
      <c r="D71" t="s">
        <v>1398</v>
      </c>
      <c r="E71" t="s">
        <v>1510</v>
      </c>
      <c r="F71" t="s">
        <v>37</v>
      </c>
      <c r="G71" t="s">
        <v>1341</v>
      </c>
      <c r="H71" t="s">
        <v>731</v>
      </c>
      <c r="I71" t="s">
        <v>1382</v>
      </c>
      <c r="J71">
        <v>950</v>
      </c>
      <c r="K71" t="s">
        <v>595</v>
      </c>
      <c r="L71">
        <v>11400</v>
      </c>
      <c r="M71" t="s">
        <v>504</v>
      </c>
      <c r="N71" t="s">
        <v>504</v>
      </c>
      <c r="O71" t="s">
        <v>338</v>
      </c>
      <c r="P71" t="s">
        <v>338</v>
      </c>
    </row>
    <row r="72" spans="1:16">
      <c r="A72" t="s">
        <v>1378</v>
      </c>
      <c r="B72" t="s">
        <v>1455</v>
      </c>
      <c r="C72" t="s">
        <v>497</v>
      </c>
      <c r="D72" t="s">
        <v>491</v>
      </c>
      <c r="E72" t="s">
        <v>491</v>
      </c>
      <c r="F72" t="s">
        <v>35</v>
      </c>
      <c r="G72" t="s">
        <v>1341</v>
      </c>
      <c r="H72" t="s">
        <v>731</v>
      </c>
      <c r="I72" t="s">
        <v>533</v>
      </c>
      <c r="J72">
        <v>1800</v>
      </c>
      <c r="K72" t="s">
        <v>595</v>
      </c>
      <c r="L72">
        <v>21600</v>
      </c>
      <c r="M72" t="s">
        <v>504</v>
      </c>
      <c r="N72" t="s">
        <v>504</v>
      </c>
      <c r="O72" t="s">
        <v>338</v>
      </c>
      <c r="P72" t="s">
        <v>338</v>
      </c>
    </row>
    <row r="73" spans="1:16">
      <c r="A73" t="s">
        <v>602</v>
      </c>
      <c r="B73" t="s">
        <v>1406</v>
      </c>
      <c r="C73" t="s">
        <v>497</v>
      </c>
      <c r="D73" t="s">
        <v>1407</v>
      </c>
      <c r="E73" t="s">
        <v>490</v>
      </c>
      <c r="F73" t="s">
        <v>34</v>
      </c>
      <c r="G73" t="s">
        <v>1341</v>
      </c>
      <c r="H73" t="s">
        <v>731</v>
      </c>
      <c r="I73" t="s">
        <v>536</v>
      </c>
      <c r="J73">
        <v>1200</v>
      </c>
      <c r="K73" t="s">
        <v>595</v>
      </c>
      <c r="L73">
        <v>14400</v>
      </c>
      <c r="M73" t="s">
        <v>504</v>
      </c>
      <c r="N73" t="s">
        <v>504</v>
      </c>
      <c r="O73" t="s">
        <v>1408</v>
      </c>
      <c r="P73" t="s">
        <v>338</v>
      </c>
    </row>
    <row r="74" spans="1:16">
      <c r="A74" t="s">
        <v>1440</v>
      </c>
      <c r="B74" t="s">
        <v>1441</v>
      </c>
      <c r="C74" t="s">
        <v>497</v>
      </c>
      <c r="D74" t="s">
        <v>1346</v>
      </c>
      <c r="E74" t="s">
        <v>490</v>
      </c>
      <c r="F74" t="s">
        <v>34</v>
      </c>
      <c r="G74" t="s">
        <v>1341</v>
      </c>
      <c r="H74" t="s">
        <v>731</v>
      </c>
      <c r="I74" t="s">
        <v>546</v>
      </c>
      <c r="J74">
        <v>950</v>
      </c>
      <c r="K74" t="s">
        <v>595</v>
      </c>
      <c r="L74">
        <v>11400</v>
      </c>
      <c r="M74" t="s">
        <v>504</v>
      </c>
      <c r="N74" t="s">
        <v>504</v>
      </c>
      <c r="O74" t="s">
        <v>338</v>
      </c>
      <c r="P74" t="s">
        <v>338</v>
      </c>
    </row>
    <row r="75" spans="1:16">
      <c r="A75" t="s">
        <v>1351</v>
      </c>
      <c r="B75" t="s">
        <v>1352</v>
      </c>
      <c r="C75" t="s">
        <v>505</v>
      </c>
      <c r="D75" t="s">
        <v>1346</v>
      </c>
      <c r="E75" t="s">
        <v>490</v>
      </c>
      <c r="F75" t="s">
        <v>34</v>
      </c>
      <c r="G75" t="s">
        <v>1341</v>
      </c>
      <c r="H75" t="s">
        <v>731</v>
      </c>
      <c r="I75" t="s">
        <v>338</v>
      </c>
      <c r="K75" t="s">
        <v>338</v>
      </c>
      <c r="M75" t="s">
        <v>504</v>
      </c>
      <c r="N75" t="s">
        <v>505</v>
      </c>
      <c r="O75" t="s">
        <v>1353</v>
      </c>
      <c r="P75" t="s">
        <v>338</v>
      </c>
    </row>
    <row r="76" spans="1:16">
      <c r="A76" t="s">
        <v>1445</v>
      </c>
      <c r="B76" t="s">
        <v>1446</v>
      </c>
      <c r="C76" t="s">
        <v>497</v>
      </c>
      <c r="D76" t="s">
        <v>1447</v>
      </c>
      <c r="E76" t="s">
        <v>493</v>
      </c>
      <c r="F76" t="s">
        <v>63</v>
      </c>
      <c r="G76" t="s">
        <v>1341</v>
      </c>
      <c r="H76" t="s">
        <v>731</v>
      </c>
      <c r="I76" t="s">
        <v>1368</v>
      </c>
      <c r="J76">
        <v>1950</v>
      </c>
      <c r="K76" t="s">
        <v>595</v>
      </c>
      <c r="L76">
        <v>23400</v>
      </c>
      <c r="M76" t="s">
        <v>504</v>
      </c>
      <c r="N76" t="s">
        <v>504</v>
      </c>
      <c r="O76" t="s">
        <v>338</v>
      </c>
      <c r="P76" t="s">
        <v>338</v>
      </c>
    </row>
    <row r="77" spans="1:16">
      <c r="A77" t="s">
        <v>624</v>
      </c>
      <c r="B77" t="s">
        <v>1395</v>
      </c>
      <c r="C77" t="s">
        <v>497</v>
      </c>
      <c r="D77" t="s">
        <v>1346</v>
      </c>
      <c r="E77" t="s">
        <v>490</v>
      </c>
      <c r="F77" t="s">
        <v>34</v>
      </c>
      <c r="G77" t="s">
        <v>1341</v>
      </c>
      <c r="H77" t="s">
        <v>731</v>
      </c>
      <c r="I77" t="s">
        <v>550</v>
      </c>
      <c r="J77">
        <v>950</v>
      </c>
      <c r="K77" t="s">
        <v>595</v>
      </c>
      <c r="L77">
        <v>11400</v>
      </c>
      <c r="M77" t="s">
        <v>504</v>
      </c>
      <c r="N77" t="s">
        <v>504</v>
      </c>
      <c r="O77" t="s">
        <v>338</v>
      </c>
      <c r="P77" t="s">
        <v>338</v>
      </c>
    </row>
    <row r="78" spans="1:16">
      <c r="A78" t="s">
        <v>1386</v>
      </c>
      <c r="B78" t="s">
        <v>1387</v>
      </c>
      <c r="C78" t="s">
        <v>497</v>
      </c>
      <c r="D78" t="s">
        <v>1346</v>
      </c>
      <c r="E78" t="s">
        <v>490</v>
      </c>
      <c r="F78" t="s">
        <v>34</v>
      </c>
      <c r="G78" t="s">
        <v>1341</v>
      </c>
      <c r="H78" t="s">
        <v>731</v>
      </c>
      <c r="I78" t="s">
        <v>522</v>
      </c>
      <c r="J78">
        <v>950</v>
      </c>
      <c r="K78" t="s">
        <v>595</v>
      </c>
      <c r="L78">
        <v>11400</v>
      </c>
      <c r="M78" t="s">
        <v>504</v>
      </c>
      <c r="N78" t="s">
        <v>504</v>
      </c>
      <c r="O78" t="s">
        <v>338</v>
      </c>
      <c r="P78" t="s">
        <v>338</v>
      </c>
    </row>
    <row r="79" spans="1:16">
      <c r="A79" t="s">
        <v>565</v>
      </c>
      <c r="B79" t="s">
        <v>1424</v>
      </c>
      <c r="C79" t="s">
        <v>497</v>
      </c>
      <c r="D79" t="s">
        <v>1407</v>
      </c>
      <c r="E79" t="s">
        <v>490</v>
      </c>
      <c r="F79" t="s">
        <v>34</v>
      </c>
      <c r="G79" t="s">
        <v>1341</v>
      </c>
      <c r="H79" t="s">
        <v>731</v>
      </c>
      <c r="I79" t="s">
        <v>546</v>
      </c>
      <c r="J79">
        <v>1100</v>
      </c>
      <c r="K79" t="s">
        <v>595</v>
      </c>
      <c r="L79">
        <v>13200</v>
      </c>
      <c r="M79" t="s">
        <v>504</v>
      </c>
      <c r="N79" t="s">
        <v>504</v>
      </c>
      <c r="O79" t="s">
        <v>1425</v>
      </c>
      <c r="P79" t="s">
        <v>338</v>
      </c>
    </row>
    <row r="80" spans="1:16">
      <c r="A80" t="s">
        <v>576</v>
      </c>
      <c r="B80" t="s">
        <v>1379</v>
      </c>
      <c r="C80" t="s">
        <v>497</v>
      </c>
      <c r="D80" t="s">
        <v>1346</v>
      </c>
      <c r="E80" t="s">
        <v>490</v>
      </c>
      <c r="F80" t="s">
        <v>34</v>
      </c>
      <c r="G80" t="s">
        <v>1341</v>
      </c>
      <c r="H80" t="s">
        <v>731</v>
      </c>
      <c r="I80" t="s">
        <v>550</v>
      </c>
      <c r="J80">
        <v>950</v>
      </c>
      <c r="K80" t="s">
        <v>595</v>
      </c>
      <c r="L80">
        <v>11400</v>
      </c>
      <c r="M80" t="s">
        <v>504</v>
      </c>
      <c r="N80" t="s">
        <v>504</v>
      </c>
      <c r="O80" t="s">
        <v>338</v>
      </c>
      <c r="P80" t="s">
        <v>338</v>
      </c>
    </row>
    <row r="81" spans="1:16">
      <c r="A81" t="s">
        <v>556</v>
      </c>
      <c r="B81" t="s">
        <v>1418</v>
      </c>
      <c r="C81" t="s">
        <v>497</v>
      </c>
      <c r="D81" t="s">
        <v>1346</v>
      </c>
      <c r="E81" t="s">
        <v>490</v>
      </c>
      <c r="F81" t="s">
        <v>34</v>
      </c>
      <c r="G81" t="s">
        <v>1341</v>
      </c>
      <c r="H81" t="s">
        <v>731</v>
      </c>
      <c r="I81" t="s">
        <v>557</v>
      </c>
      <c r="J81">
        <v>950</v>
      </c>
      <c r="K81" t="s">
        <v>595</v>
      </c>
      <c r="L81">
        <v>11400</v>
      </c>
      <c r="M81" t="s">
        <v>504</v>
      </c>
      <c r="N81" t="s">
        <v>504</v>
      </c>
      <c r="O81" t="s">
        <v>338</v>
      </c>
      <c r="P81" t="s">
        <v>338</v>
      </c>
    </row>
    <row r="82" spans="1:16">
      <c r="A82" t="s">
        <v>1426</v>
      </c>
      <c r="B82" t="s">
        <v>1424</v>
      </c>
      <c r="C82" t="s">
        <v>497</v>
      </c>
      <c r="D82" t="s">
        <v>1427</v>
      </c>
      <c r="E82" t="s">
        <v>1510</v>
      </c>
      <c r="F82" t="s">
        <v>37</v>
      </c>
      <c r="G82" t="s">
        <v>1341</v>
      </c>
      <c r="H82" t="s">
        <v>731</v>
      </c>
      <c r="I82" t="s">
        <v>1364</v>
      </c>
      <c r="J82">
        <v>925</v>
      </c>
      <c r="K82" t="s">
        <v>595</v>
      </c>
      <c r="L82">
        <v>11100</v>
      </c>
      <c r="M82" t="s">
        <v>504</v>
      </c>
      <c r="N82" t="s">
        <v>504</v>
      </c>
      <c r="O82" t="s">
        <v>338</v>
      </c>
      <c r="P82" t="s">
        <v>338</v>
      </c>
    </row>
    <row r="83" spans="1:16">
      <c r="A83" t="s">
        <v>877</v>
      </c>
      <c r="B83" t="s">
        <v>1479</v>
      </c>
      <c r="C83" t="s">
        <v>497</v>
      </c>
      <c r="D83" t="s">
        <v>1477</v>
      </c>
      <c r="E83" t="s">
        <v>491</v>
      </c>
      <c r="F83" t="s">
        <v>38</v>
      </c>
      <c r="G83" t="s">
        <v>1341</v>
      </c>
      <c r="H83" t="s">
        <v>731</v>
      </c>
      <c r="I83" t="s">
        <v>510</v>
      </c>
      <c r="J83">
        <v>2300</v>
      </c>
      <c r="K83" t="s">
        <v>595</v>
      </c>
      <c r="L83">
        <v>27600</v>
      </c>
      <c r="M83" t="s">
        <v>504</v>
      </c>
      <c r="N83" t="s">
        <v>504</v>
      </c>
      <c r="O83" t="s">
        <v>338</v>
      </c>
      <c r="P83" t="s">
        <v>338</v>
      </c>
    </row>
    <row r="84" spans="1:16">
      <c r="A84" t="s">
        <v>581</v>
      </c>
      <c r="B84" t="s">
        <v>1492</v>
      </c>
      <c r="C84" t="s">
        <v>497</v>
      </c>
      <c r="D84" t="s">
        <v>491</v>
      </c>
      <c r="E84" t="s">
        <v>491</v>
      </c>
      <c r="F84" t="s">
        <v>35</v>
      </c>
      <c r="G84" t="s">
        <v>1341</v>
      </c>
      <c r="H84" t="s">
        <v>731</v>
      </c>
      <c r="I84" t="s">
        <v>510</v>
      </c>
      <c r="J84">
        <v>1925</v>
      </c>
      <c r="K84" t="s">
        <v>595</v>
      </c>
      <c r="L84">
        <v>23100</v>
      </c>
      <c r="M84" t="s">
        <v>504</v>
      </c>
      <c r="N84" t="s">
        <v>504</v>
      </c>
      <c r="O84" t="s">
        <v>338</v>
      </c>
      <c r="P84" t="s">
        <v>338</v>
      </c>
    </row>
    <row r="85" spans="1:16">
      <c r="A85" t="s">
        <v>1385</v>
      </c>
      <c r="B85" t="s">
        <v>1421</v>
      </c>
      <c r="C85" t="s">
        <v>497</v>
      </c>
      <c r="D85" t="s">
        <v>1346</v>
      </c>
      <c r="E85" t="s">
        <v>490</v>
      </c>
      <c r="F85" t="s">
        <v>34</v>
      </c>
      <c r="G85" t="s">
        <v>1341</v>
      </c>
      <c r="H85" t="s">
        <v>731</v>
      </c>
      <c r="I85" t="s">
        <v>1422</v>
      </c>
      <c r="J85">
        <v>950</v>
      </c>
      <c r="K85" t="s">
        <v>595</v>
      </c>
      <c r="L85">
        <v>11400</v>
      </c>
      <c r="M85" t="s">
        <v>504</v>
      </c>
      <c r="N85" t="s">
        <v>504</v>
      </c>
      <c r="O85" t="s">
        <v>338</v>
      </c>
      <c r="P85" t="s">
        <v>338</v>
      </c>
    </row>
    <row r="86" spans="1:16">
      <c r="A86" t="s">
        <v>1359</v>
      </c>
      <c r="B86" t="s">
        <v>1360</v>
      </c>
      <c r="C86" t="s">
        <v>497</v>
      </c>
      <c r="D86" t="s">
        <v>1361</v>
      </c>
      <c r="E86" t="s">
        <v>1361</v>
      </c>
      <c r="F86" t="s">
        <v>63</v>
      </c>
      <c r="G86" t="s">
        <v>1362</v>
      </c>
      <c r="H86" t="s">
        <v>1363</v>
      </c>
      <c r="I86" t="s">
        <v>1364</v>
      </c>
      <c r="J86">
        <v>110000</v>
      </c>
      <c r="K86" t="s">
        <v>1365</v>
      </c>
      <c r="L86">
        <v>110000</v>
      </c>
      <c r="M86" t="s">
        <v>504</v>
      </c>
      <c r="N86" t="s">
        <v>504</v>
      </c>
      <c r="O86" t="s">
        <v>338</v>
      </c>
      <c r="P86" t="s">
        <v>338</v>
      </c>
    </row>
    <row r="87" spans="1:16">
      <c r="A87" t="s">
        <v>1377</v>
      </c>
      <c r="B87" t="s">
        <v>1375</v>
      </c>
      <c r="C87" t="s">
        <v>497</v>
      </c>
      <c r="D87" t="s">
        <v>1346</v>
      </c>
      <c r="E87" t="s">
        <v>490</v>
      </c>
      <c r="F87" t="s">
        <v>34</v>
      </c>
      <c r="G87" t="s">
        <v>1341</v>
      </c>
      <c r="H87" t="s">
        <v>731</v>
      </c>
      <c r="I87" t="s">
        <v>1378</v>
      </c>
      <c r="J87">
        <v>950</v>
      </c>
      <c r="K87" t="s">
        <v>595</v>
      </c>
      <c r="L87">
        <v>11400</v>
      </c>
      <c r="M87" t="s">
        <v>504</v>
      </c>
      <c r="N87" t="s">
        <v>504</v>
      </c>
      <c r="O87" t="s">
        <v>338</v>
      </c>
      <c r="P87" t="s">
        <v>338</v>
      </c>
    </row>
    <row r="88" spans="1:16">
      <c r="A88" t="s">
        <v>1465</v>
      </c>
      <c r="B88" t="s">
        <v>1466</v>
      </c>
      <c r="C88" t="s">
        <v>497</v>
      </c>
      <c r="D88" t="s">
        <v>1346</v>
      </c>
      <c r="E88" t="s">
        <v>490</v>
      </c>
      <c r="F88" t="s">
        <v>34</v>
      </c>
      <c r="G88" t="s">
        <v>1341</v>
      </c>
      <c r="H88" t="s">
        <v>731</v>
      </c>
      <c r="I88" t="s">
        <v>1422</v>
      </c>
      <c r="J88">
        <v>1000</v>
      </c>
      <c r="K88" t="s">
        <v>595</v>
      </c>
      <c r="L88">
        <v>12000</v>
      </c>
      <c r="M88" t="s">
        <v>504</v>
      </c>
      <c r="N88" t="s">
        <v>504</v>
      </c>
      <c r="O88" t="s">
        <v>338</v>
      </c>
      <c r="P88" t="s">
        <v>338</v>
      </c>
    </row>
    <row r="89" spans="1:16">
      <c r="A89" t="s">
        <v>523</v>
      </c>
      <c r="B89" t="s">
        <v>1412</v>
      </c>
      <c r="C89" t="s">
        <v>497</v>
      </c>
      <c r="D89" t="s">
        <v>1367</v>
      </c>
      <c r="E89" t="s">
        <v>493</v>
      </c>
      <c r="F89" t="s">
        <v>63</v>
      </c>
      <c r="G89" t="s">
        <v>1341</v>
      </c>
      <c r="H89" t="s">
        <v>731</v>
      </c>
      <c r="I89" t="s">
        <v>1368</v>
      </c>
      <c r="J89">
        <v>850</v>
      </c>
      <c r="K89" t="s">
        <v>595</v>
      </c>
      <c r="L89">
        <v>10200</v>
      </c>
      <c r="M89" t="s">
        <v>504</v>
      </c>
      <c r="N89" t="s">
        <v>504</v>
      </c>
      <c r="O89" t="s">
        <v>338</v>
      </c>
      <c r="P89" t="s">
        <v>338</v>
      </c>
    </row>
    <row r="90" spans="1:16">
      <c r="A90" t="s">
        <v>1472</v>
      </c>
      <c r="B90" t="s">
        <v>1473</v>
      </c>
      <c r="C90" t="s">
        <v>497</v>
      </c>
      <c r="D90" t="s">
        <v>1407</v>
      </c>
      <c r="E90" t="s">
        <v>490</v>
      </c>
      <c r="F90" t="s">
        <v>34</v>
      </c>
      <c r="G90" t="s">
        <v>1341</v>
      </c>
      <c r="H90" t="s">
        <v>731</v>
      </c>
      <c r="I90" t="s">
        <v>536</v>
      </c>
      <c r="J90">
        <v>1100</v>
      </c>
      <c r="K90" t="s">
        <v>595</v>
      </c>
      <c r="L90">
        <v>13200</v>
      </c>
      <c r="M90" t="s">
        <v>504</v>
      </c>
      <c r="N90" t="s">
        <v>504</v>
      </c>
      <c r="O90" t="s">
        <v>338</v>
      </c>
      <c r="P90" t="s">
        <v>338</v>
      </c>
    </row>
    <row r="96" spans="1:16">
      <c r="A96" t="s">
        <v>1559</v>
      </c>
    </row>
    <row r="97" spans="1:3">
      <c r="A97" t="s">
        <v>1560</v>
      </c>
    </row>
    <row r="98" spans="1:3">
      <c r="A98" t="s">
        <v>1561</v>
      </c>
    </row>
    <row r="99" spans="1:3">
      <c r="A99" t="s">
        <v>1562</v>
      </c>
    </row>
    <row r="100" spans="1:3">
      <c r="A100" t="s">
        <v>1563</v>
      </c>
    </row>
    <row r="101" spans="1:3">
      <c r="A101" t="s">
        <v>1564</v>
      </c>
    </row>
    <row r="102" spans="1:3">
      <c r="A102" t="s">
        <v>1565</v>
      </c>
    </row>
    <row r="103" spans="1:3">
      <c r="A103" t="s">
        <v>1566</v>
      </c>
    </row>
    <row r="105" spans="1:3">
      <c r="A105" t="s">
        <v>1567</v>
      </c>
      <c r="B105" t="s">
        <v>1568</v>
      </c>
      <c r="C105" t="s">
        <v>1335</v>
      </c>
    </row>
    <row r="106" spans="1:3">
      <c r="A106" t="s">
        <v>63</v>
      </c>
      <c r="B106">
        <v>15</v>
      </c>
      <c r="C106" s="272">
        <v>681300</v>
      </c>
    </row>
    <row r="107" spans="1:3">
      <c r="A107" t="s">
        <v>34</v>
      </c>
      <c r="B107">
        <v>40</v>
      </c>
      <c r="C107" s="272">
        <v>492600</v>
      </c>
    </row>
    <row r="108" spans="1:3">
      <c r="A108" t="s">
        <v>35</v>
      </c>
      <c r="B108">
        <v>13</v>
      </c>
      <c r="C108" s="272">
        <v>295200</v>
      </c>
    </row>
    <row r="109" spans="1:3">
      <c r="A109" t="s">
        <v>80</v>
      </c>
      <c r="B109">
        <v>1</v>
      </c>
      <c r="C109" s="272">
        <v>228245</v>
      </c>
    </row>
    <row r="110" spans="1:3">
      <c r="A110" t="s">
        <v>37</v>
      </c>
      <c r="B110">
        <v>8</v>
      </c>
      <c r="C110" s="272">
        <v>134100</v>
      </c>
    </row>
    <row r="111" spans="1:3">
      <c r="A111" t="s">
        <v>38</v>
      </c>
      <c r="B111">
        <v>3</v>
      </c>
      <c r="C111" s="272">
        <v>85200</v>
      </c>
    </row>
    <row r="112" spans="1:3">
      <c r="A112" t="s">
        <v>36</v>
      </c>
      <c r="B112">
        <v>4</v>
      </c>
      <c r="C112" s="272">
        <v>58200</v>
      </c>
    </row>
    <row r="113" spans="1:3">
      <c r="A113" t="s">
        <v>87</v>
      </c>
      <c r="B113">
        <v>2</v>
      </c>
      <c r="C113" s="272">
        <v>46200</v>
      </c>
    </row>
    <row r="114" spans="1:3">
      <c r="A114" t="s">
        <v>449</v>
      </c>
      <c r="B114">
        <v>86</v>
      </c>
      <c r="C114" s="272">
        <v>2021045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198"/>
      <c r="C5" s="198"/>
      <c r="D5" s="74" t="s">
        <v>1185</v>
      </c>
      <c r="E5" s="200"/>
      <c r="F5" s="201"/>
      <c r="G5" s="198"/>
      <c r="H5" s="251"/>
      <c r="I5" s="74" t="s">
        <v>1310</v>
      </c>
      <c r="J5" s="200"/>
      <c r="K5" s="74" t="s">
        <v>1309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99" t="s">
        <v>1318</v>
      </c>
      <c r="H6" s="199" t="s">
        <v>1293</v>
      </c>
      <c r="I6" s="186" t="s">
        <v>1311</v>
      </c>
      <c r="J6" s="199" t="s">
        <v>1312</v>
      </c>
      <c r="K6" s="185">
        <v>45658</v>
      </c>
      <c r="L6" s="185">
        <f>EOMONTH(K6,0)+1</f>
        <v>45689</v>
      </c>
      <c r="M6" s="185">
        <f t="shared" ref="M6:AC6" si="0">EOMONTH(L6,0)+1</f>
        <v>45717</v>
      </c>
      <c r="N6" s="185">
        <f t="shared" si="0"/>
        <v>45748</v>
      </c>
      <c r="O6" s="185">
        <f t="shared" si="0"/>
        <v>45778</v>
      </c>
      <c r="P6" s="185">
        <f t="shared" si="0"/>
        <v>45809</v>
      </c>
      <c r="Q6" s="185">
        <f t="shared" si="0"/>
        <v>45839</v>
      </c>
      <c r="R6" s="185">
        <f t="shared" si="0"/>
        <v>45870</v>
      </c>
      <c r="S6" s="185">
        <f t="shared" si="0"/>
        <v>45901</v>
      </c>
      <c r="T6" s="185">
        <f t="shared" si="0"/>
        <v>45931</v>
      </c>
      <c r="U6" s="185">
        <f t="shared" si="0"/>
        <v>45962</v>
      </c>
      <c r="V6" s="185">
        <f t="shared" si="0"/>
        <v>45992</v>
      </c>
      <c r="W6" s="185">
        <f t="shared" si="0"/>
        <v>46023</v>
      </c>
      <c r="X6" s="185">
        <f t="shared" si="0"/>
        <v>46054</v>
      </c>
      <c r="Y6" s="185">
        <f t="shared" si="0"/>
        <v>46082</v>
      </c>
      <c r="Z6" s="185">
        <f t="shared" si="0"/>
        <v>46113</v>
      </c>
      <c r="AA6" s="185">
        <f t="shared" si="0"/>
        <v>46143</v>
      </c>
      <c r="AB6" s="185">
        <f t="shared" si="0"/>
        <v>46174</v>
      </c>
      <c r="AC6" s="185">
        <f t="shared" si="0"/>
        <v>46204</v>
      </c>
    </row>
    <row r="7" spans="2:39" ht="12" customHeight="1">
      <c r="B7" s="171" t="s">
        <v>496</v>
      </c>
      <c r="C7" s="171" t="str">
        <f>INDEX('Customer List w Software'!$B:$B,MATCH('Full Customer List'!$B7,'Customer List w Software'!$A:$A,0))</f>
        <v>Active</v>
      </c>
      <c r="D7" s="171" t="str">
        <f>INDEX('Customer List w Software'!$C:$C,MATCH('Full Customer List'!$B7,'Customer List w Software'!$A:$A,0))</f>
        <v>Property manager</v>
      </c>
      <c r="E7" s="171" t="str">
        <f>INDEX('Customer List Mapping'!$C:$C,MATCH('Full Customer List'!D7,'Customer List Mapping'!$B:$B,0))</f>
        <v>Property Manager</v>
      </c>
      <c r="F7" s="187">
        <f>INDEX('Customer List w Software'!$K:$K,MATCH('Full Customer List'!$B7,'Customer List w Software'!$A:$A,0))</f>
        <v>206</v>
      </c>
      <c r="G7" s="250">
        <f>INDEX('Revenue by Customer'!$I:$I,MATCH('Full Customer List'!$B7,'Revenue by Customer'!$A:$A,0))</f>
        <v>9193.0300000000007</v>
      </c>
      <c r="H7" s="250" t="str">
        <f>IFERROR(IF(C7="Active","",INDEX('Client Departures'!$G:$G,MATCH('Full Customer List'!$B7,'Client Departures'!$A:$A,0))),"Unclassified")</f>
        <v/>
      </c>
      <c r="I7" s="191">
        <v>45597</v>
      </c>
      <c r="J7" s="191"/>
      <c r="K7" s="187">
        <f>INDEX('Revenue by Customer'!K:K,MATCH('Full Customer List'!$B7,'Revenue by Customer'!$A:$A,0))</f>
        <v>4290</v>
      </c>
      <c r="L7" s="187">
        <f>INDEX('Revenue by Customer'!L:L,MATCH('Full Customer List'!$B7,'Revenue by Customer'!$A:$A,0))</f>
        <v>6665</v>
      </c>
      <c r="M7" s="187">
        <f>INDEX('Revenue by Customer'!M:M,MATCH('Full Customer List'!$B7,'Revenue by Customer'!$A:$A,0))</f>
        <v>15</v>
      </c>
      <c r="N7" s="187">
        <f>INDEX('Revenue by Customer'!N:N,MATCH('Full Customer List'!$B7,'Revenue by Customer'!$A:$A,0))</f>
        <v>4840</v>
      </c>
      <c r="O7" s="187">
        <f>INDEX('Revenue by Customer'!O:O,MATCH('Full Customer List'!$B7,'Revenue by Customer'!$A:$A,0))</f>
        <v>4810</v>
      </c>
      <c r="P7" s="187">
        <f>INDEX('Revenue by Customer'!P:P,MATCH('Full Customer List'!$B7,'Revenue by Customer'!$A:$A,0))</f>
        <v>4840</v>
      </c>
      <c r="Q7" s="187">
        <f>INDEX('Revenue by Customer'!Q:Q,MATCH('Full Customer List'!$B7,'Revenue by Customer'!$A:$A,0))</f>
        <v>5030</v>
      </c>
      <c r="R7" s="187">
        <f>INDEX('Revenue by Customer'!R:R,MATCH('Full Customer List'!$B7,'Revenue by Customer'!$A:$A,0))</f>
        <v>5120</v>
      </c>
      <c r="S7" s="187">
        <f>INDEX('Revenue by Customer'!S:S,MATCH('Full Customer List'!$B7,'Revenue by Customer'!$A:$A,0))</f>
        <v>6282.5</v>
      </c>
      <c r="T7" s="187">
        <f>INDEX('Revenue by Customer'!T:T,MATCH('Full Customer List'!$B7,'Revenue by Customer'!$A:$A,0))</f>
        <v>5310</v>
      </c>
      <c r="U7" s="187">
        <f>INDEX('Revenue by Customer'!U:U,MATCH('Full Customer List'!$B7,'Revenue by Customer'!$A:$A,0))</f>
        <v>6845</v>
      </c>
      <c r="V7" s="187">
        <f>INDEX('Revenue by Customer'!V:V,MATCH('Full Customer List'!$B7,'Revenue by Customer'!$A:$A,0))</f>
        <v>7910</v>
      </c>
      <c r="W7" s="187">
        <f>INDEX('Revenue by Customer'!W:W,MATCH('Full Customer List'!$B7,'Revenue by Customer'!$A:$A,0))</f>
        <v>8715</v>
      </c>
      <c r="X7" s="187">
        <f>INDEX('Revenue by Customer'!X:X,MATCH('Full Customer List'!$B7,'Revenue by Customer'!$A:$A,0))</f>
        <v>11895</v>
      </c>
      <c r="Y7" s="187">
        <f>INDEX('Revenue by Customer'!Y:Y,MATCH('Full Customer List'!$B7,'Revenue by Customer'!$A:$A,0))</f>
        <v>8670</v>
      </c>
      <c r="Z7" s="187">
        <f>INDEX('Revenue by Customer'!Z:Z,MATCH('Full Customer List'!$B7,'Revenue by Customer'!$A:$A,0))</f>
        <v>9380</v>
      </c>
      <c r="AA7" s="187">
        <f>INDEX('Revenue by Customer'!AA:AA,MATCH('Full Customer List'!$B7,'Revenue by Customer'!$A:$A,0))</f>
        <v>8829.09</v>
      </c>
      <c r="AB7" s="187">
        <f>INDEX('Revenue by Customer'!AB:AB,MATCH('Full Customer List'!$B7,'Revenue by Customer'!$A:$A,0))</f>
        <v>9260</v>
      </c>
      <c r="AC7" s="187">
        <f>INDEX('Revenue by Customer'!AC:AC,MATCH('Full Customer List'!$B7,'Revenue by Customer'!$A:$A,0))</f>
        <v>9490</v>
      </c>
    </row>
    <row r="8" spans="2:39" ht="12" customHeight="1">
      <c r="B8" s="171" t="s">
        <v>512</v>
      </c>
      <c r="C8" s="171" t="str">
        <f>INDEX('Customer List w Software'!$B:$B,MATCH('Full Customer List'!$B8,'Customer List w Software'!$A:$A,0))</f>
        <v>Active</v>
      </c>
      <c r="D8" s="171" t="str">
        <f>INDEX('Customer List w Software'!$C:$C,MATCH('Full Customer List'!$B8,'Customer List w Software'!$A:$A,0))</f>
        <v>Property manager</v>
      </c>
      <c r="E8" s="171" t="str">
        <f>INDEX('Customer List Mapping'!$C:$C,MATCH('Full Customer List'!D8,'Customer List Mapping'!$B:$B,0))</f>
        <v>Property Manager</v>
      </c>
      <c r="F8" s="187">
        <f>INDEX('Customer List w Software'!$K:$K,MATCH('Full Customer List'!$B8,'Customer List w Software'!$A:$A,0))</f>
        <v>163</v>
      </c>
      <c r="G8" s="187">
        <f>INDEX('Revenue by Customer'!$I:$I,MATCH('Full Customer List'!$B8,'Revenue by Customer'!$A:$A,0))</f>
        <v>8686</v>
      </c>
      <c r="H8" s="250" t="str">
        <f>IFERROR(IF(C8="Active","",INDEX('Client Departures'!$G:$G,MATCH('Full Customer List'!$B8,'Client Departures'!$A:$A,0))),"Unclassified")</f>
        <v/>
      </c>
      <c r="I8" s="191">
        <v>45931</v>
      </c>
      <c r="J8" s="191"/>
      <c r="K8" s="187" t="str">
        <f>INDEX('Revenue by Customer'!K:K,MATCH('Full Customer List'!$B8,'Revenue by Customer'!$A:$A,0))</f>
        <v/>
      </c>
      <c r="L8" s="187" t="str">
        <f>INDEX('Revenue by Customer'!L:L,MATCH('Full Customer List'!$B8,'Revenue by Customer'!$A:$A,0))</f>
        <v/>
      </c>
      <c r="M8" s="187" t="str">
        <f>INDEX('Revenue by Customer'!M:M,MATCH('Full Customer List'!$B8,'Revenue by Customer'!$A:$A,0))</f>
        <v/>
      </c>
      <c r="N8" s="187" t="str">
        <f>INDEX('Revenue by Customer'!N:N,MATCH('Full Customer List'!$B8,'Revenue by Customer'!$A:$A,0))</f>
        <v/>
      </c>
      <c r="O8" s="187" t="str">
        <f>INDEX('Revenue by Customer'!O:O,MATCH('Full Customer List'!$B8,'Revenue by Customer'!$A:$A,0))</f>
        <v/>
      </c>
      <c r="P8" s="187" t="str">
        <f>INDEX('Revenue by Customer'!P:P,MATCH('Full Customer List'!$B8,'Revenue by Customer'!$A:$A,0))</f>
        <v/>
      </c>
      <c r="Q8" s="187" t="str">
        <f>INDEX('Revenue by Customer'!Q:Q,MATCH('Full Customer List'!$B8,'Revenue by Customer'!$A:$A,0))</f>
        <v/>
      </c>
      <c r="R8" s="187" t="str">
        <f>INDEX('Revenue by Customer'!R:R,MATCH('Full Customer List'!$B8,'Revenue by Customer'!$A:$A,0))</f>
        <v/>
      </c>
      <c r="S8" s="187" t="str">
        <f>INDEX('Revenue by Customer'!S:S,MATCH('Full Customer List'!$B8,'Revenue by Customer'!$A:$A,0))</f>
        <v/>
      </c>
      <c r="T8" s="187">
        <f>INDEX('Revenue by Customer'!T:T,MATCH('Full Customer List'!$B8,'Revenue by Customer'!$A:$A,0))</f>
        <v>7884</v>
      </c>
      <c r="U8" s="187">
        <f>INDEX('Revenue by Customer'!U:U,MATCH('Full Customer List'!$B8,'Revenue by Customer'!$A:$A,0))</f>
        <v>7301</v>
      </c>
      <c r="V8" s="187">
        <f>INDEX('Revenue by Customer'!V:V,MATCH('Full Customer List'!$B8,'Revenue by Customer'!$A:$A,0))</f>
        <v>9160</v>
      </c>
      <c r="W8" s="187">
        <f>INDEX('Revenue by Customer'!W:W,MATCH('Full Customer List'!$B8,'Revenue by Customer'!$A:$A,0))</f>
        <v>6887</v>
      </c>
      <c r="X8" s="187">
        <f>INDEX('Revenue by Customer'!X:X,MATCH('Full Customer List'!$B8,'Revenue by Customer'!$A:$A,0))</f>
        <v>11121</v>
      </c>
      <c r="Y8" s="187">
        <f>INDEX('Revenue by Customer'!Y:Y,MATCH('Full Customer List'!$B8,'Revenue by Customer'!$A:$A,0))</f>
        <v>8269</v>
      </c>
      <c r="Z8" s="187">
        <f>INDEX('Revenue by Customer'!Z:Z,MATCH('Full Customer List'!$B8,'Revenue by Customer'!$A:$A,0))</f>
        <v>8209</v>
      </c>
      <c r="AA8" s="187">
        <f>INDEX('Revenue by Customer'!AA:AA,MATCH('Full Customer List'!$B8,'Revenue by Customer'!$A:$A,0))</f>
        <v>8633</v>
      </c>
      <c r="AB8" s="187">
        <f>INDEX('Revenue by Customer'!AB:AB,MATCH('Full Customer List'!$B8,'Revenue by Customer'!$A:$A,0))</f>
        <v>8633</v>
      </c>
      <c r="AC8" s="187">
        <f>INDEX('Revenue by Customer'!AC:AC,MATCH('Full Customer List'!$B8,'Revenue by Customer'!$A:$A,0))</f>
        <v>8792</v>
      </c>
    </row>
    <row r="9" spans="2:39" ht="12" customHeight="1">
      <c r="B9" s="171" t="s">
        <v>519</v>
      </c>
      <c r="C9" s="171" t="str">
        <f>INDEX('Customer List w Software'!$B:$B,MATCH('Full Customer List'!$B9,'Customer List w Software'!$A:$A,0))</f>
        <v>Active</v>
      </c>
      <c r="D9" s="171" t="str">
        <f>INDEX('Customer List w Software'!$C:$C,MATCH('Full Customer List'!$B9,'Customer List w Software'!$A:$A,0))</f>
        <v>Property manager</v>
      </c>
      <c r="E9" s="171" t="str">
        <f>INDEX('Customer List Mapping'!$C:$C,MATCH('Full Customer List'!D9,'Customer List Mapping'!$B:$B,0))</f>
        <v>Property Manager</v>
      </c>
      <c r="F9" s="187">
        <f>INDEX('Customer List w Software'!$K:$K,MATCH('Full Customer List'!$B9,'Customer List w Software'!$A:$A,0))</f>
        <v>85</v>
      </c>
      <c r="G9" s="187">
        <f>INDEX('Revenue by Customer'!$I:$I,MATCH('Full Customer List'!$B9,'Revenue by Customer'!$A:$A,0))</f>
        <v>3750</v>
      </c>
      <c r="H9" s="250" t="str">
        <f>IFERROR(IF(C9="Active","",INDEX('Client Departures'!$G:$G,MATCH('Full Customer List'!$B9,'Client Departures'!$A:$A,0))),"Unclassified")</f>
        <v/>
      </c>
      <c r="I9" s="191">
        <v>44531</v>
      </c>
      <c r="J9" s="191"/>
      <c r="K9" s="187">
        <f>INDEX('Revenue by Customer'!K:K,MATCH('Full Customer List'!$B9,'Revenue by Customer'!$A:$A,0))</f>
        <v>4835</v>
      </c>
      <c r="L9" s="187">
        <f>INDEX('Revenue by Customer'!L:L,MATCH('Full Customer List'!$B9,'Revenue by Customer'!$A:$A,0))</f>
        <v>3850</v>
      </c>
      <c r="M9" s="187">
        <f>INDEX('Revenue by Customer'!M:M,MATCH('Full Customer List'!$B9,'Revenue by Customer'!$A:$A,0))</f>
        <v>4200</v>
      </c>
      <c r="N9" s="187">
        <f>INDEX('Revenue by Customer'!N:N,MATCH('Full Customer List'!$B9,'Revenue by Customer'!$A:$A,0))</f>
        <v>4400</v>
      </c>
      <c r="O9" s="187">
        <f>INDEX('Revenue by Customer'!O:O,MATCH('Full Customer List'!$B9,'Revenue by Customer'!$A:$A,0))</f>
        <v>4450</v>
      </c>
      <c r="P9" s="187">
        <f>INDEX('Revenue by Customer'!P:P,MATCH('Full Customer List'!$B9,'Revenue by Customer'!$A:$A,0))</f>
        <v>4850</v>
      </c>
      <c r="Q9" s="187">
        <f>INDEX('Revenue by Customer'!Q:Q,MATCH('Full Customer List'!$B9,'Revenue by Customer'!$A:$A,0))</f>
        <v>4800</v>
      </c>
      <c r="R9" s="187">
        <f>INDEX('Revenue by Customer'!R:R,MATCH('Full Customer List'!$B9,'Revenue by Customer'!$A:$A,0))</f>
        <v>4900</v>
      </c>
      <c r="S9" s="187">
        <f>INDEX('Revenue by Customer'!S:S,MATCH('Full Customer List'!$B9,'Revenue by Customer'!$A:$A,0))</f>
        <v>4800</v>
      </c>
      <c r="T9" s="187">
        <f>INDEX('Revenue by Customer'!T:T,MATCH('Full Customer List'!$B9,'Revenue by Customer'!$A:$A,0))</f>
        <v>4600</v>
      </c>
      <c r="U9" s="187">
        <f>INDEX('Revenue by Customer'!U:U,MATCH('Full Customer List'!$B9,'Revenue by Customer'!$A:$A,0))</f>
        <v>4500</v>
      </c>
      <c r="V9" s="187">
        <f>INDEX('Revenue by Customer'!V:V,MATCH('Full Customer List'!$B9,'Revenue by Customer'!$A:$A,0))</f>
        <v>4350</v>
      </c>
      <c r="W9" s="187">
        <f>INDEX('Revenue by Customer'!W:W,MATCH('Full Customer List'!$B9,'Revenue by Customer'!$A:$A,0))</f>
        <v>3470</v>
      </c>
      <c r="X9" s="187">
        <f>INDEX('Revenue by Customer'!X:X,MATCH('Full Customer List'!$B9,'Revenue by Customer'!$A:$A,0))</f>
        <v>5120</v>
      </c>
      <c r="Y9" s="187">
        <f>INDEX('Revenue by Customer'!Y:Y,MATCH('Full Customer List'!$B9,'Revenue by Customer'!$A:$A,0))</f>
        <v>3680</v>
      </c>
      <c r="Z9" s="187">
        <f>INDEX('Revenue by Customer'!Z:Z,MATCH('Full Customer List'!$B9,'Revenue by Customer'!$A:$A,0))</f>
        <v>3722</v>
      </c>
      <c r="AA9" s="187">
        <f>INDEX('Revenue by Customer'!AA:AA,MATCH('Full Customer List'!$B9,'Revenue by Customer'!$A:$A,0))</f>
        <v>3722</v>
      </c>
      <c r="AB9" s="187">
        <f>INDEX('Revenue by Customer'!AB:AB,MATCH('Full Customer List'!$B9,'Revenue by Customer'!$A:$A,0))</f>
        <v>3638</v>
      </c>
      <c r="AC9" s="187">
        <f>INDEX('Revenue by Customer'!AC:AC,MATCH('Full Customer List'!$B9,'Revenue by Customer'!$A:$A,0))</f>
        <v>3890</v>
      </c>
    </row>
    <row r="10" spans="2:39" ht="12" customHeight="1">
      <c r="B10" s="171" t="s">
        <v>524</v>
      </c>
      <c r="C10" s="171" t="str">
        <f>INDEX('Customer List w Software'!$B:$B,MATCH('Full Customer List'!$B10,'Customer List w Software'!$A:$A,0))</f>
        <v>Active</v>
      </c>
      <c r="D10" s="171" t="str">
        <f>INDEX('Customer List w Software'!$C:$C,MATCH('Full Customer List'!$B10,'Customer List w Software'!$A:$A,0))</f>
        <v>Property manager</v>
      </c>
      <c r="E10" s="171" t="str">
        <f>INDEX('Customer List Mapping'!$C:$C,MATCH('Full Customer List'!D10,'Customer List Mapping'!$B:$B,0))</f>
        <v>Property Manager</v>
      </c>
      <c r="F10" s="187">
        <f>INDEX('Customer List w Software'!$K:$K,MATCH('Full Customer List'!$B10,'Customer List w Software'!$A:$A,0))</f>
        <v>99</v>
      </c>
      <c r="G10" s="187">
        <f>INDEX('Revenue by Customer'!$I:$I,MATCH('Full Customer List'!$B10,'Revenue by Customer'!$A:$A,0))</f>
        <v>3773</v>
      </c>
      <c r="H10" s="250" t="str">
        <f>IFERROR(IF(C10="Active","",INDEX('Client Departures'!$G:$G,MATCH('Full Customer List'!$B10,'Client Departures'!$A:$A,0))),"Unclassified")</f>
        <v/>
      </c>
      <c r="I10" s="191">
        <v>45717</v>
      </c>
      <c r="J10" s="191"/>
      <c r="K10" s="187" t="str">
        <f>INDEX('Revenue by Customer'!K:K,MATCH('Full Customer List'!$B10,'Revenue by Customer'!$A:$A,0))</f>
        <v/>
      </c>
      <c r="L10" s="187" t="str">
        <f>INDEX('Revenue by Customer'!L:L,MATCH('Full Customer List'!$B10,'Revenue by Customer'!$A:$A,0))</f>
        <v/>
      </c>
      <c r="M10" s="187">
        <f>INDEX('Revenue by Customer'!M:M,MATCH('Full Customer List'!$B10,'Revenue by Customer'!$A:$A,0))</f>
        <v>6672</v>
      </c>
      <c r="N10" s="187">
        <f>INDEX('Revenue by Customer'!N:N,MATCH('Full Customer List'!$B10,'Revenue by Customer'!$A:$A,0))</f>
        <v>3572</v>
      </c>
      <c r="O10" s="187">
        <f>INDEX('Revenue by Customer'!O:O,MATCH('Full Customer List'!$B10,'Revenue by Customer'!$A:$A,0))</f>
        <v>6728</v>
      </c>
      <c r="P10" s="187">
        <f>INDEX('Revenue by Customer'!P:P,MATCH('Full Customer List'!$B10,'Revenue by Customer'!$A:$A,0))</f>
        <v>3684</v>
      </c>
      <c r="Q10" s="187">
        <f>INDEX('Revenue by Customer'!Q:Q,MATCH('Full Customer List'!$B10,'Revenue by Customer'!$A:$A,0))</f>
        <v>3796</v>
      </c>
      <c r="R10" s="187">
        <f>INDEX('Revenue by Customer'!R:R,MATCH('Full Customer List'!$B10,'Revenue by Customer'!$A:$A,0))</f>
        <v>3852</v>
      </c>
      <c r="S10" s="187">
        <f>INDEX('Revenue by Customer'!S:S,MATCH('Full Customer List'!$B10,'Revenue by Customer'!$A:$A,0))</f>
        <v>3908</v>
      </c>
      <c r="T10" s="187">
        <f>INDEX('Revenue by Customer'!T:T,MATCH('Full Customer List'!$B10,'Revenue by Customer'!$A:$A,0))</f>
        <v>4188</v>
      </c>
      <c r="U10" s="187">
        <f>INDEX('Revenue by Customer'!U:U,MATCH('Full Customer List'!$B10,'Revenue by Customer'!$A:$A,0))</f>
        <v>4132</v>
      </c>
      <c r="V10" s="187">
        <f>INDEX('Revenue by Customer'!V:V,MATCH('Full Customer List'!$B10,'Revenue by Customer'!$A:$A,0))</f>
        <v>4412</v>
      </c>
      <c r="W10" s="187">
        <f>INDEX('Revenue by Customer'!W:W,MATCH('Full Customer List'!$B10,'Revenue by Customer'!$A:$A,0))</f>
        <v>4636</v>
      </c>
      <c r="X10" s="187">
        <f>INDEX('Revenue by Customer'!X:X,MATCH('Full Customer List'!$B10,'Revenue by Customer'!$A:$A,0))</f>
        <v>5891</v>
      </c>
      <c r="Y10" s="187">
        <f>INDEX('Revenue by Customer'!Y:Y,MATCH('Full Customer List'!$B10,'Revenue by Customer'!$A:$A,0))</f>
        <v>3381</v>
      </c>
      <c r="Z10" s="187">
        <f>INDEX('Revenue by Customer'!Z:Z,MATCH('Full Customer List'!$B10,'Revenue by Customer'!$A:$A,0))</f>
        <v>3625</v>
      </c>
      <c r="AA10" s="187">
        <f>INDEX('Revenue by Customer'!AA:AA,MATCH('Full Customer List'!$B10,'Revenue by Customer'!$A:$A,0))</f>
        <v>3736</v>
      </c>
      <c r="AB10" s="187">
        <f>INDEX('Revenue by Customer'!AB:AB,MATCH('Full Customer List'!$B10,'Revenue by Customer'!$A:$A,0))</f>
        <v>3736</v>
      </c>
      <c r="AC10" s="187">
        <f>INDEX('Revenue by Customer'!AC:AC,MATCH('Full Customer List'!$B10,'Revenue by Customer'!$A:$A,0))</f>
        <v>3847</v>
      </c>
    </row>
    <row r="11" spans="2:39" ht="12" customHeight="1">
      <c r="B11" s="171" t="s">
        <v>528</v>
      </c>
      <c r="C11" s="171" t="str">
        <f>INDEX('Customer List w Software'!$B:$B,MATCH('Full Customer List'!$B11,'Customer List w Software'!$A:$A,0))</f>
        <v>Active</v>
      </c>
      <c r="D11" s="171" t="str">
        <f>INDEX('Customer List w Software'!$C:$C,MATCH('Full Customer List'!$B11,'Customer List w Software'!$A:$A,0))</f>
        <v>Property manager</v>
      </c>
      <c r="E11" s="171" t="str">
        <f>INDEX('Customer List Mapping'!$C:$C,MATCH('Full Customer List'!D11,'Customer List Mapping'!$B:$B,0))</f>
        <v>Property Manager</v>
      </c>
      <c r="F11" s="187">
        <f>INDEX('Customer List w Software'!$K:$K,MATCH('Full Customer List'!$B11,'Customer List w Software'!$A:$A,0))</f>
        <v>73</v>
      </c>
      <c r="G11" s="187">
        <f>INDEX('Revenue by Customer'!$I:$I,MATCH('Full Customer List'!$B11,'Revenue by Customer'!$A:$A,0))</f>
        <v>3651</v>
      </c>
      <c r="H11" s="250" t="str">
        <f>IFERROR(IF(C11="Active","",INDEX('Client Departures'!$G:$G,MATCH('Full Customer List'!$B11,'Client Departures'!$A:$A,0))),"Unclassified")</f>
        <v/>
      </c>
      <c r="I11" s="191">
        <v>44713</v>
      </c>
      <c r="J11" s="191"/>
      <c r="K11" s="187">
        <f>INDEX('Revenue by Customer'!K:K,MATCH('Full Customer List'!$B11,'Revenue by Customer'!$A:$A,0))</f>
        <v>4020</v>
      </c>
      <c r="L11" s="187">
        <f>INDEX('Revenue by Customer'!L:L,MATCH('Full Customer List'!$B11,'Revenue by Customer'!$A:$A,0))</f>
        <v>3060</v>
      </c>
      <c r="M11" s="187">
        <f>INDEX('Revenue by Customer'!M:M,MATCH('Full Customer List'!$B11,'Revenue by Customer'!$A:$A,0))</f>
        <v>3240</v>
      </c>
      <c r="N11" s="187">
        <f>INDEX('Revenue by Customer'!N:N,MATCH('Full Customer List'!$B11,'Revenue by Customer'!$A:$A,0))</f>
        <v>3120</v>
      </c>
      <c r="O11" s="187">
        <f>INDEX('Revenue by Customer'!O:O,MATCH('Full Customer List'!$B11,'Revenue by Customer'!$A:$A,0))</f>
        <v>3240</v>
      </c>
      <c r="P11" s="187">
        <f>INDEX('Revenue by Customer'!P:P,MATCH('Full Customer List'!$B11,'Revenue by Customer'!$A:$A,0))</f>
        <v>3120</v>
      </c>
      <c r="Q11" s="187">
        <f>INDEX('Revenue by Customer'!Q:Q,MATCH('Full Customer List'!$B11,'Revenue by Customer'!$A:$A,0))</f>
        <v>3480</v>
      </c>
      <c r="R11" s="187">
        <f>INDEX('Revenue by Customer'!R:R,MATCH('Full Customer List'!$B11,'Revenue by Customer'!$A:$A,0))</f>
        <v>3480</v>
      </c>
      <c r="S11" s="187">
        <f>INDEX('Revenue by Customer'!S:S,MATCH('Full Customer List'!$B11,'Revenue by Customer'!$A:$A,0))</f>
        <v>3780</v>
      </c>
      <c r="T11" s="187">
        <f>INDEX('Revenue by Customer'!T:T,MATCH('Full Customer List'!$B11,'Revenue by Customer'!$A:$A,0))</f>
        <v>3840</v>
      </c>
      <c r="U11" s="187">
        <f>INDEX('Revenue by Customer'!U:U,MATCH('Full Customer List'!$B11,'Revenue by Customer'!$A:$A,0))</f>
        <v>3900</v>
      </c>
      <c r="V11" s="187">
        <f>INDEX('Revenue by Customer'!V:V,MATCH('Full Customer List'!$B11,'Revenue by Customer'!$A:$A,0))</f>
        <v>4020</v>
      </c>
      <c r="W11" s="187">
        <f>INDEX('Revenue by Customer'!W:W,MATCH('Full Customer List'!$B11,'Revenue by Customer'!$A:$A,0))</f>
        <v>4020</v>
      </c>
      <c r="X11" s="187">
        <f>INDEX('Revenue by Customer'!X:X,MATCH('Full Customer List'!$B11,'Revenue by Customer'!$A:$A,0))</f>
        <v>5280</v>
      </c>
      <c r="Y11" s="187">
        <f>INDEX('Revenue by Customer'!Y:Y,MATCH('Full Customer List'!$B11,'Revenue by Customer'!$A:$A,0))</f>
        <v>4155</v>
      </c>
      <c r="Z11" s="187">
        <f>INDEX('Revenue by Customer'!Z:Z,MATCH('Full Customer List'!$B11,'Revenue by Customer'!$A:$A,0))</f>
        <v>3900</v>
      </c>
      <c r="AA11" s="187">
        <f>INDEX('Revenue by Customer'!AA:AA,MATCH('Full Customer List'!$B11,'Revenue by Customer'!$A:$A,0))</f>
        <v>4200</v>
      </c>
      <c r="AB11" s="187">
        <f>INDEX('Revenue by Customer'!AB:AB,MATCH('Full Customer List'!$B11,'Revenue by Customer'!$A:$A,0))</f>
        <v>3400</v>
      </c>
      <c r="AC11" s="187">
        <f>INDEX('Revenue by Customer'!AC:AC,MATCH('Full Customer List'!$B11,'Revenue by Customer'!$A:$A,0))</f>
        <v>3353</v>
      </c>
    </row>
    <row r="12" spans="2:39" ht="12" customHeight="1">
      <c r="B12" s="171" t="s">
        <v>534</v>
      </c>
      <c r="C12" s="171" t="str">
        <f>INDEX('Customer List w Software'!$B:$B,MATCH('Full Customer List'!$B12,'Customer List w Software'!$A:$A,0))</f>
        <v>Active</v>
      </c>
      <c r="D12" s="171" t="str">
        <f>INDEX('Customer List w Software'!$C:$C,MATCH('Full Customer List'!$B12,'Customer List w Software'!$A:$A,0))</f>
        <v>Property manager</v>
      </c>
      <c r="E12" s="171" t="str">
        <f>INDEX('Customer List Mapping'!$C:$C,MATCH('Full Customer List'!D12,'Customer List Mapping'!$B:$B,0))</f>
        <v>Property Manager</v>
      </c>
      <c r="F12" s="187">
        <f>INDEX('Customer List w Software'!$K:$K,MATCH('Full Customer List'!$B12,'Customer List w Software'!$A:$A,0))</f>
        <v>54</v>
      </c>
      <c r="G12" s="187">
        <f>INDEX('Revenue by Customer'!$I:$I,MATCH('Full Customer List'!$B12,'Revenue by Customer'!$A:$A,0))</f>
        <v>3487.3333333333335</v>
      </c>
      <c r="H12" s="250" t="str">
        <f>IFERROR(IF(C12="Active","",INDEX('Client Departures'!$G:$G,MATCH('Full Customer List'!$B12,'Client Departures'!$A:$A,0))),"Unclassified")</f>
        <v/>
      </c>
      <c r="I12" s="191">
        <v>45444</v>
      </c>
      <c r="J12" s="191"/>
      <c r="K12" s="187">
        <f>INDEX('Revenue by Customer'!K:K,MATCH('Full Customer List'!$B12,'Revenue by Customer'!$A:$A,0))</f>
        <v>3221</v>
      </c>
      <c r="L12" s="187">
        <f>INDEX('Revenue by Customer'!L:L,MATCH('Full Customer List'!$B12,'Revenue by Customer'!$A:$A,0))</f>
        <v>3920</v>
      </c>
      <c r="M12" s="187">
        <f>INDEX('Revenue by Customer'!M:M,MATCH('Full Customer List'!$B12,'Revenue by Customer'!$A:$A,0))</f>
        <v>3290</v>
      </c>
      <c r="N12" s="187">
        <f>INDEX('Revenue by Customer'!N:N,MATCH('Full Customer List'!$B12,'Revenue by Customer'!$A:$A,0))</f>
        <v>3384</v>
      </c>
      <c r="O12" s="187">
        <f>INDEX('Revenue by Customer'!O:O,MATCH('Full Customer List'!$B12,'Revenue by Customer'!$A:$A,0))</f>
        <v>3572</v>
      </c>
      <c r="P12" s="187">
        <f>INDEX('Revenue by Customer'!P:P,MATCH('Full Customer List'!$B12,'Revenue by Customer'!$A:$A,0))</f>
        <v>3216</v>
      </c>
      <c r="Q12" s="187">
        <f>INDEX('Revenue by Customer'!Q:Q,MATCH('Full Customer List'!$B12,'Revenue by Customer'!$A:$A,0))</f>
        <v>3298</v>
      </c>
      <c r="R12" s="187">
        <f>INDEX('Revenue by Customer'!R:R,MATCH('Full Customer List'!$B12,'Revenue by Customer'!$A:$A,0))</f>
        <v>3216</v>
      </c>
      <c r="S12" s="187">
        <f>INDEX('Revenue by Customer'!S:S,MATCH('Full Customer List'!$B12,'Revenue by Customer'!$A:$A,0))</f>
        <v>3462</v>
      </c>
      <c r="T12" s="187">
        <f>INDEX('Revenue by Customer'!T:T,MATCH('Full Customer List'!$B12,'Revenue by Customer'!$A:$A,0))</f>
        <v>3626</v>
      </c>
      <c r="U12" s="187">
        <f>INDEX('Revenue by Customer'!U:U,MATCH('Full Customer List'!$B12,'Revenue by Customer'!$A:$A,0))</f>
        <v>4036</v>
      </c>
      <c r="V12" s="187">
        <f>INDEX('Revenue by Customer'!V:V,MATCH('Full Customer List'!$B12,'Revenue by Customer'!$A:$A,0))</f>
        <v>4061</v>
      </c>
      <c r="W12" s="187">
        <f>INDEX('Revenue by Customer'!W:W,MATCH('Full Customer List'!$B12,'Revenue by Customer'!$A:$A,0))</f>
        <v>4036</v>
      </c>
      <c r="X12" s="187">
        <f>INDEX('Revenue by Customer'!X:X,MATCH('Full Customer List'!$B12,'Revenue by Customer'!$A:$A,0))</f>
        <v>4921</v>
      </c>
      <c r="Y12" s="187">
        <f>INDEX('Revenue by Customer'!Y:Y,MATCH('Full Customer List'!$B12,'Revenue by Customer'!$A:$A,0))</f>
        <v>4133</v>
      </c>
      <c r="Z12" s="187">
        <f>INDEX('Revenue by Customer'!Z:Z,MATCH('Full Customer List'!$B12,'Revenue by Customer'!$A:$A,0))</f>
        <v>3805</v>
      </c>
      <c r="AA12" s="187">
        <f>INDEX('Revenue by Customer'!AA:AA,MATCH('Full Customer List'!$B12,'Revenue by Customer'!$A:$A,0))</f>
        <v>3872</v>
      </c>
      <c r="AB12" s="187">
        <f>INDEX('Revenue by Customer'!AB:AB,MATCH('Full Customer List'!$B12,'Revenue by Customer'!$A:$A,0))</f>
        <v>3272</v>
      </c>
      <c r="AC12" s="187">
        <f>INDEX('Revenue by Customer'!AC:AC,MATCH('Full Customer List'!$B12,'Revenue by Customer'!$A:$A,0))</f>
        <v>3318</v>
      </c>
    </row>
    <row r="13" spans="2:39" ht="12" customHeight="1">
      <c r="B13" s="171" t="s">
        <v>537</v>
      </c>
      <c r="C13" s="171" t="str">
        <f>INDEX('Customer List w Software'!$B:$B,MATCH('Full Customer List'!$B13,'Customer List w Software'!$A:$A,0))</f>
        <v>Active</v>
      </c>
      <c r="D13" s="171" t="str">
        <f>INDEX('Customer List w Software'!$C:$C,MATCH('Full Customer List'!$B13,'Customer List w Software'!$A:$A,0))</f>
        <v>Property manager</v>
      </c>
      <c r="E13" s="171" t="str">
        <f>INDEX('Customer List Mapping'!$C:$C,MATCH('Full Customer List'!D13,'Customer List Mapping'!$B:$B,0))</f>
        <v>Property Manager</v>
      </c>
      <c r="F13" s="187">
        <f>INDEX('Customer List w Software'!$K:$K,MATCH('Full Customer List'!$B13,'Customer List w Software'!$A:$A,0))</f>
        <v>81</v>
      </c>
      <c r="G13" s="187">
        <f>INDEX('Revenue by Customer'!$I:$I,MATCH('Full Customer List'!$B13,'Revenue by Customer'!$A:$A,0))</f>
        <v>6357</v>
      </c>
      <c r="H13" s="250" t="str">
        <f>IFERROR(IF(C13="Active","",INDEX('Client Departures'!$G:$G,MATCH('Full Customer List'!$B13,'Client Departures'!$A:$A,0))),"Unclassified")</f>
        <v/>
      </c>
      <c r="I13" s="191">
        <v>45717</v>
      </c>
      <c r="J13" s="191"/>
      <c r="K13" s="187" t="str">
        <f>INDEX('Revenue by Customer'!K:K,MATCH('Full Customer List'!$B13,'Revenue by Customer'!$A:$A,0))</f>
        <v/>
      </c>
      <c r="L13" s="187" t="str">
        <f>INDEX('Revenue by Customer'!L:L,MATCH('Full Customer List'!$B13,'Revenue by Customer'!$A:$A,0))</f>
        <v/>
      </c>
      <c r="M13" s="187">
        <f>INDEX('Revenue by Customer'!M:M,MATCH('Full Customer List'!$B13,'Revenue by Customer'!$A:$A,0))</f>
        <v>3040</v>
      </c>
      <c r="N13" s="187">
        <f>INDEX('Revenue by Customer'!N:N,MATCH('Full Customer List'!$B13,'Revenue by Customer'!$A:$A,0))</f>
        <v>2445</v>
      </c>
      <c r="O13" s="187">
        <f>INDEX('Revenue by Customer'!O:O,MATCH('Full Customer List'!$B13,'Revenue by Customer'!$A:$A,0))</f>
        <v>2090</v>
      </c>
      <c r="P13" s="187">
        <f>INDEX('Revenue by Customer'!P:P,MATCH('Full Customer List'!$B13,'Revenue by Customer'!$A:$A,0))</f>
        <v>2090</v>
      </c>
      <c r="Q13" s="187">
        <f>INDEX('Revenue by Customer'!Q:Q,MATCH('Full Customer List'!$B13,'Revenue by Customer'!$A:$A,0))</f>
        <v>1980</v>
      </c>
      <c r="R13" s="187">
        <f>INDEX('Revenue by Customer'!R:R,MATCH('Full Customer List'!$B13,'Revenue by Customer'!$A:$A,0))</f>
        <v>1870</v>
      </c>
      <c r="S13" s="187">
        <f>INDEX('Revenue by Customer'!S:S,MATCH('Full Customer List'!$B13,'Revenue by Customer'!$A:$A,0))</f>
        <v>2090</v>
      </c>
      <c r="T13" s="187">
        <f>INDEX('Revenue by Customer'!T:T,MATCH('Full Customer List'!$B13,'Revenue by Customer'!$A:$A,0))</f>
        <v>2180</v>
      </c>
      <c r="U13" s="187">
        <f>INDEX('Revenue by Customer'!U:U,MATCH('Full Customer List'!$B13,'Revenue by Customer'!$A:$A,0))</f>
        <v>2289</v>
      </c>
      <c r="V13" s="187">
        <f>INDEX('Revenue by Customer'!V:V,MATCH('Full Customer List'!$B13,'Revenue by Customer'!$A:$A,0))</f>
        <v>2071</v>
      </c>
      <c r="W13" s="187">
        <f>INDEX('Revenue by Customer'!W:W,MATCH('Full Customer List'!$B13,'Revenue by Customer'!$A:$A,0))</f>
        <v>2071</v>
      </c>
      <c r="X13" s="187">
        <f>INDEX('Revenue by Customer'!X:X,MATCH('Full Customer List'!$B13,'Revenue by Customer'!$A:$A,0))</f>
        <v>3100</v>
      </c>
      <c r="Y13" s="187">
        <f>INDEX('Revenue by Customer'!Y:Y,MATCH('Full Customer List'!$B13,'Revenue by Customer'!$A:$A,0))</f>
        <v>2124</v>
      </c>
      <c r="Z13" s="187">
        <f>INDEX('Revenue by Customer'!Z:Z,MATCH('Full Customer List'!$B13,'Revenue by Customer'!$A:$A,0))</f>
        <v>2124</v>
      </c>
      <c r="AA13" s="187">
        <f>INDEX('Revenue by Customer'!AA:AA,MATCH('Full Customer List'!$B13,'Revenue by Customer'!$A:$A,0))</f>
        <v>6260</v>
      </c>
      <c r="AB13" s="187">
        <f>INDEX('Revenue by Customer'!AB:AB,MATCH('Full Customer List'!$B13,'Revenue by Customer'!$A:$A,0))</f>
        <v>6254</v>
      </c>
      <c r="AC13" s="187">
        <f>INDEX('Revenue by Customer'!AC:AC,MATCH('Full Customer List'!$B13,'Revenue by Customer'!$A:$A,0))</f>
        <v>6557</v>
      </c>
    </row>
    <row r="14" spans="2:39" ht="12" customHeight="1">
      <c r="B14" s="171" t="s">
        <v>539</v>
      </c>
      <c r="C14" s="171" t="str">
        <f>INDEX('Customer List w Software'!$B:$B,MATCH('Full Customer List'!$B14,'Customer List w Software'!$A:$A,0))</f>
        <v>Active</v>
      </c>
      <c r="D14" s="171" t="str">
        <f>INDEX('Customer List w Software'!$C:$C,MATCH('Full Customer List'!$B14,'Customer List w Software'!$A:$A,0))</f>
        <v>Property manager</v>
      </c>
      <c r="E14" s="171" t="str">
        <f>INDEX('Customer List Mapping'!$C:$C,MATCH('Full Customer List'!D14,'Customer List Mapping'!$B:$B,0))</f>
        <v>Property Manager</v>
      </c>
      <c r="F14" s="187">
        <f>INDEX('Customer List w Software'!$K:$K,MATCH('Full Customer List'!$B14,'Customer List w Software'!$A:$A,0))</f>
        <v>33</v>
      </c>
      <c r="G14" s="187">
        <f>INDEX('Revenue by Customer'!$I:$I,MATCH('Full Customer List'!$B14,'Revenue by Customer'!$A:$A,0))</f>
        <v>2752.6666666666665</v>
      </c>
      <c r="H14" s="250" t="str">
        <f>IFERROR(IF(C14="Active","",INDEX('Client Departures'!$G:$G,MATCH('Full Customer List'!$B14,'Client Departures'!$A:$A,0))),"Unclassified")</f>
        <v/>
      </c>
      <c r="I14" s="191">
        <v>45323</v>
      </c>
      <c r="J14" s="191"/>
      <c r="K14" s="187">
        <f>INDEX('Revenue by Customer'!K:K,MATCH('Full Customer List'!$B14,'Revenue by Customer'!$A:$A,0))</f>
        <v>2370</v>
      </c>
      <c r="L14" s="187">
        <f>INDEX('Revenue by Customer'!L:L,MATCH('Full Customer List'!$B14,'Revenue by Customer'!$A:$A,0))</f>
        <v>2399</v>
      </c>
      <c r="M14" s="187">
        <f>INDEX('Revenue by Customer'!M:M,MATCH('Full Customer List'!$B14,'Revenue by Customer'!$A:$A,0))</f>
        <v>2399</v>
      </c>
      <c r="N14" s="187">
        <f>INDEX('Revenue by Customer'!N:N,MATCH('Full Customer List'!$B14,'Revenue by Customer'!$A:$A,0))</f>
        <v>2399</v>
      </c>
      <c r="O14" s="187">
        <f>INDEX('Revenue by Customer'!O:O,MATCH('Full Customer List'!$B14,'Revenue by Customer'!$A:$A,0))</f>
        <v>1906</v>
      </c>
      <c r="P14" s="187">
        <f>INDEX('Revenue by Customer'!P:P,MATCH('Full Customer List'!$B14,'Revenue by Customer'!$A:$A,0))</f>
        <v>2447</v>
      </c>
      <c r="Q14" s="187">
        <f>INDEX('Revenue by Customer'!Q:Q,MATCH('Full Customer List'!$B14,'Revenue by Customer'!$A:$A,0))</f>
        <v>2420</v>
      </c>
      <c r="R14" s="187">
        <f>INDEX('Revenue by Customer'!R:R,MATCH('Full Customer List'!$B14,'Revenue by Customer'!$A:$A,0))</f>
        <v>2514</v>
      </c>
      <c r="S14" s="187">
        <f>INDEX('Revenue by Customer'!S:S,MATCH('Full Customer List'!$B14,'Revenue by Customer'!$A:$A,0))</f>
        <v>2467</v>
      </c>
      <c r="T14" s="187">
        <f>INDEX('Revenue by Customer'!T:T,MATCH('Full Customer List'!$B14,'Revenue by Customer'!$A:$A,0))</f>
        <v>2634</v>
      </c>
      <c r="U14" s="187">
        <f>INDEX('Revenue by Customer'!U:U,MATCH('Full Customer List'!$B14,'Revenue by Customer'!$A:$A,0))</f>
        <v>2618</v>
      </c>
      <c r="V14" s="187">
        <f>INDEX('Revenue by Customer'!V:V,MATCH('Full Customer List'!$B14,'Revenue by Customer'!$A:$A,0))</f>
        <v>2694</v>
      </c>
      <c r="W14" s="187">
        <f>INDEX('Revenue by Customer'!W:W,MATCH('Full Customer List'!$B14,'Revenue by Customer'!$A:$A,0))</f>
        <v>2694</v>
      </c>
      <c r="X14" s="187">
        <f>INDEX('Revenue by Customer'!X:X,MATCH('Full Customer List'!$B14,'Revenue by Customer'!$A:$A,0))</f>
        <v>3802</v>
      </c>
      <c r="Y14" s="187">
        <f>INDEX('Revenue by Customer'!Y:Y,MATCH('Full Customer List'!$B14,'Revenue by Customer'!$A:$A,0))</f>
        <v>2708</v>
      </c>
      <c r="Z14" s="187">
        <f>INDEX('Revenue by Customer'!Z:Z,MATCH('Full Customer List'!$B14,'Revenue by Customer'!$A:$A,0))</f>
        <v>2834</v>
      </c>
      <c r="AA14" s="187">
        <f>INDEX('Revenue by Customer'!AA:AA,MATCH('Full Customer List'!$B14,'Revenue by Customer'!$A:$A,0))</f>
        <v>2606</v>
      </c>
      <c r="AB14" s="187">
        <f>INDEX('Revenue by Customer'!AB:AB,MATCH('Full Customer List'!$B14,'Revenue by Customer'!$A:$A,0))</f>
        <v>2839</v>
      </c>
      <c r="AC14" s="187">
        <f>INDEX('Revenue by Customer'!AC:AC,MATCH('Full Customer List'!$B14,'Revenue by Customer'!$A:$A,0))</f>
        <v>2813</v>
      </c>
    </row>
    <row r="15" spans="2:39" ht="12" customHeight="1">
      <c r="B15" s="171" t="s">
        <v>542</v>
      </c>
      <c r="C15" s="171" t="str">
        <f>INDEX('Customer List w Software'!$B:$B,MATCH('Full Customer List'!$B15,'Customer List w Software'!$A:$A,0))</f>
        <v>Active</v>
      </c>
      <c r="D15" s="171" t="str">
        <f>INDEX('Customer List w Software'!$C:$C,MATCH('Full Customer List'!$B15,'Customer List w Software'!$A:$A,0))</f>
        <v>Property manager</v>
      </c>
      <c r="E15" s="171" t="str">
        <f>INDEX('Customer List Mapping'!$C:$C,MATCH('Full Customer List'!D15,'Customer List Mapping'!$B:$B,0))</f>
        <v>Property Manager</v>
      </c>
      <c r="F15" s="187">
        <f>INDEX('Customer List w Software'!$K:$K,MATCH('Full Customer List'!$B15,'Customer List w Software'!$A:$A,0))</f>
        <v>36</v>
      </c>
      <c r="G15" s="187">
        <f>INDEX('Revenue by Customer'!$I:$I,MATCH('Full Customer List'!$B15,'Revenue by Customer'!$A:$A,0))</f>
        <v>2708.7833333333333</v>
      </c>
      <c r="H15" s="250" t="str">
        <f>IFERROR(IF(C15="Active","",INDEX('Client Departures'!$G:$G,MATCH('Full Customer List'!$B15,'Client Departures'!$A:$A,0))),"Unclassified")</f>
        <v/>
      </c>
      <c r="I15" s="191">
        <v>44713</v>
      </c>
      <c r="J15" s="191"/>
      <c r="K15" s="187">
        <f>INDEX('Revenue by Customer'!K:K,MATCH('Full Customer List'!$B15,'Revenue by Customer'!$A:$A,0))</f>
        <v>3206</v>
      </c>
      <c r="L15" s="187">
        <f>INDEX('Revenue by Customer'!L:L,MATCH('Full Customer List'!$B15,'Revenue by Customer'!$A:$A,0))</f>
        <v>2201</v>
      </c>
      <c r="M15" s="187">
        <f>INDEX('Revenue by Customer'!M:M,MATCH('Full Customer List'!$B15,'Revenue by Customer'!$A:$A,0))</f>
        <v>2485</v>
      </c>
      <c r="N15" s="187">
        <f>INDEX('Revenue by Customer'!N:N,MATCH('Full Customer List'!$B15,'Revenue by Customer'!$A:$A,0))</f>
        <v>2201</v>
      </c>
      <c r="O15" s="187">
        <f>INDEX('Revenue by Customer'!O:O,MATCH('Full Customer List'!$B15,'Revenue by Customer'!$A:$A,0))</f>
        <v>2130</v>
      </c>
      <c r="P15" s="187">
        <f>INDEX('Revenue by Customer'!P:P,MATCH('Full Customer List'!$B15,'Revenue by Customer'!$A:$A,0))</f>
        <v>2514</v>
      </c>
      <c r="Q15" s="187">
        <f>INDEX('Revenue by Customer'!Q:Q,MATCH('Full Customer List'!$B15,'Revenue by Customer'!$A:$A,0))</f>
        <v>2534</v>
      </c>
      <c r="R15" s="187">
        <f>INDEX('Revenue by Customer'!R:R,MATCH('Full Customer List'!$B15,'Revenue by Customer'!$A:$A,0))</f>
        <v>2645</v>
      </c>
      <c r="S15" s="187">
        <f>INDEX('Revenue by Customer'!S:S,MATCH('Full Customer List'!$B15,'Revenue by Customer'!$A:$A,0))</f>
        <v>2574</v>
      </c>
      <c r="T15" s="187">
        <f>INDEX('Revenue by Customer'!T:T,MATCH('Full Customer List'!$B15,'Revenue by Customer'!$A:$A,0))</f>
        <v>2880</v>
      </c>
      <c r="U15" s="187">
        <f>INDEX('Revenue by Customer'!U:U,MATCH('Full Customer List'!$B15,'Revenue by Customer'!$A:$A,0))</f>
        <v>2880</v>
      </c>
      <c r="V15" s="187">
        <f>INDEX('Revenue by Customer'!V:V,MATCH('Full Customer List'!$B15,'Revenue by Customer'!$A:$A,0))</f>
        <v>2880</v>
      </c>
      <c r="W15" s="187">
        <f>INDEX('Revenue by Customer'!W:W,MATCH('Full Customer List'!$B15,'Revenue by Customer'!$A:$A,0))</f>
        <v>2329.52</v>
      </c>
      <c r="X15" s="187">
        <f>INDEX('Revenue by Customer'!X:X,MATCH('Full Customer List'!$B15,'Revenue by Customer'!$A:$A,0))</f>
        <v>2941.11</v>
      </c>
      <c r="Y15" s="187">
        <f>INDEX('Revenue by Customer'!Y:Y,MATCH('Full Customer List'!$B15,'Revenue by Customer'!$A:$A,0))</f>
        <v>2730</v>
      </c>
      <c r="Z15" s="187">
        <f>INDEX('Revenue by Customer'!Z:Z,MATCH('Full Customer List'!$B15,'Revenue by Customer'!$A:$A,0))</f>
        <v>2655</v>
      </c>
      <c r="AA15" s="187">
        <f>INDEX('Revenue by Customer'!AA:AA,MATCH('Full Customer List'!$B15,'Revenue by Customer'!$A:$A,0))</f>
        <v>2861</v>
      </c>
      <c r="AB15" s="187">
        <f>INDEX('Revenue by Customer'!AB:AB,MATCH('Full Customer List'!$B15,'Revenue by Customer'!$A:$A,0))</f>
        <v>2800</v>
      </c>
      <c r="AC15" s="187">
        <f>INDEX('Revenue by Customer'!AC:AC,MATCH('Full Customer List'!$B15,'Revenue by Customer'!$A:$A,0))</f>
        <v>2465.35</v>
      </c>
    </row>
    <row r="16" spans="2:39" ht="12" customHeight="1">
      <c r="B16" s="171" t="s">
        <v>544</v>
      </c>
      <c r="C16" s="171" t="str">
        <f>INDEX('Customer List w Software'!$B:$B,MATCH('Full Customer List'!$B16,'Customer List w Software'!$A:$A,0))</f>
        <v>Active</v>
      </c>
      <c r="D16" s="171" t="str">
        <f>INDEX('Customer List w Software'!$C:$C,MATCH('Full Customer List'!$B16,'Customer List w Software'!$A:$A,0))</f>
        <v>Property manager</v>
      </c>
      <c r="E16" s="171" t="str">
        <f>INDEX('Customer List Mapping'!$C:$C,MATCH('Full Customer List'!D16,'Customer List Mapping'!$B:$B,0))</f>
        <v>Property Manager</v>
      </c>
      <c r="F16" s="187">
        <f>INDEX('Customer List w Software'!$K:$K,MATCH('Full Customer List'!$B16,'Customer List w Software'!$A:$A,0))</f>
        <v>38</v>
      </c>
      <c r="G16" s="187">
        <f>INDEX('Revenue by Customer'!$I:$I,MATCH('Full Customer List'!$B16,'Revenue by Customer'!$A:$A,0))</f>
        <v>3075</v>
      </c>
      <c r="H16" s="250" t="str">
        <f>IFERROR(IF(C16="Active","",INDEX('Client Departures'!$G:$G,MATCH('Full Customer List'!$B16,'Client Departures'!$A:$A,0))),"Unclassified")</f>
        <v/>
      </c>
      <c r="I16" s="191">
        <v>45413</v>
      </c>
      <c r="J16" s="191"/>
      <c r="K16" s="187">
        <f>INDEX('Revenue by Customer'!K:K,MATCH('Full Customer List'!$B16,'Revenue by Customer'!$A:$A,0))</f>
        <v>2388.75</v>
      </c>
      <c r="L16" s="187">
        <f>INDEX('Revenue by Customer'!L:L,MATCH('Full Customer List'!$B16,'Revenue by Customer'!$A:$A,0))</f>
        <v>1850</v>
      </c>
      <c r="M16" s="187">
        <f>INDEX('Revenue by Customer'!M:M,MATCH('Full Customer List'!$B16,'Revenue by Customer'!$A:$A,0))</f>
        <v>1385</v>
      </c>
      <c r="N16" s="187">
        <f>INDEX('Revenue by Customer'!N:N,MATCH('Full Customer List'!$B16,'Revenue by Customer'!$A:$A,0))</f>
        <v>1370</v>
      </c>
      <c r="O16" s="187">
        <f>INDEX('Revenue by Customer'!O:O,MATCH('Full Customer List'!$B16,'Revenue by Customer'!$A:$A,0))</f>
        <v>1240</v>
      </c>
      <c r="P16" s="187">
        <f>INDEX('Revenue by Customer'!P:P,MATCH('Full Customer List'!$B16,'Revenue by Customer'!$A:$A,0))</f>
        <v>1175</v>
      </c>
      <c r="Q16" s="187">
        <f>INDEX('Revenue by Customer'!Q:Q,MATCH('Full Customer List'!$B16,'Revenue by Customer'!$A:$A,0))</f>
        <v>1305</v>
      </c>
      <c r="R16" s="187">
        <f>INDEX('Revenue by Customer'!R:R,MATCH('Full Customer List'!$B16,'Revenue by Customer'!$A:$A,0))</f>
        <v>1370</v>
      </c>
      <c r="S16" s="187">
        <f>INDEX('Revenue by Customer'!S:S,MATCH('Full Customer List'!$B16,'Revenue by Customer'!$A:$A,0))</f>
        <v>1435</v>
      </c>
      <c r="T16" s="187">
        <f>INDEX('Revenue by Customer'!T:T,MATCH('Full Customer List'!$B16,'Revenue by Customer'!$A:$A,0))</f>
        <v>1370</v>
      </c>
      <c r="U16" s="187">
        <f>INDEX('Revenue by Customer'!U:U,MATCH('Full Customer List'!$B16,'Revenue by Customer'!$A:$A,0))</f>
        <v>1530</v>
      </c>
      <c r="V16" s="187">
        <f>INDEX('Revenue by Customer'!V:V,MATCH('Full Customer List'!$B16,'Revenue by Customer'!$A:$A,0))</f>
        <v>1500</v>
      </c>
      <c r="W16" s="187">
        <f>INDEX('Revenue by Customer'!W:W,MATCH('Full Customer List'!$B16,'Revenue by Customer'!$A:$A,0))</f>
        <v>3800</v>
      </c>
      <c r="X16" s="187">
        <f>INDEX('Revenue by Customer'!X:X,MATCH('Full Customer List'!$B16,'Revenue by Customer'!$A:$A,0))</f>
        <v>4895</v>
      </c>
      <c r="Y16" s="187">
        <f>INDEX('Revenue by Customer'!Y:Y,MATCH('Full Customer List'!$B16,'Revenue by Customer'!$A:$A,0))</f>
        <v>3450</v>
      </c>
      <c r="Z16" s="187">
        <f>INDEX('Revenue by Customer'!Z:Z,MATCH('Full Customer List'!$B16,'Revenue by Customer'!$A:$A,0))</f>
        <v>3650</v>
      </c>
      <c r="AA16" s="187">
        <f>INDEX('Revenue by Customer'!AA:AA,MATCH('Full Customer List'!$B16,'Revenue by Customer'!$A:$A,0))</f>
        <v>3200</v>
      </c>
      <c r="AB16" s="187">
        <f>INDEX('Revenue by Customer'!AB:AB,MATCH('Full Customer List'!$B16,'Revenue by Customer'!$A:$A,0))</f>
        <v>3050</v>
      </c>
      <c r="AC16" s="187">
        <f>INDEX('Revenue by Customer'!AC:AC,MATCH('Full Customer List'!$B16,'Revenue by Customer'!$A:$A,0))</f>
        <v>2975</v>
      </c>
    </row>
    <row r="17" spans="2:29" ht="12" customHeight="1">
      <c r="B17" s="171" t="s">
        <v>547</v>
      </c>
      <c r="C17" s="171" t="str">
        <f>INDEX('Customer List w Software'!$B:$B,MATCH('Full Customer List'!$B17,'Customer List w Software'!$A:$A,0))</f>
        <v>Active</v>
      </c>
      <c r="D17" s="171" t="str">
        <f>INDEX('Customer List w Software'!$C:$C,MATCH('Full Customer List'!$B17,'Customer List w Software'!$A:$A,0))</f>
        <v>Property manager</v>
      </c>
      <c r="E17" s="171" t="str">
        <f>INDEX('Customer List Mapping'!$C:$C,MATCH('Full Customer List'!D17,'Customer List Mapping'!$B:$B,0))</f>
        <v>Property Manager</v>
      </c>
      <c r="F17" s="187">
        <f>INDEX('Customer List w Software'!$K:$K,MATCH('Full Customer List'!$B17,'Customer List w Software'!$A:$A,0))</f>
        <v>61</v>
      </c>
      <c r="G17" s="187">
        <f>INDEX('Revenue by Customer'!$I:$I,MATCH('Full Customer List'!$B17,'Revenue by Customer'!$A:$A,0))</f>
        <v>2881.6666666666665</v>
      </c>
      <c r="H17" s="250" t="str">
        <f>IFERROR(IF(C17="Active","",INDEX('Client Departures'!$G:$G,MATCH('Full Customer List'!$B17,'Client Departures'!$A:$A,0))),"Unclassified")</f>
        <v/>
      </c>
      <c r="I17" s="191">
        <v>45200</v>
      </c>
      <c r="J17" s="191"/>
      <c r="K17" s="187">
        <f>INDEX('Revenue by Customer'!K:K,MATCH('Full Customer List'!$B17,'Revenue by Customer'!$A:$A,0))</f>
        <v>1650</v>
      </c>
      <c r="L17" s="187">
        <f>INDEX('Revenue by Customer'!L:L,MATCH('Full Customer List'!$B17,'Revenue by Customer'!$A:$A,0))</f>
        <v>2085</v>
      </c>
      <c r="M17" s="187">
        <f>INDEX('Revenue by Customer'!M:M,MATCH('Full Customer List'!$B17,'Revenue by Customer'!$A:$A,0))</f>
        <v>1650</v>
      </c>
      <c r="N17" s="187">
        <f>INDEX('Revenue by Customer'!N:N,MATCH('Full Customer List'!$B17,'Revenue by Customer'!$A:$A,0))</f>
        <v>1800</v>
      </c>
      <c r="O17" s="187">
        <f>INDEX('Revenue by Customer'!O:O,MATCH('Full Customer List'!$B17,'Revenue by Customer'!$A:$A,0))</f>
        <v>1875</v>
      </c>
      <c r="P17" s="187">
        <f>INDEX('Revenue by Customer'!P:P,MATCH('Full Customer List'!$B17,'Revenue by Customer'!$A:$A,0))</f>
        <v>1917</v>
      </c>
      <c r="Q17" s="187">
        <f>INDEX('Revenue by Customer'!Q:Q,MATCH('Full Customer List'!$B17,'Revenue by Customer'!$A:$A,0))</f>
        <v>1501</v>
      </c>
      <c r="R17" s="187">
        <f>INDEX('Revenue by Customer'!R:R,MATCH('Full Customer List'!$B17,'Revenue by Customer'!$A:$A,0))</f>
        <v>2010</v>
      </c>
      <c r="S17" s="187">
        <f>INDEX('Revenue by Customer'!S:S,MATCH('Full Customer List'!$B17,'Revenue by Customer'!$A:$A,0))</f>
        <v>2010</v>
      </c>
      <c r="T17" s="187">
        <f>INDEX('Revenue by Customer'!T:T,MATCH('Full Customer List'!$B17,'Revenue by Customer'!$A:$A,0))</f>
        <v>2020</v>
      </c>
      <c r="U17" s="187">
        <f>INDEX('Revenue by Customer'!U:U,MATCH('Full Customer List'!$B17,'Revenue by Customer'!$A:$A,0))</f>
        <v>2148</v>
      </c>
      <c r="V17" s="187">
        <f>INDEX('Revenue by Customer'!V:V,MATCH('Full Customer List'!$B17,'Revenue by Customer'!$A:$A,0))</f>
        <v>2404</v>
      </c>
      <c r="W17" s="187">
        <f>INDEX('Revenue by Customer'!W:W,MATCH('Full Customer List'!$B17,'Revenue by Customer'!$A:$A,0))</f>
        <v>2468</v>
      </c>
      <c r="X17" s="187">
        <f>INDEX('Revenue by Customer'!X:X,MATCH('Full Customer List'!$B17,'Revenue by Customer'!$A:$A,0))</f>
        <v>2922</v>
      </c>
      <c r="Y17" s="187">
        <f>INDEX('Revenue by Customer'!Y:Y,MATCH('Full Customer List'!$B17,'Revenue by Customer'!$A:$A,0))</f>
        <v>2468</v>
      </c>
      <c r="Z17" s="187">
        <f>INDEX('Revenue by Customer'!Z:Z,MATCH('Full Customer List'!$B17,'Revenue by Customer'!$A:$A,0))</f>
        <v>2532</v>
      </c>
      <c r="AA17" s="187">
        <f>INDEX('Revenue by Customer'!AA:AA,MATCH('Full Customer List'!$B17,'Revenue by Customer'!$A:$A,0))</f>
        <v>2824</v>
      </c>
      <c r="AB17" s="187">
        <f>INDEX('Revenue by Customer'!AB:AB,MATCH('Full Customer List'!$B17,'Revenue by Customer'!$A:$A,0))</f>
        <v>2843</v>
      </c>
      <c r="AC17" s="187">
        <f>INDEX('Revenue by Customer'!AC:AC,MATCH('Full Customer List'!$B17,'Revenue by Customer'!$A:$A,0))</f>
        <v>2978</v>
      </c>
    </row>
    <row r="18" spans="2:29" ht="12" customHeight="1">
      <c r="B18" s="171" t="s">
        <v>551</v>
      </c>
      <c r="C18" s="171" t="str">
        <f>INDEX('Customer List w Software'!$B:$B,MATCH('Full Customer List'!$B18,'Customer List w Software'!$A:$A,0))</f>
        <v>Active</v>
      </c>
      <c r="D18" s="171" t="str">
        <f>INDEX('Customer List w Software'!$C:$C,MATCH('Full Customer List'!$B18,'Customer List w Software'!$A:$A,0))</f>
        <v>Property manager</v>
      </c>
      <c r="E18" s="171" t="str">
        <f>INDEX('Customer List Mapping'!$C:$C,MATCH('Full Customer List'!D18,'Customer List Mapping'!$B:$B,0))</f>
        <v>Property Manager</v>
      </c>
      <c r="F18" s="187">
        <f>INDEX('Customer List w Software'!$K:$K,MATCH('Full Customer List'!$B18,'Customer List w Software'!$A:$A,0))</f>
        <v>27</v>
      </c>
      <c r="G18" s="187">
        <f>INDEX('Revenue by Customer'!$I:$I,MATCH('Full Customer List'!$B18,'Revenue by Customer'!$A:$A,0))</f>
        <v>2432.8733333333334</v>
      </c>
      <c r="H18" s="250" t="str">
        <f>IFERROR(IF(C18="Active","",INDEX('Client Departures'!$G:$G,MATCH('Full Customer List'!$B18,'Client Departures'!$A:$A,0))),"Unclassified")</f>
        <v/>
      </c>
      <c r="I18" s="191">
        <v>45383</v>
      </c>
      <c r="J18" s="191"/>
      <c r="K18" s="187">
        <f>INDEX('Revenue by Customer'!K:K,MATCH('Full Customer List'!$B18,'Revenue by Customer'!$A:$A,0))</f>
        <v>2252</v>
      </c>
      <c r="L18" s="187">
        <f>INDEX('Revenue by Customer'!L:L,MATCH('Full Customer List'!$B18,'Revenue by Customer'!$A:$A,0))</f>
        <v>3817</v>
      </c>
      <c r="M18" s="187">
        <f>INDEX('Revenue by Customer'!M:M,MATCH('Full Customer List'!$B18,'Revenue by Customer'!$A:$A,0))</f>
        <v>1738</v>
      </c>
      <c r="N18" s="187">
        <f>INDEX('Revenue by Customer'!N:N,MATCH('Full Customer List'!$B18,'Revenue by Customer'!$A:$A,0))</f>
        <v>2380</v>
      </c>
      <c r="O18" s="187">
        <f>INDEX('Revenue by Customer'!O:O,MATCH('Full Customer List'!$B18,'Revenue by Customer'!$A:$A,0))</f>
        <v>2285</v>
      </c>
      <c r="P18" s="187">
        <f>INDEX('Revenue by Customer'!P:P,MATCH('Full Customer List'!$B18,'Revenue by Customer'!$A:$A,0))</f>
        <v>2190</v>
      </c>
      <c r="Q18" s="187">
        <f>INDEX('Revenue by Customer'!Q:Q,MATCH('Full Customer List'!$B18,'Revenue by Customer'!$A:$A,0))</f>
        <v>2285</v>
      </c>
      <c r="R18" s="187">
        <f>INDEX('Revenue by Customer'!R:R,MATCH('Full Customer List'!$B18,'Revenue by Customer'!$A:$A,0))</f>
        <v>2285</v>
      </c>
      <c r="S18" s="187">
        <f>INDEX('Revenue by Customer'!S:S,MATCH('Full Customer List'!$B18,'Revenue by Customer'!$A:$A,0))</f>
        <v>2285</v>
      </c>
      <c r="T18" s="187">
        <f>INDEX('Revenue by Customer'!T:T,MATCH('Full Customer List'!$B18,'Revenue by Customer'!$A:$A,0))</f>
        <v>2285</v>
      </c>
      <c r="U18" s="187">
        <f>INDEX('Revenue by Customer'!U:U,MATCH('Full Customer List'!$B18,'Revenue by Customer'!$A:$A,0))</f>
        <v>2362</v>
      </c>
      <c r="V18" s="187">
        <f>INDEX('Revenue by Customer'!V:V,MATCH('Full Customer List'!$B18,'Revenue by Customer'!$A:$A,0))</f>
        <v>2362</v>
      </c>
      <c r="W18" s="187">
        <f>INDEX('Revenue by Customer'!W:W,MATCH('Full Customer List'!$B18,'Revenue by Customer'!$A:$A,0))</f>
        <v>2449</v>
      </c>
      <c r="X18" s="187">
        <f>INDEX('Revenue by Customer'!X:X,MATCH('Full Customer List'!$B18,'Revenue by Customer'!$A:$A,0))</f>
        <v>2654</v>
      </c>
      <c r="Y18" s="187">
        <f>INDEX('Revenue by Customer'!Y:Y,MATCH('Full Customer List'!$B18,'Revenue by Customer'!$A:$A,0))</f>
        <v>2362</v>
      </c>
      <c r="Z18" s="187">
        <f>INDEX('Revenue by Customer'!Z:Z,MATCH('Full Customer List'!$B18,'Revenue by Customer'!$A:$A,0))</f>
        <v>2609</v>
      </c>
      <c r="AA18" s="187">
        <f>INDEX('Revenue by Customer'!AA:AA,MATCH('Full Customer List'!$B18,'Revenue by Customer'!$A:$A,0))</f>
        <v>2202.62</v>
      </c>
      <c r="AB18" s="187">
        <f>INDEX('Revenue by Customer'!AB:AB,MATCH('Full Customer List'!$B18,'Revenue by Customer'!$A:$A,0))</f>
        <v>2502</v>
      </c>
      <c r="AC18" s="187">
        <f>INDEX('Revenue by Customer'!AC:AC,MATCH('Full Customer List'!$B18,'Revenue by Customer'!$A:$A,0))</f>
        <v>2594</v>
      </c>
    </row>
    <row r="19" spans="2:29" ht="12" customHeight="1">
      <c r="B19" s="171" t="s">
        <v>552</v>
      </c>
      <c r="C19" s="171" t="str">
        <f>INDEX('Customer List w Software'!$B:$B,MATCH('Full Customer List'!$B19,'Customer List w Software'!$A:$A,0))</f>
        <v>Active</v>
      </c>
      <c r="D19" s="171" t="str">
        <f>INDEX('Customer List w Software'!$C:$C,MATCH('Full Customer List'!$B19,'Customer List w Software'!$A:$A,0))</f>
        <v>Property manager</v>
      </c>
      <c r="E19" s="171" t="str">
        <f>INDEX('Customer List Mapping'!$C:$C,MATCH('Full Customer List'!D19,'Customer List Mapping'!$B:$B,0))</f>
        <v>Property Manager</v>
      </c>
      <c r="F19" s="187">
        <f>INDEX('Customer List w Software'!$K:$K,MATCH('Full Customer List'!$B19,'Customer List w Software'!$A:$A,0))</f>
        <v>21</v>
      </c>
      <c r="G19" s="187">
        <f>INDEX('Revenue by Customer'!$I:$I,MATCH('Full Customer List'!$B19,'Revenue by Customer'!$A:$A,0))</f>
        <v>2035.6666666666667</v>
      </c>
      <c r="H19" s="250" t="str">
        <f>IFERROR(IF(C19="Active","",INDEX('Client Departures'!$G:$G,MATCH('Full Customer List'!$B19,'Client Departures'!$A:$A,0))),"Unclassified")</f>
        <v/>
      </c>
      <c r="I19" s="191">
        <v>45474</v>
      </c>
      <c r="J19" s="191"/>
      <c r="K19" s="187">
        <f>INDEX('Revenue by Customer'!K:K,MATCH('Full Customer List'!$B19,'Revenue by Customer'!$A:$A,0))</f>
        <v>2775</v>
      </c>
      <c r="L19" s="187">
        <f>INDEX('Revenue by Customer'!L:L,MATCH('Full Customer List'!$B19,'Revenue by Customer'!$A:$A,0))</f>
        <v>3645</v>
      </c>
      <c r="M19" s="187">
        <f>INDEX('Revenue by Customer'!M:M,MATCH('Full Customer List'!$B19,'Revenue by Customer'!$A:$A,0))</f>
        <v>2265</v>
      </c>
      <c r="N19" s="187">
        <f>INDEX('Revenue by Customer'!N:N,MATCH('Full Customer List'!$B19,'Revenue by Customer'!$A:$A,0))</f>
        <v>5125</v>
      </c>
      <c r="O19" s="187">
        <f>INDEX('Revenue by Customer'!O:O,MATCH('Full Customer List'!$B19,'Revenue by Customer'!$A:$A,0))</f>
        <v>2550</v>
      </c>
      <c r="P19" s="187">
        <f>INDEX('Revenue by Customer'!P:P,MATCH('Full Customer List'!$B19,'Revenue by Customer'!$A:$A,0))</f>
        <v>1432.5</v>
      </c>
      <c r="Q19" s="187">
        <f>INDEX('Revenue by Customer'!Q:Q,MATCH('Full Customer List'!$B19,'Revenue by Customer'!$A:$A,0))</f>
        <v>2579</v>
      </c>
      <c r="R19" s="187">
        <f>INDEX('Revenue by Customer'!R:R,MATCH('Full Customer List'!$B19,'Revenue by Customer'!$A:$A,0))</f>
        <v>2378</v>
      </c>
      <c r="S19" s="187">
        <f>INDEX('Revenue by Customer'!S:S,MATCH('Full Customer List'!$B19,'Revenue by Customer'!$A:$A,0))</f>
        <v>2378</v>
      </c>
      <c r="T19" s="187">
        <f>INDEX('Revenue by Customer'!T:T,MATCH('Full Customer List'!$B19,'Revenue by Customer'!$A:$A,0))</f>
        <v>2378</v>
      </c>
      <c r="U19" s="187">
        <f>INDEX('Revenue by Customer'!U:U,MATCH('Full Customer List'!$B19,'Revenue by Customer'!$A:$A,0))</f>
        <v>2311</v>
      </c>
      <c r="V19" s="187">
        <f>INDEX('Revenue by Customer'!V:V,MATCH('Full Customer List'!$B19,'Revenue by Customer'!$A:$A,0))</f>
        <v>2311</v>
      </c>
      <c r="W19" s="187">
        <f>INDEX('Revenue by Customer'!W:W,MATCH('Full Customer List'!$B19,'Revenue by Customer'!$A:$A,0))</f>
        <v>2445</v>
      </c>
      <c r="X19" s="187">
        <f>INDEX('Revenue by Customer'!X:X,MATCH('Full Customer List'!$B19,'Revenue by Customer'!$A:$A,0))</f>
        <v>3149</v>
      </c>
      <c r="Y19" s="187">
        <f>INDEX('Revenue by Customer'!Y:Y,MATCH('Full Customer List'!$B19,'Revenue by Customer'!$A:$A,0))</f>
        <v>3023</v>
      </c>
      <c r="Z19" s="187">
        <f>INDEX('Revenue by Customer'!Z:Z,MATCH('Full Customer List'!$B19,'Revenue by Customer'!$A:$A,0))</f>
        <v>2393</v>
      </c>
      <c r="AA19" s="187">
        <f>INDEX('Revenue by Customer'!AA:AA,MATCH('Full Customer List'!$B19,'Revenue by Customer'!$A:$A,0))</f>
        <v>2378</v>
      </c>
      <c r="AB19" s="187">
        <f>INDEX('Revenue by Customer'!AB:AB,MATCH('Full Customer List'!$B19,'Revenue by Customer'!$A:$A,0))</f>
        <v>1877</v>
      </c>
      <c r="AC19" s="187">
        <f>INDEX('Revenue by Customer'!AC:AC,MATCH('Full Customer List'!$B19,'Revenue by Customer'!$A:$A,0))</f>
        <v>1852</v>
      </c>
    </row>
    <row r="20" spans="2:29" ht="12" customHeight="1">
      <c r="B20" s="171" t="s">
        <v>554</v>
      </c>
      <c r="C20" s="171" t="str">
        <f>INDEX('Customer List w Software'!$B:$B,MATCH('Full Customer List'!$B20,'Customer List w Software'!$A:$A,0))</f>
        <v>Active</v>
      </c>
      <c r="D20" s="171" t="str">
        <f>INDEX('Customer List w Software'!$C:$C,MATCH('Full Customer List'!$B20,'Customer List w Software'!$A:$A,0))</f>
        <v>Property manager</v>
      </c>
      <c r="E20" s="171" t="str">
        <f>INDEX('Customer List Mapping'!$C:$C,MATCH('Full Customer List'!D20,'Customer List Mapping'!$B:$B,0))</f>
        <v>Property Manager</v>
      </c>
      <c r="F20" s="187">
        <f>INDEX('Customer List w Software'!$K:$K,MATCH('Full Customer List'!$B20,'Customer List w Software'!$A:$A,0))</f>
        <v>25</v>
      </c>
      <c r="G20" s="187">
        <f>INDEX('Revenue by Customer'!$I:$I,MATCH('Full Customer List'!$B20,'Revenue by Customer'!$A:$A,0))</f>
        <v>2285</v>
      </c>
      <c r="H20" s="250" t="str">
        <f>IFERROR(IF(C20="Active","",INDEX('Client Departures'!$G:$G,MATCH('Full Customer List'!$B20,'Client Departures'!$A:$A,0))),"Unclassified")</f>
        <v/>
      </c>
      <c r="I20" s="191">
        <v>45292</v>
      </c>
      <c r="J20" s="191"/>
      <c r="K20" s="187">
        <f>INDEX('Revenue by Customer'!K:K,MATCH('Full Customer List'!$B20,'Revenue by Customer'!$A:$A,0))</f>
        <v>2000</v>
      </c>
      <c r="L20" s="187">
        <f>INDEX('Revenue by Customer'!L:L,MATCH('Full Customer List'!$B20,'Revenue by Customer'!$A:$A,0))</f>
        <v>2225</v>
      </c>
      <c r="M20" s="187">
        <f>INDEX('Revenue by Customer'!M:M,MATCH('Full Customer List'!$B20,'Revenue by Customer'!$A:$A,0))</f>
        <v>2095</v>
      </c>
      <c r="N20" s="187">
        <f>INDEX('Revenue by Customer'!N:N,MATCH('Full Customer List'!$B20,'Revenue by Customer'!$A:$A,0))</f>
        <v>2285</v>
      </c>
      <c r="O20" s="187">
        <f>INDEX('Revenue by Customer'!O:O,MATCH('Full Customer List'!$B20,'Revenue by Customer'!$A:$A,0))</f>
        <v>2356.25</v>
      </c>
      <c r="P20" s="187">
        <f>INDEX('Revenue by Customer'!P:P,MATCH('Full Customer List'!$B20,'Revenue by Customer'!$A:$A,0))</f>
        <v>2380</v>
      </c>
      <c r="Q20" s="187">
        <f>INDEX('Revenue by Customer'!Q:Q,MATCH('Full Customer List'!$B20,'Revenue by Customer'!$A:$A,0))</f>
        <v>2193.75</v>
      </c>
      <c r="R20" s="187">
        <f>INDEX('Revenue by Customer'!R:R,MATCH('Full Customer List'!$B20,'Revenue by Customer'!$A:$A,0))</f>
        <v>2275</v>
      </c>
      <c r="S20" s="187">
        <f>INDEX('Revenue by Customer'!S:S,MATCH('Full Customer List'!$B20,'Revenue by Customer'!$A:$A,0))</f>
        <v>2275</v>
      </c>
      <c r="T20" s="187">
        <f>INDEX('Revenue by Customer'!T:T,MATCH('Full Customer List'!$B20,'Revenue by Customer'!$A:$A,0))</f>
        <v>2275</v>
      </c>
      <c r="U20" s="187">
        <f>INDEX('Revenue by Customer'!U:U,MATCH('Full Customer List'!$B20,'Revenue by Customer'!$A:$A,0))</f>
        <v>2525</v>
      </c>
      <c r="V20" s="187">
        <f>INDEX('Revenue by Customer'!V:V,MATCH('Full Customer List'!$B20,'Revenue by Customer'!$A:$A,0))</f>
        <v>2275</v>
      </c>
      <c r="W20" s="187">
        <f>INDEX('Revenue by Customer'!W:W,MATCH('Full Customer List'!$B20,'Revenue by Customer'!$A:$A,0))</f>
        <v>2285</v>
      </c>
      <c r="X20" s="187">
        <f>INDEX('Revenue by Customer'!X:X,MATCH('Full Customer List'!$B20,'Revenue by Customer'!$A:$A,0))</f>
        <v>2585</v>
      </c>
      <c r="Y20" s="187">
        <f>INDEX('Revenue by Customer'!Y:Y,MATCH('Full Customer List'!$B20,'Revenue by Customer'!$A:$A,0))</f>
        <v>2285</v>
      </c>
      <c r="Z20" s="187">
        <f>INDEX('Revenue by Customer'!Z:Z,MATCH('Full Customer List'!$B20,'Revenue by Customer'!$A:$A,0))</f>
        <v>2285</v>
      </c>
      <c r="AA20" s="187">
        <f>INDEX('Revenue by Customer'!AA:AA,MATCH('Full Customer List'!$B20,'Revenue by Customer'!$A:$A,0))</f>
        <v>2285</v>
      </c>
      <c r="AB20" s="187">
        <f>INDEX('Revenue by Customer'!AB:AB,MATCH('Full Customer List'!$B20,'Revenue by Customer'!$A:$A,0))</f>
        <v>2285</v>
      </c>
      <c r="AC20" s="187">
        <f>INDEX('Revenue by Customer'!AC:AC,MATCH('Full Customer List'!$B20,'Revenue by Customer'!$A:$A,0))</f>
        <v>2285</v>
      </c>
    </row>
    <row r="21" spans="2:29" ht="12" customHeight="1">
      <c r="B21" s="171" t="s">
        <v>559</v>
      </c>
      <c r="C21" s="171" t="str">
        <f>INDEX('Customer List w Software'!$B:$B,MATCH('Full Customer List'!$B21,'Customer List w Software'!$A:$A,0))</f>
        <v>Active</v>
      </c>
      <c r="D21" s="171" t="str">
        <f>INDEX('Customer List w Software'!$C:$C,MATCH('Full Customer List'!$B21,'Customer List w Software'!$A:$A,0))</f>
        <v>Property manager</v>
      </c>
      <c r="E21" s="171" t="str">
        <f>INDEX('Customer List Mapping'!$C:$C,MATCH('Full Customer List'!D21,'Customer List Mapping'!$B:$B,0))</f>
        <v>Property Manager</v>
      </c>
      <c r="F21" s="187">
        <f>INDEX('Customer List w Software'!$K:$K,MATCH('Full Customer List'!$B21,'Customer List w Software'!$A:$A,0))</f>
        <v>60</v>
      </c>
      <c r="G21" s="187">
        <f>INDEX('Revenue by Customer'!$I:$I,MATCH('Full Customer List'!$B21,'Revenue by Customer'!$A:$A,0))</f>
        <v>2644.6666666666665</v>
      </c>
      <c r="H21" s="250" t="str">
        <f>IFERROR(IF(C21="Active","",INDEX('Client Departures'!$G:$G,MATCH('Full Customer List'!$B21,'Client Departures'!$A:$A,0))),"Unclassified")</f>
        <v/>
      </c>
      <c r="I21" s="191">
        <v>45778</v>
      </c>
      <c r="J21" s="191"/>
      <c r="K21" s="187" t="str">
        <f>INDEX('Revenue by Customer'!K:K,MATCH('Full Customer List'!$B21,'Revenue by Customer'!$A:$A,0))</f>
        <v/>
      </c>
      <c r="L21" s="187" t="str">
        <f>INDEX('Revenue by Customer'!L:L,MATCH('Full Customer List'!$B21,'Revenue by Customer'!$A:$A,0))</f>
        <v/>
      </c>
      <c r="M21" s="187" t="str">
        <f>INDEX('Revenue by Customer'!M:M,MATCH('Full Customer List'!$B21,'Revenue by Customer'!$A:$A,0))</f>
        <v/>
      </c>
      <c r="N21" s="187" t="str">
        <f>INDEX('Revenue by Customer'!N:N,MATCH('Full Customer List'!$B21,'Revenue by Customer'!$A:$A,0))</f>
        <v/>
      </c>
      <c r="O21" s="187">
        <f>INDEX('Revenue by Customer'!O:O,MATCH('Full Customer List'!$B21,'Revenue by Customer'!$A:$A,0))</f>
        <v>2925</v>
      </c>
      <c r="P21" s="187">
        <f>INDEX('Revenue by Customer'!P:P,MATCH('Full Customer List'!$B21,'Revenue by Customer'!$A:$A,0))</f>
        <v>1675</v>
      </c>
      <c r="Q21" s="187">
        <f>INDEX('Revenue by Customer'!Q:Q,MATCH('Full Customer List'!$B21,'Revenue by Customer'!$A:$A,0))</f>
        <v>1864</v>
      </c>
      <c r="R21" s="187">
        <f>INDEX('Revenue by Customer'!R:R,MATCH('Full Customer List'!$B21,'Revenue by Customer'!$A:$A,0))</f>
        <v>1927</v>
      </c>
      <c r="S21" s="187">
        <f>INDEX('Revenue by Customer'!S:S,MATCH('Full Customer List'!$B21,'Revenue by Customer'!$A:$A,0))</f>
        <v>1990</v>
      </c>
      <c r="T21" s="187">
        <f>INDEX('Revenue by Customer'!T:T,MATCH('Full Customer List'!$B21,'Revenue by Customer'!$A:$A,0))</f>
        <v>2053</v>
      </c>
      <c r="U21" s="187">
        <f>INDEX('Revenue by Customer'!U:U,MATCH('Full Customer List'!$B21,'Revenue by Customer'!$A:$A,0))</f>
        <v>2179</v>
      </c>
      <c r="V21" s="187">
        <f>INDEX('Revenue by Customer'!V:V,MATCH('Full Customer List'!$B21,'Revenue by Customer'!$A:$A,0))</f>
        <v>1801</v>
      </c>
      <c r="W21" s="187">
        <f>INDEX('Revenue by Customer'!W:W,MATCH('Full Customer List'!$B21,'Revenue by Customer'!$A:$A,0))</f>
        <v>2656</v>
      </c>
      <c r="X21" s="187">
        <f>INDEX('Revenue by Customer'!X:X,MATCH('Full Customer List'!$B21,'Revenue by Customer'!$A:$A,0))</f>
        <v>1612</v>
      </c>
      <c r="Y21" s="187">
        <f>INDEX('Revenue by Customer'!Y:Y,MATCH('Full Customer List'!$B21,'Revenue by Customer'!$A:$A,0))</f>
        <v>2431</v>
      </c>
      <c r="Z21" s="187">
        <f>INDEX('Revenue by Customer'!Z:Z,MATCH('Full Customer List'!$B21,'Revenue by Customer'!$A:$A,0))</f>
        <v>2557</v>
      </c>
      <c r="AA21" s="187">
        <f>INDEX('Revenue by Customer'!AA:AA,MATCH('Full Customer List'!$B21,'Revenue by Customer'!$A:$A,0))</f>
        <v>2460</v>
      </c>
      <c r="AB21" s="187">
        <f>INDEX('Revenue by Customer'!AB:AB,MATCH('Full Customer List'!$B21,'Revenue by Customer'!$A:$A,0))</f>
        <v>2732</v>
      </c>
      <c r="AC21" s="187">
        <f>INDEX('Revenue by Customer'!AC:AC,MATCH('Full Customer List'!$B21,'Revenue by Customer'!$A:$A,0))</f>
        <v>2742</v>
      </c>
    </row>
    <row r="22" spans="2:29" ht="12" customHeight="1">
      <c r="B22" s="171" t="s">
        <v>561</v>
      </c>
      <c r="C22" s="171" t="str">
        <f>INDEX('Customer List w Software'!$B:$B,MATCH('Full Customer List'!$B22,'Customer List w Software'!$A:$A,0))</f>
        <v>Former client</v>
      </c>
      <c r="D22" s="171" t="str">
        <f>INDEX('Customer List w Software'!$C:$C,MATCH('Full Customer List'!$B22,'Customer List w Software'!$A:$A,0))</f>
        <v>Property manager</v>
      </c>
      <c r="E22" s="171" t="str">
        <f>INDEX('Customer List Mapping'!$C:$C,MATCH('Full Customer List'!D22,'Customer List Mapping'!$B:$B,0))</f>
        <v>Property Manager</v>
      </c>
      <c r="F22" s="187">
        <f>INDEX('Customer List w Software'!$K:$K,MATCH('Full Customer List'!$B22,'Customer List w Software'!$A:$A,0))</f>
        <v>73</v>
      </c>
      <c r="G22" s="187">
        <f>INDEX('Revenue by Customer'!$I:$I,MATCH('Full Customer List'!$B22,'Revenue by Customer'!$A:$A,0))</f>
        <v>3006.6666666666665</v>
      </c>
      <c r="H22" s="250" t="str">
        <f>IFERROR(IF(C22="Active","",INDEX('Client Departures'!$G:$G,MATCH('Full Customer List'!$B22,'Client Departures'!$A:$A,0))),"Unclassified")</f>
        <v>Yes</v>
      </c>
      <c r="I22" s="191">
        <v>45870</v>
      </c>
      <c r="J22" s="191">
        <v>46142</v>
      </c>
      <c r="K22" s="187" t="str">
        <f>INDEX('Revenue by Customer'!K:K,MATCH('Full Customer List'!$B22,'Revenue by Customer'!$A:$A,0))</f>
        <v/>
      </c>
      <c r="L22" s="187" t="str">
        <f>INDEX('Revenue by Customer'!L:L,MATCH('Full Customer List'!$B22,'Revenue by Customer'!$A:$A,0))</f>
        <v/>
      </c>
      <c r="M22" s="187" t="str">
        <f>INDEX('Revenue by Customer'!M:M,MATCH('Full Customer List'!$B22,'Revenue by Customer'!$A:$A,0))</f>
        <v/>
      </c>
      <c r="N22" s="187" t="str">
        <f>INDEX('Revenue by Customer'!N:N,MATCH('Full Customer List'!$B22,'Revenue by Customer'!$A:$A,0))</f>
        <v/>
      </c>
      <c r="O22" s="187" t="str">
        <f>INDEX('Revenue by Customer'!O:O,MATCH('Full Customer List'!$B22,'Revenue by Customer'!$A:$A,0))</f>
        <v/>
      </c>
      <c r="P22" s="187" t="str">
        <f>INDEX('Revenue by Customer'!P:P,MATCH('Full Customer List'!$B22,'Revenue by Customer'!$A:$A,0))</f>
        <v/>
      </c>
      <c r="Q22" s="187" t="str">
        <f>INDEX('Revenue by Customer'!Q:Q,MATCH('Full Customer List'!$B22,'Revenue by Customer'!$A:$A,0))</f>
        <v/>
      </c>
      <c r="R22" s="187">
        <f>INDEX('Revenue by Customer'!R:R,MATCH('Full Customer List'!$B22,'Revenue by Customer'!$A:$A,0))</f>
        <v>2800</v>
      </c>
      <c r="S22" s="187">
        <f>INDEX('Revenue by Customer'!S:S,MATCH('Full Customer List'!$B22,'Revenue by Customer'!$A:$A,0))</f>
        <v>2800</v>
      </c>
      <c r="T22" s="187">
        <f>INDEX('Revenue by Customer'!T:T,MATCH('Full Customer List'!$B22,'Revenue by Customer'!$A:$A,0))</f>
        <v>3699.5</v>
      </c>
      <c r="U22" s="187">
        <f>INDEX('Revenue by Customer'!U:U,MATCH('Full Customer List'!$B22,'Revenue by Customer'!$A:$A,0))</f>
        <v>2540</v>
      </c>
      <c r="V22" s="187">
        <f>INDEX('Revenue by Customer'!V:V,MATCH('Full Customer List'!$B22,'Revenue by Customer'!$A:$A,0))</f>
        <v>2540</v>
      </c>
      <c r="W22" s="187">
        <f>INDEX('Revenue by Customer'!W:W,MATCH('Full Customer List'!$B22,'Revenue by Customer'!$A:$A,0))</f>
        <v>2620</v>
      </c>
      <c r="X22" s="187">
        <f>INDEX('Revenue by Customer'!X:X,MATCH('Full Customer List'!$B22,'Revenue by Customer'!$A:$A,0))</f>
        <v>3180</v>
      </c>
      <c r="Y22" s="187">
        <f>INDEX('Revenue by Customer'!Y:Y,MATCH('Full Customer List'!$B22,'Revenue by Customer'!$A:$A,0))</f>
        <v>2820</v>
      </c>
      <c r="Z22" s="187">
        <f>INDEX('Revenue by Customer'!Z:Z,MATCH('Full Customer List'!$B22,'Revenue by Customer'!$A:$A,0))</f>
        <v>3020</v>
      </c>
      <c r="AA22" s="187" t="str">
        <f>INDEX('Revenue by Customer'!AA:AA,MATCH('Full Customer List'!$B22,'Revenue by Customer'!$A:$A,0))</f>
        <v/>
      </c>
      <c r="AB22" s="187" t="str">
        <f>INDEX('Revenue by Customer'!AB:AB,MATCH('Full Customer List'!$B22,'Revenue by Customer'!$A:$A,0))</f>
        <v/>
      </c>
      <c r="AC22" s="187" t="str">
        <f>INDEX('Revenue by Customer'!AC:AC,MATCH('Full Customer List'!$B22,'Revenue by Customer'!$A:$A,0))</f>
        <v/>
      </c>
    </row>
    <row r="23" spans="2:29" ht="12" customHeight="1">
      <c r="B23" s="171" t="s">
        <v>567</v>
      </c>
      <c r="C23" s="171" t="str">
        <f>INDEX('Customer List w Software'!$B:$B,MATCH('Full Customer List'!$B23,'Customer List w Software'!$A:$A,0))</f>
        <v>Active</v>
      </c>
      <c r="D23" s="171" t="str">
        <f>INDEX('Customer List w Software'!$C:$C,MATCH('Full Customer List'!$B23,'Customer List w Software'!$A:$A,0))</f>
        <v>Property manager</v>
      </c>
      <c r="E23" s="171" t="str">
        <f>INDEX('Customer List Mapping'!$C:$C,MATCH('Full Customer List'!D23,'Customer List Mapping'!$B:$B,0))</f>
        <v>Property Manager</v>
      </c>
      <c r="F23" s="187">
        <f>INDEX('Customer List w Software'!$K:$K,MATCH('Full Customer List'!$B23,'Customer List w Software'!$A:$A,0))</f>
        <v>42</v>
      </c>
      <c r="G23" s="187">
        <f>INDEX('Revenue by Customer'!$I:$I,MATCH('Full Customer List'!$B23,'Revenue by Customer'!$A:$A,0))</f>
        <v>2335.6666666666665</v>
      </c>
      <c r="H23" s="250" t="str">
        <f>IFERROR(IF(C23="Active","",INDEX('Client Departures'!$G:$G,MATCH('Full Customer List'!$B23,'Client Departures'!$A:$A,0))),"Unclassified")</f>
        <v/>
      </c>
      <c r="I23" s="191">
        <v>45839</v>
      </c>
      <c r="J23" s="191"/>
      <c r="K23" s="187" t="str">
        <f>INDEX('Revenue by Customer'!K:K,MATCH('Full Customer List'!$B23,'Revenue by Customer'!$A:$A,0))</f>
        <v/>
      </c>
      <c r="L23" s="187" t="str">
        <f>INDEX('Revenue by Customer'!L:L,MATCH('Full Customer List'!$B23,'Revenue by Customer'!$A:$A,0))</f>
        <v/>
      </c>
      <c r="M23" s="187" t="str">
        <f>INDEX('Revenue by Customer'!M:M,MATCH('Full Customer List'!$B23,'Revenue by Customer'!$A:$A,0))</f>
        <v/>
      </c>
      <c r="N23" s="187" t="str">
        <f>INDEX('Revenue by Customer'!N:N,MATCH('Full Customer List'!$B23,'Revenue by Customer'!$A:$A,0))</f>
        <v/>
      </c>
      <c r="O23" s="187" t="str">
        <f>INDEX('Revenue by Customer'!O:O,MATCH('Full Customer List'!$B23,'Revenue by Customer'!$A:$A,0))</f>
        <v/>
      </c>
      <c r="P23" s="187" t="str">
        <f>INDEX('Revenue by Customer'!P:P,MATCH('Full Customer List'!$B23,'Revenue by Customer'!$A:$A,0))</f>
        <v/>
      </c>
      <c r="Q23" s="187">
        <f>INDEX('Revenue by Customer'!Q:Q,MATCH('Full Customer List'!$B23,'Revenue by Customer'!$A:$A,0))</f>
        <v>3840</v>
      </c>
      <c r="R23" s="187">
        <f>INDEX('Revenue by Customer'!R:R,MATCH('Full Customer List'!$B23,'Revenue by Customer'!$A:$A,0))</f>
        <v>2025</v>
      </c>
      <c r="S23" s="187">
        <f>INDEX('Revenue by Customer'!S:S,MATCH('Full Customer List'!$B23,'Revenue by Customer'!$A:$A,0))</f>
        <v>1970</v>
      </c>
      <c r="T23" s="187">
        <f>INDEX('Revenue by Customer'!T:T,MATCH('Full Customer List'!$B23,'Revenue by Customer'!$A:$A,0))</f>
        <v>2025</v>
      </c>
      <c r="U23" s="187">
        <f>INDEX('Revenue by Customer'!U:U,MATCH('Full Customer List'!$B23,'Revenue by Customer'!$A:$A,0))</f>
        <v>1970</v>
      </c>
      <c r="V23" s="187">
        <f>INDEX('Revenue by Customer'!V:V,MATCH('Full Customer List'!$B23,'Revenue by Customer'!$A:$A,0))</f>
        <v>2080</v>
      </c>
      <c r="W23" s="187">
        <f>INDEX('Revenue by Customer'!W:W,MATCH('Full Customer List'!$B23,'Revenue by Customer'!$A:$A,0))</f>
        <v>1970</v>
      </c>
      <c r="X23" s="187">
        <f>INDEX('Revenue by Customer'!X:X,MATCH('Full Customer List'!$B23,'Revenue by Customer'!$A:$A,0))</f>
        <v>2235</v>
      </c>
      <c r="Y23" s="187">
        <f>INDEX('Revenue by Customer'!Y:Y,MATCH('Full Customer List'!$B23,'Revenue by Customer'!$A:$A,0))</f>
        <v>2135</v>
      </c>
      <c r="Z23" s="187">
        <f>INDEX('Revenue by Customer'!Z:Z,MATCH('Full Customer List'!$B23,'Revenue by Customer'!$A:$A,0))</f>
        <v>2135</v>
      </c>
      <c r="AA23" s="187">
        <f>INDEX('Revenue by Customer'!AA:AA,MATCH('Full Customer List'!$B23,'Revenue by Customer'!$A:$A,0))</f>
        <v>2410</v>
      </c>
      <c r="AB23" s="187">
        <f>INDEX('Revenue by Customer'!AB:AB,MATCH('Full Customer List'!$B23,'Revenue by Customer'!$A:$A,0))</f>
        <v>2355</v>
      </c>
      <c r="AC23" s="187">
        <f>INDEX('Revenue by Customer'!AC:AC,MATCH('Full Customer List'!$B23,'Revenue by Customer'!$A:$A,0))</f>
        <v>2242</v>
      </c>
    </row>
    <row r="24" spans="2:29" ht="12" customHeight="1">
      <c r="B24" s="171" t="s">
        <v>569</v>
      </c>
      <c r="C24" s="171" t="str">
        <f>INDEX('Customer List w Software'!$B:$B,MATCH('Full Customer List'!$B24,'Customer List w Software'!$A:$A,0))</f>
        <v>Active</v>
      </c>
      <c r="D24" s="171" t="str">
        <f>INDEX('Customer List w Software'!$C:$C,MATCH('Full Customer List'!$B24,'Customer List w Software'!$A:$A,0))</f>
        <v>Property manager</v>
      </c>
      <c r="E24" s="171" t="str">
        <f>INDEX('Customer List Mapping'!$C:$C,MATCH('Full Customer List'!D24,'Customer List Mapping'!$B:$B,0))</f>
        <v>Property Manager</v>
      </c>
      <c r="F24" s="187">
        <f>INDEX('Customer List w Software'!$K:$K,MATCH('Full Customer List'!$B24,'Customer List w Software'!$A:$A,0))</f>
        <v>47</v>
      </c>
      <c r="G24" s="187">
        <f>INDEX('Revenue by Customer'!$I:$I,MATCH('Full Customer List'!$B24,'Revenue by Customer'!$A:$A,0))</f>
        <v>3262.6666666666665</v>
      </c>
      <c r="H24" s="250" t="str">
        <f>IFERROR(IF(C24="Active","",INDEX('Client Departures'!$G:$G,MATCH('Full Customer List'!$B24,'Client Departures'!$A:$A,0))),"Unclassified")</f>
        <v/>
      </c>
      <c r="I24" s="191">
        <v>45231</v>
      </c>
      <c r="J24" s="191"/>
      <c r="K24" s="187">
        <f>INDEX('Revenue by Customer'!K:K,MATCH('Full Customer List'!$B24,'Revenue by Customer'!$A:$A,0))</f>
        <v>733</v>
      </c>
      <c r="L24" s="187">
        <f>INDEX('Revenue by Customer'!L:L,MATCH('Full Customer List'!$B24,'Revenue by Customer'!$A:$A,0))</f>
        <v>869</v>
      </c>
      <c r="M24" s="187">
        <f>INDEX('Revenue by Customer'!M:M,MATCH('Full Customer List'!$B24,'Revenue by Customer'!$A:$A,0))</f>
        <v>869</v>
      </c>
      <c r="N24" s="187">
        <f>INDEX('Revenue by Customer'!N:N,MATCH('Full Customer List'!$B24,'Revenue by Customer'!$A:$A,0))</f>
        <v>926</v>
      </c>
      <c r="O24" s="187">
        <f>INDEX('Revenue by Customer'!O:O,MATCH('Full Customer List'!$B24,'Revenue by Customer'!$A:$A,0))</f>
        <v>1055</v>
      </c>
      <c r="P24" s="187">
        <f>INDEX('Revenue by Customer'!P:P,MATCH('Full Customer List'!$B24,'Revenue by Customer'!$A:$A,0))</f>
        <v>1189</v>
      </c>
      <c r="Q24" s="187">
        <f>INDEX('Revenue by Customer'!Q:Q,MATCH('Full Customer List'!$B24,'Revenue by Customer'!$A:$A,0))</f>
        <v>1457</v>
      </c>
      <c r="R24" s="187">
        <f>INDEX('Revenue by Customer'!R:R,MATCH('Full Customer List'!$B24,'Revenue by Customer'!$A:$A,0))</f>
        <v>1524</v>
      </c>
      <c r="S24" s="187">
        <f>INDEX('Revenue by Customer'!S:S,MATCH('Full Customer List'!$B24,'Revenue by Customer'!$A:$A,0))</f>
        <v>1524</v>
      </c>
      <c r="T24" s="187">
        <f>INDEX('Revenue by Customer'!T:T,MATCH('Full Customer List'!$B24,'Revenue by Customer'!$A:$A,0))</f>
        <v>1524</v>
      </c>
      <c r="U24" s="187">
        <f>INDEX('Revenue by Customer'!U:U,MATCH('Full Customer List'!$B24,'Revenue by Customer'!$A:$A,0))</f>
        <v>1658</v>
      </c>
      <c r="V24" s="187">
        <f>INDEX('Revenue by Customer'!V:V,MATCH('Full Customer List'!$B24,'Revenue by Customer'!$A:$A,0))</f>
        <v>1658</v>
      </c>
      <c r="W24" s="187">
        <f>INDEX('Revenue by Customer'!W:W,MATCH('Full Customer List'!$B24,'Revenue by Customer'!$A:$A,0))</f>
        <v>1658</v>
      </c>
      <c r="X24" s="187">
        <f>INDEX('Revenue by Customer'!X:X,MATCH('Full Customer List'!$B24,'Revenue by Customer'!$A:$A,0))</f>
        <v>2197</v>
      </c>
      <c r="Y24" s="187">
        <f>INDEX('Revenue by Customer'!Y:Y,MATCH('Full Customer List'!$B24,'Revenue by Customer'!$A:$A,0))</f>
        <v>1993</v>
      </c>
      <c r="Z24" s="187">
        <f>INDEX('Revenue by Customer'!Z:Z,MATCH('Full Customer List'!$B24,'Revenue by Customer'!$A:$A,0))</f>
        <v>2003</v>
      </c>
      <c r="AA24" s="187">
        <f>INDEX('Revenue by Customer'!AA:AA,MATCH('Full Customer List'!$B24,'Revenue by Customer'!$A:$A,0))</f>
        <v>2333</v>
      </c>
      <c r="AB24" s="187">
        <f>INDEX('Revenue by Customer'!AB:AB,MATCH('Full Customer List'!$B24,'Revenue by Customer'!$A:$A,0))</f>
        <v>4666</v>
      </c>
      <c r="AC24" s="187">
        <f>INDEX('Revenue by Customer'!AC:AC,MATCH('Full Customer List'!$B24,'Revenue by Customer'!$A:$A,0))</f>
        <v>2789</v>
      </c>
    </row>
    <row r="25" spans="2:29" ht="12" customHeight="1">
      <c r="B25" s="171" t="s">
        <v>571</v>
      </c>
      <c r="C25" s="171" t="str">
        <f>INDEX('Customer List w Software'!$B:$B,MATCH('Full Customer List'!$B25,'Customer List w Software'!$A:$A,0))</f>
        <v>Active</v>
      </c>
      <c r="D25" s="171" t="str">
        <f>INDEX('Customer List w Software'!$C:$C,MATCH('Full Customer List'!$B25,'Customer List w Software'!$A:$A,0))</f>
        <v>Property manager</v>
      </c>
      <c r="E25" s="171" t="str">
        <f>INDEX('Customer List Mapping'!$C:$C,MATCH('Full Customer List'!D25,'Customer List Mapping'!$B:$B,0))</f>
        <v>Property Manager</v>
      </c>
      <c r="F25" s="187">
        <f>INDEX('Customer List w Software'!$K:$K,MATCH('Full Customer List'!$B25,'Customer List w Software'!$A:$A,0))</f>
        <v>26</v>
      </c>
      <c r="G25" s="187">
        <f>INDEX('Revenue by Customer'!$I:$I,MATCH('Full Customer List'!$B25,'Revenue by Customer'!$A:$A,0))</f>
        <v>2095.6666666666665</v>
      </c>
      <c r="H25" s="250" t="str">
        <f>IFERROR(IF(C25="Active","",INDEX('Client Departures'!$G:$G,MATCH('Full Customer List'!$B25,'Client Departures'!$A:$A,0))),"Unclassified")</f>
        <v/>
      </c>
      <c r="I25" s="191">
        <v>44958</v>
      </c>
      <c r="J25" s="191"/>
      <c r="K25" s="187">
        <f>INDEX('Revenue by Customer'!K:K,MATCH('Full Customer List'!$B25,'Revenue by Customer'!$A:$A,0))</f>
        <v>1767</v>
      </c>
      <c r="L25" s="187">
        <f>INDEX('Revenue by Customer'!L:L,MATCH('Full Customer List'!$B25,'Revenue by Customer'!$A:$A,0))</f>
        <v>1415</v>
      </c>
      <c r="M25" s="187">
        <f>INDEX('Revenue by Customer'!M:M,MATCH('Full Customer List'!$B25,'Revenue by Customer'!$A:$A,0))</f>
        <v>1325</v>
      </c>
      <c r="N25" s="187">
        <f>INDEX('Revenue by Customer'!N:N,MATCH('Full Customer List'!$B25,'Revenue by Customer'!$A:$A,0))</f>
        <v>1325</v>
      </c>
      <c r="O25" s="187">
        <f>INDEX('Revenue by Customer'!O:O,MATCH('Full Customer List'!$B25,'Revenue by Customer'!$A:$A,0))</f>
        <v>1400</v>
      </c>
      <c r="P25" s="187">
        <f>INDEX('Revenue by Customer'!P:P,MATCH('Full Customer List'!$B25,'Revenue by Customer'!$A:$A,0))</f>
        <v>1400</v>
      </c>
      <c r="Q25" s="187">
        <f>INDEX('Revenue by Customer'!Q:Q,MATCH('Full Customer List'!$B25,'Revenue by Customer'!$A:$A,0))</f>
        <v>1475</v>
      </c>
      <c r="R25" s="187">
        <f>INDEX('Revenue by Customer'!R:R,MATCH('Full Customer List'!$B25,'Revenue by Customer'!$A:$A,0))</f>
        <v>1625</v>
      </c>
      <c r="S25" s="187">
        <f>INDEX('Revenue by Customer'!S:S,MATCH('Full Customer List'!$B25,'Revenue by Customer'!$A:$A,0))</f>
        <v>1730</v>
      </c>
      <c r="T25" s="187">
        <f>INDEX('Revenue by Customer'!T:T,MATCH('Full Customer List'!$B25,'Revenue by Customer'!$A:$A,0))</f>
        <v>2186</v>
      </c>
      <c r="U25" s="187">
        <f>INDEX('Revenue by Customer'!U:U,MATCH('Full Customer List'!$B25,'Revenue by Customer'!$A:$A,0))</f>
        <v>2097</v>
      </c>
      <c r="V25" s="187">
        <f>INDEX('Revenue by Customer'!V:V,MATCH('Full Customer List'!$B25,'Revenue by Customer'!$A:$A,0))</f>
        <v>2102</v>
      </c>
      <c r="W25" s="187">
        <f>INDEX('Revenue by Customer'!W:W,MATCH('Full Customer List'!$B25,'Revenue by Customer'!$A:$A,0))</f>
        <v>2254</v>
      </c>
      <c r="X25" s="187">
        <f>INDEX('Revenue by Customer'!X:X,MATCH('Full Customer List'!$B25,'Revenue by Customer'!$A:$A,0))</f>
        <v>2774</v>
      </c>
      <c r="Y25" s="187">
        <f>INDEX('Revenue by Customer'!Y:Y,MATCH('Full Customer List'!$B25,'Revenue by Customer'!$A:$A,0))</f>
        <v>2279</v>
      </c>
      <c r="Z25" s="187">
        <f>INDEX('Revenue by Customer'!Z:Z,MATCH('Full Customer List'!$B25,'Revenue by Customer'!$A:$A,0))</f>
        <v>1975</v>
      </c>
      <c r="AA25" s="187">
        <f>INDEX('Revenue by Customer'!AA:AA,MATCH('Full Customer List'!$B25,'Revenue by Customer'!$A:$A,0))</f>
        <v>2042</v>
      </c>
      <c r="AB25" s="187">
        <f>INDEX('Revenue by Customer'!AB:AB,MATCH('Full Customer List'!$B25,'Revenue by Customer'!$A:$A,0))</f>
        <v>2194</v>
      </c>
      <c r="AC25" s="187">
        <f>INDEX('Revenue by Customer'!AC:AC,MATCH('Full Customer List'!$B25,'Revenue by Customer'!$A:$A,0))</f>
        <v>2051</v>
      </c>
    </row>
    <row r="26" spans="2:29" ht="12" customHeight="1">
      <c r="B26" s="171" t="s">
        <v>575</v>
      </c>
      <c r="C26" s="171" t="str">
        <f>INDEX('Customer List w Software'!$B:$B,MATCH('Full Customer List'!$B26,'Customer List w Software'!$A:$A,0))</f>
        <v>Active</v>
      </c>
      <c r="D26" s="171" t="str">
        <f>INDEX('Customer List w Software'!$C:$C,MATCH('Full Customer List'!$B26,'Customer List w Software'!$A:$A,0))</f>
        <v>Property manager</v>
      </c>
      <c r="E26" s="171" t="str">
        <f>INDEX('Customer List Mapping'!$C:$C,MATCH('Full Customer List'!D26,'Customer List Mapping'!$B:$B,0))</f>
        <v>Property Manager</v>
      </c>
      <c r="F26" s="187">
        <f>INDEX('Customer List w Software'!$K:$K,MATCH('Full Customer List'!$B26,'Customer List w Software'!$A:$A,0))</f>
        <v>26</v>
      </c>
      <c r="G26" s="187">
        <f>INDEX('Revenue by Customer'!$I:$I,MATCH('Full Customer List'!$B26,'Revenue by Customer'!$A:$A,0))</f>
        <v>1808.3333333333333</v>
      </c>
      <c r="H26" s="250" t="str">
        <f>IFERROR(IF(C26="Active","",INDEX('Client Departures'!$G:$G,MATCH('Full Customer List'!$B26,'Client Departures'!$A:$A,0))),"Unclassified")</f>
        <v/>
      </c>
      <c r="I26" s="191">
        <v>45658</v>
      </c>
      <c r="J26" s="191"/>
      <c r="K26" s="187">
        <f>INDEX('Revenue by Customer'!K:K,MATCH('Full Customer List'!$B26,'Revenue by Customer'!$A:$A,0))</f>
        <v>2168</v>
      </c>
      <c r="L26" s="187">
        <f>INDEX('Revenue by Customer'!L:L,MATCH('Full Customer List'!$B26,'Revenue by Customer'!$A:$A,0))</f>
        <v>1466</v>
      </c>
      <c r="M26" s="187">
        <f>INDEX('Revenue by Customer'!M:M,MATCH('Full Customer List'!$B26,'Revenue by Customer'!$A:$A,0))</f>
        <v>1466</v>
      </c>
      <c r="N26" s="187">
        <f>INDEX('Revenue by Customer'!N:N,MATCH('Full Customer List'!$B26,'Revenue by Customer'!$A:$A,0))</f>
        <v>1466</v>
      </c>
      <c r="O26" s="187">
        <f>INDEX('Revenue by Customer'!O:O,MATCH('Full Customer List'!$B26,'Revenue by Customer'!$A:$A,0))</f>
        <v>1565</v>
      </c>
      <c r="P26" s="187">
        <f>INDEX('Revenue by Customer'!P:P,MATCH('Full Customer List'!$B26,'Revenue by Customer'!$A:$A,0))</f>
        <v>1620</v>
      </c>
      <c r="Q26" s="187">
        <f>INDEX('Revenue by Customer'!Q:Q,MATCH('Full Customer List'!$B26,'Revenue by Customer'!$A:$A,0))</f>
        <v>1660</v>
      </c>
      <c r="R26" s="187">
        <f>INDEX('Revenue by Customer'!R:R,MATCH('Full Customer List'!$B26,'Revenue by Customer'!$A:$A,0))</f>
        <v>1755</v>
      </c>
      <c r="S26" s="187">
        <f>INDEX('Revenue by Customer'!S:S,MATCH('Full Customer List'!$B26,'Revenue by Customer'!$A:$A,0))</f>
        <v>1660</v>
      </c>
      <c r="T26" s="187">
        <f>INDEX('Revenue by Customer'!T:T,MATCH('Full Customer List'!$B26,'Revenue by Customer'!$A:$A,0))</f>
        <v>1993</v>
      </c>
      <c r="U26" s="187">
        <f>INDEX('Revenue by Customer'!U:U,MATCH('Full Customer List'!$B26,'Revenue by Customer'!$A:$A,0))</f>
        <v>2211</v>
      </c>
      <c r="V26" s="187">
        <f>INDEX('Revenue by Customer'!V:V,MATCH('Full Customer List'!$B26,'Revenue by Customer'!$A:$A,0))</f>
        <v>2320</v>
      </c>
      <c r="W26" s="187">
        <f>INDEX('Revenue by Customer'!W:W,MATCH('Full Customer List'!$B26,'Revenue by Customer'!$A:$A,0))</f>
        <v>2211</v>
      </c>
      <c r="X26" s="187">
        <f>INDEX('Revenue by Customer'!X:X,MATCH('Full Customer List'!$B26,'Revenue by Customer'!$A:$A,0))</f>
        <v>3246</v>
      </c>
      <c r="Y26" s="187">
        <f>INDEX('Revenue by Customer'!Y:Y,MATCH('Full Customer List'!$B26,'Revenue by Customer'!$A:$A,0))</f>
        <v>2429</v>
      </c>
      <c r="Z26" s="187">
        <f>INDEX('Revenue by Customer'!Z:Z,MATCH('Full Customer List'!$B26,'Revenue by Customer'!$A:$A,0))</f>
        <v>1630.2</v>
      </c>
      <c r="AA26" s="187">
        <f>INDEX('Revenue by Customer'!AA:AA,MATCH('Full Customer List'!$B26,'Revenue by Customer'!$A:$A,0))</f>
        <v>1816</v>
      </c>
      <c r="AB26" s="187">
        <f>INDEX('Revenue by Customer'!AB:AB,MATCH('Full Customer List'!$B26,'Revenue by Customer'!$A:$A,0))</f>
        <v>1724</v>
      </c>
      <c r="AC26" s="187">
        <f>INDEX('Revenue by Customer'!AC:AC,MATCH('Full Customer List'!$B26,'Revenue by Customer'!$A:$A,0))</f>
        <v>1885</v>
      </c>
    </row>
    <row r="27" spans="2:29" ht="12" customHeight="1">
      <c r="B27" s="171" t="s">
        <v>577</v>
      </c>
      <c r="C27" s="171" t="str">
        <f>INDEX('Customer List w Software'!$B:$B,MATCH('Full Customer List'!$B27,'Customer List w Software'!$A:$A,0))</f>
        <v>Active</v>
      </c>
      <c r="D27" s="171" t="str">
        <f>INDEX('Customer List w Software'!$C:$C,MATCH('Full Customer List'!$B27,'Customer List w Software'!$A:$A,0))</f>
        <v>Property manager</v>
      </c>
      <c r="E27" s="171" t="str">
        <f>INDEX('Customer List Mapping'!$C:$C,MATCH('Full Customer List'!D27,'Customer List Mapping'!$B:$B,0))</f>
        <v>Property Manager</v>
      </c>
      <c r="F27" s="187">
        <f>INDEX('Customer List w Software'!$K:$K,MATCH('Full Customer List'!$B27,'Customer List w Software'!$A:$A,0))</f>
        <v>34</v>
      </c>
      <c r="G27" s="187">
        <f>INDEX('Revenue by Customer'!$I:$I,MATCH('Full Customer List'!$B27,'Revenue by Customer'!$A:$A,0))</f>
        <v>1933.3333333333333</v>
      </c>
      <c r="H27" s="250" t="str">
        <f>IFERROR(IF(C27="Active","",INDEX('Client Departures'!$G:$G,MATCH('Full Customer List'!$B27,'Client Departures'!$A:$A,0))),"Unclassified")</f>
        <v/>
      </c>
      <c r="I27" s="191">
        <v>45231</v>
      </c>
      <c r="J27" s="191"/>
      <c r="K27" s="187">
        <f>INDEX('Revenue by Customer'!K:K,MATCH('Full Customer List'!$B27,'Revenue by Customer'!$A:$A,0))</f>
        <v>1350</v>
      </c>
      <c r="L27" s="187">
        <f>INDEX('Revenue by Customer'!L:L,MATCH('Full Customer List'!$B27,'Revenue by Customer'!$A:$A,0))</f>
        <v>1620</v>
      </c>
      <c r="M27" s="187">
        <f>INDEX('Revenue by Customer'!M:M,MATCH('Full Customer List'!$B27,'Revenue by Customer'!$A:$A,0))</f>
        <v>1425</v>
      </c>
      <c r="N27" s="187">
        <f>INDEX('Revenue by Customer'!N:N,MATCH('Full Customer List'!$B27,'Revenue by Customer'!$A:$A,0))</f>
        <v>1575</v>
      </c>
      <c r="O27" s="187">
        <f>INDEX('Revenue by Customer'!O:O,MATCH('Full Customer List'!$B27,'Revenue by Customer'!$A:$A,0))</f>
        <v>1650</v>
      </c>
      <c r="P27" s="187">
        <f>INDEX('Revenue by Customer'!P:P,MATCH('Full Customer List'!$B27,'Revenue by Customer'!$A:$A,0))</f>
        <v>1725</v>
      </c>
      <c r="Q27" s="187">
        <f>INDEX('Revenue by Customer'!Q:Q,MATCH('Full Customer List'!$B27,'Revenue by Customer'!$A:$A,0))</f>
        <v>1800</v>
      </c>
      <c r="R27" s="187">
        <f>INDEX('Revenue by Customer'!R:R,MATCH('Full Customer List'!$B27,'Revenue by Customer'!$A:$A,0))</f>
        <v>1800</v>
      </c>
      <c r="S27" s="187">
        <f>INDEX('Revenue by Customer'!S:S,MATCH('Full Customer List'!$B27,'Revenue by Customer'!$A:$A,0))</f>
        <v>1800</v>
      </c>
      <c r="T27" s="187">
        <f>INDEX('Revenue by Customer'!T:T,MATCH('Full Customer List'!$B27,'Revenue by Customer'!$A:$A,0))</f>
        <v>1650</v>
      </c>
      <c r="U27" s="187">
        <f>INDEX('Revenue by Customer'!U:U,MATCH('Full Customer List'!$B27,'Revenue by Customer'!$A:$A,0))</f>
        <v>1595</v>
      </c>
      <c r="V27" s="187">
        <f>INDEX('Revenue by Customer'!V:V,MATCH('Full Customer List'!$B27,'Revenue by Customer'!$A:$A,0))</f>
        <v>1660</v>
      </c>
      <c r="W27" s="187">
        <f>INDEX('Revenue by Customer'!W:W,MATCH('Full Customer List'!$B27,'Revenue by Customer'!$A:$A,0))</f>
        <v>1920</v>
      </c>
      <c r="X27" s="187">
        <f>INDEX('Revenue by Customer'!X:X,MATCH('Full Customer List'!$B27,'Revenue by Customer'!$A:$A,0))</f>
        <v>2215</v>
      </c>
      <c r="Y27" s="187">
        <f>INDEX('Revenue by Customer'!Y:Y,MATCH('Full Customer List'!$B27,'Revenue by Customer'!$A:$A,0))</f>
        <v>3965</v>
      </c>
      <c r="Z27" s="187">
        <f>INDEX('Revenue by Customer'!Z:Z,MATCH('Full Customer List'!$B27,'Revenue by Customer'!$A:$A,0))</f>
        <v>1860</v>
      </c>
      <c r="AA27" s="187">
        <f>INDEX('Revenue by Customer'!AA:AA,MATCH('Full Customer List'!$B27,'Revenue by Customer'!$A:$A,0))</f>
        <v>2135</v>
      </c>
      <c r="AB27" s="187">
        <f>INDEX('Revenue by Customer'!AB:AB,MATCH('Full Customer List'!$B27,'Revenue by Customer'!$A:$A,0))</f>
        <v>2025</v>
      </c>
      <c r="AC27" s="187">
        <f>INDEX('Revenue by Customer'!AC:AC,MATCH('Full Customer List'!$B27,'Revenue by Customer'!$A:$A,0))</f>
        <v>1640</v>
      </c>
    </row>
    <row r="28" spans="2:29" ht="12" customHeight="1">
      <c r="B28" s="171" t="s">
        <v>578</v>
      </c>
      <c r="C28" s="171" t="str">
        <f>INDEX('Customer List w Software'!$B:$B,MATCH('Full Customer List'!$B28,'Customer List w Software'!$A:$A,0))</f>
        <v>Active</v>
      </c>
      <c r="D28" s="171" t="str">
        <f>INDEX('Customer List w Software'!$C:$C,MATCH('Full Customer List'!$B28,'Customer List w Software'!$A:$A,0))</f>
        <v>Property manager</v>
      </c>
      <c r="E28" s="171" t="str">
        <f>INDEX('Customer List Mapping'!$C:$C,MATCH('Full Customer List'!D28,'Customer List Mapping'!$B:$B,0))</f>
        <v>Property Manager</v>
      </c>
      <c r="F28" s="187">
        <f>INDEX('Customer List w Software'!$K:$K,MATCH('Full Customer List'!$B28,'Customer List w Software'!$A:$A,0))</f>
        <v>28</v>
      </c>
      <c r="G28" s="187">
        <f>INDEX('Revenue by Customer'!$I:$I,MATCH('Full Customer List'!$B28,'Revenue by Customer'!$A:$A,0))</f>
        <v>1973.3333333333333</v>
      </c>
      <c r="H28" s="250" t="str">
        <f>IFERROR(IF(C28="Active","",INDEX('Client Departures'!$G:$G,MATCH('Full Customer List'!$B28,'Client Departures'!$A:$A,0))),"Unclassified")</f>
        <v/>
      </c>
      <c r="I28" s="191">
        <v>44958</v>
      </c>
      <c r="J28" s="191"/>
      <c r="K28" s="187">
        <f>INDEX('Revenue by Customer'!K:K,MATCH('Full Customer List'!$B28,'Revenue by Customer'!$A:$A,0))</f>
        <v>2775</v>
      </c>
      <c r="L28" s="187">
        <f>INDEX('Revenue by Customer'!L:L,MATCH('Full Customer List'!$B28,'Revenue by Customer'!$A:$A,0))</f>
        <v>3285</v>
      </c>
      <c r="M28" s="187">
        <f>INDEX('Revenue by Customer'!M:M,MATCH('Full Customer List'!$B28,'Revenue by Customer'!$A:$A,0))</f>
        <v>2570</v>
      </c>
      <c r="N28" s="187">
        <f>INDEX('Revenue by Customer'!N:N,MATCH('Full Customer List'!$B28,'Revenue by Customer'!$A:$A,0))</f>
        <v>2507</v>
      </c>
      <c r="O28" s="187">
        <f>INDEX('Revenue by Customer'!O:O,MATCH('Full Customer List'!$B28,'Revenue by Customer'!$A:$A,0))</f>
        <v>2696</v>
      </c>
      <c r="P28" s="187">
        <f>INDEX('Revenue by Customer'!P:P,MATCH('Full Customer List'!$B28,'Revenue by Customer'!$A:$A,0))</f>
        <v>2570</v>
      </c>
      <c r="Q28" s="187">
        <f>INDEX('Revenue by Customer'!Q:Q,MATCH('Full Customer List'!$B28,'Revenue by Customer'!$A:$A,0))</f>
        <v>2129</v>
      </c>
      <c r="R28" s="187">
        <f>INDEX('Revenue by Customer'!R:R,MATCH('Full Customer List'!$B28,'Revenue by Customer'!$A:$A,0))</f>
        <v>2066</v>
      </c>
      <c r="S28" s="187">
        <f>INDEX('Revenue by Customer'!S:S,MATCH('Full Customer List'!$B28,'Revenue by Customer'!$A:$A,0))</f>
        <v>2129</v>
      </c>
      <c r="T28" s="187">
        <f>INDEX('Revenue by Customer'!T:T,MATCH('Full Customer List'!$B28,'Revenue by Customer'!$A:$A,0))</f>
        <v>1814</v>
      </c>
      <c r="U28" s="187">
        <f>INDEX('Revenue by Customer'!U:U,MATCH('Full Customer List'!$B28,'Revenue by Customer'!$A:$A,0))</f>
        <v>1814</v>
      </c>
      <c r="V28" s="187">
        <f>INDEX('Revenue by Customer'!V:V,MATCH('Full Customer List'!$B28,'Revenue by Customer'!$A:$A,0))</f>
        <v>1814</v>
      </c>
      <c r="W28" s="187">
        <f>INDEX('Revenue by Customer'!W:W,MATCH('Full Customer List'!$B28,'Revenue by Customer'!$A:$A,0))</f>
        <v>1940</v>
      </c>
      <c r="X28" s="187">
        <f>INDEX('Revenue by Customer'!X:X,MATCH('Full Customer List'!$B28,'Revenue by Customer'!$A:$A,0))</f>
        <v>2541</v>
      </c>
      <c r="Y28" s="187">
        <f>INDEX('Revenue by Customer'!Y:Y,MATCH('Full Customer List'!$B28,'Revenue by Customer'!$A:$A,0))</f>
        <v>2013</v>
      </c>
      <c r="Z28" s="187">
        <f>INDEX('Revenue by Customer'!Z:Z,MATCH('Full Customer List'!$B28,'Revenue by Customer'!$A:$A,0))</f>
        <v>2013</v>
      </c>
      <c r="AA28" s="187">
        <f>INDEX('Revenue by Customer'!AA:AA,MATCH('Full Customer List'!$B28,'Revenue by Customer'!$A:$A,0))</f>
        <v>2018</v>
      </c>
      <c r="AB28" s="187">
        <f>INDEX('Revenue by Customer'!AB:AB,MATCH('Full Customer List'!$B28,'Revenue by Customer'!$A:$A,0))</f>
        <v>1951</v>
      </c>
      <c r="AC28" s="187">
        <f>INDEX('Revenue by Customer'!AC:AC,MATCH('Full Customer List'!$B28,'Revenue by Customer'!$A:$A,0))</f>
        <v>1951</v>
      </c>
    </row>
    <row r="29" spans="2:29" ht="12" customHeight="1">
      <c r="B29" s="171" t="s">
        <v>582</v>
      </c>
      <c r="C29" s="171" t="str">
        <f>INDEX('Customer List w Software'!$B:$B,MATCH('Full Customer List'!$B29,'Customer List w Software'!$A:$A,0))</f>
        <v>Active</v>
      </c>
      <c r="D29" s="171" t="str">
        <f>INDEX('Customer List w Software'!$C:$C,MATCH('Full Customer List'!$B29,'Customer List w Software'!$A:$A,0))</f>
        <v>Property manager</v>
      </c>
      <c r="E29" s="171" t="str">
        <f>INDEX('Customer List Mapping'!$C:$C,MATCH('Full Customer List'!D29,'Customer List Mapping'!$B:$B,0))</f>
        <v>Property Manager</v>
      </c>
      <c r="F29" s="187">
        <f>INDEX('Customer List w Software'!$K:$K,MATCH('Full Customer List'!$B29,'Customer List w Software'!$A:$A,0))</f>
        <v>24</v>
      </c>
      <c r="G29" s="187">
        <f>INDEX('Revenue by Customer'!$I:$I,MATCH('Full Customer List'!$B29,'Revenue by Customer'!$A:$A,0))</f>
        <v>2051</v>
      </c>
      <c r="H29" s="250" t="str">
        <f>IFERROR(IF(C29="Active","",INDEX('Client Departures'!$G:$G,MATCH('Full Customer List'!$B29,'Client Departures'!$A:$A,0))),"Unclassified")</f>
        <v/>
      </c>
      <c r="I29" s="191">
        <v>45108</v>
      </c>
      <c r="J29" s="191"/>
      <c r="K29" s="187">
        <f>INDEX('Revenue by Customer'!K:K,MATCH('Full Customer List'!$B29,'Revenue by Customer'!$A:$A,0))</f>
        <v>1335</v>
      </c>
      <c r="L29" s="187">
        <f>INDEX('Revenue by Customer'!L:L,MATCH('Full Customer List'!$B29,'Revenue by Customer'!$A:$A,0))</f>
        <v>2234</v>
      </c>
      <c r="M29" s="187">
        <f>INDEX('Revenue by Customer'!M:M,MATCH('Full Customer List'!$B29,'Revenue by Customer'!$A:$A,0))</f>
        <v>1424</v>
      </c>
      <c r="N29" s="187">
        <f>INDEX('Revenue by Customer'!N:N,MATCH('Full Customer List'!$B29,'Revenue by Customer'!$A:$A,0))</f>
        <v>1424</v>
      </c>
      <c r="O29" s="187">
        <f>INDEX('Revenue by Customer'!O:O,MATCH('Full Customer List'!$B29,'Revenue by Customer'!$A:$A,0))</f>
        <v>1424</v>
      </c>
      <c r="P29" s="187">
        <f>INDEX('Revenue by Customer'!P:P,MATCH('Full Customer List'!$B29,'Revenue by Customer'!$A:$A,0))</f>
        <v>1513</v>
      </c>
      <c r="Q29" s="187">
        <f>INDEX('Revenue by Customer'!Q:Q,MATCH('Full Customer List'!$B29,'Revenue by Customer'!$A:$A,0))</f>
        <v>1545</v>
      </c>
      <c r="R29" s="187">
        <f>INDEX('Revenue by Customer'!R:R,MATCH('Full Customer List'!$B29,'Revenue by Customer'!$A:$A,0))</f>
        <v>1715</v>
      </c>
      <c r="S29" s="187">
        <f>INDEX('Revenue by Customer'!S:S,MATCH('Full Customer List'!$B29,'Revenue by Customer'!$A:$A,0))</f>
        <v>1800</v>
      </c>
      <c r="T29" s="187">
        <f>INDEX('Revenue by Customer'!T:T,MATCH('Full Customer List'!$B29,'Revenue by Customer'!$A:$A,0))</f>
        <v>1715</v>
      </c>
      <c r="U29" s="187">
        <f>INDEX('Revenue by Customer'!U:U,MATCH('Full Customer List'!$B29,'Revenue by Customer'!$A:$A,0))</f>
        <v>1800</v>
      </c>
      <c r="V29" s="187">
        <f>INDEX('Revenue by Customer'!V:V,MATCH('Full Customer List'!$B29,'Revenue by Customer'!$A:$A,0))</f>
        <v>1800</v>
      </c>
      <c r="W29" s="187">
        <f>INDEX('Revenue by Customer'!W:W,MATCH('Full Customer List'!$B29,'Revenue by Customer'!$A:$A,0))</f>
        <v>2455</v>
      </c>
      <c r="X29" s="187">
        <f>INDEX('Revenue by Customer'!X:X,MATCH('Full Customer List'!$B29,'Revenue by Customer'!$A:$A,0))</f>
        <v>2055</v>
      </c>
      <c r="Y29" s="187">
        <f>INDEX('Revenue by Customer'!Y:Y,MATCH('Full Customer List'!$B29,'Revenue by Customer'!$A:$A,0))</f>
        <v>2055</v>
      </c>
      <c r="Z29" s="187">
        <f>INDEX('Revenue by Customer'!Z:Z,MATCH('Full Customer List'!$B29,'Revenue by Customer'!$A:$A,0))</f>
        <v>2055</v>
      </c>
      <c r="AA29" s="187">
        <f>INDEX('Revenue by Customer'!AA:AA,MATCH('Full Customer List'!$B29,'Revenue by Customer'!$A:$A,0))</f>
        <v>2055</v>
      </c>
      <c r="AB29" s="187">
        <f>INDEX('Revenue by Customer'!AB:AB,MATCH('Full Customer List'!$B29,'Revenue by Customer'!$A:$A,0))</f>
        <v>2140</v>
      </c>
      <c r="AC29" s="187">
        <f>INDEX('Revenue by Customer'!AC:AC,MATCH('Full Customer List'!$B29,'Revenue by Customer'!$A:$A,0))</f>
        <v>1958</v>
      </c>
    </row>
    <row r="30" spans="2:29" ht="12" customHeight="1">
      <c r="B30" s="171" t="s">
        <v>585</v>
      </c>
      <c r="C30" s="171" t="str">
        <f>INDEX('Customer List w Software'!$B:$B,MATCH('Full Customer List'!$B30,'Customer List w Software'!$A:$A,0))</f>
        <v>Active</v>
      </c>
      <c r="D30" s="171" t="str">
        <f>INDEX('Customer List w Software'!$C:$C,MATCH('Full Customer List'!$B30,'Customer List w Software'!$A:$A,0))</f>
        <v>Property manager</v>
      </c>
      <c r="E30" s="171" t="str">
        <f>INDEX('Customer List Mapping'!$C:$C,MATCH('Full Customer List'!D30,'Customer List Mapping'!$B:$B,0))</f>
        <v>Property Manager</v>
      </c>
      <c r="F30" s="187">
        <f>INDEX('Customer List w Software'!$K:$K,MATCH('Full Customer List'!$B30,'Customer List w Software'!$A:$A,0))</f>
        <v>30</v>
      </c>
      <c r="G30" s="187">
        <f>INDEX('Revenue by Customer'!$I:$I,MATCH('Full Customer List'!$B30,'Revenue by Customer'!$A:$A,0))</f>
        <v>2461</v>
      </c>
      <c r="H30" s="250" t="str">
        <f>IFERROR(IF(C30="Active","",INDEX('Client Departures'!$G:$G,MATCH('Full Customer List'!$B30,'Client Departures'!$A:$A,0))),"Unclassified")</f>
        <v/>
      </c>
      <c r="I30" s="191">
        <v>45778</v>
      </c>
      <c r="J30" s="191"/>
      <c r="K30" s="187" t="str">
        <f>INDEX('Revenue by Customer'!K:K,MATCH('Full Customer List'!$B30,'Revenue by Customer'!$A:$A,0))</f>
        <v/>
      </c>
      <c r="L30" s="187" t="str">
        <f>INDEX('Revenue by Customer'!L:L,MATCH('Full Customer List'!$B30,'Revenue by Customer'!$A:$A,0))</f>
        <v/>
      </c>
      <c r="M30" s="187" t="str">
        <f>INDEX('Revenue by Customer'!M:M,MATCH('Full Customer List'!$B30,'Revenue by Customer'!$A:$A,0))</f>
        <v/>
      </c>
      <c r="N30" s="187" t="str">
        <f>INDEX('Revenue by Customer'!N:N,MATCH('Full Customer List'!$B30,'Revenue by Customer'!$A:$A,0))</f>
        <v/>
      </c>
      <c r="O30" s="187">
        <f>INDEX('Revenue by Customer'!O:O,MATCH('Full Customer List'!$B30,'Revenue by Customer'!$A:$A,0))</f>
        <v>2860</v>
      </c>
      <c r="P30" s="187">
        <f>INDEX('Revenue by Customer'!P:P,MATCH('Full Customer List'!$B30,'Revenue by Customer'!$A:$A,0))</f>
        <v>1480</v>
      </c>
      <c r="Q30" s="187">
        <f>INDEX('Revenue by Customer'!Q:Q,MATCH('Full Customer List'!$B30,'Revenue by Customer'!$A:$A,0))</f>
        <v>1480</v>
      </c>
      <c r="R30" s="187">
        <f>INDEX('Revenue by Customer'!R:R,MATCH('Full Customer List'!$B30,'Revenue by Customer'!$A:$A,0))</f>
        <v>1480</v>
      </c>
      <c r="S30" s="187">
        <f>INDEX('Revenue by Customer'!S:S,MATCH('Full Customer List'!$B30,'Revenue by Customer'!$A:$A,0))</f>
        <v>1480</v>
      </c>
      <c r="T30" s="187">
        <f>INDEX('Revenue by Customer'!T:T,MATCH('Full Customer List'!$B30,'Revenue by Customer'!$A:$A,0))</f>
        <v>1480</v>
      </c>
      <c r="U30" s="187">
        <f>INDEX('Revenue by Customer'!U:U,MATCH('Full Customer List'!$B30,'Revenue by Customer'!$A:$A,0))</f>
        <v>1867</v>
      </c>
      <c r="V30" s="187">
        <f>INDEX('Revenue by Customer'!V:V,MATCH('Full Customer List'!$B30,'Revenue by Customer'!$A:$A,0))</f>
        <v>1576</v>
      </c>
      <c r="W30" s="187">
        <f>INDEX('Revenue by Customer'!W:W,MATCH('Full Customer List'!$B30,'Revenue by Customer'!$A:$A,0))</f>
        <v>1627</v>
      </c>
      <c r="X30" s="187">
        <f>INDEX('Revenue by Customer'!X:X,MATCH('Full Customer List'!$B30,'Revenue by Customer'!$A:$A,0))</f>
        <v>2086</v>
      </c>
      <c r="Y30" s="187">
        <f>INDEX('Revenue by Customer'!Y:Y,MATCH('Full Customer List'!$B30,'Revenue by Customer'!$A:$A,0))</f>
        <v>2098</v>
      </c>
      <c r="Z30" s="187">
        <f>INDEX('Revenue by Customer'!Z:Z,MATCH('Full Customer List'!$B30,'Revenue by Customer'!$A:$A,0))</f>
        <v>2098</v>
      </c>
      <c r="AA30" s="187">
        <f>INDEX('Revenue by Customer'!AA:AA,MATCH('Full Customer List'!$B30,'Revenue by Customer'!$A:$A,0))</f>
        <v>2434</v>
      </c>
      <c r="AB30" s="187">
        <f>INDEX('Revenue by Customer'!AB:AB,MATCH('Full Customer List'!$B30,'Revenue by Customer'!$A:$A,0))</f>
        <v>2434</v>
      </c>
      <c r="AC30" s="187">
        <f>INDEX('Revenue by Customer'!AC:AC,MATCH('Full Customer List'!$B30,'Revenue by Customer'!$A:$A,0))</f>
        <v>2515</v>
      </c>
    </row>
    <row r="31" spans="2:29" ht="12" customHeight="1">
      <c r="B31" s="171" t="s">
        <v>586</v>
      </c>
      <c r="C31" s="171" t="str">
        <f>INDEX('Customer List w Software'!$B:$B,MATCH('Full Customer List'!$B31,'Customer List w Software'!$A:$A,0))</f>
        <v>Active</v>
      </c>
      <c r="D31" s="171" t="str">
        <f>INDEX('Customer List w Software'!$C:$C,MATCH('Full Customer List'!$B31,'Customer List w Software'!$A:$A,0))</f>
        <v>Property manager</v>
      </c>
      <c r="E31" s="171" t="str">
        <f>INDEX('Customer List Mapping'!$C:$C,MATCH('Full Customer List'!D31,'Customer List Mapping'!$B:$B,0))</f>
        <v>Property Manager</v>
      </c>
      <c r="F31" s="187">
        <f>INDEX('Customer List w Software'!$K:$K,MATCH('Full Customer List'!$B31,'Customer List w Software'!$A:$A,0))</f>
        <v>18</v>
      </c>
      <c r="G31" s="187">
        <f>INDEX('Revenue by Customer'!$I:$I,MATCH('Full Customer List'!$B31,'Revenue by Customer'!$A:$A,0))</f>
        <v>1596.3333333333333</v>
      </c>
      <c r="H31" s="250" t="str">
        <f>IFERROR(IF(C31="Active","",INDEX('Client Departures'!$G:$G,MATCH('Full Customer List'!$B31,'Client Departures'!$A:$A,0))),"Unclassified")</f>
        <v/>
      </c>
      <c r="I31" s="191">
        <v>45261</v>
      </c>
      <c r="J31" s="191"/>
      <c r="K31" s="187">
        <f>INDEX('Revenue by Customer'!K:K,MATCH('Full Customer List'!$B31,'Revenue by Customer'!$A:$A,0))</f>
        <v>1729.5</v>
      </c>
      <c r="L31" s="187">
        <f>INDEX('Revenue by Customer'!L:L,MATCH('Full Customer List'!$B31,'Revenue by Customer'!$A:$A,0))</f>
        <v>729.5</v>
      </c>
      <c r="M31" s="187">
        <f>INDEX('Revenue by Customer'!M:M,MATCH('Full Customer List'!$B31,'Revenue by Customer'!$A:$A,0))</f>
        <v>695.5</v>
      </c>
      <c r="N31" s="187">
        <f>INDEX('Revenue by Customer'!N:N,MATCH('Full Customer List'!$B31,'Revenue by Customer'!$A:$A,0))</f>
        <v>712.5</v>
      </c>
      <c r="O31" s="187">
        <f>INDEX('Revenue by Customer'!O:O,MATCH('Full Customer List'!$B31,'Revenue by Customer'!$A:$A,0))</f>
        <v>704</v>
      </c>
      <c r="P31" s="187">
        <f>INDEX('Revenue by Customer'!P:P,MATCH('Full Customer List'!$B31,'Revenue by Customer'!$A:$A,0))</f>
        <v>2043</v>
      </c>
      <c r="Q31" s="187">
        <f>INDEX('Revenue by Customer'!Q:Q,MATCH('Full Customer List'!$B31,'Revenue by Customer'!$A:$A,0))</f>
        <v>2043</v>
      </c>
      <c r="R31" s="187">
        <f>INDEX('Revenue by Customer'!R:R,MATCH('Full Customer List'!$B31,'Revenue by Customer'!$A:$A,0))</f>
        <v>2125</v>
      </c>
      <c r="S31" s="187">
        <f>INDEX('Revenue by Customer'!S:S,MATCH('Full Customer List'!$B31,'Revenue by Customer'!$A:$A,0))</f>
        <v>2125</v>
      </c>
      <c r="T31" s="187">
        <f>INDEX('Revenue by Customer'!T:T,MATCH('Full Customer List'!$B31,'Revenue by Customer'!$A:$A,0))</f>
        <v>1909</v>
      </c>
      <c r="U31" s="187">
        <f>INDEX('Revenue by Customer'!U:U,MATCH('Full Customer List'!$B31,'Revenue by Customer'!$A:$A,0))</f>
        <v>2096</v>
      </c>
      <c r="V31" s="187">
        <f>INDEX('Revenue by Customer'!V:V,MATCH('Full Customer List'!$B31,'Revenue by Customer'!$A:$A,0))</f>
        <v>2243</v>
      </c>
      <c r="W31" s="187">
        <f>INDEX('Revenue by Customer'!W:W,MATCH('Full Customer List'!$B31,'Revenue by Customer'!$A:$A,0))</f>
        <v>1845</v>
      </c>
      <c r="X31" s="187">
        <f>INDEX('Revenue by Customer'!X:X,MATCH('Full Customer List'!$B31,'Revenue by Customer'!$A:$A,0))</f>
        <v>1905</v>
      </c>
      <c r="Y31" s="187">
        <f>INDEX('Revenue by Customer'!Y:Y,MATCH('Full Customer List'!$B31,'Revenue by Customer'!$A:$A,0))</f>
        <v>2130</v>
      </c>
      <c r="Z31" s="187">
        <f>INDEX('Revenue by Customer'!Z:Z,MATCH('Full Customer List'!$B31,'Revenue by Customer'!$A:$A,0))</f>
        <v>1810</v>
      </c>
      <c r="AA31" s="187">
        <f>INDEX('Revenue by Customer'!AA:AA,MATCH('Full Customer List'!$B31,'Revenue by Customer'!$A:$A,0))</f>
        <v>1905</v>
      </c>
      <c r="AB31" s="187">
        <f>INDEX('Revenue by Customer'!AB:AB,MATCH('Full Customer List'!$B31,'Revenue by Customer'!$A:$A,0))</f>
        <v>1478</v>
      </c>
      <c r="AC31" s="187">
        <f>INDEX('Revenue by Customer'!AC:AC,MATCH('Full Customer List'!$B31,'Revenue by Customer'!$A:$A,0))</f>
        <v>1406</v>
      </c>
    </row>
    <row r="32" spans="2:29" ht="12" customHeight="1">
      <c r="B32" s="171" t="s">
        <v>590</v>
      </c>
      <c r="C32" s="171" t="str">
        <f>INDEX('Customer List w Software'!$B:$B,MATCH('Full Customer List'!$B32,'Customer List w Software'!$A:$A,0))</f>
        <v>Active</v>
      </c>
      <c r="D32" s="171" t="str">
        <f>INDEX('Customer List w Software'!$C:$C,MATCH('Full Customer List'!$B32,'Customer List w Software'!$A:$A,0))</f>
        <v>Property manager</v>
      </c>
      <c r="E32" s="171" t="str">
        <f>INDEX('Customer List Mapping'!$C:$C,MATCH('Full Customer List'!D32,'Customer List Mapping'!$B:$B,0))</f>
        <v>Property Manager</v>
      </c>
      <c r="F32" s="187">
        <f>INDEX('Customer List w Software'!$K:$K,MATCH('Full Customer List'!$B32,'Customer List w Software'!$A:$A,0))</f>
        <v>55</v>
      </c>
      <c r="G32" s="187">
        <f>INDEX('Revenue by Customer'!$I:$I,MATCH('Full Customer List'!$B32,'Revenue by Customer'!$A:$A,0))</f>
        <v>2784.6666666666665</v>
      </c>
      <c r="H32" s="250" t="str">
        <f>IFERROR(IF(C32="Active","",INDEX('Client Departures'!$G:$G,MATCH('Full Customer List'!$B32,'Client Departures'!$A:$A,0))),"Unclassified")</f>
        <v/>
      </c>
      <c r="I32" s="191">
        <v>45992</v>
      </c>
      <c r="J32" s="191"/>
      <c r="K32" s="187" t="str">
        <f>INDEX('Revenue by Customer'!K:K,MATCH('Full Customer List'!$B32,'Revenue by Customer'!$A:$A,0))</f>
        <v/>
      </c>
      <c r="L32" s="187" t="str">
        <f>INDEX('Revenue by Customer'!L:L,MATCH('Full Customer List'!$B32,'Revenue by Customer'!$A:$A,0))</f>
        <v/>
      </c>
      <c r="M32" s="187" t="str">
        <f>INDEX('Revenue by Customer'!M:M,MATCH('Full Customer List'!$B32,'Revenue by Customer'!$A:$A,0))</f>
        <v/>
      </c>
      <c r="N32" s="187" t="str">
        <f>INDEX('Revenue by Customer'!N:N,MATCH('Full Customer List'!$B32,'Revenue by Customer'!$A:$A,0))</f>
        <v/>
      </c>
      <c r="O32" s="187" t="str">
        <f>INDEX('Revenue by Customer'!O:O,MATCH('Full Customer List'!$B32,'Revenue by Customer'!$A:$A,0))</f>
        <v/>
      </c>
      <c r="P32" s="187" t="str">
        <f>INDEX('Revenue by Customer'!P:P,MATCH('Full Customer List'!$B32,'Revenue by Customer'!$A:$A,0))</f>
        <v/>
      </c>
      <c r="Q32" s="187" t="str">
        <f>INDEX('Revenue by Customer'!Q:Q,MATCH('Full Customer List'!$B32,'Revenue by Customer'!$A:$A,0))</f>
        <v/>
      </c>
      <c r="R32" s="187" t="str">
        <f>INDEX('Revenue by Customer'!R:R,MATCH('Full Customer List'!$B32,'Revenue by Customer'!$A:$A,0))</f>
        <v/>
      </c>
      <c r="S32" s="187" t="str">
        <f>INDEX('Revenue by Customer'!S:S,MATCH('Full Customer List'!$B32,'Revenue by Customer'!$A:$A,0))</f>
        <v/>
      </c>
      <c r="T32" s="187" t="str">
        <f>INDEX('Revenue by Customer'!T:T,MATCH('Full Customer List'!$B32,'Revenue by Customer'!$A:$A,0))</f>
        <v/>
      </c>
      <c r="U32" s="187" t="str">
        <f>INDEX('Revenue by Customer'!U:U,MATCH('Full Customer List'!$B32,'Revenue by Customer'!$A:$A,0))</f>
        <v/>
      </c>
      <c r="V32" s="187">
        <f>INDEX('Revenue by Customer'!V:V,MATCH('Full Customer List'!$B32,'Revenue by Customer'!$A:$A,0))</f>
        <v>3748</v>
      </c>
      <c r="W32" s="187">
        <f>INDEX('Revenue by Customer'!W:W,MATCH('Full Customer List'!$B32,'Revenue by Customer'!$A:$A,0))</f>
        <v>2836</v>
      </c>
      <c r="X32" s="187">
        <f>INDEX('Revenue by Customer'!X:X,MATCH('Full Customer List'!$B32,'Revenue by Customer'!$A:$A,0))</f>
        <v>2236</v>
      </c>
      <c r="Y32" s="187">
        <f>INDEX('Revenue by Customer'!Y:Y,MATCH('Full Customer List'!$B32,'Revenue by Customer'!$A:$A,0))</f>
        <v>2427</v>
      </c>
      <c r="Z32" s="187">
        <f>INDEX('Revenue by Customer'!Z:Z,MATCH('Full Customer List'!$B32,'Revenue by Customer'!$A:$A,0))</f>
        <v>3343</v>
      </c>
      <c r="AA32" s="187">
        <f>INDEX('Revenue by Customer'!AA:AA,MATCH('Full Customer List'!$B32,'Revenue by Customer'!$A:$A,0))</f>
        <v>2212</v>
      </c>
      <c r="AB32" s="187">
        <f>INDEX('Revenue by Customer'!AB:AB,MATCH('Full Customer List'!$B32,'Revenue by Customer'!$A:$A,0))</f>
        <v>2994</v>
      </c>
      <c r="AC32" s="187">
        <f>INDEX('Revenue by Customer'!AC:AC,MATCH('Full Customer List'!$B32,'Revenue by Customer'!$A:$A,0))</f>
        <v>3148</v>
      </c>
    </row>
    <row r="33" spans="2:29" ht="12" customHeight="1">
      <c r="B33" s="171" t="s">
        <v>592</v>
      </c>
      <c r="C33" s="171" t="str">
        <f>INDEX('Customer List w Software'!$B:$B,MATCH('Full Customer List'!$B33,'Customer List w Software'!$A:$A,0))</f>
        <v>Active</v>
      </c>
      <c r="D33" s="171" t="str">
        <f>INDEX('Customer List w Software'!$C:$C,MATCH('Full Customer List'!$B33,'Customer List w Software'!$A:$A,0))</f>
        <v>Property manager</v>
      </c>
      <c r="E33" s="171" t="str">
        <f>INDEX('Customer List Mapping'!$C:$C,MATCH('Full Customer List'!D33,'Customer List Mapping'!$B:$B,0))</f>
        <v>Property Manager</v>
      </c>
      <c r="F33" s="187">
        <f>INDEX('Customer List w Software'!$K:$K,MATCH('Full Customer List'!$B33,'Customer List w Software'!$A:$A,0))</f>
        <v>34</v>
      </c>
      <c r="G33" s="187">
        <f>INDEX('Revenue by Customer'!$I:$I,MATCH('Full Customer List'!$B33,'Revenue by Customer'!$A:$A,0))</f>
        <v>1826.6666666666667</v>
      </c>
      <c r="H33" s="250" t="str">
        <f>IFERROR(IF(C33="Active","",INDEX('Client Departures'!$G:$G,MATCH('Full Customer List'!$B33,'Client Departures'!$A:$A,0))),"Unclassified")</f>
        <v/>
      </c>
      <c r="I33" s="191">
        <v>45566</v>
      </c>
      <c r="J33" s="191"/>
      <c r="K33" s="187">
        <f>INDEX('Revenue by Customer'!K:K,MATCH('Full Customer List'!$B33,'Revenue by Customer'!$A:$A,0))</f>
        <v>519</v>
      </c>
      <c r="L33" s="187">
        <f>INDEX('Revenue by Customer'!L:L,MATCH('Full Customer List'!$B33,'Revenue by Customer'!$A:$A,0))</f>
        <v>632</v>
      </c>
      <c r="M33" s="187">
        <f>INDEX('Revenue by Customer'!M:M,MATCH('Full Customer List'!$B33,'Revenue by Customer'!$A:$A,0))</f>
        <v>869</v>
      </c>
      <c r="N33" s="187">
        <f>INDEX('Revenue by Customer'!N:N,MATCH('Full Customer List'!$B33,'Revenue by Customer'!$A:$A,0))</f>
        <v>1106</v>
      </c>
      <c r="O33" s="187">
        <f>INDEX('Revenue by Customer'!O:O,MATCH('Full Customer List'!$B33,'Revenue by Customer'!$A:$A,0))</f>
        <v>1106</v>
      </c>
      <c r="P33" s="187">
        <f>INDEX('Revenue by Customer'!P:P,MATCH('Full Customer List'!$B33,'Revenue by Customer'!$A:$A,0))</f>
        <v>1363</v>
      </c>
      <c r="Q33" s="187">
        <f>INDEX('Revenue by Customer'!Q:Q,MATCH('Full Customer List'!$B33,'Revenue by Customer'!$A:$A,0))</f>
        <v>1442</v>
      </c>
      <c r="R33" s="187">
        <f>INDEX('Revenue by Customer'!R:R,MATCH('Full Customer List'!$B33,'Revenue by Customer'!$A:$A,0))</f>
        <v>1600</v>
      </c>
      <c r="S33" s="187">
        <f>INDEX('Revenue by Customer'!S:S,MATCH('Full Customer List'!$B33,'Revenue by Customer'!$A:$A,0))</f>
        <v>1980</v>
      </c>
      <c r="T33" s="187">
        <f>INDEX('Revenue by Customer'!T:T,MATCH('Full Customer List'!$B33,'Revenue by Customer'!$A:$A,0))</f>
        <v>1485</v>
      </c>
      <c r="U33" s="187">
        <f>INDEX('Revenue by Customer'!U:U,MATCH('Full Customer List'!$B33,'Revenue by Customer'!$A:$A,0))</f>
        <v>1550</v>
      </c>
      <c r="V33" s="187">
        <f>INDEX('Revenue by Customer'!V:V,MATCH('Full Customer List'!$B33,'Revenue by Customer'!$A:$A,0))</f>
        <v>1765</v>
      </c>
      <c r="W33" s="187">
        <f>INDEX('Revenue by Customer'!W:W,MATCH('Full Customer List'!$B33,'Revenue by Customer'!$A:$A,0))</f>
        <v>1830</v>
      </c>
      <c r="X33" s="187">
        <f>INDEX('Revenue by Customer'!X:X,MATCH('Full Customer List'!$B33,'Revenue by Customer'!$A:$A,0))</f>
        <v>2990</v>
      </c>
      <c r="Y33" s="187">
        <f>INDEX('Revenue by Customer'!Y:Y,MATCH('Full Customer List'!$B33,'Revenue by Customer'!$A:$A,0))</f>
        <v>1835</v>
      </c>
      <c r="Z33" s="187">
        <f>INDEX('Revenue by Customer'!Z:Z,MATCH('Full Customer List'!$B33,'Revenue by Customer'!$A:$A,0))</f>
        <v>2025</v>
      </c>
      <c r="AA33" s="187">
        <f>INDEX('Revenue by Customer'!AA:AA,MATCH('Full Customer List'!$B33,'Revenue by Customer'!$A:$A,0))</f>
        <v>1845</v>
      </c>
      <c r="AB33" s="187">
        <f>INDEX('Revenue by Customer'!AB:AB,MATCH('Full Customer List'!$B33,'Revenue by Customer'!$A:$A,0))</f>
        <v>1790</v>
      </c>
      <c r="AC33" s="187">
        <f>INDEX('Revenue by Customer'!AC:AC,MATCH('Full Customer List'!$B33,'Revenue by Customer'!$A:$A,0))</f>
        <v>1845</v>
      </c>
    </row>
    <row r="34" spans="2:29" ht="12" customHeight="1">
      <c r="B34" s="171" t="s">
        <v>593</v>
      </c>
      <c r="C34" s="171" t="str">
        <f>INDEX('Customer List w Software'!$B:$B,MATCH('Full Customer List'!$B34,'Customer List w Software'!$A:$A,0))</f>
        <v>Active</v>
      </c>
      <c r="D34" s="171" t="str">
        <f>INDEX('Customer List w Software'!$C:$C,MATCH('Full Customer List'!$B34,'Customer List w Software'!$A:$A,0))</f>
        <v>Property manager</v>
      </c>
      <c r="E34" s="171" t="str">
        <f>INDEX('Customer List Mapping'!$C:$C,MATCH('Full Customer List'!D34,'Customer List Mapping'!$B:$B,0))</f>
        <v>Property Manager</v>
      </c>
      <c r="F34" s="187">
        <f>INDEX('Customer List w Software'!$K:$K,MATCH('Full Customer List'!$B34,'Customer List w Software'!$A:$A,0))</f>
        <v>90</v>
      </c>
      <c r="G34" s="187">
        <f>INDEX('Revenue by Customer'!$I:$I,MATCH('Full Customer List'!$B34,'Revenue by Customer'!$A:$A,0))</f>
        <v>1640</v>
      </c>
      <c r="H34" s="250" t="str">
        <f>IFERROR(IF(C34="Active","",INDEX('Client Departures'!$G:$G,MATCH('Full Customer List'!$B34,'Client Departures'!$A:$A,0))),"Unclassified")</f>
        <v/>
      </c>
      <c r="I34" s="191">
        <v>45108</v>
      </c>
      <c r="J34" s="191"/>
      <c r="K34" s="187">
        <f>INDEX('Revenue by Customer'!K:K,MATCH('Full Customer List'!$B34,'Revenue by Customer'!$A:$A,0))</f>
        <v>1887.5</v>
      </c>
      <c r="L34" s="187">
        <f>INDEX('Revenue by Customer'!L:L,MATCH('Full Customer List'!$B34,'Revenue by Customer'!$A:$A,0))</f>
        <v>1913</v>
      </c>
      <c r="M34" s="187">
        <f>INDEX('Revenue by Customer'!M:M,MATCH('Full Customer List'!$B34,'Revenue by Customer'!$A:$A,0))</f>
        <v>1913</v>
      </c>
      <c r="N34" s="187">
        <f>INDEX('Revenue by Customer'!N:N,MATCH('Full Customer List'!$B34,'Revenue by Customer'!$A:$A,0))</f>
        <v>1904.5</v>
      </c>
      <c r="O34" s="187">
        <f>INDEX('Revenue by Customer'!O:O,MATCH('Full Customer List'!$B34,'Revenue by Customer'!$A:$A,0))</f>
        <v>1896</v>
      </c>
      <c r="P34" s="187">
        <f>INDEX('Revenue by Customer'!P:P,MATCH('Full Customer List'!$B34,'Revenue by Customer'!$A:$A,0))</f>
        <v>1913</v>
      </c>
      <c r="Q34" s="187">
        <f>INDEX('Revenue by Customer'!Q:Q,MATCH('Full Customer List'!$B34,'Revenue by Customer'!$A:$A,0))</f>
        <v>1921.5</v>
      </c>
      <c r="R34" s="187">
        <f>INDEX('Revenue by Customer'!R:R,MATCH('Full Customer List'!$B34,'Revenue by Customer'!$A:$A,0))</f>
        <v>1947</v>
      </c>
      <c r="S34" s="187">
        <f>INDEX('Revenue by Customer'!S:S,MATCH('Full Customer List'!$B34,'Revenue by Customer'!$A:$A,0))</f>
        <v>1921.5</v>
      </c>
      <c r="T34" s="187">
        <f>INDEX('Revenue by Customer'!T:T,MATCH('Full Customer List'!$B34,'Revenue by Customer'!$A:$A,0))</f>
        <v>1930</v>
      </c>
      <c r="U34" s="187">
        <f>INDEX('Revenue by Customer'!U:U,MATCH('Full Customer List'!$B34,'Revenue by Customer'!$A:$A,0))</f>
        <v>1904.5</v>
      </c>
      <c r="V34" s="187">
        <f>INDEX('Revenue by Customer'!V:V,MATCH('Full Customer List'!$B34,'Revenue by Customer'!$A:$A,0))</f>
        <v>1938.5</v>
      </c>
      <c r="W34" s="187">
        <f>INDEX('Revenue by Customer'!W:W,MATCH('Full Customer List'!$B34,'Revenue by Customer'!$A:$A,0))</f>
        <v>1930</v>
      </c>
      <c r="X34" s="187">
        <f>INDEX('Revenue by Customer'!X:X,MATCH('Full Customer List'!$B34,'Revenue by Customer'!$A:$A,0))</f>
        <v>1930</v>
      </c>
      <c r="Y34" s="187">
        <f>INDEX('Revenue by Customer'!Y:Y,MATCH('Full Customer List'!$B34,'Revenue by Customer'!$A:$A,0))</f>
        <v>1930</v>
      </c>
      <c r="Z34" s="187">
        <f>INDEX('Revenue by Customer'!Z:Z,MATCH('Full Customer List'!$B34,'Revenue by Customer'!$A:$A,0))</f>
        <v>1938.5</v>
      </c>
      <c r="AA34" s="187">
        <f>INDEX('Revenue by Customer'!AA:AA,MATCH('Full Customer List'!$B34,'Revenue by Customer'!$A:$A,0))</f>
        <v>1680</v>
      </c>
      <c r="AB34" s="187">
        <f>INDEX('Revenue by Customer'!AB:AB,MATCH('Full Customer List'!$B34,'Revenue by Customer'!$A:$A,0))</f>
        <v>1700</v>
      </c>
      <c r="AC34" s="187">
        <f>INDEX('Revenue by Customer'!AC:AC,MATCH('Full Customer List'!$B34,'Revenue by Customer'!$A:$A,0))</f>
        <v>1540</v>
      </c>
    </row>
    <row r="35" spans="2:29" ht="12" customHeight="1">
      <c r="B35" s="171" t="s">
        <v>596</v>
      </c>
      <c r="C35" s="171" t="str">
        <f>INDEX('Customer List w Software'!$B:$B,MATCH('Full Customer List'!$B35,'Customer List w Software'!$A:$A,0))</f>
        <v>Active</v>
      </c>
      <c r="D35" s="171" t="str">
        <f>INDEX('Customer List w Software'!$C:$C,MATCH('Full Customer List'!$B35,'Customer List w Software'!$A:$A,0))</f>
        <v>Property manager</v>
      </c>
      <c r="E35" s="171" t="str">
        <f>INDEX('Customer List Mapping'!$C:$C,MATCH('Full Customer List'!D35,'Customer List Mapping'!$B:$B,0))</f>
        <v>Property Manager</v>
      </c>
      <c r="F35" s="187">
        <f>INDEX('Customer List w Software'!$K:$K,MATCH('Full Customer List'!$B35,'Customer List w Software'!$A:$A,0))</f>
        <v>22</v>
      </c>
      <c r="G35" s="187">
        <f>INDEX('Revenue by Customer'!$I:$I,MATCH('Full Customer List'!$B35,'Revenue by Customer'!$A:$A,0))</f>
        <v>1825</v>
      </c>
      <c r="H35" s="250" t="str">
        <f>IFERROR(IF(C35="Active","",INDEX('Client Departures'!$G:$G,MATCH('Full Customer List'!$B35,'Client Departures'!$A:$A,0))),"Unclassified")</f>
        <v/>
      </c>
      <c r="I35" s="191">
        <v>45170</v>
      </c>
      <c r="J35" s="191"/>
      <c r="K35" s="187">
        <f>INDEX('Revenue by Customer'!K:K,MATCH('Full Customer List'!$B35,'Revenue by Customer'!$A:$A,0))</f>
        <v>2030</v>
      </c>
      <c r="L35" s="187">
        <f>INDEX('Revenue by Customer'!L:L,MATCH('Full Customer List'!$B35,'Revenue by Customer'!$A:$A,0))</f>
        <v>1659</v>
      </c>
      <c r="M35" s="187">
        <f>INDEX('Revenue by Customer'!M:M,MATCH('Full Customer List'!$B35,'Revenue by Customer'!$A:$A,0))</f>
        <v>1817</v>
      </c>
      <c r="N35" s="187">
        <f>INDEX('Revenue by Customer'!N:N,MATCH('Full Customer List'!$B35,'Revenue by Customer'!$A:$A,0))</f>
        <v>1738</v>
      </c>
      <c r="O35" s="187">
        <f>INDEX('Revenue by Customer'!O:O,MATCH('Full Customer List'!$B35,'Revenue by Customer'!$A:$A,0))</f>
        <v>1738</v>
      </c>
      <c r="P35" s="187">
        <f>INDEX('Revenue by Customer'!P:P,MATCH('Full Customer List'!$B35,'Revenue by Customer'!$A:$A,0))</f>
        <v>1738</v>
      </c>
      <c r="Q35" s="187">
        <f>INDEX('Revenue by Customer'!Q:Q,MATCH('Full Customer List'!$B35,'Revenue by Customer'!$A:$A,0))</f>
        <v>1738</v>
      </c>
      <c r="R35" s="187">
        <f>INDEX('Revenue by Customer'!R:R,MATCH('Full Customer List'!$B35,'Revenue by Customer'!$A:$A,0))</f>
        <v>1738</v>
      </c>
      <c r="S35" s="187">
        <f>INDEX('Revenue by Customer'!S:S,MATCH('Full Customer List'!$B35,'Revenue by Customer'!$A:$A,0))</f>
        <v>1750</v>
      </c>
      <c r="T35" s="187">
        <f>INDEX('Revenue by Customer'!T:T,MATCH('Full Customer List'!$B35,'Revenue by Customer'!$A:$A,0))</f>
        <v>1750</v>
      </c>
      <c r="U35" s="187">
        <f>INDEX('Revenue by Customer'!U:U,MATCH('Full Customer List'!$B35,'Revenue by Customer'!$A:$A,0))</f>
        <v>1825</v>
      </c>
      <c r="V35" s="187">
        <f>INDEX('Revenue by Customer'!V:V,MATCH('Full Customer List'!$B35,'Revenue by Customer'!$A:$A,0))</f>
        <v>1825</v>
      </c>
      <c r="W35" s="187">
        <f>INDEX('Revenue by Customer'!W:W,MATCH('Full Customer List'!$B35,'Revenue by Customer'!$A:$A,0))</f>
        <v>1825</v>
      </c>
      <c r="X35" s="187">
        <f>INDEX('Revenue by Customer'!X:X,MATCH('Full Customer List'!$B35,'Revenue by Customer'!$A:$A,0))</f>
        <v>2305</v>
      </c>
      <c r="Y35" s="187">
        <f>INDEX('Revenue by Customer'!Y:Y,MATCH('Full Customer List'!$B35,'Revenue by Customer'!$A:$A,0))</f>
        <v>1825</v>
      </c>
      <c r="Z35" s="187">
        <f>INDEX('Revenue by Customer'!Z:Z,MATCH('Full Customer List'!$B35,'Revenue by Customer'!$A:$A,0))</f>
        <v>1825</v>
      </c>
      <c r="AA35" s="187">
        <f>INDEX('Revenue by Customer'!AA:AA,MATCH('Full Customer List'!$B35,'Revenue by Customer'!$A:$A,0))</f>
        <v>1825</v>
      </c>
      <c r="AB35" s="187">
        <f>INDEX('Revenue by Customer'!AB:AB,MATCH('Full Customer List'!$B35,'Revenue by Customer'!$A:$A,0))</f>
        <v>1900</v>
      </c>
      <c r="AC35" s="187">
        <f>INDEX('Revenue by Customer'!AC:AC,MATCH('Full Customer List'!$B35,'Revenue by Customer'!$A:$A,0))</f>
        <v>1750</v>
      </c>
    </row>
    <row r="36" spans="2:29" ht="12" customHeight="1">
      <c r="B36" s="171" t="s">
        <v>599</v>
      </c>
      <c r="C36" s="171" t="str">
        <f>INDEX('Customer List w Software'!$B:$B,MATCH('Full Customer List'!$B36,'Customer List w Software'!$A:$A,0))</f>
        <v>Active</v>
      </c>
      <c r="D36" s="171" t="str">
        <f>INDEX('Customer List w Software'!$C:$C,MATCH('Full Customer List'!$B36,'Customer List w Software'!$A:$A,0))</f>
        <v>Property manager</v>
      </c>
      <c r="E36" s="171" t="str">
        <f>INDEX('Customer List Mapping'!$C:$C,MATCH('Full Customer List'!D36,'Customer List Mapping'!$B:$B,0))</f>
        <v>Property Manager</v>
      </c>
      <c r="F36" s="187">
        <f>INDEX('Customer List w Software'!$K:$K,MATCH('Full Customer List'!$B36,'Customer List w Software'!$A:$A,0))</f>
        <v>32</v>
      </c>
      <c r="G36" s="187">
        <f>INDEX('Revenue by Customer'!$I:$I,MATCH('Full Customer List'!$B36,'Revenue by Customer'!$A:$A,0))</f>
        <v>2176.3333333333335</v>
      </c>
      <c r="H36" s="250" t="str">
        <f>IFERROR(IF(C36="Active","",INDEX('Client Departures'!$G:$G,MATCH('Full Customer List'!$B36,'Client Departures'!$A:$A,0))),"Unclassified")</f>
        <v/>
      </c>
      <c r="I36" s="191">
        <v>45566</v>
      </c>
      <c r="J36" s="191"/>
      <c r="K36" s="187">
        <f>INDEX('Revenue by Customer'!K:K,MATCH('Full Customer List'!$B36,'Revenue by Customer'!$A:$A,0))</f>
        <v>752</v>
      </c>
      <c r="L36" s="187">
        <f>INDEX('Revenue by Customer'!L:L,MATCH('Full Customer List'!$B36,'Revenue by Customer'!$A:$A,0))</f>
        <v>474</v>
      </c>
      <c r="M36" s="187">
        <f>INDEX('Revenue by Customer'!M:M,MATCH('Full Customer List'!$B36,'Revenue by Customer'!$A:$A,0))</f>
        <v>869</v>
      </c>
      <c r="N36" s="187">
        <f>INDEX('Revenue by Customer'!N:N,MATCH('Full Customer List'!$B36,'Revenue by Customer'!$A:$A,0))</f>
        <v>948</v>
      </c>
      <c r="O36" s="187">
        <f>INDEX('Revenue by Customer'!O:O,MATCH('Full Customer List'!$B36,'Revenue by Customer'!$A:$A,0))</f>
        <v>1027</v>
      </c>
      <c r="P36" s="187">
        <f>INDEX('Revenue by Customer'!P:P,MATCH('Full Customer List'!$B36,'Revenue by Customer'!$A:$A,0))</f>
        <v>1106</v>
      </c>
      <c r="Q36" s="187">
        <f>INDEX('Revenue by Customer'!Q:Q,MATCH('Full Customer List'!$B36,'Revenue by Customer'!$A:$A,0))</f>
        <v>1185</v>
      </c>
      <c r="R36" s="187">
        <f>INDEX('Revenue by Customer'!R:R,MATCH('Full Customer List'!$B36,'Revenue by Customer'!$A:$A,0))</f>
        <v>1343</v>
      </c>
      <c r="S36" s="187">
        <f>INDEX('Revenue by Customer'!S:S,MATCH('Full Customer List'!$B36,'Revenue by Customer'!$A:$A,0))</f>
        <v>1422</v>
      </c>
      <c r="T36" s="187">
        <f>INDEX('Revenue by Customer'!T:T,MATCH('Full Customer List'!$B36,'Revenue by Customer'!$A:$A,0))</f>
        <v>1358</v>
      </c>
      <c r="U36" s="187">
        <f>INDEX('Revenue by Customer'!U:U,MATCH('Full Customer List'!$B36,'Revenue by Customer'!$A:$A,0))</f>
        <v>1580</v>
      </c>
      <c r="V36" s="187">
        <f>INDEX('Revenue by Customer'!V:V,MATCH('Full Customer List'!$B36,'Revenue by Customer'!$A:$A,0))</f>
        <v>1654</v>
      </c>
      <c r="W36" s="187">
        <f>INDEX('Revenue by Customer'!W:W,MATCH('Full Customer List'!$B36,'Revenue by Customer'!$A:$A,0))</f>
        <v>2267</v>
      </c>
      <c r="X36" s="187">
        <f>INDEX('Revenue by Customer'!X:X,MATCH('Full Customer List'!$B36,'Revenue by Customer'!$A:$A,0))</f>
        <v>1728</v>
      </c>
      <c r="Y36" s="187">
        <f>INDEX('Revenue by Customer'!Y:Y,MATCH('Full Customer List'!$B36,'Revenue by Customer'!$A:$A,0))</f>
        <v>1950</v>
      </c>
      <c r="Z36" s="187">
        <f>INDEX('Revenue by Customer'!Z:Z,MATCH('Full Customer List'!$B36,'Revenue by Customer'!$A:$A,0))</f>
        <v>2098</v>
      </c>
      <c r="AA36" s="187">
        <f>INDEX('Revenue by Customer'!AA:AA,MATCH('Full Customer List'!$B36,'Revenue by Customer'!$A:$A,0))</f>
        <v>2172</v>
      </c>
      <c r="AB36" s="187">
        <f>INDEX('Revenue by Customer'!AB:AB,MATCH('Full Customer List'!$B36,'Revenue by Customer'!$A:$A,0))</f>
        <v>2255</v>
      </c>
      <c r="AC36" s="187">
        <f>INDEX('Revenue by Customer'!AC:AC,MATCH('Full Customer List'!$B36,'Revenue by Customer'!$A:$A,0))</f>
        <v>2102</v>
      </c>
    </row>
    <row r="37" spans="2:29" ht="12" customHeight="1">
      <c r="B37" s="171" t="s">
        <v>601</v>
      </c>
      <c r="C37" s="171" t="str">
        <f>INDEX('Customer List w Software'!$B:$B,MATCH('Full Customer List'!$B37,'Customer List w Software'!$A:$A,0))</f>
        <v>Former client</v>
      </c>
      <c r="D37" s="171" t="str">
        <f>INDEX('Customer List w Software'!$C:$C,MATCH('Full Customer List'!$B37,'Customer List w Software'!$A:$A,0))</f>
        <v>Property manager</v>
      </c>
      <c r="E37" s="171" t="str">
        <f>INDEX('Customer List Mapping'!$C:$C,MATCH('Full Customer List'!D37,'Customer List Mapping'!$B:$B,0))</f>
        <v>Property Manager</v>
      </c>
      <c r="F37" s="187">
        <f>INDEX('Customer List w Software'!$K:$K,MATCH('Full Customer List'!$B37,'Customer List w Software'!$A:$A,0))</f>
        <v>32</v>
      </c>
      <c r="G37" s="187">
        <f>INDEX('Revenue by Customer'!$I:$I,MATCH('Full Customer List'!$B37,'Revenue by Customer'!$A:$A,0))</f>
        <v>2735.3333333333335</v>
      </c>
      <c r="H37" s="250" t="str">
        <f>IFERROR(IF(C37="Active","",INDEX('Client Departures'!$G:$G,MATCH('Full Customer List'!$B37,'Client Departures'!$A:$A,0))),"Unclassified")</f>
        <v>Unclassified</v>
      </c>
      <c r="I37" s="191">
        <v>45108</v>
      </c>
      <c r="J37" s="191">
        <v>46142</v>
      </c>
      <c r="K37" s="187">
        <f>INDEX('Revenue by Customer'!K:K,MATCH('Full Customer List'!$B37,'Revenue by Customer'!$A:$A,0))</f>
        <v>2453</v>
      </c>
      <c r="L37" s="187">
        <f>INDEX('Revenue by Customer'!L:L,MATCH('Full Customer List'!$B37,'Revenue by Customer'!$A:$A,0))</f>
        <v>1958</v>
      </c>
      <c r="M37" s="187">
        <f>INDEX('Revenue by Customer'!M:M,MATCH('Full Customer List'!$B37,'Revenue by Customer'!$A:$A,0))</f>
        <v>1958</v>
      </c>
      <c r="N37" s="187">
        <f>INDEX('Revenue by Customer'!N:N,MATCH('Full Customer List'!$B37,'Revenue by Customer'!$A:$A,0))</f>
        <v>1869</v>
      </c>
      <c r="O37" s="187">
        <f>INDEX('Revenue by Customer'!O:O,MATCH('Full Customer List'!$B37,'Revenue by Customer'!$A:$A,0))</f>
        <v>1869</v>
      </c>
      <c r="P37" s="187">
        <f>INDEX('Revenue by Customer'!P:P,MATCH('Full Customer List'!$B37,'Revenue by Customer'!$A:$A,0))</f>
        <v>1869</v>
      </c>
      <c r="Q37" s="187">
        <f>INDEX('Revenue by Customer'!Q:Q,MATCH('Full Customer List'!$B37,'Revenue by Customer'!$A:$A,0))</f>
        <v>1885</v>
      </c>
      <c r="R37" s="187">
        <f>INDEX('Revenue by Customer'!R:R,MATCH('Full Customer List'!$B37,'Revenue by Customer'!$A:$A,0))</f>
        <v>1970</v>
      </c>
      <c r="S37" s="187">
        <f>INDEX('Revenue by Customer'!S:S,MATCH('Full Customer List'!$B37,'Revenue by Customer'!$A:$A,0))</f>
        <v>1970</v>
      </c>
      <c r="T37" s="187">
        <f>INDEX('Revenue by Customer'!T:T,MATCH('Full Customer List'!$B37,'Revenue by Customer'!$A:$A,0))</f>
        <v>2179</v>
      </c>
      <c r="U37" s="187">
        <f>INDEX('Revenue by Customer'!U:U,MATCH('Full Customer List'!$B37,'Revenue by Customer'!$A:$A,0))</f>
        <v>2179</v>
      </c>
      <c r="V37" s="187">
        <f>INDEX('Revenue by Customer'!V:V,MATCH('Full Customer List'!$B37,'Revenue by Customer'!$A:$A,0))</f>
        <v>2179</v>
      </c>
      <c r="W37" s="187">
        <f>INDEX('Revenue by Customer'!W:W,MATCH('Full Customer List'!$B37,'Revenue by Customer'!$A:$A,0))</f>
        <v>2410</v>
      </c>
      <c r="X37" s="187">
        <f>INDEX('Revenue by Customer'!X:X,MATCH('Full Customer List'!$B37,'Revenue by Customer'!$A:$A,0))</f>
        <v>3070</v>
      </c>
      <c r="Y37" s="187">
        <f>INDEX('Revenue by Customer'!Y:Y,MATCH('Full Customer List'!$B37,'Revenue by Customer'!$A:$A,0))</f>
        <v>2444</v>
      </c>
      <c r="Z37" s="187">
        <f>INDEX('Revenue by Customer'!Z:Z,MATCH('Full Customer List'!$B37,'Revenue by Customer'!$A:$A,0))</f>
        <v>2692</v>
      </c>
      <c r="AA37" s="187">
        <f>INDEX('Revenue by Customer'!AA:AA,MATCH('Full Customer List'!$B37,'Revenue by Customer'!$A:$A,0))</f>
        <v>0</v>
      </c>
      <c r="AB37" s="187" t="str">
        <f>INDEX('Revenue by Customer'!AB:AB,MATCH('Full Customer List'!$B37,'Revenue by Customer'!$A:$A,0))</f>
        <v/>
      </c>
      <c r="AC37" s="187" t="str">
        <f>INDEX('Revenue by Customer'!AC:AC,MATCH('Full Customer List'!$B37,'Revenue by Customer'!$A:$A,0))</f>
        <v/>
      </c>
    </row>
    <row r="38" spans="2:29" ht="12" customHeight="1">
      <c r="B38" s="171" t="s">
        <v>603</v>
      </c>
      <c r="C38" s="171" t="str">
        <f>INDEX('Customer List w Software'!$B:$B,MATCH('Full Customer List'!$B38,'Customer List w Software'!$A:$A,0))</f>
        <v>Former client</v>
      </c>
      <c r="D38" s="171" t="str">
        <f>INDEX('Customer List w Software'!$C:$C,MATCH('Full Customer List'!$B38,'Customer List w Software'!$A:$A,0))</f>
        <v>Property manager</v>
      </c>
      <c r="E38" s="171" t="str">
        <f>INDEX('Customer List Mapping'!$C:$C,MATCH('Full Customer List'!D38,'Customer List Mapping'!$B:$B,0))</f>
        <v>Property Manager</v>
      </c>
      <c r="F38" s="187">
        <f>INDEX('Customer List w Software'!$K:$K,MATCH('Full Customer List'!$B38,'Customer List w Software'!$A:$A,0))</f>
        <v>25</v>
      </c>
      <c r="G38" s="187">
        <f>INDEX('Revenue by Customer'!$I:$I,MATCH('Full Customer List'!$B38,'Revenue by Customer'!$A:$A,0))</f>
        <v>2319</v>
      </c>
      <c r="H38" s="250" t="str">
        <f>IFERROR(IF(C38="Active","",INDEX('Client Departures'!$G:$G,MATCH('Full Customer List'!$B38,'Client Departures'!$A:$A,0))),"Unclassified")</f>
        <v>Unclassified</v>
      </c>
      <c r="I38" s="191">
        <v>45597</v>
      </c>
      <c r="J38" s="191">
        <v>46173</v>
      </c>
      <c r="K38" s="187">
        <f>INDEX('Revenue by Customer'!K:K,MATCH('Full Customer List'!$B38,'Revenue by Customer'!$A:$A,0))</f>
        <v>2010</v>
      </c>
      <c r="L38" s="187">
        <f>INDEX('Revenue by Customer'!L:L,MATCH('Full Customer List'!$B38,'Revenue by Customer'!$A:$A,0))</f>
        <v>1500</v>
      </c>
      <c r="M38" s="187">
        <f>INDEX('Revenue by Customer'!M:M,MATCH('Full Customer List'!$B38,'Revenue by Customer'!$A:$A,0))</f>
        <v>1150</v>
      </c>
      <c r="N38" s="187">
        <f>INDEX('Revenue by Customer'!N:N,MATCH('Full Customer List'!$B38,'Revenue by Customer'!$A:$A,0))</f>
        <v>1290</v>
      </c>
      <c r="O38" s="187">
        <f>INDEX('Revenue by Customer'!O:O,MATCH('Full Customer List'!$B38,'Revenue by Customer'!$A:$A,0))</f>
        <v>1430</v>
      </c>
      <c r="P38" s="187">
        <f>INDEX('Revenue by Customer'!P:P,MATCH('Full Customer List'!$B38,'Revenue by Customer'!$A:$A,0))</f>
        <v>1500</v>
      </c>
      <c r="Q38" s="187">
        <f>INDEX('Revenue by Customer'!Q:Q,MATCH('Full Customer List'!$B38,'Revenue by Customer'!$A:$A,0))</f>
        <v>1780</v>
      </c>
      <c r="R38" s="187">
        <f>INDEX('Revenue by Customer'!R:R,MATCH('Full Customer List'!$B38,'Revenue by Customer'!$A:$A,0))</f>
        <v>1780</v>
      </c>
      <c r="S38" s="187">
        <f>INDEX('Revenue by Customer'!S:S,MATCH('Full Customer List'!$B38,'Revenue by Customer'!$A:$A,0))</f>
        <v>1570</v>
      </c>
      <c r="T38" s="187">
        <f>INDEX('Revenue by Customer'!T:T,MATCH('Full Customer List'!$B38,'Revenue by Customer'!$A:$A,0))</f>
        <v>1710</v>
      </c>
      <c r="U38" s="187">
        <f>INDEX('Revenue by Customer'!U:U,MATCH('Full Customer List'!$B38,'Revenue by Customer'!$A:$A,0))</f>
        <v>1654</v>
      </c>
      <c r="V38" s="187">
        <f>INDEX('Revenue by Customer'!V:V,MATCH('Full Customer List'!$B38,'Revenue by Customer'!$A:$A,0))</f>
        <v>1728</v>
      </c>
      <c r="W38" s="187">
        <f>INDEX('Revenue by Customer'!W:W,MATCH('Full Customer List'!$B38,'Revenue by Customer'!$A:$A,0))</f>
        <v>2006</v>
      </c>
      <c r="X38" s="187">
        <f>INDEX('Revenue by Customer'!X:X,MATCH('Full Customer List'!$B38,'Revenue by Customer'!$A:$A,0))</f>
        <v>2915</v>
      </c>
      <c r="Y38" s="187">
        <f>INDEX('Revenue by Customer'!Y:Y,MATCH('Full Customer List'!$B38,'Revenue by Customer'!$A:$A,0))</f>
        <v>2406</v>
      </c>
      <c r="Z38" s="187">
        <f>INDEX('Revenue by Customer'!Z:Z,MATCH('Full Customer List'!$B38,'Revenue by Customer'!$A:$A,0))</f>
        <v>2406</v>
      </c>
      <c r="AA38" s="187">
        <f>INDEX('Revenue by Customer'!AA:AA,MATCH('Full Customer List'!$B38,'Revenue by Customer'!$A:$A,0))</f>
        <v>2145</v>
      </c>
      <c r="AB38" s="187" t="str">
        <f>INDEX('Revenue by Customer'!AB:AB,MATCH('Full Customer List'!$B38,'Revenue by Customer'!$A:$A,0))</f>
        <v/>
      </c>
      <c r="AC38" s="187" t="str">
        <f>INDEX('Revenue by Customer'!AC:AC,MATCH('Full Customer List'!$B38,'Revenue by Customer'!$A:$A,0))</f>
        <v/>
      </c>
    </row>
    <row r="39" spans="2:29" ht="12" customHeight="1">
      <c r="B39" s="171" t="s">
        <v>604</v>
      </c>
      <c r="C39" s="171" t="str">
        <f>INDEX('Customer List w Software'!$B:$B,MATCH('Full Customer List'!$B39,'Customer List w Software'!$A:$A,0))</f>
        <v>Active</v>
      </c>
      <c r="D39" s="171" t="str">
        <f>INDEX('Customer List w Software'!$C:$C,MATCH('Full Customer List'!$B39,'Customer List w Software'!$A:$A,0))</f>
        <v>Property manager</v>
      </c>
      <c r="E39" s="171" t="str">
        <f>INDEX('Customer List Mapping'!$C:$C,MATCH('Full Customer List'!D39,'Customer List Mapping'!$B:$B,0))</f>
        <v>Property Manager</v>
      </c>
      <c r="F39" s="187">
        <f>INDEX('Customer List w Software'!$K:$K,MATCH('Full Customer List'!$B39,'Customer List w Software'!$A:$A,0))</f>
        <v>16</v>
      </c>
      <c r="G39" s="187">
        <f>INDEX('Revenue by Customer'!$I:$I,MATCH('Full Customer List'!$B39,'Revenue by Customer'!$A:$A,0))</f>
        <v>1581.6666666666667</v>
      </c>
      <c r="H39" s="250" t="str">
        <f>IFERROR(IF(C39="Active","",INDEX('Client Departures'!$G:$G,MATCH('Full Customer List'!$B39,'Client Departures'!$A:$A,0))),"Unclassified")</f>
        <v/>
      </c>
      <c r="I39" s="191">
        <v>45292</v>
      </c>
      <c r="J39" s="191"/>
      <c r="K39" s="187">
        <f>INDEX('Revenue by Customer'!K:K,MATCH('Full Customer List'!$B39,'Revenue by Customer'!$A:$A,0))</f>
        <v>810</v>
      </c>
      <c r="L39" s="187">
        <f>INDEX('Revenue by Customer'!L:L,MATCH('Full Customer List'!$B39,'Revenue by Customer'!$A:$A,0))</f>
        <v>600</v>
      </c>
      <c r="M39" s="187">
        <f>INDEX('Revenue by Customer'!M:M,MATCH('Full Customer List'!$B39,'Revenue by Customer'!$A:$A,0))</f>
        <v>850</v>
      </c>
      <c r="N39" s="187">
        <f>INDEX('Revenue by Customer'!N:N,MATCH('Full Customer List'!$B39,'Revenue by Customer'!$A:$A,0))</f>
        <v>2690</v>
      </c>
      <c r="O39" s="187">
        <f>INDEX('Revenue by Customer'!O:O,MATCH('Full Customer List'!$B39,'Revenue by Customer'!$A:$A,0))</f>
        <v>2871.5</v>
      </c>
      <c r="P39" s="187">
        <f>INDEX('Revenue by Customer'!P:P,MATCH('Full Customer List'!$B39,'Revenue by Customer'!$A:$A,0))</f>
        <v>2682.5</v>
      </c>
      <c r="Q39" s="187">
        <f>INDEX('Revenue by Customer'!Q:Q,MATCH('Full Customer List'!$B39,'Revenue by Customer'!$A:$A,0))</f>
        <v>2808</v>
      </c>
      <c r="R39" s="187">
        <f>INDEX('Revenue by Customer'!R:R,MATCH('Full Customer List'!$B39,'Revenue by Customer'!$A:$A,0))</f>
        <v>2705</v>
      </c>
      <c r="S39" s="187">
        <f>INDEX('Revenue by Customer'!S:S,MATCH('Full Customer List'!$B39,'Revenue by Customer'!$A:$A,0))</f>
        <v>2705</v>
      </c>
      <c r="T39" s="187">
        <f>INDEX('Revenue by Customer'!T:T,MATCH('Full Customer List'!$B39,'Revenue by Customer'!$A:$A,0))</f>
        <v>1023.5</v>
      </c>
      <c r="U39" s="187">
        <f>INDEX('Revenue by Customer'!U:U,MATCH('Full Customer List'!$B39,'Revenue by Customer'!$A:$A,0))</f>
        <v>1150</v>
      </c>
      <c r="V39" s="187">
        <f>INDEX('Revenue by Customer'!V:V,MATCH('Full Customer List'!$B39,'Revenue by Customer'!$A:$A,0))</f>
        <v>1350</v>
      </c>
      <c r="W39" s="187">
        <f>INDEX('Revenue by Customer'!W:W,MATCH('Full Customer List'!$B39,'Revenue by Customer'!$A:$A,0))</f>
        <v>1801</v>
      </c>
      <c r="X39" s="187">
        <f>INDEX('Revenue by Customer'!X:X,MATCH('Full Customer List'!$B39,'Revenue by Customer'!$A:$A,0))</f>
        <v>1364</v>
      </c>
      <c r="Y39" s="187">
        <f>INDEX('Revenue by Customer'!Y:Y,MATCH('Full Customer List'!$B39,'Revenue by Customer'!$A:$A,0))</f>
        <v>1578</v>
      </c>
      <c r="Z39" s="187">
        <f>INDEX('Revenue by Customer'!Z:Z,MATCH('Full Customer List'!$B39,'Revenue by Customer'!$A:$A,0))</f>
        <v>1535</v>
      </c>
      <c r="AA39" s="187">
        <f>INDEX('Revenue by Customer'!AA:AA,MATCH('Full Customer List'!$B39,'Revenue by Customer'!$A:$A,0))</f>
        <v>1578</v>
      </c>
      <c r="AB39" s="187">
        <f>INDEX('Revenue by Customer'!AB:AB,MATCH('Full Customer List'!$B39,'Revenue by Customer'!$A:$A,0))</f>
        <v>1632</v>
      </c>
      <c r="AC39" s="187">
        <f>INDEX('Revenue by Customer'!AC:AC,MATCH('Full Customer List'!$B39,'Revenue by Customer'!$A:$A,0))</f>
        <v>1535</v>
      </c>
    </row>
    <row r="40" spans="2:29" ht="12" customHeight="1">
      <c r="B40" s="171" t="s">
        <v>605</v>
      </c>
      <c r="C40" s="171" t="str">
        <f>INDEX('Customer List w Software'!$B:$B,MATCH('Full Customer List'!$B40,'Customer List w Software'!$A:$A,0))</f>
        <v>Active</v>
      </c>
      <c r="D40" s="171" t="str">
        <f>INDEX('Customer List w Software'!$C:$C,MATCH('Full Customer List'!$B40,'Customer List w Software'!$A:$A,0))</f>
        <v>Property manager</v>
      </c>
      <c r="E40" s="171" t="str">
        <f>INDEX('Customer List Mapping'!$C:$C,MATCH('Full Customer List'!D40,'Customer List Mapping'!$B:$B,0))</f>
        <v>Property Manager</v>
      </c>
      <c r="F40" s="187">
        <f>INDEX('Customer List w Software'!$K:$K,MATCH('Full Customer List'!$B40,'Customer List w Software'!$A:$A,0))</f>
        <v>84</v>
      </c>
      <c r="G40" s="187">
        <f>INDEX('Revenue by Customer'!$I:$I,MATCH('Full Customer List'!$B40,'Revenue by Customer'!$A:$A,0))</f>
        <v>2935</v>
      </c>
      <c r="H40" s="250" t="str">
        <f>IFERROR(IF(C40="Active","",INDEX('Client Departures'!$G:$G,MATCH('Full Customer List'!$B40,'Client Departures'!$A:$A,0))),"Unclassified")</f>
        <v/>
      </c>
      <c r="I40" s="191">
        <v>45962</v>
      </c>
      <c r="J40" s="191"/>
      <c r="K40" s="187" t="str">
        <f>INDEX('Revenue by Customer'!K:K,MATCH('Full Customer List'!$B40,'Revenue by Customer'!$A:$A,0))</f>
        <v/>
      </c>
      <c r="L40" s="187" t="str">
        <f>INDEX('Revenue by Customer'!L:L,MATCH('Full Customer List'!$B40,'Revenue by Customer'!$A:$A,0))</f>
        <v/>
      </c>
      <c r="M40" s="187" t="str">
        <f>INDEX('Revenue by Customer'!M:M,MATCH('Full Customer List'!$B40,'Revenue by Customer'!$A:$A,0))</f>
        <v/>
      </c>
      <c r="N40" s="187" t="str">
        <f>INDEX('Revenue by Customer'!N:N,MATCH('Full Customer List'!$B40,'Revenue by Customer'!$A:$A,0))</f>
        <v/>
      </c>
      <c r="O40" s="187" t="str">
        <f>INDEX('Revenue by Customer'!O:O,MATCH('Full Customer List'!$B40,'Revenue by Customer'!$A:$A,0))</f>
        <v/>
      </c>
      <c r="P40" s="187" t="str">
        <f>INDEX('Revenue by Customer'!P:P,MATCH('Full Customer List'!$B40,'Revenue by Customer'!$A:$A,0))</f>
        <v/>
      </c>
      <c r="Q40" s="187" t="str">
        <f>INDEX('Revenue by Customer'!Q:Q,MATCH('Full Customer List'!$B40,'Revenue by Customer'!$A:$A,0))</f>
        <v/>
      </c>
      <c r="R40" s="187" t="str">
        <f>INDEX('Revenue by Customer'!R:R,MATCH('Full Customer List'!$B40,'Revenue by Customer'!$A:$A,0))</f>
        <v/>
      </c>
      <c r="S40" s="187" t="str">
        <f>INDEX('Revenue by Customer'!S:S,MATCH('Full Customer List'!$B40,'Revenue by Customer'!$A:$A,0))</f>
        <v/>
      </c>
      <c r="T40" s="187" t="str">
        <f>INDEX('Revenue by Customer'!T:T,MATCH('Full Customer List'!$B40,'Revenue by Customer'!$A:$A,0))</f>
        <v/>
      </c>
      <c r="U40" s="187" t="str">
        <f>INDEX('Revenue by Customer'!U:U,MATCH('Full Customer List'!$B40,'Revenue by Customer'!$A:$A,0))</f>
        <v/>
      </c>
      <c r="V40" s="187" t="str">
        <f>INDEX('Revenue by Customer'!V:V,MATCH('Full Customer List'!$B40,'Revenue by Customer'!$A:$A,0))</f>
        <v/>
      </c>
      <c r="W40" s="187" t="str">
        <f>INDEX('Revenue by Customer'!W:W,MATCH('Full Customer List'!$B40,'Revenue by Customer'!$A:$A,0))</f>
        <v/>
      </c>
      <c r="X40" s="187">
        <f>INDEX('Revenue by Customer'!X:X,MATCH('Full Customer List'!$B40,'Revenue by Customer'!$A:$A,0))</f>
        <v>5420</v>
      </c>
      <c r="Y40" s="187">
        <f>INDEX('Revenue by Customer'!Y:Y,MATCH('Full Customer List'!$B40,'Revenue by Customer'!$A:$A,0))</f>
        <v>2795</v>
      </c>
      <c r="Z40" s="187">
        <f>INDEX('Revenue by Customer'!Z:Z,MATCH('Full Customer List'!$B40,'Revenue by Customer'!$A:$A,0))</f>
        <v>2865</v>
      </c>
      <c r="AA40" s="187">
        <f>INDEX('Revenue by Customer'!AA:AA,MATCH('Full Customer List'!$B40,'Revenue by Customer'!$A:$A,0))</f>
        <v>2865</v>
      </c>
      <c r="AB40" s="187">
        <f>INDEX('Revenue by Customer'!AB:AB,MATCH('Full Customer List'!$B40,'Revenue by Customer'!$A:$A,0))</f>
        <v>2935</v>
      </c>
      <c r="AC40" s="187">
        <f>INDEX('Revenue by Customer'!AC:AC,MATCH('Full Customer List'!$B40,'Revenue by Customer'!$A:$A,0))</f>
        <v>3005</v>
      </c>
    </row>
    <row r="41" spans="2:29" ht="12" customHeight="1">
      <c r="B41" s="171" t="s">
        <v>606</v>
      </c>
      <c r="C41" s="171" t="str">
        <f>INDEX('Customer List w Software'!$B:$B,MATCH('Full Customer List'!$B41,'Customer List w Software'!$A:$A,0))</f>
        <v>Active</v>
      </c>
      <c r="D41" s="171" t="str">
        <f>INDEX('Customer List w Software'!$C:$C,MATCH('Full Customer List'!$B41,'Customer List w Software'!$A:$A,0))</f>
        <v>Property manager</v>
      </c>
      <c r="E41" s="171" t="str">
        <f>INDEX('Customer List Mapping'!$C:$C,MATCH('Full Customer List'!D41,'Customer List Mapping'!$B:$B,0))</f>
        <v>Property Manager</v>
      </c>
      <c r="F41" s="187">
        <f>INDEX('Customer List w Software'!$K:$K,MATCH('Full Customer List'!$B41,'Customer List w Software'!$A:$A,0))</f>
        <v>66</v>
      </c>
      <c r="G41" s="187">
        <f>INDEX('Revenue by Customer'!$I:$I,MATCH('Full Customer List'!$B41,'Revenue by Customer'!$A:$A,0))</f>
        <v>2225</v>
      </c>
      <c r="H41" s="250" t="str">
        <f>IFERROR(IF(C41="Active","",INDEX('Client Departures'!$G:$G,MATCH('Full Customer List'!$B41,'Client Departures'!$A:$A,0))),"Unclassified")</f>
        <v/>
      </c>
      <c r="I41" s="191">
        <v>45352</v>
      </c>
      <c r="J41" s="191"/>
      <c r="K41" s="187">
        <f>INDEX('Revenue by Customer'!K:K,MATCH('Full Customer List'!$B41,'Revenue by Customer'!$A:$A,0))</f>
        <v>950</v>
      </c>
      <c r="L41" s="187">
        <f>INDEX('Revenue by Customer'!L:L,MATCH('Full Customer List'!$B41,'Revenue by Customer'!$A:$A,0))</f>
        <v>950</v>
      </c>
      <c r="M41" s="187">
        <f>INDEX('Revenue by Customer'!M:M,MATCH('Full Customer List'!$B41,'Revenue by Customer'!$A:$A,0))</f>
        <v>2055</v>
      </c>
      <c r="N41" s="187">
        <f>INDEX('Revenue by Customer'!N:N,MATCH('Full Customer List'!$B41,'Revenue by Customer'!$A:$A,0))</f>
        <v>950</v>
      </c>
      <c r="O41" s="187">
        <f>INDEX('Revenue by Customer'!O:O,MATCH('Full Customer List'!$B41,'Revenue by Customer'!$A:$A,0))</f>
        <v>2700</v>
      </c>
      <c r="P41" s="187">
        <f>INDEX('Revenue by Customer'!P:P,MATCH('Full Customer List'!$B41,'Revenue by Customer'!$A:$A,0))</f>
        <v>950</v>
      </c>
      <c r="Q41" s="187">
        <f>INDEX('Revenue by Customer'!Q:Q,MATCH('Full Customer List'!$B41,'Revenue by Customer'!$A:$A,0))</f>
        <v>950</v>
      </c>
      <c r="R41" s="187">
        <f>INDEX('Revenue by Customer'!R:R,MATCH('Full Customer List'!$B41,'Revenue by Customer'!$A:$A,0))</f>
        <v>950</v>
      </c>
      <c r="S41" s="187">
        <f>INDEX('Revenue by Customer'!S:S,MATCH('Full Customer List'!$B41,'Revenue by Customer'!$A:$A,0))</f>
        <v>950</v>
      </c>
      <c r="T41" s="187">
        <f>INDEX('Revenue by Customer'!T:T,MATCH('Full Customer List'!$B41,'Revenue by Customer'!$A:$A,0))</f>
        <v>950</v>
      </c>
      <c r="U41" s="187">
        <f>INDEX('Revenue by Customer'!U:U,MATCH('Full Customer List'!$B41,'Revenue by Customer'!$A:$A,0))</f>
        <v>2250</v>
      </c>
      <c r="V41" s="187">
        <f>INDEX('Revenue by Customer'!V:V,MATCH('Full Customer List'!$B41,'Revenue by Customer'!$A:$A,0))</f>
        <v>1275</v>
      </c>
      <c r="W41" s="187">
        <f>INDEX('Revenue by Customer'!W:W,MATCH('Full Customer List'!$B41,'Revenue by Customer'!$A:$A,0))</f>
        <v>1195</v>
      </c>
      <c r="X41" s="187">
        <f>INDEX('Revenue by Customer'!X:X,MATCH('Full Customer List'!$B41,'Revenue by Customer'!$A:$A,0))</f>
        <v>2369</v>
      </c>
      <c r="Y41" s="187">
        <f>INDEX('Revenue by Customer'!Y:Y,MATCH('Full Customer List'!$B41,'Revenue by Customer'!$A:$A,0))</f>
        <v>1375</v>
      </c>
      <c r="Z41" s="187">
        <f>INDEX('Revenue by Customer'!Z:Z,MATCH('Full Customer List'!$B41,'Revenue by Customer'!$A:$A,0))</f>
        <v>1400</v>
      </c>
      <c r="AA41" s="187">
        <f>INDEX('Revenue by Customer'!AA:AA,MATCH('Full Customer List'!$B41,'Revenue by Customer'!$A:$A,0))</f>
        <v>1475</v>
      </c>
      <c r="AB41" s="187">
        <f>INDEX('Revenue by Customer'!AB:AB,MATCH('Full Customer List'!$B41,'Revenue by Customer'!$A:$A,0))</f>
        <v>3650</v>
      </c>
      <c r="AC41" s="187">
        <f>INDEX('Revenue by Customer'!AC:AC,MATCH('Full Customer List'!$B41,'Revenue by Customer'!$A:$A,0))</f>
        <v>1550</v>
      </c>
    </row>
    <row r="42" spans="2:29" ht="12" customHeight="1">
      <c r="B42" s="171" t="s">
        <v>609</v>
      </c>
      <c r="C42" s="171" t="str">
        <f>INDEX('Customer List w Software'!$B:$B,MATCH('Full Customer List'!$B42,'Customer List w Software'!$A:$A,0))</f>
        <v>Active</v>
      </c>
      <c r="D42" s="171" t="str">
        <f>INDEX('Customer List w Software'!$C:$C,MATCH('Full Customer List'!$B42,'Customer List w Software'!$A:$A,0))</f>
        <v>Property manager</v>
      </c>
      <c r="E42" s="171" t="str">
        <f>INDEX('Customer List Mapping'!$C:$C,MATCH('Full Customer List'!D42,'Customer List Mapping'!$B:$B,0))</f>
        <v>Property Manager</v>
      </c>
      <c r="F42" s="187">
        <f>INDEX('Customer List w Software'!$K:$K,MATCH('Full Customer List'!$B42,'Customer List w Software'!$A:$A,0))</f>
        <v>39</v>
      </c>
      <c r="G42" s="187">
        <f>INDEX('Revenue by Customer'!$I:$I,MATCH('Full Customer List'!$B42,'Revenue by Customer'!$A:$A,0))</f>
        <v>1915</v>
      </c>
      <c r="H42" s="250" t="str">
        <f>IFERROR(IF(C42="Active","",INDEX('Client Departures'!$G:$G,MATCH('Full Customer List'!$B42,'Client Departures'!$A:$A,0))),"Unclassified")</f>
        <v/>
      </c>
      <c r="I42" s="191">
        <v>45901</v>
      </c>
      <c r="J42" s="191"/>
      <c r="K42" s="187" t="str">
        <f>INDEX('Revenue by Customer'!K:K,MATCH('Full Customer List'!$B42,'Revenue by Customer'!$A:$A,0))</f>
        <v/>
      </c>
      <c r="L42" s="187" t="str">
        <f>INDEX('Revenue by Customer'!L:L,MATCH('Full Customer List'!$B42,'Revenue by Customer'!$A:$A,0))</f>
        <v/>
      </c>
      <c r="M42" s="187" t="str">
        <f>INDEX('Revenue by Customer'!M:M,MATCH('Full Customer List'!$B42,'Revenue by Customer'!$A:$A,0))</f>
        <v/>
      </c>
      <c r="N42" s="187" t="str">
        <f>INDEX('Revenue by Customer'!N:N,MATCH('Full Customer List'!$B42,'Revenue by Customer'!$A:$A,0))</f>
        <v/>
      </c>
      <c r="O42" s="187" t="str">
        <f>INDEX('Revenue by Customer'!O:O,MATCH('Full Customer List'!$B42,'Revenue by Customer'!$A:$A,0))</f>
        <v/>
      </c>
      <c r="P42" s="187" t="str">
        <f>INDEX('Revenue by Customer'!P:P,MATCH('Full Customer List'!$B42,'Revenue by Customer'!$A:$A,0))</f>
        <v/>
      </c>
      <c r="Q42" s="187" t="str">
        <f>INDEX('Revenue by Customer'!Q:Q,MATCH('Full Customer List'!$B42,'Revenue by Customer'!$A:$A,0))</f>
        <v/>
      </c>
      <c r="R42" s="187" t="str">
        <f>INDEX('Revenue by Customer'!R:R,MATCH('Full Customer List'!$B42,'Revenue by Customer'!$A:$A,0))</f>
        <v/>
      </c>
      <c r="S42" s="187" t="str">
        <f>INDEX('Revenue by Customer'!S:S,MATCH('Full Customer List'!$B42,'Revenue by Customer'!$A:$A,0))</f>
        <v/>
      </c>
      <c r="T42" s="187" t="str">
        <f>INDEX('Revenue by Customer'!T:T,MATCH('Full Customer List'!$B42,'Revenue by Customer'!$A:$A,0))</f>
        <v/>
      </c>
      <c r="U42" s="187">
        <f>INDEX('Revenue by Customer'!U:U,MATCH('Full Customer List'!$B42,'Revenue by Customer'!$A:$A,0))</f>
        <v>3730</v>
      </c>
      <c r="V42" s="187">
        <f>INDEX('Revenue by Customer'!V:V,MATCH('Full Customer List'!$B42,'Revenue by Customer'!$A:$A,0))</f>
        <v>1915</v>
      </c>
      <c r="W42" s="187">
        <f>INDEX('Revenue by Customer'!W:W,MATCH('Full Customer List'!$B42,'Revenue by Customer'!$A:$A,0))</f>
        <v>1805</v>
      </c>
      <c r="X42" s="187">
        <f>INDEX('Revenue by Customer'!X:X,MATCH('Full Customer List'!$B42,'Revenue by Customer'!$A:$A,0))</f>
        <v>1960</v>
      </c>
      <c r="Y42" s="187">
        <f>INDEX('Revenue by Customer'!Y:Y,MATCH('Full Customer List'!$B42,'Revenue by Customer'!$A:$A,0))</f>
        <v>1780</v>
      </c>
      <c r="Z42" s="187">
        <f>INDEX('Revenue by Customer'!Z:Z,MATCH('Full Customer List'!$B42,'Revenue by Customer'!$A:$A,0))</f>
        <v>1695</v>
      </c>
      <c r="AA42" s="187">
        <f>INDEX('Revenue by Customer'!AA:AA,MATCH('Full Customer List'!$B42,'Revenue by Customer'!$A:$A,0))</f>
        <v>1915</v>
      </c>
      <c r="AB42" s="187">
        <f>INDEX('Revenue by Customer'!AB:AB,MATCH('Full Customer List'!$B42,'Revenue by Customer'!$A:$A,0))</f>
        <v>1860</v>
      </c>
      <c r="AC42" s="187">
        <f>INDEX('Revenue by Customer'!AC:AC,MATCH('Full Customer List'!$B42,'Revenue by Customer'!$A:$A,0))</f>
        <v>1970</v>
      </c>
    </row>
    <row r="43" spans="2:29" ht="12" customHeight="1">
      <c r="B43" s="171" t="s">
        <v>611</v>
      </c>
      <c r="C43" s="171" t="str">
        <f>INDEX('Customer List w Software'!$B:$B,MATCH('Full Customer List'!$B43,'Customer List w Software'!$A:$A,0))</f>
        <v>Active</v>
      </c>
      <c r="D43" s="171" t="str">
        <f>INDEX('Customer List w Software'!$C:$C,MATCH('Full Customer List'!$B43,'Customer List w Software'!$A:$A,0))</f>
        <v>Property manager</v>
      </c>
      <c r="E43" s="171" t="str">
        <f>INDEX('Customer List Mapping'!$C:$C,MATCH('Full Customer List'!D43,'Customer List Mapping'!$B:$B,0))</f>
        <v>Property Manager</v>
      </c>
      <c r="F43" s="187">
        <f>INDEX('Customer List w Software'!$K:$K,MATCH('Full Customer List'!$B43,'Customer List w Software'!$A:$A,0))</f>
        <v>45</v>
      </c>
      <c r="G43" s="187">
        <f>INDEX('Revenue by Customer'!$I:$I,MATCH('Full Customer List'!$B43,'Revenue by Customer'!$A:$A,0))</f>
        <v>2458</v>
      </c>
      <c r="H43" s="250" t="str">
        <f>IFERROR(IF(C43="Active","",INDEX('Client Departures'!$G:$G,MATCH('Full Customer List'!$B43,'Client Departures'!$A:$A,0))),"Unclassified")</f>
        <v/>
      </c>
      <c r="I43" s="191">
        <v>46023</v>
      </c>
      <c r="J43" s="191"/>
      <c r="K43" s="187" t="str">
        <f>INDEX('Revenue by Customer'!K:K,MATCH('Full Customer List'!$B43,'Revenue by Customer'!$A:$A,0))</f>
        <v/>
      </c>
      <c r="L43" s="187" t="str">
        <f>INDEX('Revenue by Customer'!L:L,MATCH('Full Customer List'!$B43,'Revenue by Customer'!$A:$A,0))</f>
        <v/>
      </c>
      <c r="M43" s="187" t="str">
        <f>INDEX('Revenue by Customer'!M:M,MATCH('Full Customer List'!$B43,'Revenue by Customer'!$A:$A,0))</f>
        <v/>
      </c>
      <c r="N43" s="187" t="str">
        <f>INDEX('Revenue by Customer'!N:N,MATCH('Full Customer List'!$B43,'Revenue by Customer'!$A:$A,0))</f>
        <v/>
      </c>
      <c r="O43" s="187" t="str">
        <f>INDEX('Revenue by Customer'!O:O,MATCH('Full Customer List'!$B43,'Revenue by Customer'!$A:$A,0))</f>
        <v/>
      </c>
      <c r="P43" s="187" t="str">
        <f>INDEX('Revenue by Customer'!P:P,MATCH('Full Customer List'!$B43,'Revenue by Customer'!$A:$A,0))</f>
        <v/>
      </c>
      <c r="Q43" s="187" t="str">
        <f>INDEX('Revenue by Customer'!Q:Q,MATCH('Full Customer List'!$B43,'Revenue by Customer'!$A:$A,0))</f>
        <v/>
      </c>
      <c r="R43" s="187" t="str">
        <f>INDEX('Revenue by Customer'!R:R,MATCH('Full Customer List'!$B43,'Revenue by Customer'!$A:$A,0))</f>
        <v/>
      </c>
      <c r="S43" s="187" t="str">
        <f>INDEX('Revenue by Customer'!S:S,MATCH('Full Customer List'!$B43,'Revenue by Customer'!$A:$A,0))</f>
        <v/>
      </c>
      <c r="T43" s="187" t="str">
        <f>INDEX('Revenue by Customer'!T:T,MATCH('Full Customer List'!$B43,'Revenue by Customer'!$A:$A,0))</f>
        <v/>
      </c>
      <c r="U43" s="187" t="str">
        <f>INDEX('Revenue by Customer'!U:U,MATCH('Full Customer List'!$B43,'Revenue by Customer'!$A:$A,0))</f>
        <v/>
      </c>
      <c r="V43" s="187" t="str">
        <f>INDEX('Revenue by Customer'!V:V,MATCH('Full Customer List'!$B43,'Revenue by Customer'!$A:$A,0))</f>
        <v/>
      </c>
      <c r="W43" s="187">
        <f>INDEX('Revenue by Customer'!W:W,MATCH('Full Customer List'!$B43,'Revenue by Customer'!$A:$A,0))</f>
        <v>4257</v>
      </c>
      <c r="X43" s="187">
        <f>INDEX('Revenue by Customer'!X:X,MATCH('Full Customer List'!$B43,'Revenue by Customer'!$A:$A,0))</f>
        <v>2216</v>
      </c>
      <c r="Y43" s="187">
        <f>INDEX('Revenue by Customer'!Y:Y,MATCH('Full Customer List'!$B43,'Revenue by Customer'!$A:$A,0))</f>
        <v>2378</v>
      </c>
      <c r="Z43" s="187">
        <f>INDEX('Revenue by Customer'!Z:Z,MATCH('Full Customer List'!$B43,'Revenue by Customer'!$A:$A,0))</f>
        <v>2378</v>
      </c>
      <c r="AA43" s="187">
        <f>INDEX('Revenue by Customer'!AA:AA,MATCH('Full Customer List'!$B43,'Revenue by Customer'!$A:$A,0))</f>
        <v>3271</v>
      </c>
      <c r="AB43" s="187">
        <f>INDEX('Revenue by Customer'!AB:AB,MATCH('Full Customer List'!$B43,'Revenue by Customer'!$A:$A,0))</f>
        <v>3231</v>
      </c>
      <c r="AC43" s="187">
        <f>INDEX('Revenue by Customer'!AC:AC,MATCH('Full Customer List'!$B43,'Revenue by Customer'!$A:$A,0))</f>
        <v>872</v>
      </c>
    </row>
    <row r="44" spans="2:29" ht="12" customHeight="1">
      <c r="B44" s="171" t="s">
        <v>614</v>
      </c>
      <c r="C44" s="171" t="str">
        <f>INDEX('Customer List w Software'!$B:$B,MATCH('Full Customer List'!$B44,'Customer List w Software'!$A:$A,0))</f>
        <v>Active</v>
      </c>
      <c r="D44" s="171" t="str">
        <f>INDEX('Customer List w Software'!$C:$C,MATCH('Full Customer List'!$B44,'Customer List w Software'!$A:$A,0))</f>
        <v>Property manager</v>
      </c>
      <c r="E44" s="171" t="str">
        <f>INDEX('Customer List Mapping'!$C:$C,MATCH('Full Customer List'!D44,'Customer List Mapping'!$B:$B,0))</f>
        <v>Property Manager</v>
      </c>
      <c r="F44" s="187">
        <f>INDEX('Customer List w Software'!$K:$K,MATCH('Full Customer List'!$B44,'Customer List w Software'!$A:$A,0))</f>
        <v>18</v>
      </c>
      <c r="G44" s="187">
        <f>INDEX('Revenue by Customer'!$I:$I,MATCH('Full Customer List'!$B44,'Revenue by Customer'!$A:$A,0))</f>
        <v>1551</v>
      </c>
      <c r="H44" s="250" t="str">
        <f>IFERROR(IF(C44="Active","",INDEX('Client Departures'!$G:$G,MATCH('Full Customer List'!$B44,'Client Departures'!$A:$A,0))),"Unclassified")</f>
        <v/>
      </c>
      <c r="I44" s="191">
        <v>45444</v>
      </c>
      <c r="J44" s="191"/>
      <c r="K44" s="187">
        <f>INDEX('Revenue by Customer'!K:K,MATCH('Full Customer List'!$B44,'Revenue by Customer'!$A:$A,0))</f>
        <v>790</v>
      </c>
      <c r="L44" s="187">
        <f>INDEX('Revenue by Customer'!L:L,MATCH('Full Customer List'!$B44,'Revenue by Customer'!$A:$A,0))</f>
        <v>1196</v>
      </c>
      <c r="M44" s="187">
        <f>INDEX('Revenue by Customer'!M:M,MATCH('Full Customer List'!$B44,'Revenue by Customer'!$A:$A,0))</f>
        <v>1264</v>
      </c>
      <c r="N44" s="187">
        <f>INDEX('Revenue by Customer'!N:N,MATCH('Full Customer List'!$B44,'Revenue by Customer'!$A:$A,0))</f>
        <v>948</v>
      </c>
      <c r="O44" s="187">
        <f>INDEX('Revenue by Customer'!O:O,MATCH('Full Customer List'!$B44,'Revenue by Customer'!$A:$A,0))</f>
        <v>1264</v>
      </c>
      <c r="P44" s="187">
        <f>INDEX('Revenue by Customer'!P:P,MATCH('Full Customer List'!$B44,'Revenue by Customer'!$A:$A,0))</f>
        <v>1370</v>
      </c>
      <c r="Q44" s="187">
        <f>INDEX('Revenue by Customer'!Q:Q,MATCH('Full Customer List'!$B44,'Revenue by Customer'!$A:$A,0))</f>
        <v>1445</v>
      </c>
      <c r="R44" s="187">
        <f>INDEX('Revenue by Customer'!R:R,MATCH('Full Customer List'!$B44,'Revenue by Customer'!$A:$A,0))</f>
        <v>1280</v>
      </c>
      <c r="S44" s="187">
        <f>INDEX('Revenue by Customer'!S:S,MATCH('Full Customer List'!$B44,'Revenue by Customer'!$A:$A,0))</f>
        <v>1430</v>
      </c>
      <c r="T44" s="187">
        <f>INDEX('Revenue by Customer'!T:T,MATCH('Full Customer List'!$B44,'Revenue by Customer'!$A:$A,0))</f>
        <v>1335</v>
      </c>
      <c r="U44" s="187">
        <f>INDEX('Revenue by Customer'!U:U,MATCH('Full Customer List'!$B44,'Revenue by Customer'!$A:$A,0))</f>
        <v>1410</v>
      </c>
      <c r="V44" s="187">
        <f>INDEX('Revenue by Customer'!V:V,MATCH('Full Customer List'!$B44,'Revenue by Customer'!$A:$A,0))</f>
        <v>1560</v>
      </c>
      <c r="W44" s="187">
        <f>INDEX('Revenue by Customer'!W:W,MATCH('Full Customer List'!$B44,'Revenue by Customer'!$A:$A,0))</f>
        <v>1635</v>
      </c>
      <c r="X44" s="187">
        <f>INDEX('Revenue by Customer'!X:X,MATCH('Full Customer List'!$B44,'Revenue by Customer'!$A:$A,0))</f>
        <v>1485</v>
      </c>
      <c r="Y44" s="187">
        <f>INDEX('Revenue by Customer'!Y:Y,MATCH('Full Customer List'!$B44,'Revenue by Customer'!$A:$A,0))</f>
        <v>1410</v>
      </c>
      <c r="Z44" s="187">
        <f>INDEX('Revenue by Customer'!Z:Z,MATCH('Full Customer List'!$B44,'Revenue by Customer'!$A:$A,0))</f>
        <v>1635</v>
      </c>
      <c r="AA44" s="187">
        <f>INDEX('Revenue by Customer'!AA:AA,MATCH('Full Customer List'!$B44,'Revenue by Customer'!$A:$A,0))</f>
        <v>1635</v>
      </c>
      <c r="AB44" s="187">
        <f>INDEX('Revenue by Customer'!AB:AB,MATCH('Full Customer List'!$B44,'Revenue by Customer'!$A:$A,0))</f>
        <v>1509</v>
      </c>
      <c r="AC44" s="187">
        <f>INDEX('Revenue by Customer'!AC:AC,MATCH('Full Customer List'!$B44,'Revenue by Customer'!$A:$A,0))</f>
        <v>1509</v>
      </c>
    </row>
    <row r="45" spans="2:29" ht="12" customHeight="1">
      <c r="B45" s="171" t="s">
        <v>615</v>
      </c>
      <c r="C45" s="171" t="str">
        <f>INDEX('Customer List w Software'!$B:$B,MATCH('Full Customer List'!$B45,'Customer List w Software'!$A:$A,0))</f>
        <v>Active</v>
      </c>
      <c r="D45" s="171" t="str">
        <f>INDEX('Customer List w Software'!$C:$C,MATCH('Full Customer List'!$B45,'Customer List w Software'!$A:$A,0))</f>
        <v>Property manager</v>
      </c>
      <c r="E45" s="171" t="str">
        <f>INDEX('Customer List Mapping'!$C:$C,MATCH('Full Customer List'!D45,'Customer List Mapping'!$B:$B,0))</f>
        <v>Property Manager</v>
      </c>
      <c r="F45" s="187">
        <f>INDEX('Customer List w Software'!$K:$K,MATCH('Full Customer List'!$B45,'Customer List w Software'!$A:$A,0))</f>
        <v>48</v>
      </c>
      <c r="G45" s="187">
        <f>INDEX('Revenue by Customer'!$I:$I,MATCH('Full Customer List'!$B45,'Revenue by Customer'!$A:$A,0))</f>
        <v>2476.15</v>
      </c>
      <c r="H45" s="250" t="str">
        <f>IFERROR(IF(C45="Active","",INDEX('Client Departures'!$G:$G,MATCH('Full Customer List'!$B45,'Client Departures'!$A:$A,0))),"Unclassified")</f>
        <v/>
      </c>
      <c r="I45" s="191">
        <v>45992</v>
      </c>
      <c r="J45" s="191"/>
      <c r="K45" s="187" t="str">
        <f>INDEX('Revenue by Customer'!K:K,MATCH('Full Customer List'!$B45,'Revenue by Customer'!$A:$A,0))</f>
        <v/>
      </c>
      <c r="L45" s="187" t="str">
        <f>INDEX('Revenue by Customer'!L:L,MATCH('Full Customer List'!$B45,'Revenue by Customer'!$A:$A,0))</f>
        <v/>
      </c>
      <c r="M45" s="187" t="str">
        <f>INDEX('Revenue by Customer'!M:M,MATCH('Full Customer List'!$B45,'Revenue by Customer'!$A:$A,0))</f>
        <v/>
      </c>
      <c r="N45" s="187" t="str">
        <f>INDEX('Revenue by Customer'!N:N,MATCH('Full Customer List'!$B45,'Revenue by Customer'!$A:$A,0))</f>
        <v/>
      </c>
      <c r="O45" s="187" t="str">
        <f>INDEX('Revenue by Customer'!O:O,MATCH('Full Customer List'!$B45,'Revenue by Customer'!$A:$A,0))</f>
        <v/>
      </c>
      <c r="P45" s="187" t="str">
        <f>INDEX('Revenue by Customer'!P:P,MATCH('Full Customer List'!$B45,'Revenue by Customer'!$A:$A,0))</f>
        <v/>
      </c>
      <c r="Q45" s="187" t="str">
        <f>INDEX('Revenue by Customer'!Q:Q,MATCH('Full Customer List'!$B45,'Revenue by Customer'!$A:$A,0))</f>
        <v/>
      </c>
      <c r="R45" s="187" t="str">
        <f>INDEX('Revenue by Customer'!R:R,MATCH('Full Customer List'!$B45,'Revenue by Customer'!$A:$A,0))</f>
        <v/>
      </c>
      <c r="S45" s="187" t="str">
        <f>INDEX('Revenue by Customer'!S:S,MATCH('Full Customer List'!$B45,'Revenue by Customer'!$A:$A,0))</f>
        <v/>
      </c>
      <c r="T45" s="187" t="str">
        <f>INDEX('Revenue by Customer'!T:T,MATCH('Full Customer List'!$B45,'Revenue by Customer'!$A:$A,0))</f>
        <v/>
      </c>
      <c r="U45" s="187" t="str">
        <f>INDEX('Revenue by Customer'!U:U,MATCH('Full Customer List'!$B45,'Revenue by Customer'!$A:$A,0))</f>
        <v/>
      </c>
      <c r="V45" s="187">
        <f>INDEX('Revenue by Customer'!V:V,MATCH('Full Customer List'!$B45,'Revenue by Customer'!$A:$A,0))</f>
        <v>1805</v>
      </c>
      <c r="W45" s="187">
        <f>INDEX('Revenue by Customer'!W:W,MATCH('Full Customer List'!$B45,'Revenue by Customer'!$A:$A,0))</f>
        <v>2337.5500000000002</v>
      </c>
      <c r="X45" s="187">
        <f>INDEX('Revenue by Customer'!X:X,MATCH('Full Customer List'!$B45,'Revenue by Customer'!$A:$A,0))</f>
        <v>2185.9</v>
      </c>
      <c r="Y45" s="187">
        <f>INDEX('Revenue by Customer'!Y:Y,MATCH('Full Customer List'!$B45,'Revenue by Customer'!$A:$A,0))</f>
        <v>1702</v>
      </c>
      <c r="Z45" s="187">
        <f>INDEX('Revenue by Customer'!Z:Z,MATCH('Full Customer List'!$B45,'Revenue by Customer'!$A:$A,0))</f>
        <v>2360</v>
      </c>
      <c r="AA45" s="187">
        <f>INDEX('Revenue by Customer'!AA:AA,MATCH('Full Customer List'!$B45,'Revenue by Customer'!$A:$A,0))</f>
        <v>2516</v>
      </c>
      <c r="AB45" s="187">
        <f>INDEX('Revenue by Customer'!AB:AB,MATCH('Full Customer List'!$B45,'Revenue by Customer'!$A:$A,0))</f>
        <v>2448.4499999999998</v>
      </c>
      <c r="AC45" s="187">
        <f>INDEX('Revenue by Customer'!AC:AC,MATCH('Full Customer List'!$B45,'Revenue by Customer'!$A:$A,0))</f>
        <v>2464</v>
      </c>
    </row>
    <row r="46" spans="2:29" ht="12" customHeight="1">
      <c r="B46" s="171" t="s">
        <v>618</v>
      </c>
      <c r="C46" s="171" t="str">
        <f>INDEX('Customer List w Software'!$B:$B,MATCH('Full Customer List'!$B46,'Customer List w Software'!$A:$A,0))</f>
        <v>Active</v>
      </c>
      <c r="D46" s="171" t="str">
        <f>INDEX('Customer List w Software'!$C:$C,MATCH('Full Customer List'!$B46,'Customer List w Software'!$A:$A,0))</f>
        <v>Property manager</v>
      </c>
      <c r="E46" s="171" t="str">
        <f>INDEX('Customer List Mapping'!$C:$C,MATCH('Full Customer List'!D46,'Customer List Mapping'!$B:$B,0))</f>
        <v>Property Manager</v>
      </c>
      <c r="F46" s="187">
        <f>INDEX('Customer List w Software'!$K:$K,MATCH('Full Customer List'!$B46,'Customer List w Software'!$A:$A,0))</f>
        <v>20</v>
      </c>
      <c r="G46" s="187">
        <f>INDEX('Revenue by Customer'!$I:$I,MATCH('Full Customer List'!$B46,'Revenue by Customer'!$A:$A,0))</f>
        <v>1947.3333333333333</v>
      </c>
      <c r="H46" s="250" t="str">
        <f>IFERROR(IF(C46="Active","",INDEX('Client Departures'!$G:$G,MATCH('Full Customer List'!$B46,'Client Departures'!$A:$A,0))),"Unclassified")</f>
        <v/>
      </c>
      <c r="I46" s="191">
        <v>45352</v>
      </c>
      <c r="J46" s="191"/>
      <c r="K46" s="187" t="str">
        <f>INDEX('Revenue by Customer'!K:K,MATCH('Full Customer List'!$B46,'Revenue by Customer'!$A:$A,0))</f>
        <v/>
      </c>
      <c r="L46" s="187" t="str">
        <f>INDEX('Revenue by Customer'!L:L,MATCH('Full Customer List'!$B46,'Revenue by Customer'!$A:$A,0))</f>
        <v/>
      </c>
      <c r="M46" s="187" t="str">
        <f>INDEX('Revenue by Customer'!M:M,MATCH('Full Customer List'!$B46,'Revenue by Customer'!$A:$A,0))</f>
        <v/>
      </c>
      <c r="N46" s="187" t="str">
        <f>INDEX('Revenue by Customer'!N:N,MATCH('Full Customer List'!$B46,'Revenue by Customer'!$A:$A,0))</f>
        <v/>
      </c>
      <c r="O46" s="187">
        <f>INDEX('Revenue by Customer'!O:O,MATCH('Full Customer List'!$B46,'Revenue by Customer'!$A:$A,0))</f>
        <v>2350</v>
      </c>
      <c r="P46" s="187">
        <f>INDEX('Revenue by Customer'!P:P,MATCH('Full Customer List'!$B46,'Revenue by Customer'!$A:$A,0))</f>
        <v>2702.5</v>
      </c>
      <c r="Q46" s="187">
        <f>INDEX('Revenue by Customer'!Q:Q,MATCH('Full Customer List'!$B46,'Revenue by Customer'!$A:$A,0))</f>
        <v>1075</v>
      </c>
      <c r="R46" s="187">
        <f>INDEX('Revenue by Customer'!R:R,MATCH('Full Customer List'!$B46,'Revenue by Customer'!$A:$A,0))</f>
        <v>1075</v>
      </c>
      <c r="S46" s="187">
        <f>INDEX('Revenue by Customer'!S:S,MATCH('Full Customer List'!$B46,'Revenue by Customer'!$A:$A,0))</f>
        <v>1150</v>
      </c>
      <c r="T46" s="187">
        <f>INDEX('Revenue by Customer'!T:T,MATCH('Full Customer List'!$B46,'Revenue by Customer'!$A:$A,0))</f>
        <v>1150</v>
      </c>
      <c r="U46" s="187">
        <f>INDEX('Revenue by Customer'!U:U,MATCH('Full Customer List'!$B46,'Revenue by Customer'!$A:$A,0))</f>
        <v>1150</v>
      </c>
      <c r="V46" s="187">
        <f>INDEX('Revenue by Customer'!V:V,MATCH('Full Customer List'!$B46,'Revenue by Customer'!$A:$A,0))</f>
        <v>1150</v>
      </c>
      <c r="W46" s="187">
        <f>INDEX('Revenue by Customer'!W:W,MATCH('Full Customer List'!$B46,'Revenue by Customer'!$A:$A,0))</f>
        <v>1425</v>
      </c>
      <c r="X46" s="187">
        <f>INDEX('Revenue by Customer'!X:X,MATCH('Full Customer List'!$B46,'Revenue by Customer'!$A:$A,0))</f>
        <v>1785</v>
      </c>
      <c r="Y46" s="187">
        <f>INDEX('Revenue by Customer'!Y:Y,MATCH('Full Customer List'!$B46,'Revenue by Customer'!$A:$A,0))</f>
        <v>1500</v>
      </c>
      <c r="Z46" s="187">
        <f>INDEX('Revenue by Customer'!Z:Z,MATCH('Full Customer List'!$B46,'Revenue by Customer'!$A:$A,0))</f>
        <v>1500</v>
      </c>
      <c r="AA46" s="187">
        <f>INDEX('Revenue by Customer'!AA:AA,MATCH('Full Customer List'!$B46,'Revenue by Customer'!$A:$A,0))</f>
        <v>1674</v>
      </c>
      <c r="AB46" s="187">
        <f>INDEX('Revenue by Customer'!AB:AB,MATCH('Full Customer List'!$B46,'Revenue by Customer'!$A:$A,0))</f>
        <v>2038</v>
      </c>
      <c r="AC46" s="187">
        <f>INDEX('Revenue by Customer'!AC:AC,MATCH('Full Customer List'!$B46,'Revenue by Customer'!$A:$A,0))</f>
        <v>2130</v>
      </c>
    </row>
    <row r="47" spans="2:29" ht="12" customHeight="1">
      <c r="B47" s="171" t="s">
        <v>619</v>
      </c>
      <c r="C47" s="171" t="str">
        <f>INDEX('Customer List w Software'!$B:$B,MATCH('Full Customer List'!$B47,'Customer List w Software'!$A:$A,0))</f>
        <v>Active</v>
      </c>
      <c r="D47" s="171" t="str">
        <f>INDEX('Customer List w Software'!$C:$C,MATCH('Full Customer List'!$B47,'Customer List w Software'!$A:$A,0))</f>
        <v>Property manager</v>
      </c>
      <c r="E47" s="171" t="str">
        <f>INDEX('Customer List Mapping'!$C:$C,MATCH('Full Customer List'!D47,'Customer List Mapping'!$B:$B,0))</f>
        <v>Property Manager</v>
      </c>
      <c r="F47" s="187">
        <f>INDEX('Customer List w Software'!$K:$K,MATCH('Full Customer List'!$B47,'Customer List w Software'!$A:$A,0))</f>
        <v>24</v>
      </c>
      <c r="G47" s="187">
        <f>INDEX('Revenue by Customer'!$I:$I,MATCH('Full Customer List'!$B47,'Revenue by Customer'!$A:$A,0))</f>
        <v>1651</v>
      </c>
      <c r="H47" s="250" t="str">
        <f>IFERROR(IF(C47="Active","",INDEX('Client Departures'!$G:$G,MATCH('Full Customer List'!$B47,'Client Departures'!$A:$A,0))),"Unclassified")</f>
        <v/>
      </c>
      <c r="I47" s="191">
        <v>44743</v>
      </c>
      <c r="J47" s="191"/>
      <c r="K47" s="187">
        <f>INDEX('Revenue by Customer'!K:K,MATCH('Full Customer List'!$B47,'Revenue by Customer'!$A:$A,0))</f>
        <v>1222</v>
      </c>
      <c r="L47" s="187">
        <f>INDEX('Revenue by Customer'!L:L,MATCH('Full Customer List'!$B47,'Revenue by Customer'!$A:$A,0))</f>
        <v>1025</v>
      </c>
      <c r="M47" s="187">
        <f>INDEX('Revenue by Customer'!M:M,MATCH('Full Customer List'!$B47,'Revenue by Customer'!$A:$A,0))</f>
        <v>1175</v>
      </c>
      <c r="N47" s="187">
        <f>INDEX('Revenue by Customer'!N:N,MATCH('Full Customer List'!$B47,'Revenue by Customer'!$A:$A,0))</f>
        <v>1325</v>
      </c>
      <c r="O47" s="187">
        <f>INDEX('Revenue by Customer'!O:O,MATCH('Full Customer List'!$B47,'Revenue by Customer'!$A:$A,0))</f>
        <v>1325</v>
      </c>
      <c r="P47" s="187">
        <f>INDEX('Revenue by Customer'!P:P,MATCH('Full Customer List'!$B47,'Revenue by Customer'!$A:$A,0))</f>
        <v>1400</v>
      </c>
      <c r="Q47" s="187">
        <f>INDEX('Revenue by Customer'!Q:Q,MATCH('Full Customer List'!$B47,'Revenue by Customer'!$A:$A,0))</f>
        <v>1400</v>
      </c>
      <c r="R47" s="187">
        <f>INDEX('Revenue by Customer'!R:R,MATCH('Full Customer List'!$B47,'Revenue by Customer'!$A:$A,0))</f>
        <v>1400</v>
      </c>
      <c r="S47" s="187">
        <f>INDEX('Revenue by Customer'!S:S,MATCH('Full Customer List'!$B47,'Revenue by Customer'!$A:$A,0))</f>
        <v>1325</v>
      </c>
      <c r="T47" s="187">
        <f>INDEX('Revenue by Customer'!T:T,MATCH('Full Customer List'!$B47,'Revenue by Customer'!$A:$A,0))</f>
        <v>1325</v>
      </c>
      <c r="U47" s="187">
        <f>INDEX('Revenue by Customer'!U:U,MATCH('Full Customer List'!$B47,'Revenue by Customer'!$A:$A,0))</f>
        <v>1250</v>
      </c>
      <c r="V47" s="187">
        <f>INDEX('Revenue by Customer'!V:V,MATCH('Full Customer List'!$B47,'Revenue by Customer'!$A:$A,0))</f>
        <v>1325</v>
      </c>
      <c r="W47" s="187">
        <f>INDEX('Revenue by Customer'!W:W,MATCH('Full Customer List'!$B47,'Revenue by Customer'!$A:$A,0))</f>
        <v>1730</v>
      </c>
      <c r="X47" s="187">
        <f>INDEX('Revenue by Customer'!X:X,MATCH('Full Customer List'!$B47,'Revenue by Customer'!$A:$A,0))</f>
        <v>1316</v>
      </c>
      <c r="Y47" s="187">
        <f>INDEX('Revenue by Customer'!Y:Y,MATCH('Full Customer List'!$B47,'Revenue by Customer'!$A:$A,0))</f>
        <v>1517</v>
      </c>
      <c r="Z47" s="187">
        <f>INDEX('Revenue by Customer'!Z:Z,MATCH('Full Customer List'!$B47,'Revenue by Customer'!$A:$A,0))</f>
        <v>1584</v>
      </c>
      <c r="AA47" s="187">
        <f>INDEX('Revenue by Customer'!AA:AA,MATCH('Full Customer List'!$B47,'Revenue by Customer'!$A:$A,0))</f>
        <v>1584</v>
      </c>
      <c r="AB47" s="187">
        <f>INDEX('Revenue by Customer'!AB:AB,MATCH('Full Customer List'!$B47,'Revenue by Customer'!$A:$A,0))</f>
        <v>1651</v>
      </c>
      <c r="AC47" s="187">
        <f>INDEX('Revenue by Customer'!AC:AC,MATCH('Full Customer List'!$B47,'Revenue by Customer'!$A:$A,0))</f>
        <v>1718</v>
      </c>
    </row>
    <row r="48" spans="2:29" ht="12" customHeight="1">
      <c r="B48" s="171" t="s">
        <v>621</v>
      </c>
      <c r="C48" s="171" t="str">
        <f>INDEX('Customer List w Software'!$B:$B,MATCH('Full Customer List'!$B48,'Customer List w Software'!$A:$A,0))</f>
        <v>Former client</v>
      </c>
      <c r="D48" s="171" t="str">
        <f>INDEX('Customer List w Software'!$C:$C,MATCH('Full Customer List'!$B48,'Customer List w Software'!$A:$A,0))</f>
        <v>Property manager</v>
      </c>
      <c r="E48" s="171" t="str">
        <f>INDEX('Customer List Mapping'!$C:$C,MATCH('Full Customer List'!D48,'Customer List Mapping'!$B:$B,0))</f>
        <v>Property Manager</v>
      </c>
      <c r="F48" s="187">
        <f>INDEX('Customer List w Software'!$K:$K,MATCH('Full Customer List'!$B48,'Customer List w Software'!$A:$A,0))</f>
        <v>26</v>
      </c>
      <c r="G48" s="187">
        <f>INDEX('Revenue by Customer'!$I:$I,MATCH('Full Customer List'!$B48,'Revenue by Customer'!$A:$A,0))</f>
        <v>2556.6666666666665</v>
      </c>
      <c r="H48" s="250" t="str">
        <f>IFERROR(IF(C48="Active","",INDEX('Client Departures'!$G:$G,MATCH('Full Customer List'!$B48,'Client Departures'!$A:$A,0))),"Unclassified")</f>
        <v>Yes</v>
      </c>
      <c r="I48" s="191">
        <v>45658</v>
      </c>
      <c r="J48" s="191">
        <v>46234</v>
      </c>
      <c r="K48" s="187">
        <f>INDEX('Revenue by Customer'!K:K,MATCH('Full Customer List'!$B48,'Revenue by Customer'!$A:$A,0))</f>
        <v>640</v>
      </c>
      <c r="L48" s="187">
        <f>INDEX('Revenue by Customer'!L:L,MATCH('Full Customer List'!$B48,'Revenue by Customer'!$A:$A,0))</f>
        <v>340</v>
      </c>
      <c r="M48" s="187">
        <f>INDEX('Revenue by Customer'!M:M,MATCH('Full Customer List'!$B48,'Revenue by Customer'!$A:$A,0))</f>
        <v>340</v>
      </c>
      <c r="N48" s="187">
        <f>INDEX('Revenue by Customer'!N:N,MATCH('Full Customer List'!$B48,'Revenue by Customer'!$A:$A,0))</f>
        <v>400</v>
      </c>
      <c r="O48" s="187">
        <f>INDEX('Revenue by Customer'!O:O,MATCH('Full Customer List'!$B48,'Revenue by Customer'!$A:$A,0))</f>
        <v>400</v>
      </c>
      <c r="P48" s="187">
        <f>INDEX('Revenue by Customer'!P:P,MATCH('Full Customer List'!$B48,'Revenue by Customer'!$A:$A,0))</f>
        <v>625</v>
      </c>
      <c r="Q48" s="187">
        <f>INDEX('Revenue by Customer'!Q:Q,MATCH('Full Customer List'!$B48,'Revenue by Customer'!$A:$A,0))</f>
        <v>625</v>
      </c>
      <c r="R48" s="187">
        <f>INDEX('Revenue by Customer'!R:R,MATCH('Full Customer List'!$B48,'Revenue by Customer'!$A:$A,0))</f>
        <v>625</v>
      </c>
      <c r="S48" s="187">
        <f>INDEX('Revenue by Customer'!S:S,MATCH('Full Customer List'!$B48,'Revenue by Customer'!$A:$A,0))</f>
        <v>625</v>
      </c>
      <c r="T48" s="187">
        <f>INDEX('Revenue by Customer'!T:T,MATCH('Full Customer List'!$B48,'Revenue by Customer'!$A:$A,0))</f>
        <v>625</v>
      </c>
      <c r="U48" s="187">
        <f>INDEX('Revenue by Customer'!U:U,MATCH('Full Customer List'!$B48,'Revenue by Customer'!$A:$A,0))</f>
        <v>625</v>
      </c>
      <c r="V48" s="187">
        <f>INDEX('Revenue by Customer'!V:V,MATCH('Full Customer List'!$B48,'Revenue by Customer'!$A:$A,0))</f>
        <v>625</v>
      </c>
      <c r="W48" s="187">
        <f>INDEX('Revenue by Customer'!W:W,MATCH('Full Customer List'!$B48,'Revenue by Customer'!$A:$A,0))</f>
        <v>1376</v>
      </c>
      <c r="X48" s="187">
        <f>INDEX('Revenue by Customer'!X:X,MATCH('Full Customer List'!$B48,'Revenue by Customer'!$A:$A,0))</f>
        <v>1514</v>
      </c>
      <c r="Y48" s="187">
        <f>INDEX('Revenue by Customer'!Y:Y,MATCH('Full Customer List'!$B48,'Revenue by Customer'!$A:$A,0))</f>
        <v>1912</v>
      </c>
      <c r="Z48" s="187">
        <f>INDEX('Revenue by Customer'!Z:Z,MATCH('Full Customer List'!$B48,'Revenue by Customer'!$A:$A,0))</f>
        <v>1912</v>
      </c>
      <c r="AA48" s="187">
        <f>INDEX('Revenue by Customer'!AA:AA,MATCH('Full Customer List'!$B48,'Revenue by Customer'!$A:$A,0))</f>
        <v>2441</v>
      </c>
      <c r="AB48" s="187">
        <f>INDEX('Revenue by Customer'!AB:AB,MATCH('Full Customer List'!$B48,'Revenue by Customer'!$A:$A,0))</f>
        <v>2566</v>
      </c>
      <c r="AC48" s="187">
        <f>INDEX('Revenue by Customer'!AC:AC,MATCH('Full Customer List'!$B48,'Revenue by Customer'!$A:$A,0))</f>
        <v>2663</v>
      </c>
    </row>
    <row r="49" spans="2:29" ht="12" customHeight="1">
      <c r="B49" s="171" t="s">
        <v>623</v>
      </c>
      <c r="C49" s="171" t="str">
        <f>INDEX('Customer List w Software'!$B:$B,MATCH('Full Customer List'!$B49,'Customer List w Software'!$A:$A,0))</f>
        <v>Active</v>
      </c>
      <c r="D49" s="171" t="str">
        <f>INDEX('Customer List w Software'!$C:$C,MATCH('Full Customer List'!$B49,'Customer List w Software'!$A:$A,0))</f>
        <v>Property manager</v>
      </c>
      <c r="E49" s="171" t="str">
        <f>INDEX('Customer List Mapping'!$C:$C,MATCH('Full Customer List'!D49,'Customer List Mapping'!$B:$B,0))</f>
        <v>Property Manager</v>
      </c>
      <c r="F49" s="187">
        <f>INDEX('Customer List w Software'!$K:$K,MATCH('Full Customer List'!$B49,'Customer List w Software'!$A:$A,0))</f>
        <v>26</v>
      </c>
      <c r="G49" s="187">
        <f>INDEX('Revenue by Customer'!$I:$I,MATCH('Full Customer List'!$B49,'Revenue by Customer'!$A:$A,0))</f>
        <v>1712.33</v>
      </c>
      <c r="H49" s="250" t="str">
        <f>IFERROR(IF(C49="Active","",INDEX('Client Departures'!$G:$G,MATCH('Full Customer List'!$B49,'Client Departures'!$A:$A,0))),"Unclassified")</f>
        <v/>
      </c>
      <c r="I49" s="191">
        <v>45658</v>
      </c>
      <c r="J49" s="191"/>
      <c r="K49" s="187">
        <f>INDEX('Revenue by Customer'!K:K,MATCH('Full Customer List'!$B49,'Revenue by Customer'!$A:$A,0))</f>
        <v>1348.75</v>
      </c>
      <c r="L49" s="187">
        <f>INDEX('Revenue by Customer'!L:L,MATCH('Full Customer List'!$B49,'Revenue by Customer'!$A:$A,0))</f>
        <v>688.75</v>
      </c>
      <c r="M49" s="187">
        <f>INDEX('Revenue by Customer'!M:M,MATCH('Full Customer List'!$B49,'Revenue by Customer'!$A:$A,0))</f>
        <v>896.25</v>
      </c>
      <c r="N49" s="187">
        <f>INDEX('Revenue by Customer'!N:N,MATCH('Full Customer List'!$B49,'Revenue by Customer'!$A:$A,0))</f>
        <v>1035</v>
      </c>
      <c r="O49" s="187">
        <f>INDEX('Revenue by Customer'!O:O,MATCH('Full Customer List'!$B49,'Revenue by Customer'!$A:$A,0))</f>
        <v>1035</v>
      </c>
      <c r="P49" s="187">
        <f>INDEX('Revenue by Customer'!P:P,MATCH('Full Customer List'!$B49,'Revenue by Customer'!$A:$A,0))</f>
        <v>1035</v>
      </c>
      <c r="Q49" s="187">
        <f>INDEX('Revenue by Customer'!Q:Q,MATCH('Full Customer List'!$B49,'Revenue by Customer'!$A:$A,0))</f>
        <v>1120</v>
      </c>
      <c r="R49" s="187">
        <f>INDEX('Revenue by Customer'!R:R,MATCH('Full Customer List'!$B49,'Revenue by Customer'!$A:$A,0))</f>
        <v>1120</v>
      </c>
      <c r="S49" s="187">
        <f>INDEX('Revenue by Customer'!S:S,MATCH('Full Customer List'!$B49,'Revenue by Customer'!$A:$A,0))</f>
        <v>1120</v>
      </c>
      <c r="T49" s="187">
        <f>INDEX('Revenue by Customer'!T:T,MATCH('Full Customer List'!$B49,'Revenue by Customer'!$A:$A,0))</f>
        <v>1290</v>
      </c>
      <c r="U49" s="187">
        <f>INDEX('Revenue by Customer'!U:U,MATCH('Full Customer List'!$B49,'Revenue by Customer'!$A:$A,0))</f>
        <v>1375</v>
      </c>
      <c r="V49" s="187">
        <f>INDEX('Revenue by Customer'!V:V,MATCH('Full Customer List'!$B49,'Revenue by Customer'!$A:$A,0))</f>
        <v>1604</v>
      </c>
      <c r="W49" s="187">
        <f>INDEX('Revenue by Customer'!W:W,MATCH('Full Customer List'!$B49,'Revenue by Customer'!$A:$A,0))</f>
        <v>1402</v>
      </c>
      <c r="X49" s="187">
        <f>INDEX('Revenue by Customer'!X:X,MATCH('Full Customer List'!$B49,'Revenue by Customer'!$A:$A,0))</f>
        <v>1567</v>
      </c>
      <c r="Y49" s="187">
        <f>INDEX('Revenue by Customer'!Y:Y,MATCH('Full Customer List'!$B49,'Revenue by Customer'!$A:$A,0))</f>
        <v>1554</v>
      </c>
      <c r="Z49" s="187">
        <f>INDEX('Revenue by Customer'!Z:Z,MATCH('Full Customer List'!$B49,'Revenue by Customer'!$A:$A,0))</f>
        <v>1326</v>
      </c>
      <c r="AA49" s="187">
        <f>INDEX('Revenue by Customer'!AA:AA,MATCH('Full Customer List'!$B49,'Revenue by Customer'!$A:$A,0))</f>
        <v>1514</v>
      </c>
      <c r="AB49" s="187">
        <f>INDEX('Revenue by Customer'!AB:AB,MATCH('Full Customer List'!$B49,'Revenue by Customer'!$A:$A,0))</f>
        <v>1728.99</v>
      </c>
      <c r="AC49" s="187">
        <f>INDEX('Revenue by Customer'!AC:AC,MATCH('Full Customer List'!$B49,'Revenue by Customer'!$A:$A,0))</f>
        <v>1894</v>
      </c>
    </row>
    <row r="50" spans="2:29" ht="12" customHeight="1">
      <c r="B50" s="171" t="s">
        <v>625</v>
      </c>
      <c r="C50" s="171" t="str">
        <f>INDEX('Customer List w Software'!$B:$B,MATCH('Full Customer List'!$B50,'Customer List w Software'!$A:$A,0))</f>
        <v>Active</v>
      </c>
      <c r="D50" s="171" t="str">
        <f>INDEX('Customer List w Software'!$C:$C,MATCH('Full Customer List'!$B50,'Customer List w Software'!$A:$A,0))</f>
        <v>Property manager</v>
      </c>
      <c r="E50" s="171" t="str">
        <f>INDEX('Customer List Mapping'!$C:$C,MATCH('Full Customer List'!D50,'Customer List Mapping'!$B:$B,0))</f>
        <v>Property Manager</v>
      </c>
      <c r="F50" s="187">
        <f>INDEX('Customer List w Software'!$K:$K,MATCH('Full Customer List'!$B50,'Customer List w Software'!$A:$A,0))</f>
        <v>15</v>
      </c>
      <c r="G50" s="187">
        <f>INDEX('Revenue by Customer'!$I:$I,MATCH('Full Customer List'!$B50,'Revenue by Customer'!$A:$A,0))</f>
        <v>1290</v>
      </c>
      <c r="H50" s="250" t="str">
        <f>IFERROR(IF(C50="Active","",INDEX('Client Departures'!$G:$G,MATCH('Full Customer List'!$B50,'Client Departures'!$A:$A,0))),"Unclassified")</f>
        <v/>
      </c>
      <c r="I50" s="191">
        <v>45292</v>
      </c>
      <c r="J50" s="191"/>
      <c r="K50" s="187">
        <f>INDEX('Revenue by Customer'!K:K,MATCH('Full Customer List'!$B50,'Revenue by Customer'!$A:$A,0))</f>
        <v>770</v>
      </c>
      <c r="L50" s="187">
        <f>INDEX('Revenue by Customer'!L:L,MATCH('Full Customer List'!$B50,'Revenue by Customer'!$A:$A,0))</f>
        <v>620</v>
      </c>
      <c r="M50" s="187">
        <f>INDEX('Revenue by Customer'!M:M,MATCH('Full Customer List'!$B50,'Revenue by Customer'!$A:$A,0))</f>
        <v>620</v>
      </c>
      <c r="N50" s="187">
        <f>INDEX('Revenue by Customer'!N:N,MATCH('Full Customer List'!$B50,'Revenue by Customer'!$A:$A,0))</f>
        <v>620</v>
      </c>
      <c r="O50" s="187">
        <f>INDEX('Revenue by Customer'!O:O,MATCH('Full Customer List'!$B50,'Revenue by Customer'!$A:$A,0))</f>
        <v>810</v>
      </c>
      <c r="P50" s="187">
        <f>INDEX('Revenue by Customer'!P:P,MATCH('Full Customer List'!$B50,'Revenue by Customer'!$A:$A,0))</f>
        <v>905</v>
      </c>
      <c r="Q50" s="187">
        <f>INDEX('Revenue by Customer'!Q:Q,MATCH('Full Customer List'!$B50,'Revenue by Customer'!$A:$A,0))</f>
        <v>905</v>
      </c>
      <c r="R50" s="187">
        <f>INDEX('Revenue by Customer'!R:R,MATCH('Full Customer List'!$B50,'Revenue by Customer'!$A:$A,0))</f>
        <v>1000</v>
      </c>
      <c r="S50" s="187">
        <f>INDEX('Revenue by Customer'!S:S,MATCH('Full Customer List'!$B50,'Revenue by Customer'!$A:$A,0))</f>
        <v>3848</v>
      </c>
      <c r="T50" s="187">
        <f>INDEX('Revenue by Customer'!T:T,MATCH('Full Customer List'!$B50,'Revenue by Customer'!$A:$A,0))</f>
        <v>1040</v>
      </c>
      <c r="U50" s="187">
        <f>INDEX('Revenue by Customer'!U:U,MATCH('Full Customer List'!$B50,'Revenue by Customer'!$A:$A,0))</f>
        <v>1040</v>
      </c>
      <c r="V50" s="187">
        <f>INDEX('Revenue by Customer'!V:V,MATCH('Full Customer List'!$B50,'Revenue by Customer'!$A:$A,0))</f>
        <v>1040</v>
      </c>
      <c r="W50" s="187">
        <f>INDEX('Revenue by Customer'!W:W,MATCH('Full Customer List'!$B50,'Revenue by Customer'!$A:$A,0))</f>
        <v>1586</v>
      </c>
      <c r="X50" s="187">
        <f>INDEX('Revenue by Customer'!X:X,MATCH('Full Customer List'!$B50,'Revenue by Customer'!$A:$A,0))</f>
        <v>1271</v>
      </c>
      <c r="Y50" s="187">
        <f>INDEX('Revenue by Customer'!Y:Y,MATCH('Full Customer List'!$B50,'Revenue by Customer'!$A:$A,0))</f>
        <v>1271</v>
      </c>
      <c r="Z50" s="187">
        <f>INDEX('Revenue by Customer'!Z:Z,MATCH('Full Customer List'!$B50,'Revenue by Customer'!$A:$A,0))</f>
        <v>1363</v>
      </c>
      <c r="AA50" s="187">
        <f>INDEX('Revenue by Customer'!AA:AA,MATCH('Full Customer List'!$B50,'Revenue by Customer'!$A:$A,0))</f>
        <v>1290</v>
      </c>
      <c r="AB50" s="187">
        <f>INDEX('Revenue by Customer'!AB:AB,MATCH('Full Customer List'!$B50,'Revenue by Customer'!$A:$A,0))</f>
        <v>1290</v>
      </c>
      <c r="AC50" s="187">
        <f>INDEX('Revenue by Customer'!AC:AC,MATCH('Full Customer List'!$B50,'Revenue by Customer'!$A:$A,0))</f>
        <v>1290</v>
      </c>
    </row>
    <row r="51" spans="2:29" ht="12" customHeight="1">
      <c r="B51" s="171" t="s">
        <v>627</v>
      </c>
      <c r="C51" s="171" t="str">
        <f>INDEX('Customer List w Software'!$B:$B,MATCH('Full Customer List'!$B51,'Customer List w Software'!$A:$A,0))</f>
        <v>Active</v>
      </c>
      <c r="D51" s="171" t="str">
        <f>INDEX('Customer List w Software'!$C:$C,MATCH('Full Customer List'!$B51,'Customer List w Software'!$A:$A,0))</f>
        <v>Property manager</v>
      </c>
      <c r="E51" s="171" t="str">
        <f>INDEX('Customer List Mapping'!$C:$C,MATCH('Full Customer List'!D51,'Customer List Mapping'!$B:$B,0))</f>
        <v>Property Manager</v>
      </c>
      <c r="F51" s="187">
        <f>INDEX('Customer List w Software'!$K:$K,MATCH('Full Customer List'!$B51,'Customer List w Software'!$A:$A,0))</f>
        <v>18</v>
      </c>
      <c r="G51" s="187">
        <f>INDEX('Revenue by Customer'!$I:$I,MATCH('Full Customer List'!$B51,'Revenue by Customer'!$A:$A,0))</f>
        <v>901.66666666666663</v>
      </c>
      <c r="H51" s="250" t="str">
        <f>IFERROR(IF(C51="Active","",INDEX('Client Departures'!$G:$G,MATCH('Full Customer List'!$B51,'Client Departures'!$A:$A,0))),"Unclassified")</f>
        <v/>
      </c>
      <c r="I51" s="191">
        <v>45809</v>
      </c>
      <c r="J51" s="191"/>
      <c r="K51" s="187" t="str">
        <f>INDEX('Revenue by Customer'!K:K,MATCH('Full Customer List'!$B51,'Revenue by Customer'!$A:$A,0))</f>
        <v/>
      </c>
      <c r="L51" s="187" t="str">
        <f>INDEX('Revenue by Customer'!L:L,MATCH('Full Customer List'!$B51,'Revenue by Customer'!$A:$A,0))</f>
        <v/>
      </c>
      <c r="M51" s="187" t="str">
        <f>INDEX('Revenue by Customer'!M:M,MATCH('Full Customer List'!$B51,'Revenue by Customer'!$A:$A,0))</f>
        <v/>
      </c>
      <c r="N51" s="187" t="str">
        <f>INDEX('Revenue by Customer'!N:N,MATCH('Full Customer List'!$B51,'Revenue by Customer'!$A:$A,0))</f>
        <v/>
      </c>
      <c r="O51" s="187" t="str">
        <f>INDEX('Revenue by Customer'!O:O,MATCH('Full Customer List'!$B51,'Revenue by Customer'!$A:$A,0))</f>
        <v/>
      </c>
      <c r="P51" s="187">
        <f>INDEX('Revenue by Customer'!P:P,MATCH('Full Customer List'!$B51,'Revenue by Customer'!$A:$A,0))</f>
        <v>3345</v>
      </c>
      <c r="Q51" s="187">
        <f>INDEX('Revenue by Customer'!Q:Q,MATCH('Full Customer List'!$B51,'Revenue by Customer'!$A:$A,0))</f>
        <v>1927.5</v>
      </c>
      <c r="R51" s="187">
        <f>INDEX('Revenue by Customer'!R:R,MATCH('Full Customer List'!$B51,'Revenue by Customer'!$A:$A,0))</f>
        <v>1843.75</v>
      </c>
      <c r="S51" s="187">
        <f>INDEX('Revenue by Customer'!S:S,MATCH('Full Customer List'!$B51,'Revenue by Customer'!$A:$A,0))</f>
        <v>2000</v>
      </c>
      <c r="T51" s="187">
        <f>INDEX('Revenue by Customer'!T:T,MATCH('Full Customer List'!$B51,'Revenue by Customer'!$A:$A,0))</f>
        <v>1905</v>
      </c>
      <c r="U51" s="187">
        <f>INDEX('Revenue by Customer'!U:U,MATCH('Full Customer List'!$B51,'Revenue by Customer'!$A:$A,0))</f>
        <v>2000</v>
      </c>
      <c r="V51" s="187">
        <f>INDEX('Revenue by Customer'!V:V,MATCH('Full Customer List'!$B51,'Revenue by Customer'!$A:$A,0))</f>
        <v>1715</v>
      </c>
      <c r="W51" s="187">
        <f>INDEX('Revenue by Customer'!W:W,MATCH('Full Customer List'!$B51,'Revenue by Customer'!$A:$A,0))</f>
        <v>1620</v>
      </c>
      <c r="X51" s="187">
        <f>INDEX('Revenue by Customer'!X:X,MATCH('Full Customer List'!$B51,'Revenue by Customer'!$A:$A,0))</f>
        <v>1620</v>
      </c>
      <c r="Y51" s="187">
        <f>INDEX('Revenue by Customer'!Y:Y,MATCH('Full Customer List'!$B51,'Revenue by Customer'!$A:$A,0))</f>
        <v>980</v>
      </c>
      <c r="Z51" s="187">
        <f>INDEX('Revenue by Customer'!Z:Z,MATCH('Full Customer List'!$B51,'Revenue by Customer'!$A:$A,0))</f>
        <v>880</v>
      </c>
      <c r="AA51" s="187">
        <f>INDEX('Revenue by Customer'!AA:AA,MATCH('Full Customer List'!$B51,'Revenue by Customer'!$A:$A,0))</f>
        <v>835</v>
      </c>
      <c r="AB51" s="187">
        <f>INDEX('Revenue by Customer'!AB:AB,MATCH('Full Customer List'!$B51,'Revenue by Customer'!$A:$A,0))</f>
        <v>935</v>
      </c>
      <c r="AC51" s="187">
        <f>INDEX('Revenue by Customer'!AC:AC,MATCH('Full Customer List'!$B51,'Revenue by Customer'!$A:$A,0))</f>
        <v>935</v>
      </c>
    </row>
    <row r="52" spans="2:29" ht="12" customHeight="1">
      <c r="B52" s="171" t="s">
        <v>628</v>
      </c>
      <c r="C52" s="171" t="str">
        <f>INDEX('Customer List w Software'!$B:$B,MATCH('Full Customer List'!$B52,'Customer List w Software'!$A:$A,0))</f>
        <v>Active</v>
      </c>
      <c r="D52" s="171" t="str">
        <f>INDEX('Customer List w Software'!$C:$C,MATCH('Full Customer List'!$B52,'Customer List w Software'!$A:$A,0))</f>
        <v>Property manager</v>
      </c>
      <c r="E52" s="171" t="str">
        <f>INDEX('Customer List Mapping'!$C:$C,MATCH('Full Customer List'!D52,'Customer List Mapping'!$B:$B,0))</f>
        <v>Property Manager</v>
      </c>
      <c r="F52" s="187">
        <f>INDEX('Customer List w Software'!$K:$K,MATCH('Full Customer List'!$B52,'Customer List w Software'!$A:$A,0))</f>
        <v>120</v>
      </c>
      <c r="G52" s="187">
        <f>INDEX('Revenue by Customer'!$I:$I,MATCH('Full Customer List'!$B52,'Revenue by Customer'!$A:$A,0))</f>
        <v>5728.666666666667</v>
      </c>
      <c r="H52" s="250" t="str">
        <f>IFERROR(IF(C52="Active","",INDEX('Client Departures'!$G:$G,MATCH('Full Customer List'!$B52,'Client Departures'!$A:$A,0))),"Unclassified")</f>
        <v/>
      </c>
      <c r="I52" s="191">
        <v>46143</v>
      </c>
      <c r="J52" s="191"/>
      <c r="K52" s="187" t="str">
        <f>INDEX('Revenue by Customer'!K:K,MATCH('Full Customer List'!$B52,'Revenue by Customer'!$A:$A,0))</f>
        <v/>
      </c>
      <c r="L52" s="187" t="str">
        <f>INDEX('Revenue by Customer'!L:L,MATCH('Full Customer List'!$B52,'Revenue by Customer'!$A:$A,0))</f>
        <v/>
      </c>
      <c r="M52" s="187" t="str">
        <f>INDEX('Revenue by Customer'!M:M,MATCH('Full Customer List'!$B52,'Revenue by Customer'!$A:$A,0))</f>
        <v/>
      </c>
      <c r="N52" s="187" t="str">
        <f>INDEX('Revenue by Customer'!N:N,MATCH('Full Customer List'!$B52,'Revenue by Customer'!$A:$A,0))</f>
        <v/>
      </c>
      <c r="O52" s="187" t="str">
        <f>INDEX('Revenue by Customer'!O:O,MATCH('Full Customer List'!$B52,'Revenue by Customer'!$A:$A,0))</f>
        <v/>
      </c>
      <c r="P52" s="187" t="str">
        <f>INDEX('Revenue by Customer'!P:P,MATCH('Full Customer List'!$B52,'Revenue by Customer'!$A:$A,0))</f>
        <v/>
      </c>
      <c r="Q52" s="187" t="str">
        <f>INDEX('Revenue by Customer'!Q:Q,MATCH('Full Customer List'!$B52,'Revenue by Customer'!$A:$A,0))</f>
        <v/>
      </c>
      <c r="R52" s="187" t="str">
        <f>INDEX('Revenue by Customer'!R:R,MATCH('Full Customer List'!$B52,'Revenue by Customer'!$A:$A,0))</f>
        <v/>
      </c>
      <c r="S52" s="187" t="str">
        <f>INDEX('Revenue by Customer'!S:S,MATCH('Full Customer List'!$B52,'Revenue by Customer'!$A:$A,0))</f>
        <v/>
      </c>
      <c r="T52" s="187" t="str">
        <f>INDEX('Revenue by Customer'!T:T,MATCH('Full Customer List'!$B52,'Revenue by Customer'!$A:$A,0))</f>
        <v/>
      </c>
      <c r="U52" s="187" t="str">
        <f>INDEX('Revenue by Customer'!U:U,MATCH('Full Customer List'!$B52,'Revenue by Customer'!$A:$A,0))</f>
        <v/>
      </c>
      <c r="V52" s="187" t="str">
        <f>INDEX('Revenue by Customer'!V:V,MATCH('Full Customer List'!$B52,'Revenue by Customer'!$A:$A,0))</f>
        <v/>
      </c>
      <c r="W52" s="187" t="str">
        <f>INDEX('Revenue by Customer'!W:W,MATCH('Full Customer List'!$B52,'Revenue by Customer'!$A:$A,0))</f>
        <v/>
      </c>
      <c r="X52" s="187" t="str">
        <f>INDEX('Revenue by Customer'!X:X,MATCH('Full Customer List'!$B52,'Revenue by Customer'!$A:$A,0))</f>
        <v/>
      </c>
      <c r="Y52" s="187" t="str">
        <f>INDEX('Revenue by Customer'!Y:Y,MATCH('Full Customer List'!$B52,'Revenue by Customer'!$A:$A,0))</f>
        <v/>
      </c>
      <c r="Z52" s="187" t="str">
        <f>INDEX('Revenue by Customer'!Z:Z,MATCH('Full Customer List'!$B52,'Revenue by Customer'!$A:$A,0))</f>
        <v/>
      </c>
      <c r="AA52" s="187">
        <f>INDEX('Revenue by Customer'!AA:AA,MATCH('Full Customer List'!$B52,'Revenue by Customer'!$A:$A,0))</f>
        <v>7806</v>
      </c>
      <c r="AB52" s="187">
        <f>INDEX('Revenue by Customer'!AB:AB,MATCH('Full Customer List'!$B52,'Revenue by Customer'!$A:$A,0))</f>
        <v>5163</v>
      </c>
      <c r="AC52" s="187">
        <f>INDEX('Revenue by Customer'!AC:AC,MATCH('Full Customer List'!$B52,'Revenue by Customer'!$A:$A,0))</f>
        <v>4217</v>
      </c>
    </row>
    <row r="53" spans="2:29" ht="12" customHeight="1">
      <c r="B53" s="171" t="s">
        <v>629</v>
      </c>
      <c r="C53" s="171" t="str">
        <f>INDEX('Customer List w Software'!$B:$B,MATCH('Full Customer List'!$B53,'Customer List w Software'!$A:$A,0))</f>
        <v>Active</v>
      </c>
      <c r="D53" s="171" t="str">
        <f>INDEX('Customer List w Software'!$C:$C,MATCH('Full Customer List'!$B53,'Customer List w Software'!$A:$A,0))</f>
        <v>Property manager</v>
      </c>
      <c r="E53" s="171" t="str">
        <f>INDEX('Customer List Mapping'!$C:$C,MATCH('Full Customer List'!D53,'Customer List Mapping'!$B:$B,0))</f>
        <v>Property Manager</v>
      </c>
      <c r="F53" s="187">
        <f>INDEX('Customer List w Software'!$K:$K,MATCH('Full Customer List'!$B53,'Customer List w Software'!$A:$A,0))</f>
        <v>26</v>
      </c>
      <c r="G53" s="187">
        <f>INDEX('Revenue by Customer'!$I:$I,MATCH('Full Customer List'!$B53,'Revenue by Customer'!$A:$A,0))</f>
        <v>1827.3333333333333</v>
      </c>
      <c r="H53" s="250" t="str">
        <f>IFERROR(IF(C53="Active","",INDEX('Client Departures'!$G:$G,MATCH('Full Customer List'!$B53,'Client Departures'!$A:$A,0))),"Unclassified")</f>
        <v/>
      </c>
      <c r="I53" s="191">
        <v>45778</v>
      </c>
      <c r="J53" s="191"/>
      <c r="K53" s="187" t="str">
        <f>INDEX('Revenue by Customer'!K:K,MATCH('Full Customer List'!$B53,'Revenue by Customer'!$A:$A,0))</f>
        <v/>
      </c>
      <c r="L53" s="187" t="str">
        <f>INDEX('Revenue by Customer'!L:L,MATCH('Full Customer List'!$B53,'Revenue by Customer'!$A:$A,0))</f>
        <v/>
      </c>
      <c r="M53" s="187" t="str">
        <f>INDEX('Revenue by Customer'!M:M,MATCH('Full Customer List'!$B53,'Revenue by Customer'!$A:$A,0))</f>
        <v/>
      </c>
      <c r="N53" s="187" t="str">
        <f>INDEX('Revenue by Customer'!N:N,MATCH('Full Customer List'!$B53,'Revenue by Customer'!$A:$A,0))</f>
        <v/>
      </c>
      <c r="O53" s="187">
        <f>INDEX('Revenue by Customer'!O:O,MATCH('Full Customer List'!$B53,'Revenue by Customer'!$A:$A,0))</f>
        <v>1907.5</v>
      </c>
      <c r="P53" s="187">
        <f>INDEX('Revenue by Customer'!P:P,MATCH('Full Customer List'!$B53,'Revenue by Customer'!$A:$A,0))</f>
        <v>1257.5</v>
      </c>
      <c r="Q53" s="187">
        <f>INDEX('Revenue by Customer'!Q:Q,MATCH('Full Customer List'!$B53,'Revenue by Customer'!$A:$A,0))</f>
        <v>1257.5</v>
      </c>
      <c r="R53" s="187">
        <f>INDEX('Revenue by Customer'!R:R,MATCH('Full Customer List'!$B53,'Revenue by Customer'!$A:$A,0))</f>
        <v>1335</v>
      </c>
      <c r="S53" s="187">
        <f>INDEX('Revenue by Customer'!S:S,MATCH('Full Customer List'!$B53,'Revenue by Customer'!$A:$A,0))</f>
        <v>1050</v>
      </c>
      <c r="T53" s="187">
        <f>INDEX('Revenue by Customer'!T:T,MATCH('Full Customer List'!$B53,'Revenue by Customer'!$A:$A,0))</f>
        <v>1050</v>
      </c>
      <c r="U53" s="187">
        <f>INDEX('Revenue by Customer'!U:U,MATCH('Full Customer List'!$B53,'Revenue by Customer'!$A:$A,0))</f>
        <v>1050</v>
      </c>
      <c r="V53" s="187">
        <f>INDEX('Revenue by Customer'!V:V,MATCH('Full Customer List'!$B53,'Revenue by Customer'!$A:$A,0))</f>
        <v>1050</v>
      </c>
      <c r="W53" s="187">
        <f>INDEX('Revenue by Customer'!W:W,MATCH('Full Customer List'!$B53,'Revenue by Customer'!$A:$A,0))</f>
        <v>1145</v>
      </c>
      <c r="X53" s="187">
        <f>INDEX('Revenue by Customer'!X:X,MATCH('Full Customer List'!$B53,'Revenue by Customer'!$A:$A,0))</f>
        <v>1700</v>
      </c>
      <c r="Y53" s="187">
        <f>INDEX('Revenue by Customer'!Y:Y,MATCH('Full Customer List'!$B53,'Revenue by Customer'!$A:$A,0))</f>
        <v>1430</v>
      </c>
      <c r="Z53" s="187">
        <f>INDEX('Revenue by Customer'!Z:Z,MATCH('Full Customer List'!$B53,'Revenue by Customer'!$A:$A,0))</f>
        <v>1525</v>
      </c>
      <c r="AA53" s="187">
        <f>INDEX('Revenue by Customer'!AA:AA,MATCH('Full Customer List'!$B53,'Revenue by Customer'!$A:$A,0))</f>
        <v>1490</v>
      </c>
      <c r="AB53" s="187">
        <f>INDEX('Revenue by Customer'!AB:AB,MATCH('Full Customer List'!$B53,'Revenue by Customer'!$A:$A,0))</f>
        <v>1858</v>
      </c>
      <c r="AC53" s="187">
        <f>INDEX('Revenue by Customer'!AC:AC,MATCH('Full Customer List'!$B53,'Revenue by Customer'!$A:$A,0))</f>
        <v>2134</v>
      </c>
    </row>
    <row r="54" spans="2:29" ht="12" customHeight="1">
      <c r="B54" s="171" t="s">
        <v>630</v>
      </c>
      <c r="C54" s="171" t="str">
        <f>INDEX('Customer List w Software'!$B:$B,MATCH('Full Customer List'!$B54,'Customer List w Software'!$A:$A,0))</f>
        <v>Active</v>
      </c>
      <c r="D54" s="171" t="str">
        <f>INDEX('Customer List w Software'!$C:$C,MATCH('Full Customer List'!$B54,'Customer List w Software'!$A:$A,0))</f>
        <v>Property manager</v>
      </c>
      <c r="E54" s="171" t="str">
        <f>INDEX('Customer List Mapping'!$C:$C,MATCH('Full Customer List'!D54,'Customer List Mapping'!$B:$B,0))</f>
        <v>Property Manager</v>
      </c>
      <c r="F54" s="187">
        <f>INDEX('Customer List w Software'!$K:$K,MATCH('Full Customer List'!$B54,'Customer List w Software'!$A:$A,0))</f>
        <v>22</v>
      </c>
      <c r="G54" s="187">
        <f>INDEX('Revenue by Customer'!$I:$I,MATCH('Full Customer List'!$B54,'Revenue by Customer'!$A:$A,0))</f>
        <v>2498</v>
      </c>
      <c r="H54" s="250" t="str">
        <f>IFERROR(IF(C54="Active","",INDEX('Client Departures'!$G:$G,MATCH('Full Customer List'!$B54,'Client Departures'!$A:$A,0))),"Unclassified")</f>
        <v/>
      </c>
      <c r="I54" s="191">
        <v>46023</v>
      </c>
      <c r="J54" s="191"/>
      <c r="K54" s="187" t="str">
        <f>INDEX('Revenue by Customer'!K:K,MATCH('Full Customer List'!$B54,'Revenue by Customer'!$A:$A,0))</f>
        <v/>
      </c>
      <c r="L54" s="187" t="str">
        <f>INDEX('Revenue by Customer'!L:L,MATCH('Full Customer List'!$B54,'Revenue by Customer'!$A:$A,0))</f>
        <v/>
      </c>
      <c r="M54" s="187" t="str">
        <f>INDEX('Revenue by Customer'!M:M,MATCH('Full Customer List'!$B54,'Revenue by Customer'!$A:$A,0))</f>
        <v/>
      </c>
      <c r="N54" s="187" t="str">
        <f>INDEX('Revenue by Customer'!N:N,MATCH('Full Customer List'!$B54,'Revenue by Customer'!$A:$A,0))</f>
        <v/>
      </c>
      <c r="O54" s="187" t="str">
        <f>INDEX('Revenue by Customer'!O:O,MATCH('Full Customer List'!$B54,'Revenue by Customer'!$A:$A,0))</f>
        <v/>
      </c>
      <c r="P54" s="187" t="str">
        <f>INDEX('Revenue by Customer'!P:P,MATCH('Full Customer List'!$B54,'Revenue by Customer'!$A:$A,0))</f>
        <v/>
      </c>
      <c r="Q54" s="187" t="str">
        <f>INDEX('Revenue by Customer'!Q:Q,MATCH('Full Customer List'!$B54,'Revenue by Customer'!$A:$A,0))</f>
        <v/>
      </c>
      <c r="R54" s="187" t="str">
        <f>INDEX('Revenue by Customer'!R:R,MATCH('Full Customer List'!$B54,'Revenue by Customer'!$A:$A,0))</f>
        <v/>
      </c>
      <c r="S54" s="187" t="str">
        <f>INDEX('Revenue by Customer'!S:S,MATCH('Full Customer List'!$B54,'Revenue by Customer'!$A:$A,0))</f>
        <v/>
      </c>
      <c r="T54" s="187" t="str">
        <f>INDEX('Revenue by Customer'!T:T,MATCH('Full Customer List'!$B54,'Revenue by Customer'!$A:$A,0))</f>
        <v/>
      </c>
      <c r="U54" s="187" t="str">
        <f>INDEX('Revenue by Customer'!U:U,MATCH('Full Customer List'!$B54,'Revenue by Customer'!$A:$A,0))</f>
        <v/>
      </c>
      <c r="V54" s="187" t="str">
        <f>INDEX('Revenue by Customer'!V:V,MATCH('Full Customer List'!$B54,'Revenue by Customer'!$A:$A,0))</f>
        <v/>
      </c>
      <c r="W54" s="187">
        <f>INDEX('Revenue by Customer'!W:W,MATCH('Full Customer List'!$B54,'Revenue by Customer'!$A:$A,0))</f>
        <v>3268</v>
      </c>
      <c r="X54" s="187">
        <f>INDEX('Revenue by Customer'!X:X,MATCH('Full Customer List'!$B54,'Revenue by Customer'!$A:$A,0))</f>
        <v>1759</v>
      </c>
      <c r="Y54" s="187">
        <f>INDEX('Revenue by Customer'!Y:Y,MATCH('Full Customer List'!$B54,'Revenue by Customer'!$A:$A,0))</f>
        <v>1759</v>
      </c>
      <c r="Z54" s="187">
        <f>INDEX('Revenue by Customer'!Z:Z,MATCH('Full Customer List'!$B54,'Revenue by Customer'!$A:$A,0))</f>
        <v>1838</v>
      </c>
      <c r="AA54" s="187">
        <f>INDEX('Revenue by Customer'!AA:AA,MATCH('Full Customer List'!$B54,'Revenue by Customer'!$A:$A,0))</f>
        <v>2498</v>
      </c>
      <c r="AB54" s="187">
        <f>INDEX('Revenue by Customer'!AB:AB,MATCH('Full Customer List'!$B54,'Revenue by Customer'!$A:$A,0))</f>
        <v>2498</v>
      </c>
      <c r="AC54" s="187">
        <f>INDEX('Revenue by Customer'!AC:AC,MATCH('Full Customer List'!$B54,'Revenue by Customer'!$A:$A,0))</f>
        <v>2498</v>
      </c>
    </row>
    <row r="55" spans="2:29" ht="12" customHeight="1">
      <c r="B55" s="171" t="s">
        <v>631</v>
      </c>
      <c r="C55" s="171" t="str">
        <f>INDEX('Customer List w Software'!$B:$B,MATCH('Full Customer List'!$B55,'Customer List w Software'!$A:$A,0))</f>
        <v>Former client</v>
      </c>
      <c r="D55" s="171" t="str">
        <f>INDEX('Customer List w Software'!$C:$C,MATCH('Full Customer List'!$B55,'Customer List w Software'!$A:$A,0))</f>
        <v>Small business</v>
      </c>
      <c r="E55" s="171" t="str">
        <f>INDEX('Customer List Mapping'!$C:$C,MATCH('Full Customer List'!D55,'Customer List Mapping'!$B:$B,0))</f>
        <v>Small Business</v>
      </c>
      <c r="F55" s="187" t="str">
        <f>INDEX('Customer List w Software'!$K:$K,MATCH('Full Customer List'!$B55,'Customer List w Software'!$A:$A,0))</f>
        <v/>
      </c>
      <c r="G55" s="187">
        <f>INDEX('Revenue by Customer'!$I:$I,MATCH('Full Customer List'!$B55,'Revenue by Customer'!$A:$A,0))</f>
        <v>1330</v>
      </c>
      <c r="H55" s="250" t="str">
        <f>IFERROR(IF(C55="Active","",INDEX('Client Departures'!$G:$G,MATCH('Full Customer List'!$B55,'Client Departures'!$A:$A,0))),"Unclassified")</f>
        <v>No</v>
      </c>
      <c r="I55" s="191">
        <v>44317</v>
      </c>
      <c r="J55" s="191">
        <v>46234</v>
      </c>
      <c r="K55" s="187">
        <f>INDEX('Revenue by Customer'!K:K,MATCH('Full Customer List'!$B55,'Revenue by Customer'!$A:$A,0))</f>
        <v>1390</v>
      </c>
      <c r="L55" s="187">
        <f>INDEX('Revenue by Customer'!L:L,MATCH('Full Customer List'!$B55,'Revenue by Customer'!$A:$A,0))</f>
        <v>1300</v>
      </c>
      <c r="M55" s="187">
        <f>INDEX('Revenue by Customer'!M:M,MATCH('Full Customer List'!$B55,'Revenue by Customer'!$A:$A,0))</f>
        <v>1300</v>
      </c>
      <c r="N55" s="187">
        <f>INDEX('Revenue by Customer'!N:N,MATCH('Full Customer List'!$B55,'Revenue by Customer'!$A:$A,0))</f>
        <v>1300</v>
      </c>
      <c r="O55" s="187">
        <f>INDEX('Revenue by Customer'!O:O,MATCH('Full Customer List'!$B55,'Revenue by Customer'!$A:$A,0))</f>
        <v>1300</v>
      </c>
      <c r="P55" s="187">
        <f>INDEX('Revenue by Customer'!P:P,MATCH('Full Customer List'!$B55,'Revenue by Customer'!$A:$A,0))</f>
        <v>1300</v>
      </c>
      <c r="Q55" s="187">
        <f>INDEX('Revenue by Customer'!Q:Q,MATCH('Full Customer List'!$B55,'Revenue by Customer'!$A:$A,0))</f>
        <v>1300</v>
      </c>
      <c r="R55" s="187">
        <f>INDEX('Revenue by Customer'!R:R,MATCH('Full Customer List'!$B55,'Revenue by Customer'!$A:$A,0))</f>
        <v>1300</v>
      </c>
      <c r="S55" s="187">
        <f>INDEX('Revenue by Customer'!S:S,MATCH('Full Customer List'!$B55,'Revenue by Customer'!$A:$A,0))</f>
        <v>1300</v>
      </c>
      <c r="T55" s="187">
        <f>INDEX('Revenue by Customer'!T:T,MATCH('Full Customer List'!$B55,'Revenue by Customer'!$A:$A,0))</f>
        <v>1300</v>
      </c>
      <c r="U55" s="187">
        <f>INDEX('Revenue by Customer'!U:U,MATCH('Full Customer List'!$B55,'Revenue by Customer'!$A:$A,0))</f>
        <v>1300</v>
      </c>
      <c r="V55" s="187">
        <f>INDEX('Revenue by Customer'!V:V,MATCH('Full Customer List'!$B55,'Revenue by Customer'!$A:$A,0))</f>
        <v>1300</v>
      </c>
      <c r="W55" s="187">
        <f>INDEX('Revenue by Customer'!W:W,MATCH('Full Customer List'!$B55,'Revenue by Customer'!$A:$A,0))</f>
        <v>1330</v>
      </c>
      <c r="X55" s="187">
        <f>INDEX('Revenue by Customer'!X:X,MATCH('Full Customer List'!$B55,'Revenue by Customer'!$A:$A,0))</f>
        <v>1375</v>
      </c>
      <c r="Y55" s="187">
        <f>INDEX('Revenue by Customer'!Y:Y,MATCH('Full Customer List'!$B55,'Revenue by Customer'!$A:$A,0))</f>
        <v>1345</v>
      </c>
      <c r="Z55" s="187">
        <f>INDEX('Revenue by Customer'!Z:Z,MATCH('Full Customer List'!$B55,'Revenue by Customer'!$A:$A,0))</f>
        <v>1330</v>
      </c>
      <c r="AA55" s="187">
        <f>INDEX('Revenue by Customer'!AA:AA,MATCH('Full Customer List'!$B55,'Revenue by Customer'!$A:$A,0))</f>
        <v>1330</v>
      </c>
      <c r="AB55" s="187">
        <f>INDEX('Revenue by Customer'!AB:AB,MATCH('Full Customer List'!$B55,'Revenue by Customer'!$A:$A,0))</f>
        <v>1330</v>
      </c>
      <c r="AC55" s="187">
        <f>INDEX('Revenue by Customer'!AC:AC,MATCH('Full Customer List'!$B55,'Revenue by Customer'!$A:$A,0))</f>
        <v>1330</v>
      </c>
    </row>
    <row r="56" spans="2:29" ht="12" customHeight="1">
      <c r="B56" s="171" t="s">
        <v>639</v>
      </c>
      <c r="C56" s="171" t="str">
        <f>INDEX('Customer List w Software'!$B:$B,MATCH('Full Customer List'!$B56,'Customer List w Software'!$A:$A,0))</f>
        <v>Active</v>
      </c>
      <c r="D56" s="171" t="str">
        <f>INDEX('Customer List w Software'!$C:$C,MATCH('Full Customer List'!$B56,'Customer List w Software'!$A:$A,0))</f>
        <v>Property manager</v>
      </c>
      <c r="E56" s="171" t="str">
        <f>INDEX('Customer List Mapping'!$C:$C,MATCH('Full Customer List'!D56,'Customer List Mapping'!$B:$B,0))</f>
        <v>Property Manager</v>
      </c>
      <c r="F56" s="187">
        <f>INDEX('Customer List w Software'!$K:$K,MATCH('Full Customer List'!$B56,'Customer List w Software'!$A:$A,0))</f>
        <v>42</v>
      </c>
      <c r="G56" s="187">
        <f>INDEX('Revenue by Customer'!$I:$I,MATCH('Full Customer List'!$B56,'Revenue by Customer'!$A:$A,0))</f>
        <v>1861.6666666666667</v>
      </c>
      <c r="H56" s="250" t="str">
        <f>IFERROR(IF(C56="Active","",INDEX('Client Departures'!$G:$G,MATCH('Full Customer List'!$B56,'Client Departures'!$A:$A,0))),"Unclassified")</f>
        <v/>
      </c>
      <c r="I56" s="191">
        <v>45658</v>
      </c>
      <c r="J56" s="191"/>
      <c r="K56" s="187">
        <f>INDEX('Revenue by Customer'!K:K,MATCH('Full Customer List'!$B56,'Revenue by Customer'!$A:$A,0))</f>
        <v>1195</v>
      </c>
      <c r="L56" s="187">
        <f>INDEX('Revenue by Customer'!L:L,MATCH('Full Customer List'!$B56,'Revenue by Customer'!$A:$A,0))</f>
        <v>595</v>
      </c>
      <c r="M56" s="187">
        <f>INDEX('Revenue by Customer'!M:M,MATCH('Full Customer List'!$B56,'Revenue by Customer'!$A:$A,0))</f>
        <v>595</v>
      </c>
      <c r="N56" s="187">
        <f>INDEX('Revenue by Customer'!N:N,MATCH('Full Customer List'!$B56,'Revenue by Customer'!$A:$A,0))</f>
        <v>700</v>
      </c>
      <c r="O56" s="187">
        <f>INDEX('Revenue by Customer'!O:O,MATCH('Full Customer List'!$B56,'Revenue by Customer'!$A:$A,0))</f>
        <v>700</v>
      </c>
      <c r="P56" s="187">
        <f>INDEX('Revenue by Customer'!P:P,MATCH('Full Customer List'!$B56,'Revenue by Customer'!$A:$A,0))</f>
        <v>700</v>
      </c>
      <c r="Q56" s="187">
        <f>INDEX('Revenue by Customer'!Q:Q,MATCH('Full Customer List'!$B56,'Revenue by Customer'!$A:$A,0))</f>
        <v>700</v>
      </c>
      <c r="R56" s="187">
        <f>INDEX('Revenue by Customer'!R:R,MATCH('Full Customer List'!$B56,'Revenue by Customer'!$A:$A,0))</f>
        <v>850</v>
      </c>
      <c r="S56" s="187">
        <f>INDEX('Revenue by Customer'!S:S,MATCH('Full Customer List'!$B56,'Revenue by Customer'!$A:$A,0))</f>
        <v>1075</v>
      </c>
      <c r="T56" s="187">
        <f>INDEX('Revenue by Customer'!T:T,MATCH('Full Customer List'!$B56,'Revenue by Customer'!$A:$A,0))</f>
        <v>1075</v>
      </c>
      <c r="U56" s="187">
        <f>INDEX('Revenue by Customer'!U:U,MATCH('Full Customer List'!$B56,'Revenue by Customer'!$A:$A,0))</f>
        <v>1075</v>
      </c>
      <c r="V56" s="187">
        <f>INDEX('Revenue by Customer'!V:V,MATCH('Full Customer List'!$B56,'Revenue by Customer'!$A:$A,0))</f>
        <v>1150</v>
      </c>
      <c r="W56" s="187">
        <f>INDEX('Revenue by Customer'!W:W,MATCH('Full Customer List'!$B56,'Revenue by Customer'!$A:$A,0))</f>
        <v>1182</v>
      </c>
      <c r="X56" s="187">
        <f>INDEX('Revenue by Customer'!X:X,MATCH('Full Customer List'!$B56,'Revenue by Customer'!$A:$A,0))</f>
        <v>1512</v>
      </c>
      <c r="Y56" s="187">
        <f>INDEX('Revenue by Customer'!Y:Y,MATCH('Full Customer List'!$B56,'Revenue by Customer'!$A:$A,0))</f>
        <v>1115</v>
      </c>
      <c r="Z56" s="187">
        <f>INDEX('Revenue by Customer'!Z:Z,MATCH('Full Customer List'!$B56,'Revenue by Customer'!$A:$A,0))</f>
        <v>1249</v>
      </c>
      <c r="AA56" s="187">
        <f>INDEX('Revenue by Customer'!AA:AA,MATCH('Full Customer List'!$B56,'Revenue by Customer'!$A:$A,0))</f>
        <v>1584</v>
      </c>
      <c r="AB56" s="187">
        <f>INDEX('Revenue by Customer'!AB:AB,MATCH('Full Customer List'!$B56,'Revenue by Customer'!$A:$A,0))</f>
        <v>1881</v>
      </c>
      <c r="AC56" s="187">
        <f>INDEX('Revenue by Customer'!AC:AC,MATCH('Full Customer List'!$B56,'Revenue by Customer'!$A:$A,0))</f>
        <v>2120</v>
      </c>
    </row>
    <row r="57" spans="2:29" ht="12" customHeight="1">
      <c r="B57" s="171" t="s">
        <v>641</v>
      </c>
      <c r="C57" s="171" t="str">
        <f>INDEX('Customer List w Software'!$B:$B,MATCH('Full Customer List'!$B57,'Customer List w Software'!$A:$A,0))</f>
        <v>Active</v>
      </c>
      <c r="D57" s="171" t="str">
        <f>INDEX('Customer List w Software'!$C:$C,MATCH('Full Customer List'!$B57,'Customer List w Software'!$A:$A,0))</f>
        <v>Property manager</v>
      </c>
      <c r="E57" s="171" t="str">
        <f>INDEX('Customer List Mapping'!$C:$C,MATCH('Full Customer List'!D57,'Customer List Mapping'!$B:$B,0))</f>
        <v>Property Manager</v>
      </c>
      <c r="F57" s="187">
        <f>INDEX('Customer List w Software'!$K:$K,MATCH('Full Customer List'!$B57,'Customer List w Software'!$A:$A,0))</f>
        <v>16</v>
      </c>
      <c r="G57" s="187">
        <f>INDEX('Revenue by Customer'!$I:$I,MATCH('Full Customer List'!$B57,'Revenue by Customer'!$A:$A,0))</f>
        <v>1218.3333333333333</v>
      </c>
      <c r="H57" s="250" t="str">
        <f>IFERROR(IF(C57="Active","",INDEX('Client Departures'!$G:$G,MATCH('Full Customer List'!$B57,'Client Departures'!$A:$A,0))),"Unclassified")</f>
        <v/>
      </c>
      <c r="I57" s="191">
        <v>45597</v>
      </c>
      <c r="J57" s="191"/>
      <c r="K57" s="187">
        <f>INDEX('Revenue by Customer'!K:K,MATCH('Full Customer List'!$B57,'Revenue by Customer'!$A:$A,0))</f>
        <v>1168.75</v>
      </c>
      <c r="L57" s="187">
        <f>INDEX('Revenue by Customer'!L:L,MATCH('Full Customer List'!$B57,'Revenue by Customer'!$A:$A,0))</f>
        <v>1450</v>
      </c>
      <c r="M57" s="187">
        <f>INDEX('Revenue by Customer'!M:M,MATCH('Full Customer List'!$B57,'Revenue by Customer'!$A:$A,0))</f>
        <v>1450</v>
      </c>
      <c r="N57" s="187">
        <f>INDEX('Revenue by Customer'!N:N,MATCH('Full Customer List'!$B57,'Revenue by Customer'!$A:$A,0))</f>
        <v>1300</v>
      </c>
      <c r="O57" s="187">
        <f>INDEX('Revenue by Customer'!O:O,MATCH('Full Customer List'!$B57,'Revenue by Customer'!$A:$A,0))</f>
        <v>1525</v>
      </c>
      <c r="P57" s="187">
        <f>INDEX('Revenue by Customer'!P:P,MATCH('Full Customer List'!$B57,'Revenue by Customer'!$A:$A,0))</f>
        <v>1525</v>
      </c>
      <c r="Q57" s="187">
        <f>INDEX('Revenue by Customer'!Q:Q,MATCH('Full Customer List'!$B57,'Revenue by Customer'!$A:$A,0))</f>
        <v>1300</v>
      </c>
      <c r="R57" s="187">
        <f>INDEX('Revenue by Customer'!R:R,MATCH('Full Customer List'!$B57,'Revenue by Customer'!$A:$A,0))</f>
        <v>1300</v>
      </c>
      <c r="S57" s="187">
        <f>INDEX('Revenue by Customer'!S:S,MATCH('Full Customer List'!$B57,'Revenue by Customer'!$A:$A,0))</f>
        <v>1450</v>
      </c>
      <c r="T57" s="187">
        <f>INDEX('Revenue by Customer'!T:T,MATCH('Full Customer List'!$B57,'Revenue by Customer'!$A:$A,0))</f>
        <v>1450</v>
      </c>
      <c r="U57" s="187">
        <f>INDEX('Revenue by Customer'!U:U,MATCH('Full Customer List'!$B57,'Revenue by Customer'!$A:$A,0))</f>
        <v>1280</v>
      </c>
      <c r="V57" s="187">
        <f>INDEX('Revenue by Customer'!V:V,MATCH('Full Customer List'!$B57,'Revenue by Customer'!$A:$A,0))</f>
        <v>1215</v>
      </c>
      <c r="W57" s="187">
        <f>INDEX('Revenue by Customer'!W:W,MATCH('Full Customer List'!$B57,'Revenue by Customer'!$A:$A,0))</f>
        <v>1085</v>
      </c>
      <c r="X57" s="187">
        <f>INDEX('Revenue by Customer'!X:X,MATCH('Full Customer List'!$B57,'Revenue by Customer'!$A:$A,0))</f>
        <v>1225</v>
      </c>
      <c r="Y57" s="187">
        <f>INDEX('Revenue by Customer'!Y:Y,MATCH('Full Customer List'!$B57,'Revenue by Customer'!$A:$A,0))</f>
        <v>1150</v>
      </c>
      <c r="Z57" s="187">
        <f>INDEX('Revenue by Customer'!Z:Z,MATCH('Full Customer List'!$B57,'Revenue by Customer'!$A:$A,0))</f>
        <v>1225</v>
      </c>
      <c r="AA57" s="187">
        <f>INDEX('Revenue by Customer'!AA:AA,MATCH('Full Customer List'!$B57,'Revenue by Customer'!$A:$A,0))</f>
        <v>1225</v>
      </c>
      <c r="AB57" s="187">
        <f>INDEX('Revenue by Customer'!AB:AB,MATCH('Full Customer List'!$B57,'Revenue by Customer'!$A:$A,0))</f>
        <v>1280</v>
      </c>
      <c r="AC57" s="187">
        <f>INDEX('Revenue by Customer'!AC:AC,MATCH('Full Customer List'!$B57,'Revenue by Customer'!$A:$A,0))</f>
        <v>1150</v>
      </c>
    </row>
    <row r="58" spans="2:29" ht="12" customHeight="1">
      <c r="B58" s="171" t="s">
        <v>642</v>
      </c>
      <c r="C58" s="171" t="str">
        <f>INDEX('Customer List w Software'!$B:$B,MATCH('Full Customer List'!$B58,'Customer List w Software'!$A:$A,0))</f>
        <v>Active</v>
      </c>
      <c r="D58" s="171" t="str">
        <f>INDEX('Customer List w Software'!$C:$C,MATCH('Full Customer List'!$B58,'Customer List w Software'!$A:$A,0))</f>
        <v>Property manager</v>
      </c>
      <c r="E58" s="171" t="str">
        <f>INDEX('Customer List Mapping'!$C:$C,MATCH('Full Customer List'!D58,'Customer List Mapping'!$B:$B,0))</f>
        <v>Property Manager</v>
      </c>
      <c r="F58" s="187">
        <f>INDEX('Customer List w Software'!$K:$K,MATCH('Full Customer List'!$B58,'Customer List w Software'!$A:$A,0))</f>
        <v>26</v>
      </c>
      <c r="G58" s="187">
        <f>INDEX('Revenue by Customer'!$I:$I,MATCH('Full Customer List'!$B58,'Revenue by Customer'!$A:$A,0))</f>
        <v>1709.3333333333333</v>
      </c>
      <c r="H58" s="250" t="str">
        <f>IFERROR(IF(C58="Active","",INDEX('Client Departures'!$G:$G,MATCH('Full Customer List'!$B58,'Client Departures'!$A:$A,0))),"Unclassified")</f>
        <v/>
      </c>
      <c r="I58" s="191">
        <v>45992</v>
      </c>
      <c r="J58" s="191"/>
      <c r="K58" s="187" t="str">
        <f>INDEX('Revenue by Customer'!K:K,MATCH('Full Customer List'!$B58,'Revenue by Customer'!$A:$A,0))</f>
        <v/>
      </c>
      <c r="L58" s="187" t="str">
        <f>INDEX('Revenue by Customer'!L:L,MATCH('Full Customer List'!$B58,'Revenue by Customer'!$A:$A,0))</f>
        <v/>
      </c>
      <c r="M58" s="187" t="str">
        <f>INDEX('Revenue by Customer'!M:M,MATCH('Full Customer List'!$B58,'Revenue by Customer'!$A:$A,0))</f>
        <v/>
      </c>
      <c r="N58" s="187" t="str">
        <f>INDEX('Revenue by Customer'!N:N,MATCH('Full Customer List'!$B58,'Revenue by Customer'!$A:$A,0))</f>
        <v/>
      </c>
      <c r="O58" s="187" t="str">
        <f>INDEX('Revenue by Customer'!O:O,MATCH('Full Customer List'!$B58,'Revenue by Customer'!$A:$A,0))</f>
        <v/>
      </c>
      <c r="P58" s="187" t="str">
        <f>INDEX('Revenue by Customer'!P:P,MATCH('Full Customer List'!$B58,'Revenue by Customer'!$A:$A,0))</f>
        <v/>
      </c>
      <c r="Q58" s="187" t="str">
        <f>INDEX('Revenue by Customer'!Q:Q,MATCH('Full Customer List'!$B58,'Revenue by Customer'!$A:$A,0))</f>
        <v/>
      </c>
      <c r="R58" s="187" t="str">
        <f>INDEX('Revenue by Customer'!R:R,MATCH('Full Customer List'!$B58,'Revenue by Customer'!$A:$A,0))</f>
        <v/>
      </c>
      <c r="S58" s="187" t="str">
        <f>INDEX('Revenue by Customer'!S:S,MATCH('Full Customer List'!$B58,'Revenue by Customer'!$A:$A,0))</f>
        <v/>
      </c>
      <c r="T58" s="187" t="str">
        <f>INDEX('Revenue by Customer'!T:T,MATCH('Full Customer List'!$B58,'Revenue by Customer'!$A:$A,0))</f>
        <v/>
      </c>
      <c r="U58" s="187" t="str">
        <f>INDEX('Revenue by Customer'!U:U,MATCH('Full Customer List'!$B58,'Revenue by Customer'!$A:$A,0))</f>
        <v/>
      </c>
      <c r="V58" s="187">
        <f>INDEX('Revenue by Customer'!V:V,MATCH('Full Customer List'!$B58,'Revenue by Customer'!$A:$A,0))</f>
        <v>2722</v>
      </c>
      <c r="W58" s="187">
        <f>INDEX('Revenue by Customer'!W:W,MATCH('Full Customer List'!$B58,'Revenue by Customer'!$A:$A,0))</f>
        <v>1636</v>
      </c>
      <c r="X58" s="187">
        <f>INDEX('Revenue by Customer'!X:X,MATCH('Full Customer List'!$B58,'Revenue by Customer'!$A:$A,0))</f>
        <v>1636</v>
      </c>
      <c r="Y58" s="187">
        <f>INDEX('Revenue by Customer'!Y:Y,MATCH('Full Customer List'!$B58,'Revenue by Customer'!$A:$A,0))</f>
        <v>1636</v>
      </c>
      <c r="Z58" s="187">
        <f>INDEX('Revenue by Customer'!Z:Z,MATCH('Full Customer List'!$B58,'Revenue by Customer'!$A:$A,0))</f>
        <v>1636</v>
      </c>
      <c r="AA58" s="187">
        <f>INDEX('Revenue by Customer'!AA:AA,MATCH('Full Customer List'!$B58,'Revenue by Customer'!$A:$A,0))</f>
        <v>1636</v>
      </c>
      <c r="AB58" s="187">
        <f>INDEX('Revenue by Customer'!AB:AB,MATCH('Full Customer List'!$B58,'Revenue by Customer'!$A:$A,0))</f>
        <v>1664</v>
      </c>
      <c r="AC58" s="187">
        <f>INDEX('Revenue by Customer'!AC:AC,MATCH('Full Customer List'!$B58,'Revenue by Customer'!$A:$A,0))</f>
        <v>1828</v>
      </c>
    </row>
    <row r="59" spans="2:29" ht="12" customHeight="1">
      <c r="B59" s="171" t="s">
        <v>644</v>
      </c>
      <c r="C59" s="171" t="str">
        <f>INDEX('Customer List w Software'!$B:$B,MATCH('Full Customer List'!$B59,'Customer List w Software'!$A:$A,0))</f>
        <v>Active</v>
      </c>
      <c r="D59" s="171" t="str">
        <f>INDEX('Customer List w Software'!$C:$C,MATCH('Full Customer List'!$B59,'Customer List w Software'!$A:$A,0))</f>
        <v>Property manager</v>
      </c>
      <c r="E59" s="171" t="str">
        <f>INDEX('Customer List Mapping'!$C:$C,MATCH('Full Customer List'!D59,'Customer List Mapping'!$B:$B,0))</f>
        <v>Property Manager</v>
      </c>
      <c r="F59" s="187">
        <f>INDEX('Customer List w Software'!$K:$K,MATCH('Full Customer List'!$B59,'Customer List w Software'!$A:$A,0))</f>
        <v>32</v>
      </c>
      <c r="G59" s="187">
        <f>INDEX('Revenue by Customer'!$I:$I,MATCH('Full Customer List'!$B59,'Revenue by Customer'!$A:$A,0))</f>
        <v>1838.3333333333333</v>
      </c>
      <c r="H59" s="250" t="str">
        <f>IFERROR(IF(C59="Active","",INDEX('Client Departures'!$G:$G,MATCH('Full Customer List'!$B59,'Client Departures'!$A:$A,0))),"Unclassified")</f>
        <v/>
      </c>
      <c r="I59" s="191">
        <v>46023</v>
      </c>
      <c r="J59" s="191"/>
      <c r="K59" s="187" t="str">
        <f>INDEX('Revenue by Customer'!K:K,MATCH('Full Customer List'!$B59,'Revenue by Customer'!$A:$A,0))</f>
        <v/>
      </c>
      <c r="L59" s="187" t="str">
        <f>INDEX('Revenue by Customer'!L:L,MATCH('Full Customer List'!$B59,'Revenue by Customer'!$A:$A,0))</f>
        <v/>
      </c>
      <c r="M59" s="187" t="str">
        <f>INDEX('Revenue by Customer'!M:M,MATCH('Full Customer List'!$B59,'Revenue by Customer'!$A:$A,0))</f>
        <v/>
      </c>
      <c r="N59" s="187" t="str">
        <f>INDEX('Revenue by Customer'!N:N,MATCH('Full Customer List'!$B59,'Revenue by Customer'!$A:$A,0))</f>
        <v/>
      </c>
      <c r="O59" s="187" t="str">
        <f>INDEX('Revenue by Customer'!O:O,MATCH('Full Customer List'!$B59,'Revenue by Customer'!$A:$A,0))</f>
        <v/>
      </c>
      <c r="P59" s="187" t="str">
        <f>INDEX('Revenue by Customer'!P:P,MATCH('Full Customer List'!$B59,'Revenue by Customer'!$A:$A,0))</f>
        <v/>
      </c>
      <c r="Q59" s="187" t="str">
        <f>INDEX('Revenue by Customer'!Q:Q,MATCH('Full Customer List'!$B59,'Revenue by Customer'!$A:$A,0))</f>
        <v/>
      </c>
      <c r="R59" s="187" t="str">
        <f>INDEX('Revenue by Customer'!R:R,MATCH('Full Customer List'!$B59,'Revenue by Customer'!$A:$A,0))</f>
        <v/>
      </c>
      <c r="S59" s="187" t="str">
        <f>INDEX('Revenue by Customer'!S:S,MATCH('Full Customer List'!$B59,'Revenue by Customer'!$A:$A,0))</f>
        <v/>
      </c>
      <c r="T59" s="187" t="str">
        <f>INDEX('Revenue by Customer'!T:T,MATCH('Full Customer List'!$B59,'Revenue by Customer'!$A:$A,0))</f>
        <v/>
      </c>
      <c r="U59" s="187" t="str">
        <f>INDEX('Revenue by Customer'!U:U,MATCH('Full Customer List'!$B59,'Revenue by Customer'!$A:$A,0))</f>
        <v/>
      </c>
      <c r="V59" s="187" t="str">
        <f>INDEX('Revenue by Customer'!V:V,MATCH('Full Customer List'!$B59,'Revenue by Customer'!$A:$A,0))</f>
        <v/>
      </c>
      <c r="W59" s="187">
        <f>INDEX('Revenue by Customer'!W:W,MATCH('Full Customer List'!$B59,'Revenue by Customer'!$A:$A,0))</f>
        <v>3220</v>
      </c>
      <c r="X59" s="187">
        <f>INDEX('Revenue by Customer'!X:X,MATCH('Full Customer List'!$B59,'Revenue by Customer'!$A:$A,0))</f>
        <v>2085</v>
      </c>
      <c r="Y59" s="187">
        <f>INDEX('Revenue by Customer'!Y:Y,MATCH('Full Customer List'!$B59,'Revenue by Customer'!$A:$A,0))</f>
        <v>1660</v>
      </c>
      <c r="Z59" s="187">
        <f>INDEX('Revenue by Customer'!Z:Z,MATCH('Full Customer List'!$B59,'Revenue by Customer'!$A:$A,0))</f>
        <v>1855</v>
      </c>
      <c r="AA59" s="187">
        <f>INDEX('Revenue by Customer'!AA:AA,MATCH('Full Customer List'!$B59,'Revenue by Customer'!$A:$A,0))</f>
        <v>1855</v>
      </c>
      <c r="AB59" s="187">
        <f>INDEX('Revenue by Customer'!AB:AB,MATCH('Full Customer List'!$B59,'Revenue by Customer'!$A:$A,0))</f>
        <v>1855</v>
      </c>
      <c r="AC59" s="187">
        <f>INDEX('Revenue by Customer'!AC:AC,MATCH('Full Customer List'!$B59,'Revenue by Customer'!$A:$A,0))</f>
        <v>1805</v>
      </c>
    </row>
    <row r="60" spans="2:29" ht="12" customHeight="1">
      <c r="B60" s="171" t="s">
        <v>645</v>
      </c>
      <c r="C60" s="171" t="str">
        <f>INDEX('Customer List w Software'!$B:$B,MATCH('Full Customer List'!$B60,'Customer List w Software'!$A:$A,0))</f>
        <v>Active</v>
      </c>
      <c r="D60" s="171" t="str">
        <f>INDEX('Customer List w Software'!$C:$C,MATCH('Full Customer List'!$B60,'Customer List w Software'!$A:$A,0))</f>
        <v>Property manager</v>
      </c>
      <c r="E60" s="171" t="str">
        <f>INDEX('Customer List Mapping'!$C:$C,MATCH('Full Customer List'!D60,'Customer List Mapping'!$B:$B,0))</f>
        <v>Property Manager</v>
      </c>
      <c r="F60" s="187">
        <f>INDEX('Customer List w Software'!$K:$K,MATCH('Full Customer List'!$B60,'Customer List w Software'!$A:$A,0))</f>
        <v>15</v>
      </c>
      <c r="G60" s="187">
        <f>INDEX('Revenue by Customer'!$I:$I,MATCH('Full Customer List'!$B60,'Revenue by Customer'!$A:$A,0))</f>
        <v>1208</v>
      </c>
      <c r="H60" s="250" t="str">
        <f>IFERROR(IF(C60="Active","",INDEX('Client Departures'!$G:$G,MATCH('Full Customer List'!$B60,'Client Departures'!$A:$A,0))),"Unclassified")</f>
        <v/>
      </c>
      <c r="I60" s="191">
        <v>45597</v>
      </c>
      <c r="J60" s="191"/>
      <c r="K60" s="187">
        <f>INDEX('Revenue by Customer'!K:K,MATCH('Full Customer List'!$B60,'Revenue by Customer'!$A:$A,0))</f>
        <v>658.75</v>
      </c>
      <c r="L60" s="187">
        <f>INDEX('Revenue by Customer'!L:L,MATCH('Full Customer List'!$B60,'Revenue by Customer'!$A:$A,0))</f>
        <v>910</v>
      </c>
      <c r="M60" s="187">
        <f>INDEX('Revenue by Customer'!M:M,MATCH('Full Customer List'!$B60,'Revenue by Customer'!$A:$A,0))</f>
        <v>850</v>
      </c>
      <c r="N60" s="187">
        <f>INDEX('Revenue by Customer'!N:N,MATCH('Full Customer List'!$B60,'Revenue by Customer'!$A:$A,0))</f>
        <v>850</v>
      </c>
      <c r="O60" s="187">
        <f>INDEX('Revenue by Customer'!O:O,MATCH('Full Customer List'!$B60,'Revenue by Customer'!$A:$A,0))</f>
        <v>925</v>
      </c>
      <c r="P60" s="187">
        <f>INDEX('Revenue by Customer'!P:P,MATCH('Full Customer List'!$B60,'Revenue by Customer'!$A:$A,0))</f>
        <v>925</v>
      </c>
      <c r="Q60" s="187">
        <f>INDEX('Revenue by Customer'!Q:Q,MATCH('Full Customer List'!$B60,'Revenue by Customer'!$A:$A,0))</f>
        <v>925</v>
      </c>
      <c r="R60" s="187">
        <f>INDEX('Revenue by Customer'!R:R,MATCH('Full Customer List'!$B60,'Revenue by Customer'!$A:$A,0))</f>
        <v>925</v>
      </c>
      <c r="S60" s="187">
        <f>INDEX('Revenue by Customer'!S:S,MATCH('Full Customer List'!$B60,'Revenue by Customer'!$A:$A,0))</f>
        <v>1000</v>
      </c>
      <c r="T60" s="187">
        <f>INDEX('Revenue by Customer'!T:T,MATCH('Full Customer List'!$B60,'Revenue by Customer'!$A:$A,0))</f>
        <v>1120</v>
      </c>
      <c r="U60" s="187">
        <f>INDEX('Revenue by Customer'!U:U,MATCH('Full Customer List'!$B60,'Revenue by Customer'!$A:$A,0))</f>
        <v>1205</v>
      </c>
      <c r="V60" s="187">
        <f>INDEX('Revenue by Customer'!V:V,MATCH('Full Customer List'!$B60,'Revenue by Customer'!$A:$A,0))</f>
        <v>1205</v>
      </c>
      <c r="W60" s="187">
        <f>INDEX('Revenue by Customer'!W:W,MATCH('Full Customer List'!$B60,'Revenue by Customer'!$A:$A,0))</f>
        <v>1154</v>
      </c>
      <c r="X60" s="187">
        <f>INDEX('Revenue by Customer'!X:X,MATCH('Full Customer List'!$B60,'Revenue by Customer'!$A:$A,0))</f>
        <v>1589</v>
      </c>
      <c r="Y60" s="187">
        <f>INDEX('Revenue by Customer'!Y:Y,MATCH('Full Customer List'!$B60,'Revenue by Customer'!$A:$A,0))</f>
        <v>1154</v>
      </c>
      <c r="Z60" s="187">
        <f>INDEX('Revenue by Customer'!Z:Z,MATCH('Full Customer List'!$B60,'Revenue by Customer'!$A:$A,0))</f>
        <v>1154</v>
      </c>
      <c r="AA60" s="187">
        <f>INDEX('Revenue by Customer'!AA:AA,MATCH('Full Customer List'!$B60,'Revenue by Customer'!$A:$A,0))</f>
        <v>1154</v>
      </c>
      <c r="AB60" s="187">
        <f>INDEX('Revenue by Customer'!AB:AB,MATCH('Full Customer List'!$B60,'Revenue by Customer'!$A:$A,0))</f>
        <v>1235</v>
      </c>
      <c r="AC60" s="187">
        <f>INDEX('Revenue by Customer'!AC:AC,MATCH('Full Customer List'!$B60,'Revenue by Customer'!$A:$A,0))</f>
        <v>1235</v>
      </c>
    </row>
    <row r="61" spans="2:29" ht="12" customHeight="1">
      <c r="B61" s="171" t="s">
        <v>646</v>
      </c>
      <c r="C61" s="171" t="str">
        <f>INDEX('Customer List w Software'!$B:$B,MATCH('Full Customer List'!$B61,'Customer List w Software'!$A:$A,0))</f>
        <v>Active</v>
      </c>
      <c r="D61" s="171" t="str">
        <f>INDEX('Customer List w Software'!$C:$C,MATCH('Full Customer List'!$B61,'Customer List w Software'!$A:$A,0))</f>
        <v>Property manager</v>
      </c>
      <c r="E61" s="171" t="str">
        <f>INDEX('Customer List Mapping'!$C:$C,MATCH('Full Customer List'!D61,'Customer List Mapping'!$B:$B,0))</f>
        <v>Property Manager</v>
      </c>
      <c r="F61" s="187">
        <f>INDEX('Customer List w Software'!$K:$K,MATCH('Full Customer List'!$B61,'Customer List w Software'!$A:$A,0))</f>
        <v>16</v>
      </c>
      <c r="G61" s="187">
        <f>INDEX('Revenue by Customer'!$I:$I,MATCH('Full Customer List'!$B61,'Revenue by Customer'!$A:$A,0))</f>
        <v>1169.3333333333333</v>
      </c>
      <c r="H61" s="250" t="str">
        <f>IFERROR(IF(C61="Active","",INDEX('Client Departures'!$G:$G,MATCH('Full Customer List'!$B61,'Client Departures'!$A:$A,0))),"Unclassified")</f>
        <v/>
      </c>
      <c r="I61" s="191">
        <v>45292</v>
      </c>
      <c r="J61" s="191"/>
      <c r="K61" s="187">
        <f>INDEX('Revenue by Customer'!K:K,MATCH('Full Customer List'!$B61,'Revenue by Customer'!$A:$A,0))</f>
        <v>1295</v>
      </c>
      <c r="L61" s="187">
        <f>INDEX('Revenue by Customer'!L:L,MATCH('Full Customer List'!$B61,'Revenue by Customer'!$A:$A,0))</f>
        <v>950</v>
      </c>
      <c r="M61" s="187">
        <f>INDEX('Revenue by Customer'!M:M,MATCH('Full Customer List'!$B61,'Revenue by Customer'!$A:$A,0))</f>
        <v>1025</v>
      </c>
      <c r="N61" s="187">
        <f>INDEX('Revenue by Customer'!N:N,MATCH('Full Customer List'!$B61,'Revenue by Customer'!$A:$A,0))</f>
        <v>1025</v>
      </c>
      <c r="O61" s="187">
        <f>INDEX('Revenue by Customer'!O:O,MATCH('Full Customer List'!$B61,'Revenue by Customer'!$A:$A,0))</f>
        <v>1025</v>
      </c>
      <c r="P61" s="187">
        <f>INDEX('Revenue by Customer'!P:P,MATCH('Full Customer List'!$B61,'Revenue by Customer'!$A:$A,0))</f>
        <v>1100</v>
      </c>
      <c r="Q61" s="187">
        <f>INDEX('Revenue by Customer'!Q:Q,MATCH('Full Customer List'!$B61,'Revenue by Customer'!$A:$A,0))</f>
        <v>1100</v>
      </c>
      <c r="R61" s="187">
        <f>INDEX('Revenue by Customer'!R:R,MATCH('Full Customer List'!$B61,'Revenue by Customer'!$A:$A,0))</f>
        <v>1100</v>
      </c>
      <c r="S61" s="187">
        <f>INDEX('Revenue by Customer'!S:S,MATCH('Full Customer List'!$B61,'Revenue by Customer'!$A:$A,0))</f>
        <v>1025</v>
      </c>
      <c r="T61" s="187">
        <f>INDEX('Revenue by Customer'!T:T,MATCH('Full Customer List'!$B61,'Revenue by Customer'!$A:$A,0))</f>
        <v>1025</v>
      </c>
      <c r="U61" s="187">
        <f>INDEX('Revenue by Customer'!U:U,MATCH('Full Customer List'!$B61,'Revenue by Customer'!$A:$A,0))</f>
        <v>1025</v>
      </c>
      <c r="V61" s="187">
        <f>INDEX('Revenue by Customer'!V:V,MATCH('Full Customer List'!$B61,'Revenue by Customer'!$A:$A,0))</f>
        <v>1100</v>
      </c>
      <c r="W61" s="187">
        <f>INDEX('Revenue by Customer'!W:W,MATCH('Full Customer List'!$B61,'Revenue by Customer'!$A:$A,0))</f>
        <v>1438</v>
      </c>
      <c r="X61" s="187">
        <f>INDEX('Revenue by Customer'!X:X,MATCH('Full Customer List'!$B61,'Revenue by Customer'!$A:$A,0))</f>
        <v>1080</v>
      </c>
      <c r="Y61" s="187">
        <f>INDEX('Revenue by Customer'!Y:Y,MATCH('Full Customer List'!$B61,'Revenue by Customer'!$A:$A,0))</f>
        <v>1080</v>
      </c>
      <c r="Z61" s="187">
        <f>INDEX('Revenue by Customer'!Z:Z,MATCH('Full Customer List'!$B61,'Revenue by Customer'!$A:$A,0))</f>
        <v>1080</v>
      </c>
      <c r="AA61" s="187">
        <f>INDEX('Revenue by Customer'!AA:AA,MATCH('Full Customer List'!$B61,'Revenue by Customer'!$A:$A,0))</f>
        <v>1147</v>
      </c>
      <c r="AB61" s="187">
        <f>INDEX('Revenue by Customer'!AB:AB,MATCH('Full Customer List'!$B61,'Revenue by Customer'!$A:$A,0))</f>
        <v>1214</v>
      </c>
      <c r="AC61" s="187">
        <f>INDEX('Revenue by Customer'!AC:AC,MATCH('Full Customer List'!$B61,'Revenue by Customer'!$A:$A,0))</f>
        <v>1147</v>
      </c>
    </row>
    <row r="62" spans="2:29" ht="12" customHeight="1">
      <c r="B62" s="171" t="s">
        <v>647</v>
      </c>
      <c r="C62" s="171" t="str">
        <f>INDEX('Customer List w Software'!$B:$B,MATCH('Full Customer List'!$B62,'Customer List w Software'!$A:$A,0))</f>
        <v>Active</v>
      </c>
      <c r="D62" s="171" t="str">
        <f>INDEX('Customer List w Software'!$C:$C,MATCH('Full Customer List'!$B62,'Customer List w Software'!$A:$A,0))</f>
        <v>Property manager</v>
      </c>
      <c r="E62" s="171" t="str">
        <f>INDEX('Customer List Mapping'!$C:$C,MATCH('Full Customer List'!D62,'Customer List Mapping'!$B:$B,0))</f>
        <v>Property Manager</v>
      </c>
      <c r="F62" s="187">
        <f>INDEX('Customer List w Software'!$K:$K,MATCH('Full Customer List'!$B62,'Customer List w Software'!$A:$A,0))</f>
        <v>44</v>
      </c>
      <c r="G62" s="187">
        <f>INDEX('Revenue by Customer'!$I:$I,MATCH('Full Customer List'!$B62,'Revenue by Customer'!$A:$A,0))</f>
        <v>2637</v>
      </c>
      <c r="H62" s="250" t="str">
        <f>IFERROR(IF(C62="Active","",INDEX('Client Departures'!$G:$G,MATCH('Full Customer List'!$B62,'Client Departures'!$A:$A,0))),"Unclassified")</f>
        <v/>
      </c>
      <c r="I62" s="191">
        <v>46113</v>
      </c>
      <c r="J62" s="191"/>
      <c r="K62" s="187" t="str">
        <f>INDEX('Revenue by Customer'!K:K,MATCH('Full Customer List'!$B62,'Revenue by Customer'!$A:$A,0))</f>
        <v/>
      </c>
      <c r="L62" s="187" t="str">
        <f>INDEX('Revenue by Customer'!L:L,MATCH('Full Customer List'!$B62,'Revenue by Customer'!$A:$A,0))</f>
        <v/>
      </c>
      <c r="M62" s="187" t="str">
        <f>INDEX('Revenue by Customer'!M:M,MATCH('Full Customer List'!$B62,'Revenue by Customer'!$A:$A,0))</f>
        <v/>
      </c>
      <c r="N62" s="187" t="str">
        <f>INDEX('Revenue by Customer'!N:N,MATCH('Full Customer List'!$B62,'Revenue by Customer'!$A:$A,0))</f>
        <v/>
      </c>
      <c r="O62" s="187" t="str">
        <f>INDEX('Revenue by Customer'!O:O,MATCH('Full Customer List'!$B62,'Revenue by Customer'!$A:$A,0))</f>
        <v/>
      </c>
      <c r="P62" s="187" t="str">
        <f>INDEX('Revenue by Customer'!P:P,MATCH('Full Customer List'!$B62,'Revenue by Customer'!$A:$A,0))</f>
        <v/>
      </c>
      <c r="Q62" s="187" t="str">
        <f>INDEX('Revenue by Customer'!Q:Q,MATCH('Full Customer List'!$B62,'Revenue by Customer'!$A:$A,0))</f>
        <v/>
      </c>
      <c r="R62" s="187" t="str">
        <f>INDEX('Revenue by Customer'!R:R,MATCH('Full Customer List'!$B62,'Revenue by Customer'!$A:$A,0))</f>
        <v/>
      </c>
      <c r="S62" s="187" t="str">
        <f>INDEX('Revenue by Customer'!S:S,MATCH('Full Customer List'!$B62,'Revenue by Customer'!$A:$A,0))</f>
        <v/>
      </c>
      <c r="T62" s="187" t="str">
        <f>INDEX('Revenue by Customer'!T:T,MATCH('Full Customer List'!$B62,'Revenue by Customer'!$A:$A,0))</f>
        <v/>
      </c>
      <c r="U62" s="187" t="str">
        <f>INDEX('Revenue by Customer'!U:U,MATCH('Full Customer List'!$B62,'Revenue by Customer'!$A:$A,0))</f>
        <v/>
      </c>
      <c r="V62" s="187" t="str">
        <f>INDEX('Revenue by Customer'!V:V,MATCH('Full Customer List'!$B62,'Revenue by Customer'!$A:$A,0))</f>
        <v/>
      </c>
      <c r="W62" s="187" t="str">
        <f>INDEX('Revenue by Customer'!W:W,MATCH('Full Customer List'!$B62,'Revenue by Customer'!$A:$A,0))</f>
        <v/>
      </c>
      <c r="X62" s="187" t="str">
        <f>INDEX('Revenue by Customer'!X:X,MATCH('Full Customer List'!$B62,'Revenue by Customer'!$A:$A,0))</f>
        <v/>
      </c>
      <c r="Y62" s="187" t="str">
        <f>INDEX('Revenue by Customer'!Y:Y,MATCH('Full Customer List'!$B62,'Revenue by Customer'!$A:$A,0))</f>
        <v/>
      </c>
      <c r="Z62" s="187">
        <f>INDEX('Revenue by Customer'!Z:Z,MATCH('Full Customer List'!$B62,'Revenue by Customer'!$A:$A,0))</f>
        <v>5354</v>
      </c>
      <c r="AA62" s="187">
        <f>INDEX('Revenue by Customer'!AA:AA,MATCH('Full Customer List'!$B62,'Revenue by Customer'!$A:$A,0))</f>
        <v>2561</v>
      </c>
      <c r="AB62" s="187">
        <f>INDEX('Revenue by Customer'!AB:AB,MATCH('Full Customer List'!$B62,'Revenue by Customer'!$A:$A,0))</f>
        <v>2675</v>
      </c>
      <c r="AC62" s="187">
        <f>INDEX('Revenue by Customer'!AC:AC,MATCH('Full Customer List'!$B62,'Revenue by Customer'!$A:$A,0))</f>
        <v>2675</v>
      </c>
    </row>
    <row r="63" spans="2:29" ht="12" customHeight="1">
      <c r="B63" s="171" t="s">
        <v>649</v>
      </c>
      <c r="C63" s="171" t="str">
        <f>INDEX('Customer List w Software'!$B:$B,MATCH('Full Customer List'!$B63,'Customer List w Software'!$A:$A,0))</f>
        <v>Active</v>
      </c>
      <c r="D63" s="171" t="str">
        <f>INDEX('Customer List w Software'!$C:$C,MATCH('Full Customer List'!$B63,'Customer List w Software'!$A:$A,0))</f>
        <v>Property manager</v>
      </c>
      <c r="E63" s="171" t="str">
        <f>INDEX('Customer List Mapping'!$C:$C,MATCH('Full Customer List'!D63,'Customer List Mapping'!$B:$B,0))</f>
        <v>Property Manager</v>
      </c>
      <c r="F63" s="187">
        <f>INDEX('Customer List w Software'!$K:$K,MATCH('Full Customer List'!$B63,'Customer List w Software'!$A:$A,0))</f>
        <v>13</v>
      </c>
      <c r="G63" s="187">
        <f>INDEX('Revenue by Customer'!$I:$I,MATCH('Full Customer List'!$B63,'Revenue by Customer'!$A:$A,0))</f>
        <v>1237</v>
      </c>
      <c r="H63" s="250" t="str">
        <f>IFERROR(IF(C63="Active","",INDEX('Client Departures'!$G:$G,MATCH('Full Customer List'!$B63,'Client Departures'!$A:$A,0))),"Unclassified")</f>
        <v/>
      </c>
      <c r="I63" s="191">
        <v>45597</v>
      </c>
      <c r="J63" s="191"/>
      <c r="K63" s="187">
        <f>INDEX('Revenue by Customer'!K:K,MATCH('Full Customer List'!$B63,'Revenue by Customer'!$A:$A,0))</f>
        <v>410.75</v>
      </c>
      <c r="L63" s="187">
        <f>INDEX('Revenue by Customer'!L:L,MATCH('Full Customer List'!$B63,'Revenue by Customer'!$A:$A,0))</f>
        <v>474</v>
      </c>
      <c r="M63" s="187">
        <f>INDEX('Revenue by Customer'!M:M,MATCH('Full Customer List'!$B63,'Revenue by Customer'!$A:$A,0))</f>
        <v>474</v>
      </c>
      <c r="N63" s="187">
        <f>INDEX('Revenue by Customer'!N:N,MATCH('Full Customer List'!$B63,'Revenue by Customer'!$A:$A,0))</f>
        <v>632</v>
      </c>
      <c r="O63" s="187">
        <f>INDEX('Revenue by Customer'!O:O,MATCH('Full Customer List'!$B63,'Revenue by Customer'!$A:$A,0))</f>
        <v>632</v>
      </c>
      <c r="P63" s="187" t="str">
        <f>INDEX('Revenue by Customer'!P:P,MATCH('Full Customer List'!$B63,'Revenue by Customer'!$A:$A,0))</f>
        <v/>
      </c>
      <c r="Q63" s="187">
        <f>INDEX('Revenue by Customer'!Q:Q,MATCH('Full Customer List'!$B63,'Revenue by Customer'!$A:$A,0))</f>
        <v>700</v>
      </c>
      <c r="R63" s="187">
        <f>INDEX('Revenue by Customer'!R:R,MATCH('Full Customer List'!$B63,'Revenue by Customer'!$A:$A,0))</f>
        <v>850</v>
      </c>
      <c r="S63" s="187">
        <f>INDEX('Revenue by Customer'!S:S,MATCH('Full Customer List'!$B63,'Revenue by Customer'!$A:$A,0))</f>
        <v>850</v>
      </c>
      <c r="T63" s="187">
        <f>INDEX('Revenue by Customer'!T:T,MATCH('Full Customer List'!$B63,'Revenue by Customer'!$A:$A,0))</f>
        <v>850</v>
      </c>
      <c r="U63" s="187">
        <f>INDEX('Revenue by Customer'!U:U,MATCH('Full Customer List'!$B63,'Revenue by Customer'!$A:$A,0))</f>
        <v>1075</v>
      </c>
      <c r="V63" s="187">
        <f>INDEX('Revenue by Customer'!V:V,MATCH('Full Customer List'!$B63,'Revenue by Customer'!$A:$A,0))</f>
        <v>1075</v>
      </c>
      <c r="W63" s="187">
        <f>INDEX('Revenue by Customer'!W:W,MATCH('Full Customer List'!$B63,'Revenue by Customer'!$A:$A,0))</f>
        <v>1225</v>
      </c>
      <c r="X63" s="187">
        <f>INDEX('Revenue by Customer'!X:X,MATCH('Full Customer List'!$B63,'Revenue by Customer'!$A:$A,0))</f>
        <v>1230</v>
      </c>
      <c r="Y63" s="187">
        <f>INDEX('Revenue by Customer'!Y:Y,MATCH('Full Customer List'!$B63,'Revenue by Customer'!$A:$A,0))</f>
        <v>1220</v>
      </c>
      <c r="Z63" s="187">
        <f>INDEX('Revenue by Customer'!Z:Z,MATCH('Full Customer List'!$B63,'Revenue by Customer'!$A:$A,0))</f>
        <v>1075</v>
      </c>
      <c r="AA63" s="187">
        <f>INDEX('Revenue by Customer'!AA:AA,MATCH('Full Customer List'!$B63,'Revenue by Customer'!$A:$A,0))</f>
        <v>1225</v>
      </c>
      <c r="AB63" s="187">
        <f>INDEX('Revenue by Customer'!AB:AB,MATCH('Full Customer List'!$B63,'Revenue by Customer'!$A:$A,0))</f>
        <v>1225</v>
      </c>
      <c r="AC63" s="187">
        <f>INDEX('Revenue by Customer'!AC:AC,MATCH('Full Customer List'!$B63,'Revenue by Customer'!$A:$A,0))</f>
        <v>1261</v>
      </c>
    </row>
    <row r="64" spans="2:29" ht="12" customHeight="1">
      <c r="B64" s="171" t="s">
        <v>650</v>
      </c>
      <c r="C64" s="217" t="s">
        <v>497</v>
      </c>
      <c r="D64" s="171" t="str">
        <f>INDEX('Customer List w Software'!$C:$C,MATCH('Full Customer List'!$B64,'Customer List w Software'!$A:$A,0))</f>
        <v>Property manager</v>
      </c>
      <c r="E64" s="171" t="str">
        <f>INDEX('Customer List Mapping'!$C:$C,MATCH('Full Customer List'!D64,'Customer List Mapping'!$B:$B,0))</f>
        <v>Property Manager</v>
      </c>
      <c r="F64" s="187">
        <f>INDEX('Customer List w Software'!$K:$K,MATCH('Full Customer List'!$B64,'Customer List w Software'!$A:$A,0))</f>
        <v>51</v>
      </c>
      <c r="G64" s="187">
        <f>INDEX('Revenue by Customer'!$I:$I,MATCH('Full Customer List'!$B64,'Revenue by Customer'!$A:$A,0))</f>
        <v>2178.3333333333335</v>
      </c>
      <c r="H64" s="250" t="str">
        <f>IFERROR(IF(C64="Active","",INDEX('Client Departures'!$G:$G,MATCH('Full Customer List'!$B64,'Client Departures'!$A:$A,0))),"Unclassified")</f>
        <v/>
      </c>
      <c r="I64" s="191">
        <v>46082</v>
      </c>
      <c r="J64" s="191"/>
      <c r="K64" s="187" t="str">
        <f>INDEX('Revenue by Customer'!K:K,MATCH('Full Customer List'!$B64,'Revenue by Customer'!$A:$A,0))</f>
        <v/>
      </c>
      <c r="L64" s="187" t="str">
        <f>INDEX('Revenue by Customer'!L:L,MATCH('Full Customer List'!$B64,'Revenue by Customer'!$A:$A,0))</f>
        <v/>
      </c>
      <c r="M64" s="187" t="str">
        <f>INDEX('Revenue by Customer'!M:M,MATCH('Full Customer List'!$B64,'Revenue by Customer'!$A:$A,0))</f>
        <v/>
      </c>
      <c r="N64" s="187" t="str">
        <f>INDEX('Revenue by Customer'!N:N,MATCH('Full Customer List'!$B64,'Revenue by Customer'!$A:$A,0))</f>
        <v/>
      </c>
      <c r="O64" s="187" t="str">
        <f>INDEX('Revenue by Customer'!O:O,MATCH('Full Customer List'!$B64,'Revenue by Customer'!$A:$A,0))</f>
        <v/>
      </c>
      <c r="P64" s="187" t="str">
        <f>INDEX('Revenue by Customer'!P:P,MATCH('Full Customer List'!$B64,'Revenue by Customer'!$A:$A,0))</f>
        <v/>
      </c>
      <c r="Q64" s="187" t="str">
        <f>INDEX('Revenue by Customer'!Q:Q,MATCH('Full Customer List'!$B64,'Revenue by Customer'!$A:$A,0))</f>
        <v/>
      </c>
      <c r="R64" s="187" t="str">
        <f>INDEX('Revenue by Customer'!R:R,MATCH('Full Customer List'!$B64,'Revenue by Customer'!$A:$A,0))</f>
        <v/>
      </c>
      <c r="S64" s="187" t="str">
        <f>INDEX('Revenue by Customer'!S:S,MATCH('Full Customer List'!$B64,'Revenue by Customer'!$A:$A,0))</f>
        <v/>
      </c>
      <c r="T64" s="187" t="str">
        <f>INDEX('Revenue by Customer'!T:T,MATCH('Full Customer List'!$B64,'Revenue by Customer'!$A:$A,0))</f>
        <v/>
      </c>
      <c r="U64" s="187" t="str">
        <f>INDEX('Revenue by Customer'!U:U,MATCH('Full Customer List'!$B64,'Revenue by Customer'!$A:$A,0))</f>
        <v/>
      </c>
      <c r="V64" s="187" t="str">
        <f>INDEX('Revenue by Customer'!V:V,MATCH('Full Customer List'!$B64,'Revenue by Customer'!$A:$A,0))</f>
        <v/>
      </c>
      <c r="W64" s="187" t="str">
        <f>INDEX('Revenue by Customer'!W:W,MATCH('Full Customer List'!$B64,'Revenue by Customer'!$A:$A,0))</f>
        <v/>
      </c>
      <c r="X64" s="187" t="str">
        <f>INDEX('Revenue by Customer'!X:X,MATCH('Full Customer List'!$B64,'Revenue by Customer'!$A:$A,0))</f>
        <v/>
      </c>
      <c r="Y64" s="187">
        <f>INDEX('Revenue by Customer'!Y:Y,MATCH('Full Customer List'!$B64,'Revenue by Customer'!$A:$A,0))</f>
        <v>4229</v>
      </c>
      <c r="Z64" s="187">
        <f>INDEX('Revenue by Customer'!Z:Z,MATCH('Full Customer List'!$B64,'Revenue by Customer'!$A:$A,0))</f>
        <v>2293</v>
      </c>
      <c r="AA64" s="187">
        <f>INDEX('Revenue by Customer'!AA:AA,MATCH('Full Customer List'!$B64,'Revenue by Customer'!$A:$A,0))</f>
        <v>2349</v>
      </c>
      <c r="AB64" s="187">
        <f>INDEX('Revenue by Customer'!AB:AB,MATCH('Full Customer List'!$B64,'Revenue by Customer'!$A:$A,0))</f>
        <v>2429</v>
      </c>
      <c r="AC64" s="187">
        <f>INDEX('Revenue by Customer'!AC:AC,MATCH('Full Customer List'!$B64,'Revenue by Customer'!$A:$A,0))</f>
        <v>1757</v>
      </c>
    </row>
    <row r="65" spans="2:29" ht="12" customHeight="1">
      <c r="B65" s="171" t="s">
        <v>654</v>
      </c>
      <c r="C65" s="171" t="str">
        <f>INDEX('Customer List w Software'!$B:$B,MATCH('Full Customer List'!$B65,'Customer List w Software'!$A:$A,0))</f>
        <v>Active</v>
      </c>
      <c r="D65" s="171" t="str">
        <f>INDEX('Customer List w Software'!$C:$C,MATCH('Full Customer List'!$B65,'Customer List w Software'!$A:$A,0))</f>
        <v>Property manager</v>
      </c>
      <c r="E65" s="171" t="str">
        <f>INDEX('Customer List Mapping'!$C:$C,MATCH('Full Customer List'!D65,'Customer List Mapping'!$B:$B,0))</f>
        <v>Property Manager</v>
      </c>
      <c r="F65" s="187">
        <f>INDEX('Customer List w Software'!$K:$K,MATCH('Full Customer List'!$B65,'Customer List w Software'!$A:$A,0))</f>
        <v>22</v>
      </c>
      <c r="G65" s="187">
        <f>INDEX('Revenue by Customer'!$I:$I,MATCH('Full Customer List'!$B65,'Revenue by Customer'!$A:$A,0))</f>
        <v>1340.3333333333333</v>
      </c>
      <c r="H65" s="250" t="str">
        <f>IFERROR(IF(C65="Active","",INDEX('Client Departures'!$G:$G,MATCH('Full Customer List'!$B65,'Client Departures'!$A:$A,0))),"Unclassified")</f>
        <v/>
      </c>
      <c r="I65" s="191">
        <v>44986</v>
      </c>
      <c r="J65" s="191"/>
      <c r="K65" s="187">
        <f>INDEX('Revenue by Customer'!K:K,MATCH('Full Customer List'!$B65,'Revenue by Customer'!$A:$A,0))</f>
        <v>985</v>
      </c>
      <c r="L65" s="187">
        <f>INDEX('Revenue by Customer'!L:L,MATCH('Full Customer List'!$B65,'Revenue by Customer'!$A:$A,0))</f>
        <v>790</v>
      </c>
      <c r="M65" s="187">
        <f>INDEX('Revenue by Customer'!M:M,MATCH('Full Customer List'!$B65,'Revenue by Customer'!$A:$A,0))</f>
        <v>825</v>
      </c>
      <c r="N65" s="187">
        <f>INDEX('Revenue by Customer'!N:N,MATCH('Full Customer List'!$B65,'Revenue by Customer'!$A:$A,0))</f>
        <v>825</v>
      </c>
      <c r="O65" s="187">
        <f>INDEX('Revenue by Customer'!O:O,MATCH('Full Customer List'!$B65,'Revenue by Customer'!$A:$A,0))</f>
        <v>825</v>
      </c>
      <c r="P65" s="187">
        <f>INDEX('Revenue by Customer'!P:P,MATCH('Full Customer List'!$B65,'Revenue by Customer'!$A:$A,0))</f>
        <v>825</v>
      </c>
      <c r="Q65" s="187">
        <f>INDEX('Revenue by Customer'!Q:Q,MATCH('Full Customer List'!$B65,'Revenue by Customer'!$A:$A,0))</f>
        <v>900</v>
      </c>
      <c r="R65" s="187">
        <f>INDEX('Revenue by Customer'!R:R,MATCH('Full Customer List'!$B65,'Revenue by Customer'!$A:$A,0))</f>
        <v>900</v>
      </c>
      <c r="S65" s="187">
        <f>INDEX('Revenue by Customer'!S:S,MATCH('Full Customer List'!$B65,'Revenue by Customer'!$A:$A,0))</f>
        <v>900</v>
      </c>
      <c r="T65" s="187">
        <f>INDEX('Revenue by Customer'!T:T,MATCH('Full Customer List'!$B65,'Revenue by Customer'!$A:$A,0))</f>
        <v>975</v>
      </c>
      <c r="U65" s="187">
        <f>INDEX('Revenue by Customer'!U:U,MATCH('Full Customer List'!$B65,'Revenue by Customer'!$A:$A,0))</f>
        <v>525</v>
      </c>
      <c r="V65" s="187">
        <f>INDEX('Revenue by Customer'!V:V,MATCH('Full Customer List'!$B65,'Revenue by Customer'!$A:$A,0))</f>
        <v>900</v>
      </c>
      <c r="W65" s="187">
        <f>INDEX('Revenue by Customer'!W:W,MATCH('Full Customer List'!$B65,'Revenue by Customer'!$A:$A,0))</f>
        <v>1050</v>
      </c>
      <c r="X65" s="187">
        <f>INDEX('Revenue by Customer'!X:X,MATCH('Full Customer List'!$B65,'Revenue by Customer'!$A:$A,0))</f>
        <v>1185</v>
      </c>
      <c r="Y65" s="187">
        <f>INDEX('Revenue by Customer'!Y:Y,MATCH('Full Customer List'!$B65,'Revenue by Customer'!$A:$A,0))</f>
        <v>1034</v>
      </c>
      <c r="Z65" s="187">
        <f>INDEX('Revenue by Customer'!Z:Z,MATCH('Full Customer List'!$B65,'Revenue by Customer'!$A:$A,0))</f>
        <v>1188</v>
      </c>
      <c r="AA65" s="187">
        <f>INDEX('Revenue by Customer'!AA:AA,MATCH('Full Customer List'!$B65,'Revenue by Customer'!$A:$A,0))</f>
        <v>1188</v>
      </c>
      <c r="AB65" s="187">
        <f>INDEX('Revenue by Customer'!AB:AB,MATCH('Full Customer List'!$B65,'Revenue by Customer'!$A:$A,0))</f>
        <v>1316</v>
      </c>
      <c r="AC65" s="187">
        <f>INDEX('Revenue by Customer'!AC:AC,MATCH('Full Customer List'!$B65,'Revenue by Customer'!$A:$A,0))</f>
        <v>1517</v>
      </c>
    </row>
    <row r="66" spans="2:29" ht="12" customHeight="1">
      <c r="B66" s="171" t="s">
        <v>656</v>
      </c>
      <c r="C66" s="171" t="str">
        <f>INDEX('Customer List w Software'!$B:$B,MATCH('Full Customer List'!$B66,'Customer List w Software'!$A:$A,0))</f>
        <v>Former client</v>
      </c>
      <c r="D66" s="171" t="str">
        <f>INDEX('Customer List w Software'!$C:$C,MATCH('Full Customer List'!$B66,'Customer List w Software'!$A:$A,0))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87" t="str">
        <f>INDEX('Customer List w Software'!$K:$K,MATCH('Full Customer List'!$B66,'Customer List w Software'!$A:$A,0))</f>
        <v/>
      </c>
      <c r="G66" s="187">
        <f>INDEX('Revenue by Customer'!$I:$I,MATCH('Full Customer List'!$B66,'Revenue by Customer'!$A:$A,0))</f>
        <v>1685.9466666666667</v>
      </c>
      <c r="H66" s="250" t="str">
        <f>IFERROR(IF(C66="Active","",INDEX('Client Departures'!$G:$G,MATCH('Full Customer List'!$B66,'Client Departures'!$A:$A,0))),"Unclassified")</f>
        <v>Yes</v>
      </c>
      <c r="I66" s="191">
        <v>44743</v>
      </c>
      <c r="J66" s="191">
        <v>46022</v>
      </c>
      <c r="K66" s="187">
        <f>INDEX('Revenue by Customer'!K:K,MATCH('Full Customer List'!$B66,'Revenue by Customer'!$A:$A,0))</f>
        <v>2210</v>
      </c>
      <c r="L66" s="187">
        <f>INDEX('Revenue by Customer'!L:L,MATCH('Full Customer List'!$B66,'Revenue by Customer'!$A:$A,0))</f>
        <v>3529.6</v>
      </c>
      <c r="M66" s="187">
        <f>INDEX('Revenue by Customer'!M:M,MATCH('Full Customer List'!$B66,'Revenue by Customer'!$A:$A,0))</f>
        <v>2550</v>
      </c>
      <c r="N66" s="187">
        <f>INDEX('Revenue by Customer'!N:N,MATCH('Full Customer List'!$B66,'Revenue by Customer'!$A:$A,0))</f>
        <v>2550</v>
      </c>
      <c r="O66" s="187">
        <f>INDEX('Revenue by Customer'!O:O,MATCH('Full Customer List'!$B66,'Revenue by Customer'!$A:$A,0))</f>
        <v>2707.94</v>
      </c>
      <c r="P66" s="187">
        <f>INDEX('Revenue by Customer'!P:P,MATCH('Full Customer List'!$B66,'Revenue by Customer'!$A:$A,0))</f>
        <v>2635</v>
      </c>
      <c r="Q66" s="187">
        <f>INDEX('Revenue by Customer'!Q:Q,MATCH('Full Customer List'!$B66,'Revenue by Customer'!$A:$A,0))</f>
        <v>2621.71</v>
      </c>
      <c r="R66" s="187">
        <f>INDEX('Revenue by Customer'!R:R,MATCH('Full Customer List'!$B66,'Revenue by Customer'!$A:$A,0))</f>
        <v>2713.69</v>
      </c>
      <c r="S66" s="187">
        <f>INDEX('Revenue by Customer'!S:S,MATCH('Full Customer List'!$B66,'Revenue by Customer'!$A:$A,0))</f>
        <v>2404</v>
      </c>
      <c r="T66" s="187">
        <f>INDEX('Revenue by Customer'!T:T,MATCH('Full Customer List'!$B66,'Revenue by Customer'!$A:$A,0))</f>
        <v>2404</v>
      </c>
      <c r="U66" s="187">
        <f>INDEX('Revenue by Customer'!U:U,MATCH('Full Customer List'!$B66,'Revenue by Customer'!$A:$A,0))</f>
        <v>2404</v>
      </c>
      <c r="V66" s="187">
        <f>INDEX('Revenue by Customer'!V:V,MATCH('Full Customer List'!$B66,'Revenue by Customer'!$A:$A,0))</f>
        <v>2404</v>
      </c>
      <c r="W66" s="187">
        <f>INDEX('Revenue by Customer'!W:W,MATCH('Full Customer List'!$B66,'Revenue by Customer'!$A:$A,0))</f>
        <v>249.84</v>
      </c>
      <c r="X66" s="187" t="str">
        <f>INDEX('Revenue by Customer'!X:X,MATCH('Full Customer List'!$B66,'Revenue by Customer'!$A:$A,0))</f>
        <v/>
      </c>
      <c r="Y66" s="187" t="str">
        <f>INDEX('Revenue by Customer'!Y:Y,MATCH('Full Customer List'!$B66,'Revenue by Customer'!$A:$A,0))</f>
        <v/>
      </c>
      <c r="Z66" s="187" t="str">
        <f>INDEX('Revenue by Customer'!Z:Z,MATCH('Full Customer List'!$B66,'Revenue by Customer'!$A:$A,0))</f>
        <v/>
      </c>
      <c r="AA66" s="187" t="str">
        <f>INDEX('Revenue by Customer'!AA:AA,MATCH('Full Customer List'!$B66,'Revenue by Customer'!$A:$A,0))</f>
        <v/>
      </c>
      <c r="AB66" s="187" t="str">
        <f>INDEX('Revenue by Customer'!AB:AB,MATCH('Full Customer List'!$B66,'Revenue by Customer'!$A:$A,0))</f>
        <v/>
      </c>
      <c r="AC66" s="187" t="str">
        <f>INDEX('Revenue by Customer'!AC:AC,MATCH('Full Customer List'!$B66,'Revenue by Customer'!$A:$A,0))</f>
        <v/>
      </c>
    </row>
    <row r="67" spans="2:29" ht="12" customHeight="1">
      <c r="B67" s="171" t="s">
        <v>658</v>
      </c>
      <c r="C67" s="171" t="str">
        <f>INDEX('Customer List w Software'!$B:$B,MATCH('Full Customer List'!$B67,'Customer List w Software'!$A:$A,0))</f>
        <v>Active</v>
      </c>
      <c r="D67" s="171" t="str">
        <f>INDEX('Customer List w Software'!$C:$C,MATCH('Full Customer List'!$B67,'Customer List w Software'!$A:$A,0))</f>
        <v>Property manager</v>
      </c>
      <c r="E67" s="171" t="str">
        <f>INDEX('Customer List Mapping'!$C:$C,MATCH('Full Customer List'!D67,'Customer List Mapping'!$B:$B,0))</f>
        <v>Property Manager</v>
      </c>
      <c r="F67" s="187">
        <f>INDEX('Customer List w Software'!$K:$K,MATCH('Full Customer List'!$B67,'Customer List w Software'!$A:$A,0))</f>
        <v>19</v>
      </c>
      <c r="G67" s="187">
        <f>INDEX('Revenue by Customer'!$I:$I,MATCH('Full Customer List'!$B67,'Revenue by Customer'!$A:$A,0))</f>
        <v>1335</v>
      </c>
      <c r="H67" s="250" t="str">
        <f>IFERROR(IF(C67="Active","",INDEX('Client Departures'!$G:$G,MATCH('Full Customer List'!$B67,'Client Departures'!$A:$A,0))),"Unclassified")</f>
        <v/>
      </c>
      <c r="I67" s="191">
        <v>45901</v>
      </c>
      <c r="J67" s="191"/>
      <c r="K67" s="187" t="str">
        <f>INDEX('Revenue by Customer'!K:K,MATCH('Full Customer List'!$B67,'Revenue by Customer'!$A:$A,0))</f>
        <v/>
      </c>
      <c r="L67" s="187" t="str">
        <f>INDEX('Revenue by Customer'!L:L,MATCH('Full Customer List'!$B67,'Revenue by Customer'!$A:$A,0))</f>
        <v/>
      </c>
      <c r="M67" s="187" t="str">
        <f>INDEX('Revenue by Customer'!M:M,MATCH('Full Customer List'!$B67,'Revenue by Customer'!$A:$A,0))</f>
        <v/>
      </c>
      <c r="N67" s="187" t="str">
        <f>INDEX('Revenue by Customer'!N:N,MATCH('Full Customer List'!$B67,'Revenue by Customer'!$A:$A,0))</f>
        <v/>
      </c>
      <c r="O67" s="187" t="str">
        <f>INDEX('Revenue by Customer'!O:O,MATCH('Full Customer List'!$B67,'Revenue by Customer'!$A:$A,0))</f>
        <v/>
      </c>
      <c r="P67" s="187" t="str">
        <f>INDEX('Revenue by Customer'!P:P,MATCH('Full Customer List'!$B67,'Revenue by Customer'!$A:$A,0))</f>
        <v/>
      </c>
      <c r="Q67" s="187" t="str">
        <f>INDEX('Revenue by Customer'!Q:Q,MATCH('Full Customer List'!$B67,'Revenue by Customer'!$A:$A,0))</f>
        <v/>
      </c>
      <c r="R67" s="187" t="str">
        <f>INDEX('Revenue by Customer'!R:R,MATCH('Full Customer List'!$B67,'Revenue by Customer'!$A:$A,0))</f>
        <v/>
      </c>
      <c r="S67" s="187">
        <f>INDEX('Revenue by Customer'!S:S,MATCH('Full Customer List'!$B67,'Revenue by Customer'!$A:$A,0))</f>
        <v>1920</v>
      </c>
      <c r="T67" s="187">
        <f>INDEX('Revenue by Customer'!T:T,MATCH('Full Customer List'!$B67,'Revenue by Customer'!$A:$A,0))</f>
        <v>1140</v>
      </c>
      <c r="U67" s="187">
        <f>INDEX('Revenue by Customer'!U:U,MATCH('Full Customer List'!$B67,'Revenue by Customer'!$A:$A,0))</f>
        <v>0</v>
      </c>
      <c r="V67" s="187">
        <f>INDEX('Revenue by Customer'!V:V,MATCH('Full Customer List'!$B67,'Revenue by Customer'!$A:$A,0))</f>
        <v>945</v>
      </c>
      <c r="W67" s="187">
        <f>INDEX('Revenue by Customer'!W:W,MATCH('Full Customer List'!$B67,'Revenue by Customer'!$A:$A,0))</f>
        <v>1075</v>
      </c>
      <c r="X67" s="187">
        <f>INDEX('Revenue by Customer'!X:X,MATCH('Full Customer List'!$B67,'Revenue by Customer'!$A:$A,0))</f>
        <v>1150</v>
      </c>
      <c r="Y67" s="187">
        <f>INDEX('Revenue by Customer'!Y:Y,MATCH('Full Customer List'!$B67,'Revenue by Customer'!$A:$A,0))</f>
        <v>1075</v>
      </c>
      <c r="Z67" s="187">
        <f>INDEX('Revenue by Customer'!Z:Z,MATCH('Full Customer List'!$B67,'Revenue by Customer'!$A:$A,0))</f>
        <v>1140</v>
      </c>
      <c r="AA67" s="187">
        <f>INDEX('Revenue by Customer'!AA:AA,MATCH('Full Customer List'!$B67,'Revenue by Customer'!$A:$A,0))</f>
        <v>1335</v>
      </c>
      <c r="AB67" s="187">
        <f>INDEX('Revenue by Customer'!AB:AB,MATCH('Full Customer List'!$B67,'Revenue by Customer'!$A:$A,0))</f>
        <v>1335</v>
      </c>
      <c r="AC67" s="187">
        <f>INDEX('Revenue by Customer'!AC:AC,MATCH('Full Customer List'!$B67,'Revenue by Customer'!$A:$A,0))</f>
        <v>1335</v>
      </c>
    </row>
    <row r="68" spans="2:29" ht="12" customHeight="1">
      <c r="B68" s="171" t="s">
        <v>659</v>
      </c>
      <c r="C68" s="171" t="str">
        <f>INDEX('Customer List w Software'!$B:$B,MATCH('Full Customer List'!$B68,'Customer List w Software'!$A:$A,0))</f>
        <v>Active</v>
      </c>
      <c r="D68" s="171" t="str">
        <f>INDEX('Customer List w Software'!$C:$C,MATCH('Full Customer List'!$B68,'Customer List w Software'!$A:$A,0))</f>
        <v>Property manager</v>
      </c>
      <c r="E68" s="171" t="str">
        <f>INDEX('Customer List Mapping'!$C:$C,MATCH('Full Customer List'!D68,'Customer List Mapping'!$B:$B,0))</f>
        <v>Property Manager</v>
      </c>
      <c r="F68" s="187">
        <f>INDEX('Customer List w Software'!$K:$K,MATCH('Full Customer List'!$B68,'Customer List w Software'!$A:$A,0))</f>
        <v>17</v>
      </c>
      <c r="G68" s="187">
        <f>INDEX('Revenue by Customer'!$I:$I,MATCH('Full Customer List'!$B68,'Revenue by Customer'!$A:$A,0))</f>
        <v>1129.3333333333333</v>
      </c>
      <c r="H68" s="250" t="str">
        <f>IFERROR(IF(C68="Active","",INDEX('Client Departures'!$G:$G,MATCH('Full Customer List'!$B68,'Client Departures'!$A:$A,0))),"Unclassified")</f>
        <v/>
      </c>
      <c r="I68" s="191">
        <v>45444</v>
      </c>
      <c r="J68" s="191"/>
      <c r="K68" s="187">
        <f>INDEX('Revenue by Customer'!K:K,MATCH('Full Customer List'!$B68,'Revenue by Customer'!$A:$A,0))</f>
        <v>553</v>
      </c>
      <c r="L68" s="187">
        <f>INDEX('Revenue by Customer'!L:L,MATCH('Full Customer List'!$B68,'Revenue by Customer'!$A:$A,0))</f>
        <v>628</v>
      </c>
      <c r="M68" s="187">
        <f>INDEX('Revenue by Customer'!M:M,MATCH('Full Customer List'!$B68,'Revenue by Customer'!$A:$A,0))</f>
        <v>553</v>
      </c>
      <c r="N68" s="187">
        <f>INDEX('Revenue by Customer'!N:N,MATCH('Full Customer List'!$B68,'Revenue by Customer'!$A:$A,0))</f>
        <v>553</v>
      </c>
      <c r="O68" s="187">
        <f>INDEX('Revenue by Customer'!O:O,MATCH('Full Customer List'!$B68,'Revenue by Customer'!$A:$A,0))</f>
        <v>632</v>
      </c>
      <c r="P68" s="187">
        <f>INDEX('Revenue by Customer'!P:P,MATCH('Full Customer List'!$B68,'Revenue by Customer'!$A:$A,0))</f>
        <v>700</v>
      </c>
      <c r="Q68" s="187">
        <f>INDEX('Revenue by Customer'!Q:Q,MATCH('Full Customer List'!$B68,'Revenue by Customer'!$A:$A,0))</f>
        <v>775</v>
      </c>
      <c r="R68" s="187">
        <f>INDEX('Revenue by Customer'!R:R,MATCH('Full Customer List'!$B68,'Revenue by Customer'!$A:$A,0))</f>
        <v>775</v>
      </c>
      <c r="S68" s="187">
        <f>INDEX('Revenue by Customer'!S:S,MATCH('Full Customer List'!$B68,'Revenue by Customer'!$A:$A,0))</f>
        <v>775</v>
      </c>
      <c r="T68" s="187">
        <f>INDEX('Revenue by Customer'!T:T,MATCH('Full Customer List'!$B68,'Revenue by Customer'!$A:$A,0))</f>
        <v>850</v>
      </c>
      <c r="U68" s="187">
        <f>INDEX('Revenue by Customer'!U:U,MATCH('Full Customer List'!$B68,'Revenue by Customer'!$A:$A,0))</f>
        <v>1075</v>
      </c>
      <c r="V68" s="187">
        <f>INDEX('Revenue by Customer'!V:V,MATCH('Full Customer List'!$B68,'Revenue by Customer'!$A:$A,0))</f>
        <v>1000</v>
      </c>
      <c r="W68" s="187">
        <f>INDEX('Revenue by Customer'!W:W,MATCH('Full Customer List'!$B68,'Revenue by Customer'!$A:$A,0))</f>
        <v>1000</v>
      </c>
      <c r="X68" s="187">
        <f>INDEX('Revenue by Customer'!X:X,MATCH('Full Customer List'!$B68,'Revenue by Customer'!$A:$A,0))</f>
        <v>1135</v>
      </c>
      <c r="Y68" s="187">
        <f>INDEX('Revenue by Customer'!Y:Y,MATCH('Full Customer List'!$B68,'Revenue by Customer'!$A:$A,0))</f>
        <v>1150</v>
      </c>
      <c r="Z68" s="187">
        <f>INDEX('Revenue by Customer'!Z:Z,MATCH('Full Customer List'!$B68,'Revenue by Customer'!$A:$A,0))</f>
        <v>1225</v>
      </c>
      <c r="AA68" s="187">
        <f>INDEX('Revenue by Customer'!AA:AA,MATCH('Full Customer List'!$B68,'Revenue by Customer'!$A:$A,0))</f>
        <v>1225</v>
      </c>
      <c r="AB68" s="187">
        <f>INDEX('Revenue by Customer'!AB:AB,MATCH('Full Customer List'!$B68,'Revenue by Customer'!$A:$A,0))</f>
        <v>1115</v>
      </c>
      <c r="AC68" s="187">
        <f>INDEX('Revenue by Customer'!AC:AC,MATCH('Full Customer List'!$B68,'Revenue by Customer'!$A:$A,0))</f>
        <v>1048</v>
      </c>
    </row>
    <row r="69" spans="2:29" ht="12" customHeight="1">
      <c r="B69" s="171" t="s">
        <v>660</v>
      </c>
      <c r="C69" s="171" t="str">
        <f>INDEX('Customer List w Software'!$B:$B,MATCH('Full Customer List'!$B69,'Customer List w Software'!$A:$A,0))</f>
        <v>Active</v>
      </c>
      <c r="D69" s="171" t="str">
        <f>INDEX('Customer List w Software'!$C:$C,MATCH('Full Customer List'!$B69,'Customer List w Software'!$A:$A,0))</f>
        <v>Property manager</v>
      </c>
      <c r="E69" s="171" t="str">
        <f>INDEX('Customer List Mapping'!$C:$C,MATCH('Full Customer List'!D69,'Customer List Mapping'!$B:$B,0))</f>
        <v>Property Manager</v>
      </c>
      <c r="F69" s="187">
        <f>INDEX('Customer List w Software'!$K:$K,MATCH('Full Customer List'!$B69,'Customer List w Software'!$A:$A,0))</f>
        <v>21</v>
      </c>
      <c r="G69" s="187">
        <f>INDEX('Revenue by Customer'!$I:$I,MATCH('Full Customer List'!$B69,'Revenue by Customer'!$A:$A,0))</f>
        <v>1011.3333333333334</v>
      </c>
      <c r="H69" s="250" t="str">
        <f>IFERROR(IF(C69="Active","",INDEX('Client Departures'!$G:$G,MATCH('Full Customer List'!$B69,'Client Departures'!$A:$A,0))),"Unclassified")</f>
        <v/>
      </c>
      <c r="I69" s="191">
        <v>45689</v>
      </c>
      <c r="J69" s="191"/>
      <c r="K69" s="187" t="str">
        <f>INDEX('Revenue by Customer'!K:K,MATCH('Full Customer List'!$B69,'Revenue by Customer'!$A:$A,0))</f>
        <v/>
      </c>
      <c r="L69" s="187">
        <f>INDEX('Revenue by Customer'!L:L,MATCH('Full Customer List'!$B69,'Revenue by Customer'!$A:$A,0))</f>
        <v>440</v>
      </c>
      <c r="M69" s="187">
        <f>INDEX('Revenue by Customer'!M:M,MATCH('Full Customer List'!$B69,'Revenue by Customer'!$A:$A,0))</f>
        <v>550</v>
      </c>
      <c r="N69" s="187">
        <f>INDEX('Revenue by Customer'!N:N,MATCH('Full Customer List'!$B69,'Revenue by Customer'!$A:$A,0))</f>
        <v>625</v>
      </c>
      <c r="O69" s="187">
        <f>INDEX('Revenue by Customer'!O:O,MATCH('Full Customer List'!$B69,'Revenue by Customer'!$A:$A,0))</f>
        <v>625</v>
      </c>
      <c r="P69" s="187">
        <f>INDEX('Revenue by Customer'!P:P,MATCH('Full Customer List'!$B69,'Revenue by Customer'!$A:$A,0))</f>
        <v>700</v>
      </c>
      <c r="Q69" s="187">
        <f>INDEX('Revenue by Customer'!Q:Q,MATCH('Full Customer List'!$B69,'Revenue by Customer'!$A:$A,0))</f>
        <v>700</v>
      </c>
      <c r="R69" s="187">
        <f>INDEX('Revenue by Customer'!R:R,MATCH('Full Customer List'!$B69,'Revenue by Customer'!$A:$A,0))</f>
        <v>700</v>
      </c>
      <c r="S69" s="187">
        <f>INDEX('Revenue by Customer'!S:S,MATCH('Full Customer List'!$B69,'Revenue by Customer'!$A:$A,0))</f>
        <v>925</v>
      </c>
      <c r="T69" s="187">
        <f>INDEX('Revenue by Customer'!T:T,MATCH('Full Customer List'!$B69,'Revenue by Customer'!$A:$A,0))</f>
        <v>1075</v>
      </c>
      <c r="U69" s="187">
        <f>INDEX('Revenue by Customer'!U:U,MATCH('Full Customer List'!$B69,'Revenue by Customer'!$A:$A,0))</f>
        <v>1150</v>
      </c>
      <c r="V69" s="187">
        <f>INDEX('Revenue by Customer'!V:V,MATCH('Full Customer List'!$B69,'Revenue by Customer'!$A:$A,0))</f>
        <v>1075</v>
      </c>
      <c r="W69" s="187">
        <f>INDEX('Revenue by Customer'!W:W,MATCH('Full Customer List'!$B69,'Revenue by Customer'!$A:$A,0))</f>
        <v>1000</v>
      </c>
      <c r="X69" s="187">
        <f>INDEX('Revenue by Customer'!X:X,MATCH('Full Customer List'!$B69,'Revenue by Customer'!$A:$A,0))</f>
        <v>1263</v>
      </c>
      <c r="Y69" s="187">
        <f>INDEX('Revenue by Customer'!Y:Y,MATCH('Full Customer List'!$B69,'Revenue by Customer'!$A:$A,0))</f>
        <v>905</v>
      </c>
      <c r="Z69" s="187">
        <f>INDEX('Revenue by Customer'!Z:Z,MATCH('Full Customer List'!$B69,'Revenue by Customer'!$A:$A,0))</f>
        <v>942</v>
      </c>
      <c r="AA69" s="187">
        <f>INDEX('Revenue by Customer'!AA:AA,MATCH('Full Customer List'!$B69,'Revenue by Customer'!$A:$A,0))</f>
        <v>942</v>
      </c>
      <c r="AB69" s="187">
        <f>INDEX('Revenue by Customer'!AB:AB,MATCH('Full Customer List'!$B69,'Revenue by Customer'!$A:$A,0))</f>
        <v>942</v>
      </c>
      <c r="AC69" s="187">
        <f>INDEX('Revenue by Customer'!AC:AC,MATCH('Full Customer List'!$B69,'Revenue by Customer'!$A:$A,0))</f>
        <v>1150</v>
      </c>
    </row>
    <row r="70" spans="2:29" ht="12" customHeight="1">
      <c r="B70" s="171" t="s">
        <v>661</v>
      </c>
      <c r="C70" s="171" t="str">
        <f>INDEX('Customer List w Software'!$B:$B,MATCH('Full Customer List'!$B70,'Customer List w Software'!$A:$A,0))</f>
        <v>Active</v>
      </c>
      <c r="D70" s="171" t="str">
        <f>INDEX('Customer List w Software'!$C:$C,MATCH('Full Customer List'!$B70,'Customer List w Software'!$A:$A,0))</f>
        <v>Property manager</v>
      </c>
      <c r="E70" s="171" t="str">
        <f>INDEX('Customer List Mapping'!$C:$C,MATCH('Full Customer List'!D70,'Customer List Mapping'!$B:$B,0))</f>
        <v>Property Manager</v>
      </c>
      <c r="F70" s="187">
        <f>INDEX('Customer List w Software'!$K:$K,MATCH('Full Customer List'!$B70,'Customer List w Software'!$A:$A,0))</f>
        <v>11</v>
      </c>
      <c r="G70" s="187">
        <f>INDEX('Revenue by Customer'!$I:$I,MATCH('Full Customer List'!$B70,'Revenue by Customer'!$A:$A,0))</f>
        <v>922</v>
      </c>
      <c r="H70" s="250" t="str">
        <f>IFERROR(IF(C70="Active","",INDEX('Client Departures'!$G:$G,MATCH('Full Customer List'!$B70,'Client Departures'!$A:$A,0))),"Unclassified")</f>
        <v/>
      </c>
      <c r="I70" s="191">
        <v>45658</v>
      </c>
      <c r="J70" s="191"/>
      <c r="K70" s="187">
        <f>INDEX('Revenue by Customer'!K:K,MATCH('Full Customer List'!$B70,'Revenue by Customer'!$A:$A,0))</f>
        <v>876.9</v>
      </c>
      <c r="L70" s="187">
        <f>INDEX('Revenue by Customer'!L:L,MATCH('Full Customer List'!$B70,'Revenue by Customer'!$A:$A,0))</f>
        <v>452.9</v>
      </c>
      <c r="M70" s="187">
        <f>INDEX('Revenue by Customer'!M:M,MATCH('Full Customer List'!$B70,'Revenue by Customer'!$A:$A,0))</f>
        <v>540.04999999999995</v>
      </c>
      <c r="N70" s="187">
        <f>INDEX('Revenue by Customer'!N:N,MATCH('Full Customer List'!$B70,'Revenue by Customer'!$A:$A,0))</f>
        <v>890</v>
      </c>
      <c r="O70" s="187">
        <f>INDEX('Revenue by Customer'!O:O,MATCH('Full Customer List'!$B70,'Revenue by Customer'!$A:$A,0))</f>
        <v>1068</v>
      </c>
      <c r="P70" s="187">
        <f>INDEX('Revenue by Customer'!P:P,MATCH('Full Customer List'!$B70,'Revenue by Customer'!$A:$A,0))</f>
        <v>1157</v>
      </c>
      <c r="Q70" s="187">
        <f>INDEX('Revenue by Customer'!Q:Q,MATCH('Full Customer List'!$B70,'Revenue by Customer'!$A:$A,0))</f>
        <v>1157</v>
      </c>
      <c r="R70" s="187">
        <f>INDEX('Revenue by Customer'!R:R,MATCH('Full Customer List'!$B70,'Revenue by Customer'!$A:$A,0))</f>
        <v>1246</v>
      </c>
      <c r="S70" s="187">
        <f>INDEX('Revenue by Customer'!S:S,MATCH('Full Customer List'!$B70,'Revenue by Customer'!$A:$A,0))</f>
        <v>1157</v>
      </c>
      <c r="T70" s="187">
        <f>INDEX('Revenue by Customer'!T:T,MATCH('Full Customer List'!$B70,'Revenue by Customer'!$A:$A,0))</f>
        <v>1157</v>
      </c>
      <c r="U70" s="187">
        <f>INDEX('Revenue by Customer'!U:U,MATCH('Full Customer List'!$B70,'Revenue by Customer'!$A:$A,0))</f>
        <v>1157</v>
      </c>
      <c r="V70" s="187">
        <f>INDEX('Revenue by Customer'!V:V,MATCH('Full Customer List'!$B70,'Revenue by Customer'!$A:$A,0))</f>
        <v>890</v>
      </c>
      <c r="W70" s="187">
        <f>INDEX('Revenue by Customer'!W:W,MATCH('Full Customer List'!$B70,'Revenue by Customer'!$A:$A,0))</f>
        <v>806</v>
      </c>
      <c r="X70" s="187">
        <f>INDEX('Revenue by Customer'!X:X,MATCH('Full Customer List'!$B70,'Revenue by Customer'!$A:$A,0))</f>
        <v>1076</v>
      </c>
      <c r="Y70" s="187">
        <f>INDEX('Revenue by Customer'!Y:Y,MATCH('Full Customer List'!$B70,'Revenue by Customer'!$A:$A,0))</f>
        <v>806</v>
      </c>
      <c r="Z70" s="187">
        <f>INDEX('Revenue by Customer'!Z:Z,MATCH('Full Customer List'!$B70,'Revenue by Customer'!$A:$A,0))</f>
        <v>893</v>
      </c>
      <c r="AA70" s="187">
        <f>INDEX('Revenue by Customer'!AA:AA,MATCH('Full Customer List'!$B70,'Revenue by Customer'!$A:$A,0))</f>
        <v>893</v>
      </c>
      <c r="AB70" s="187">
        <f>INDEX('Revenue by Customer'!AB:AB,MATCH('Full Customer List'!$B70,'Revenue by Customer'!$A:$A,0))</f>
        <v>893</v>
      </c>
      <c r="AC70" s="187">
        <f>INDEX('Revenue by Customer'!AC:AC,MATCH('Full Customer List'!$B70,'Revenue by Customer'!$A:$A,0))</f>
        <v>980</v>
      </c>
    </row>
    <row r="71" spans="2:29" ht="12" customHeight="1">
      <c r="B71" s="171" t="s">
        <v>662</v>
      </c>
      <c r="C71" s="171" t="str">
        <f>INDEX('Customer List w Software'!$B:$B,MATCH('Full Customer List'!$B71,'Customer List w Software'!$A:$A,0))</f>
        <v>Active</v>
      </c>
      <c r="D71" s="171" t="str">
        <f>INDEX('Customer List w Software'!$C:$C,MATCH('Full Customer List'!$B71,'Customer List w Software'!$A:$A,0))</f>
        <v>Property manager</v>
      </c>
      <c r="E71" s="171" t="str">
        <f>INDEX('Customer List Mapping'!$C:$C,MATCH('Full Customer List'!D71,'Customer List Mapping'!$B:$B,0))</f>
        <v>Property Manager</v>
      </c>
      <c r="F71" s="187">
        <f>INDEX('Customer List w Software'!$K:$K,MATCH('Full Customer List'!$B71,'Customer List w Software'!$A:$A,0))</f>
        <v>17</v>
      </c>
      <c r="G71" s="187">
        <f>INDEX('Revenue by Customer'!$I:$I,MATCH('Full Customer List'!$B71,'Revenue by Customer'!$A:$A,0))</f>
        <v>1143.3333333333333</v>
      </c>
      <c r="H71" s="250" t="str">
        <f>IFERROR(IF(C71="Active","",INDEX('Client Departures'!$G:$G,MATCH('Full Customer List'!$B71,'Client Departures'!$A:$A,0))),"Unclassified")</f>
        <v/>
      </c>
      <c r="I71" s="191">
        <v>45901</v>
      </c>
      <c r="J71" s="191"/>
      <c r="K71" s="187" t="str">
        <f>INDEX('Revenue by Customer'!K:K,MATCH('Full Customer List'!$B71,'Revenue by Customer'!$A:$A,0))</f>
        <v/>
      </c>
      <c r="L71" s="187" t="str">
        <f>INDEX('Revenue by Customer'!L:L,MATCH('Full Customer List'!$B71,'Revenue by Customer'!$A:$A,0))</f>
        <v/>
      </c>
      <c r="M71" s="187" t="str">
        <f>INDEX('Revenue by Customer'!M:M,MATCH('Full Customer List'!$B71,'Revenue by Customer'!$A:$A,0))</f>
        <v/>
      </c>
      <c r="N71" s="187" t="str">
        <f>INDEX('Revenue by Customer'!N:N,MATCH('Full Customer List'!$B71,'Revenue by Customer'!$A:$A,0))</f>
        <v/>
      </c>
      <c r="O71" s="187" t="str">
        <f>INDEX('Revenue by Customer'!O:O,MATCH('Full Customer List'!$B71,'Revenue by Customer'!$A:$A,0))</f>
        <v/>
      </c>
      <c r="P71" s="187" t="str">
        <f>INDEX('Revenue by Customer'!P:P,MATCH('Full Customer List'!$B71,'Revenue by Customer'!$A:$A,0))</f>
        <v/>
      </c>
      <c r="Q71" s="187" t="str">
        <f>INDEX('Revenue by Customer'!Q:Q,MATCH('Full Customer List'!$B71,'Revenue by Customer'!$A:$A,0))</f>
        <v/>
      </c>
      <c r="R71" s="187" t="str">
        <f>INDEX('Revenue by Customer'!R:R,MATCH('Full Customer List'!$B71,'Revenue by Customer'!$A:$A,0))</f>
        <v/>
      </c>
      <c r="S71" s="187">
        <f>INDEX('Revenue by Customer'!S:S,MATCH('Full Customer List'!$B71,'Revenue by Customer'!$A:$A,0))</f>
        <v>1300</v>
      </c>
      <c r="T71" s="187">
        <f>INDEX('Revenue by Customer'!T:T,MATCH('Full Customer List'!$B71,'Revenue by Customer'!$A:$A,0))</f>
        <v>925</v>
      </c>
      <c r="U71" s="187">
        <f>INDEX('Revenue by Customer'!U:U,MATCH('Full Customer List'!$B71,'Revenue by Customer'!$A:$A,0))</f>
        <v>925</v>
      </c>
      <c r="V71" s="187">
        <f>INDEX('Revenue by Customer'!V:V,MATCH('Full Customer List'!$B71,'Revenue by Customer'!$A:$A,0))</f>
        <v>925</v>
      </c>
      <c r="W71" s="187">
        <f>INDEX('Revenue by Customer'!W:W,MATCH('Full Customer List'!$B71,'Revenue by Customer'!$A:$A,0))</f>
        <v>1090</v>
      </c>
      <c r="X71" s="187">
        <f>INDEX('Revenue by Customer'!X:X,MATCH('Full Customer List'!$B71,'Revenue by Customer'!$A:$A,0))</f>
        <v>1015</v>
      </c>
      <c r="Y71" s="187">
        <f>INDEX('Revenue by Customer'!Y:Y,MATCH('Full Customer List'!$B71,'Revenue by Customer'!$A:$A,0))</f>
        <v>1075</v>
      </c>
      <c r="Z71" s="187">
        <f>INDEX('Revenue by Customer'!Z:Z,MATCH('Full Customer List'!$B71,'Revenue by Customer'!$A:$A,0))</f>
        <v>1150</v>
      </c>
      <c r="AA71" s="187">
        <f>INDEX('Revenue by Customer'!AA:AA,MATCH('Full Customer List'!$B71,'Revenue by Customer'!$A:$A,0))</f>
        <v>1150</v>
      </c>
      <c r="AB71" s="187">
        <f>INDEX('Revenue by Customer'!AB:AB,MATCH('Full Customer List'!$B71,'Revenue by Customer'!$A:$A,0))</f>
        <v>1140</v>
      </c>
      <c r="AC71" s="187">
        <f>INDEX('Revenue by Customer'!AC:AC,MATCH('Full Customer List'!$B71,'Revenue by Customer'!$A:$A,0))</f>
        <v>1140</v>
      </c>
    </row>
    <row r="72" spans="2:29" ht="12" customHeight="1">
      <c r="B72" s="171" t="s">
        <v>663</v>
      </c>
      <c r="C72" s="171" t="str">
        <f>INDEX('Customer List w Software'!$B:$B,MATCH('Full Customer List'!$B72,'Customer List w Software'!$A:$A,0))</f>
        <v>Active</v>
      </c>
      <c r="D72" s="171" t="str">
        <f>INDEX('Customer List w Software'!$C:$C,MATCH('Full Customer List'!$B72,'Customer List w Software'!$A:$A,0))</f>
        <v>Property manager</v>
      </c>
      <c r="E72" s="171" t="str">
        <f>INDEX('Customer List Mapping'!$C:$C,MATCH('Full Customer List'!D72,'Customer List Mapping'!$B:$B,0))</f>
        <v>Property Manager</v>
      </c>
      <c r="F72" s="187">
        <f>INDEX('Customer List w Software'!$K:$K,MATCH('Full Customer List'!$B72,'Customer List w Software'!$A:$A,0))</f>
        <v>32</v>
      </c>
      <c r="G72" s="187">
        <f>INDEX('Revenue by Customer'!$I:$I,MATCH('Full Customer List'!$B72,'Revenue by Customer'!$A:$A,0))</f>
        <v>1993</v>
      </c>
      <c r="H72" s="250" t="str">
        <f>IFERROR(IF(C72="Active","",INDEX('Client Departures'!$G:$G,MATCH('Full Customer List'!$B72,'Client Departures'!$A:$A,0))),"Unclassified")</f>
        <v/>
      </c>
      <c r="I72" s="191">
        <v>46082</v>
      </c>
      <c r="J72" s="191"/>
      <c r="K72" s="187" t="str">
        <f>INDEX('Revenue by Customer'!K:K,MATCH('Full Customer List'!$B72,'Revenue by Customer'!$A:$A,0))</f>
        <v/>
      </c>
      <c r="L72" s="187" t="str">
        <f>INDEX('Revenue by Customer'!L:L,MATCH('Full Customer List'!$B72,'Revenue by Customer'!$A:$A,0))</f>
        <v/>
      </c>
      <c r="M72" s="187" t="str">
        <f>INDEX('Revenue by Customer'!M:M,MATCH('Full Customer List'!$B72,'Revenue by Customer'!$A:$A,0))</f>
        <v/>
      </c>
      <c r="N72" s="187" t="str">
        <f>INDEX('Revenue by Customer'!N:N,MATCH('Full Customer List'!$B72,'Revenue by Customer'!$A:$A,0))</f>
        <v/>
      </c>
      <c r="O72" s="187" t="str">
        <f>INDEX('Revenue by Customer'!O:O,MATCH('Full Customer List'!$B72,'Revenue by Customer'!$A:$A,0))</f>
        <v/>
      </c>
      <c r="P72" s="187" t="str">
        <f>INDEX('Revenue by Customer'!P:P,MATCH('Full Customer List'!$B72,'Revenue by Customer'!$A:$A,0))</f>
        <v/>
      </c>
      <c r="Q72" s="187" t="str">
        <f>INDEX('Revenue by Customer'!Q:Q,MATCH('Full Customer List'!$B72,'Revenue by Customer'!$A:$A,0))</f>
        <v/>
      </c>
      <c r="R72" s="187" t="str">
        <f>INDEX('Revenue by Customer'!R:R,MATCH('Full Customer List'!$B72,'Revenue by Customer'!$A:$A,0))</f>
        <v/>
      </c>
      <c r="S72" s="187" t="str">
        <f>INDEX('Revenue by Customer'!S:S,MATCH('Full Customer List'!$B72,'Revenue by Customer'!$A:$A,0))</f>
        <v/>
      </c>
      <c r="T72" s="187" t="str">
        <f>INDEX('Revenue by Customer'!T:T,MATCH('Full Customer List'!$B72,'Revenue by Customer'!$A:$A,0))</f>
        <v/>
      </c>
      <c r="U72" s="187" t="str">
        <f>INDEX('Revenue by Customer'!U:U,MATCH('Full Customer List'!$B72,'Revenue by Customer'!$A:$A,0))</f>
        <v/>
      </c>
      <c r="V72" s="187" t="str">
        <f>INDEX('Revenue by Customer'!V:V,MATCH('Full Customer List'!$B72,'Revenue by Customer'!$A:$A,0))</f>
        <v/>
      </c>
      <c r="W72" s="187" t="str">
        <f>INDEX('Revenue by Customer'!W:W,MATCH('Full Customer List'!$B72,'Revenue by Customer'!$A:$A,0))</f>
        <v/>
      </c>
      <c r="X72" s="187" t="str">
        <f>INDEX('Revenue by Customer'!X:X,MATCH('Full Customer List'!$B72,'Revenue by Customer'!$A:$A,0))</f>
        <v/>
      </c>
      <c r="Y72" s="187">
        <f>INDEX('Revenue by Customer'!Y:Y,MATCH('Full Customer List'!$B72,'Revenue by Customer'!$A:$A,0))</f>
        <v>3937</v>
      </c>
      <c r="Z72" s="187">
        <f>INDEX('Revenue by Customer'!Z:Z,MATCH('Full Customer List'!$B72,'Revenue by Customer'!$A:$A,0))</f>
        <v>1860</v>
      </c>
      <c r="AA72" s="187">
        <f>INDEX('Revenue by Customer'!AA:AA,MATCH('Full Customer List'!$B72,'Revenue by Customer'!$A:$A,0))</f>
        <v>1803</v>
      </c>
      <c r="AB72" s="187">
        <f>INDEX('Revenue by Customer'!AB:AB,MATCH('Full Customer List'!$B72,'Revenue by Customer'!$A:$A,0))</f>
        <v>2268</v>
      </c>
      <c r="AC72" s="187">
        <f>INDEX('Revenue by Customer'!AC:AC,MATCH('Full Customer List'!$B72,'Revenue by Customer'!$A:$A,0))</f>
        <v>1908</v>
      </c>
    </row>
    <row r="73" spans="2:29" ht="12" customHeight="1">
      <c r="B73" s="171" t="s">
        <v>666</v>
      </c>
      <c r="C73" s="171" t="str">
        <f>INDEX('Customer List w Software'!$B:$B,MATCH('Full Customer List'!$B73,'Customer List w Software'!$A:$A,0))</f>
        <v>Active</v>
      </c>
      <c r="D73" s="171" t="str">
        <f>INDEX('Customer List w Software'!$C:$C,MATCH('Full Customer List'!$B73,'Customer List w Software'!$A:$A,0))</f>
        <v>Small business</v>
      </c>
      <c r="E73" s="171" t="str">
        <f>INDEX('Customer List Mapping'!$C:$C,MATCH('Full Customer List'!D73,'Customer List Mapping'!$B:$B,0))</f>
        <v>Small Business</v>
      </c>
      <c r="F73" s="187" t="str">
        <f>INDEX('Customer List w Software'!$K:$K,MATCH('Full Customer List'!$B73,'Customer List w Software'!$A:$A,0))</f>
        <v/>
      </c>
      <c r="G73" s="187">
        <f>INDEX('Revenue by Customer'!$I:$I,MATCH('Full Customer List'!$B73,'Revenue by Customer'!$A:$A,0))</f>
        <v>995</v>
      </c>
      <c r="H73" s="250" t="str">
        <f>IFERROR(IF(C73="Active","",INDEX('Client Departures'!$G:$G,MATCH('Full Customer List'!$B73,'Client Departures'!$A:$A,0))),"Unclassified")</f>
        <v/>
      </c>
      <c r="I73" s="191">
        <v>44317</v>
      </c>
      <c r="J73" s="191"/>
      <c r="K73" s="187">
        <f>INDEX('Revenue by Customer'!K:K,MATCH('Full Customer List'!$B73,'Revenue by Customer'!$A:$A,0))</f>
        <v>1040</v>
      </c>
      <c r="L73" s="187">
        <f>INDEX('Revenue by Customer'!L:L,MATCH('Full Customer List'!$B73,'Revenue by Customer'!$A:$A,0))</f>
        <v>950</v>
      </c>
      <c r="M73" s="187">
        <f>INDEX('Revenue by Customer'!M:M,MATCH('Full Customer List'!$B73,'Revenue by Customer'!$A:$A,0))</f>
        <v>950</v>
      </c>
      <c r="N73" s="187">
        <f>INDEX('Revenue by Customer'!N:N,MATCH('Full Customer List'!$B73,'Revenue by Customer'!$A:$A,0))</f>
        <v>950</v>
      </c>
      <c r="O73" s="187">
        <f>INDEX('Revenue by Customer'!O:O,MATCH('Full Customer List'!$B73,'Revenue by Customer'!$A:$A,0))</f>
        <v>950</v>
      </c>
      <c r="P73" s="187">
        <f>INDEX('Revenue by Customer'!P:P,MATCH('Full Customer List'!$B73,'Revenue by Customer'!$A:$A,0))</f>
        <v>950</v>
      </c>
      <c r="Q73" s="187">
        <f>INDEX('Revenue by Customer'!Q:Q,MATCH('Full Customer List'!$B73,'Revenue by Customer'!$A:$A,0))</f>
        <v>950</v>
      </c>
      <c r="R73" s="187">
        <f>INDEX('Revenue by Customer'!R:R,MATCH('Full Customer List'!$B73,'Revenue by Customer'!$A:$A,0))</f>
        <v>950</v>
      </c>
      <c r="S73" s="187">
        <f>INDEX('Revenue by Customer'!S:S,MATCH('Full Customer List'!$B73,'Revenue by Customer'!$A:$A,0))</f>
        <v>950</v>
      </c>
      <c r="T73" s="187">
        <f>INDEX('Revenue by Customer'!T:T,MATCH('Full Customer List'!$B73,'Revenue by Customer'!$A:$A,0))</f>
        <v>950</v>
      </c>
      <c r="U73" s="187">
        <f>INDEX('Revenue by Customer'!U:U,MATCH('Full Customer List'!$B73,'Revenue by Customer'!$A:$A,0))</f>
        <v>950</v>
      </c>
      <c r="V73" s="187">
        <f>INDEX('Revenue by Customer'!V:V,MATCH('Full Customer List'!$B73,'Revenue by Customer'!$A:$A,0))</f>
        <v>950</v>
      </c>
      <c r="W73" s="187">
        <f>INDEX('Revenue by Customer'!W:W,MATCH('Full Customer List'!$B73,'Revenue by Customer'!$A:$A,0))</f>
        <v>995</v>
      </c>
      <c r="X73" s="187">
        <f>INDEX('Revenue by Customer'!X:X,MATCH('Full Customer List'!$B73,'Revenue by Customer'!$A:$A,0))</f>
        <v>995</v>
      </c>
      <c r="Y73" s="187">
        <f>INDEX('Revenue by Customer'!Y:Y,MATCH('Full Customer List'!$B73,'Revenue by Customer'!$A:$A,0))</f>
        <v>995</v>
      </c>
      <c r="Z73" s="187">
        <f>INDEX('Revenue by Customer'!Z:Z,MATCH('Full Customer List'!$B73,'Revenue by Customer'!$A:$A,0))</f>
        <v>995</v>
      </c>
      <c r="AA73" s="187">
        <f>INDEX('Revenue by Customer'!AA:AA,MATCH('Full Customer List'!$B73,'Revenue by Customer'!$A:$A,0))</f>
        <v>995</v>
      </c>
      <c r="AB73" s="187">
        <f>INDEX('Revenue by Customer'!AB:AB,MATCH('Full Customer List'!$B73,'Revenue by Customer'!$A:$A,0))</f>
        <v>995</v>
      </c>
      <c r="AC73" s="187">
        <f>INDEX('Revenue by Customer'!AC:AC,MATCH('Full Customer List'!$B73,'Revenue by Customer'!$A:$A,0))</f>
        <v>995</v>
      </c>
    </row>
    <row r="74" spans="2:29" ht="12" customHeight="1">
      <c r="B74" s="171" t="s">
        <v>670</v>
      </c>
      <c r="C74" s="217" t="s">
        <v>562</v>
      </c>
      <c r="D74" s="171" t="str">
        <f>INDEX('Customer List w Software'!$C:$C,MATCH('Full Customer List'!$B74,'Customer List w Software'!$A:$A,0))</f>
        <v>Property manager</v>
      </c>
      <c r="E74" s="171" t="str">
        <f>INDEX('Customer List Mapping'!$C:$C,MATCH('Full Customer List'!D74,'Customer List Mapping'!$B:$B,0))</f>
        <v>Property Manager</v>
      </c>
      <c r="F74" s="187">
        <f>INDEX('Customer List w Software'!$K:$K,MATCH('Full Customer List'!$B74,'Customer List w Software'!$A:$A,0))</f>
        <v>37</v>
      </c>
      <c r="G74" s="187">
        <f>INDEX('Revenue by Customer'!$I:$I,MATCH('Full Customer List'!$B74,'Revenue by Customer'!$A:$A,0))</f>
        <v>2082</v>
      </c>
      <c r="H74" s="250" t="str">
        <f>IFERROR(IF(C74="Active","",INDEX('Client Departures'!$G:$G,MATCH('Full Customer List'!$B74,'Client Departures'!$A:$A,0))),"Unclassified")</f>
        <v>Unclassified</v>
      </c>
      <c r="I74" s="191">
        <v>46054</v>
      </c>
      <c r="J74" s="191">
        <v>46265</v>
      </c>
      <c r="K74" s="187" t="str">
        <f>INDEX('Revenue by Customer'!K:K,MATCH('Full Customer List'!$B74,'Revenue by Customer'!$A:$A,0))</f>
        <v/>
      </c>
      <c r="L74" s="187" t="str">
        <f>INDEX('Revenue by Customer'!L:L,MATCH('Full Customer List'!$B74,'Revenue by Customer'!$A:$A,0))</f>
        <v/>
      </c>
      <c r="M74" s="187" t="str">
        <f>INDEX('Revenue by Customer'!M:M,MATCH('Full Customer List'!$B74,'Revenue by Customer'!$A:$A,0))</f>
        <v/>
      </c>
      <c r="N74" s="187" t="str">
        <f>INDEX('Revenue by Customer'!N:N,MATCH('Full Customer List'!$B74,'Revenue by Customer'!$A:$A,0))</f>
        <v/>
      </c>
      <c r="O74" s="187" t="str">
        <f>INDEX('Revenue by Customer'!O:O,MATCH('Full Customer List'!$B74,'Revenue by Customer'!$A:$A,0))</f>
        <v/>
      </c>
      <c r="P74" s="187" t="str">
        <f>INDEX('Revenue by Customer'!P:P,MATCH('Full Customer List'!$B74,'Revenue by Customer'!$A:$A,0))</f>
        <v/>
      </c>
      <c r="Q74" s="187" t="str">
        <f>INDEX('Revenue by Customer'!Q:Q,MATCH('Full Customer List'!$B74,'Revenue by Customer'!$A:$A,0))</f>
        <v/>
      </c>
      <c r="R74" s="187" t="str">
        <f>INDEX('Revenue by Customer'!R:R,MATCH('Full Customer List'!$B74,'Revenue by Customer'!$A:$A,0))</f>
        <v/>
      </c>
      <c r="S74" s="187" t="str">
        <f>INDEX('Revenue by Customer'!S:S,MATCH('Full Customer List'!$B74,'Revenue by Customer'!$A:$A,0))</f>
        <v/>
      </c>
      <c r="T74" s="187" t="str">
        <f>INDEX('Revenue by Customer'!T:T,MATCH('Full Customer List'!$B74,'Revenue by Customer'!$A:$A,0))</f>
        <v/>
      </c>
      <c r="U74" s="187" t="str">
        <f>INDEX('Revenue by Customer'!U:U,MATCH('Full Customer List'!$B74,'Revenue by Customer'!$A:$A,0))</f>
        <v/>
      </c>
      <c r="V74" s="187" t="str">
        <f>INDEX('Revenue by Customer'!V:V,MATCH('Full Customer List'!$B74,'Revenue by Customer'!$A:$A,0))</f>
        <v/>
      </c>
      <c r="W74" s="187" t="str">
        <f>INDEX('Revenue by Customer'!W:W,MATCH('Full Customer List'!$B74,'Revenue by Customer'!$A:$A,0))</f>
        <v/>
      </c>
      <c r="X74" s="187">
        <f>INDEX('Revenue by Customer'!X:X,MATCH('Full Customer List'!$B74,'Revenue by Customer'!$A:$A,0))</f>
        <v>975</v>
      </c>
      <c r="Y74" s="187">
        <f>INDEX('Revenue by Customer'!Y:Y,MATCH('Full Customer List'!$B74,'Revenue by Customer'!$A:$A,0))</f>
        <v>2823</v>
      </c>
      <c r="Z74" s="187">
        <f>INDEX('Revenue by Customer'!Z:Z,MATCH('Full Customer List'!$B74,'Revenue by Customer'!$A:$A,0))</f>
        <v>1471</v>
      </c>
      <c r="AA74" s="187">
        <f>INDEX('Revenue by Customer'!AA:AA,MATCH('Full Customer List'!$B74,'Revenue by Customer'!$A:$A,0))</f>
        <v>1944</v>
      </c>
      <c r="AB74" s="187">
        <f>INDEX('Revenue by Customer'!AB:AB,MATCH('Full Customer List'!$B74,'Revenue by Customer'!$A:$A,0))</f>
        <v>2138</v>
      </c>
      <c r="AC74" s="187">
        <f>INDEX('Revenue by Customer'!AC:AC,MATCH('Full Customer List'!$B74,'Revenue by Customer'!$A:$A,0))</f>
        <v>2164</v>
      </c>
    </row>
    <row r="75" spans="2:29" ht="12" customHeight="1">
      <c r="B75" s="171" t="s">
        <v>671</v>
      </c>
      <c r="C75" s="171" t="str">
        <f>INDEX('Customer List w Software'!$B:$B,MATCH('Full Customer List'!$B75,'Customer List w Software'!$A:$A,0))</f>
        <v>Active</v>
      </c>
      <c r="D75" s="171" t="str">
        <f>INDEX('Customer List w Software'!$C:$C,MATCH('Full Customer List'!$B75,'Customer List w Software'!$A:$A,0))</f>
        <v>Property manager</v>
      </c>
      <c r="E75" s="171" t="str">
        <f>INDEX('Customer List Mapping'!$C:$C,MATCH('Full Customer List'!D75,'Customer List Mapping'!$B:$B,0))</f>
        <v>Property Manager</v>
      </c>
      <c r="F75" s="187">
        <f>INDEX('Customer List w Software'!$K:$K,MATCH('Full Customer List'!$B75,'Customer List w Software'!$A:$A,0))</f>
        <v>19</v>
      </c>
      <c r="G75" s="187">
        <f>INDEX('Revenue by Customer'!$I:$I,MATCH('Full Customer List'!$B75,'Revenue by Customer'!$A:$A,0))</f>
        <v>1460.6666666666667</v>
      </c>
      <c r="H75" s="250" t="str">
        <f>IFERROR(IF(C75="Active","",INDEX('Client Departures'!$G:$G,MATCH('Full Customer List'!$B75,'Client Departures'!$A:$A,0))),"Unclassified")</f>
        <v/>
      </c>
      <c r="I75" s="191">
        <v>45200</v>
      </c>
      <c r="J75" s="191"/>
      <c r="K75" s="187">
        <f>INDEX('Revenue by Customer'!K:K,MATCH('Full Customer List'!$B75,'Revenue by Customer'!$A:$A,0))</f>
        <v>699</v>
      </c>
      <c r="L75" s="187">
        <f>INDEX('Revenue by Customer'!L:L,MATCH('Full Customer List'!$B75,'Revenue by Customer'!$A:$A,0))</f>
        <v>623</v>
      </c>
      <c r="M75" s="187">
        <f>INDEX('Revenue by Customer'!M:M,MATCH('Full Customer List'!$B75,'Revenue by Customer'!$A:$A,0))</f>
        <v>623</v>
      </c>
      <c r="N75" s="187">
        <f>INDEX('Revenue by Customer'!N:N,MATCH('Full Customer List'!$B75,'Revenue by Customer'!$A:$A,0))</f>
        <v>712</v>
      </c>
      <c r="O75" s="187">
        <f>INDEX('Revenue by Customer'!O:O,MATCH('Full Customer List'!$B75,'Revenue by Customer'!$A:$A,0))</f>
        <v>801</v>
      </c>
      <c r="P75" s="187">
        <f>INDEX('Revenue by Customer'!P:P,MATCH('Full Customer List'!$B75,'Revenue by Customer'!$A:$A,0))</f>
        <v>712</v>
      </c>
      <c r="Q75" s="187">
        <f>INDEX('Revenue by Customer'!Q:Q,MATCH('Full Customer List'!$B75,'Revenue by Customer'!$A:$A,0))</f>
        <v>801</v>
      </c>
      <c r="R75" s="187">
        <f>INDEX('Revenue by Customer'!R:R,MATCH('Full Customer List'!$B75,'Revenue by Customer'!$A:$A,0))</f>
        <v>445</v>
      </c>
      <c r="S75" s="187">
        <f>INDEX('Revenue by Customer'!S:S,MATCH('Full Customer List'!$B75,'Revenue by Customer'!$A:$A,0))</f>
        <v>356</v>
      </c>
      <c r="T75" s="187">
        <f>INDEX('Revenue by Customer'!T:T,MATCH('Full Customer List'!$B75,'Revenue by Customer'!$A:$A,0))</f>
        <v>590</v>
      </c>
      <c r="U75" s="187">
        <f>INDEX('Revenue by Customer'!U:U,MATCH('Full Customer List'!$B75,'Revenue by Customer'!$A:$A,0))</f>
        <v>590</v>
      </c>
      <c r="V75" s="187">
        <f>INDEX('Revenue by Customer'!V:V,MATCH('Full Customer List'!$B75,'Revenue by Customer'!$A:$A,0))</f>
        <v>680</v>
      </c>
      <c r="W75" s="187">
        <f>INDEX('Revenue by Customer'!W:W,MATCH('Full Customer List'!$B75,'Revenue by Customer'!$A:$A,0))</f>
        <v>790</v>
      </c>
      <c r="X75" s="187">
        <f>INDEX('Revenue by Customer'!X:X,MATCH('Full Customer List'!$B75,'Revenue by Customer'!$A:$A,0))</f>
        <v>1260</v>
      </c>
      <c r="Y75" s="187">
        <f>INDEX('Revenue by Customer'!Y:Y,MATCH('Full Customer List'!$B75,'Revenue by Customer'!$A:$A,0))</f>
        <v>1280</v>
      </c>
      <c r="Z75" s="187">
        <f>INDEX('Revenue by Customer'!Z:Z,MATCH('Full Customer List'!$B75,'Revenue by Customer'!$A:$A,0))</f>
        <v>1140</v>
      </c>
      <c r="AA75" s="187">
        <f>INDEX('Revenue by Customer'!AA:AA,MATCH('Full Customer List'!$B75,'Revenue by Customer'!$A:$A,0))</f>
        <v>1377</v>
      </c>
      <c r="AB75" s="187">
        <f>INDEX('Revenue by Customer'!AB:AB,MATCH('Full Customer List'!$B75,'Revenue by Customer'!$A:$A,0))</f>
        <v>1391</v>
      </c>
      <c r="AC75" s="187">
        <f>INDEX('Revenue by Customer'!AC:AC,MATCH('Full Customer List'!$B75,'Revenue by Customer'!$A:$A,0))</f>
        <v>1614</v>
      </c>
    </row>
    <row r="76" spans="2:29" ht="12" customHeight="1">
      <c r="B76" s="171" t="s">
        <v>672</v>
      </c>
      <c r="C76" s="171" t="str">
        <f>INDEX('Customer List w Software'!$B:$B,MATCH('Full Customer List'!$B76,'Customer List w Software'!$A:$A,0))</f>
        <v>Active</v>
      </c>
      <c r="D76" s="171" t="str">
        <f>INDEX('Customer List w Software'!$C:$C,MATCH('Full Customer List'!$B76,'Customer List w Software'!$A:$A,0))</f>
        <v>Property manager</v>
      </c>
      <c r="E76" s="171" t="str">
        <f>INDEX('Customer List Mapping'!$C:$C,MATCH('Full Customer List'!D76,'Customer List Mapping'!$B:$B,0))</f>
        <v>Property Manager</v>
      </c>
      <c r="F76" s="187">
        <f>INDEX('Customer List w Software'!$K:$K,MATCH('Full Customer List'!$B76,'Customer List w Software'!$A:$A,0))</f>
        <v>28</v>
      </c>
      <c r="G76" s="187">
        <f>INDEX('Revenue by Customer'!$I:$I,MATCH('Full Customer List'!$B76,'Revenue by Customer'!$A:$A,0))</f>
        <v>1231.6666666666667</v>
      </c>
      <c r="H76" s="250" t="str">
        <f>IFERROR(IF(C76="Active","",INDEX('Client Departures'!$G:$G,MATCH('Full Customer List'!$B76,'Client Departures'!$A:$A,0))),"Unclassified")</f>
        <v/>
      </c>
      <c r="I76" s="191">
        <v>45870</v>
      </c>
      <c r="J76" s="191"/>
      <c r="K76" s="187" t="str">
        <f>INDEX('Revenue by Customer'!K:K,MATCH('Full Customer List'!$B76,'Revenue by Customer'!$A:$A,0))</f>
        <v/>
      </c>
      <c r="L76" s="187" t="str">
        <f>INDEX('Revenue by Customer'!L:L,MATCH('Full Customer List'!$B76,'Revenue by Customer'!$A:$A,0))</f>
        <v/>
      </c>
      <c r="M76" s="187" t="str">
        <f>INDEX('Revenue by Customer'!M:M,MATCH('Full Customer List'!$B76,'Revenue by Customer'!$A:$A,0))</f>
        <v/>
      </c>
      <c r="N76" s="187" t="str">
        <f>INDEX('Revenue by Customer'!N:N,MATCH('Full Customer List'!$B76,'Revenue by Customer'!$A:$A,0))</f>
        <v/>
      </c>
      <c r="O76" s="187" t="str">
        <f>INDEX('Revenue by Customer'!O:O,MATCH('Full Customer List'!$B76,'Revenue by Customer'!$A:$A,0))</f>
        <v/>
      </c>
      <c r="P76" s="187" t="str">
        <f>INDEX('Revenue by Customer'!P:P,MATCH('Full Customer List'!$B76,'Revenue by Customer'!$A:$A,0))</f>
        <v/>
      </c>
      <c r="Q76" s="187" t="str">
        <f>INDEX('Revenue by Customer'!Q:Q,MATCH('Full Customer List'!$B76,'Revenue by Customer'!$A:$A,0))</f>
        <v/>
      </c>
      <c r="R76" s="187">
        <f>INDEX('Revenue by Customer'!R:R,MATCH('Full Customer List'!$B76,'Revenue by Customer'!$A:$A,0))</f>
        <v>1360</v>
      </c>
      <c r="S76" s="187">
        <f>INDEX('Revenue by Customer'!S:S,MATCH('Full Customer List'!$B76,'Revenue by Customer'!$A:$A,0))</f>
        <v>675</v>
      </c>
      <c r="T76" s="187">
        <f>INDEX('Revenue by Customer'!T:T,MATCH('Full Customer List'!$B76,'Revenue by Customer'!$A:$A,0))</f>
        <v>675</v>
      </c>
      <c r="U76" s="187">
        <f>INDEX('Revenue by Customer'!U:U,MATCH('Full Customer List'!$B76,'Revenue by Customer'!$A:$A,0))</f>
        <v>780</v>
      </c>
      <c r="V76" s="187">
        <f>INDEX('Revenue by Customer'!V:V,MATCH('Full Customer List'!$B76,'Revenue by Customer'!$A:$A,0))</f>
        <v>780</v>
      </c>
      <c r="W76" s="187">
        <f>INDEX('Revenue by Customer'!W:W,MATCH('Full Customer List'!$B76,'Revenue by Customer'!$A:$A,0))</f>
        <v>780</v>
      </c>
      <c r="X76" s="187">
        <f>INDEX('Revenue by Customer'!X:X,MATCH('Full Customer List'!$B76,'Revenue by Customer'!$A:$A,0))</f>
        <v>900</v>
      </c>
      <c r="Y76" s="187">
        <f>INDEX('Revenue by Customer'!Y:Y,MATCH('Full Customer List'!$B76,'Revenue by Customer'!$A:$A,0))</f>
        <v>780</v>
      </c>
      <c r="Z76" s="187">
        <f>INDEX('Revenue by Customer'!Z:Z,MATCH('Full Customer List'!$B76,'Revenue by Customer'!$A:$A,0))</f>
        <v>780</v>
      </c>
      <c r="AA76" s="187">
        <f>INDEX('Revenue by Customer'!AA:AA,MATCH('Full Customer List'!$B76,'Revenue by Customer'!$A:$A,0))</f>
        <v>780</v>
      </c>
      <c r="AB76" s="187">
        <f>INDEX('Revenue by Customer'!AB:AB,MATCH('Full Customer List'!$B76,'Revenue by Customer'!$A:$A,0))</f>
        <v>1030</v>
      </c>
      <c r="AC76" s="187">
        <f>INDEX('Revenue by Customer'!AC:AC,MATCH('Full Customer List'!$B76,'Revenue by Customer'!$A:$A,0))</f>
        <v>1885</v>
      </c>
    </row>
    <row r="77" spans="2:29" ht="12" customHeight="1">
      <c r="B77" s="171" t="s">
        <v>673</v>
      </c>
      <c r="C77" s="171" t="str">
        <f>INDEX('Customer List w Software'!$B:$B,MATCH('Full Customer List'!$B77,'Customer List w Software'!$A:$A,0))</f>
        <v>Active</v>
      </c>
      <c r="D77" s="171" t="str">
        <f>INDEX('Customer List w Software'!$C:$C,MATCH('Full Customer List'!$B77,'Customer List w Software'!$A:$A,0))</f>
        <v>Property manager</v>
      </c>
      <c r="E77" s="171" t="str">
        <f>INDEX('Customer List Mapping'!$C:$C,MATCH('Full Customer List'!D77,'Customer List Mapping'!$B:$B,0))</f>
        <v>Property Manager</v>
      </c>
      <c r="F77" s="187">
        <f>INDEX('Customer List w Software'!$K:$K,MATCH('Full Customer List'!$B77,'Customer List w Software'!$A:$A,0))</f>
        <v>13</v>
      </c>
      <c r="G77" s="187">
        <f>INDEX('Revenue by Customer'!$I:$I,MATCH('Full Customer List'!$B77,'Revenue by Customer'!$A:$A,0))</f>
        <v>1125</v>
      </c>
      <c r="H77" s="250" t="str">
        <f>IFERROR(IF(C77="Active","",INDEX('Client Departures'!$G:$G,MATCH('Full Customer List'!$B77,'Client Departures'!$A:$A,0))),"Unclassified")</f>
        <v/>
      </c>
      <c r="I77" s="191">
        <v>45658</v>
      </c>
      <c r="J77" s="191"/>
      <c r="K77" s="187" t="str">
        <f>INDEX('Revenue by Customer'!K:K,MATCH('Full Customer List'!$B77,'Revenue by Customer'!$A:$A,0))</f>
        <v/>
      </c>
      <c r="L77" s="187" t="str">
        <f>INDEX('Revenue by Customer'!L:L,MATCH('Full Customer List'!$B77,'Revenue by Customer'!$A:$A,0))</f>
        <v/>
      </c>
      <c r="M77" s="187" t="str">
        <f>INDEX('Revenue by Customer'!M:M,MATCH('Full Customer List'!$B77,'Revenue by Customer'!$A:$A,0))</f>
        <v/>
      </c>
      <c r="N77" s="187" t="str">
        <f>INDEX('Revenue by Customer'!N:N,MATCH('Full Customer List'!$B77,'Revenue by Customer'!$A:$A,0))</f>
        <v/>
      </c>
      <c r="O77" s="187" t="str">
        <f>INDEX('Revenue by Customer'!O:O,MATCH('Full Customer List'!$B77,'Revenue by Customer'!$A:$A,0))</f>
        <v/>
      </c>
      <c r="P77" s="187" t="str">
        <f>INDEX('Revenue by Customer'!P:P,MATCH('Full Customer List'!$B77,'Revenue by Customer'!$A:$A,0))</f>
        <v/>
      </c>
      <c r="Q77" s="187" t="str">
        <f>INDEX('Revenue by Customer'!Q:Q,MATCH('Full Customer List'!$B77,'Revenue by Customer'!$A:$A,0))</f>
        <v/>
      </c>
      <c r="R77" s="187" t="str">
        <f>INDEX('Revenue by Customer'!R:R,MATCH('Full Customer List'!$B77,'Revenue by Customer'!$A:$A,0))</f>
        <v/>
      </c>
      <c r="S77" s="187" t="str">
        <f>INDEX('Revenue by Customer'!S:S,MATCH('Full Customer List'!$B77,'Revenue by Customer'!$A:$A,0))</f>
        <v/>
      </c>
      <c r="T77" s="187">
        <f>INDEX('Revenue by Customer'!T:T,MATCH('Full Customer List'!$B77,'Revenue by Customer'!$A:$A,0))</f>
        <v>1600</v>
      </c>
      <c r="U77" s="187">
        <f>INDEX('Revenue by Customer'!U:U,MATCH('Full Customer List'!$B77,'Revenue by Customer'!$A:$A,0))</f>
        <v>850</v>
      </c>
      <c r="V77" s="187">
        <f>INDEX('Revenue by Customer'!V:V,MATCH('Full Customer List'!$B77,'Revenue by Customer'!$A:$A,0))</f>
        <v>1180</v>
      </c>
      <c r="W77" s="187">
        <f>INDEX('Revenue by Customer'!W:W,MATCH('Full Customer List'!$B77,'Revenue by Customer'!$A:$A,0))</f>
        <v>925</v>
      </c>
      <c r="X77" s="187">
        <f>INDEX('Revenue by Customer'!X:X,MATCH('Full Customer List'!$B77,'Revenue by Customer'!$A:$A,0))</f>
        <v>925</v>
      </c>
      <c r="Y77" s="187">
        <f>INDEX('Revenue by Customer'!Y:Y,MATCH('Full Customer List'!$B77,'Revenue by Customer'!$A:$A,0))</f>
        <v>1000</v>
      </c>
      <c r="Z77" s="187">
        <f>INDEX('Revenue by Customer'!Z:Z,MATCH('Full Customer List'!$B77,'Revenue by Customer'!$A:$A,0))</f>
        <v>1075</v>
      </c>
      <c r="AA77" s="187">
        <f>INDEX('Revenue by Customer'!AA:AA,MATCH('Full Customer List'!$B77,'Revenue by Customer'!$A:$A,0))</f>
        <v>1150</v>
      </c>
      <c r="AB77" s="187">
        <f>INDEX('Revenue by Customer'!AB:AB,MATCH('Full Customer List'!$B77,'Revenue by Customer'!$A:$A,0))</f>
        <v>1150</v>
      </c>
      <c r="AC77" s="187">
        <f>INDEX('Revenue by Customer'!AC:AC,MATCH('Full Customer List'!$B77,'Revenue by Customer'!$A:$A,0))</f>
        <v>1075</v>
      </c>
    </row>
    <row r="78" spans="2:29" ht="12" customHeight="1">
      <c r="B78" s="171" t="s">
        <v>674</v>
      </c>
      <c r="C78" s="171" t="str">
        <f>INDEX('Customer List w Software'!$B:$B,MATCH('Full Customer List'!$B78,'Customer List w Software'!$A:$A,0))</f>
        <v>Active</v>
      </c>
      <c r="D78" s="171" t="str">
        <f>INDEX('Customer List w Software'!$C:$C,MATCH('Full Customer List'!$B78,'Customer List w Software'!$A:$A,0))</f>
        <v>Property manager</v>
      </c>
      <c r="E78" s="171" t="str">
        <f>INDEX('Customer List Mapping'!$C:$C,MATCH('Full Customer List'!D78,'Customer List Mapping'!$B:$B,0))</f>
        <v>Property Manager</v>
      </c>
      <c r="F78" s="187">
        <f>INDEX('Customer List w Software'!$K:$K,MATCH('Full Customer List'!$B78,'Customer List w Software'!$A:$A,0))</f>
        <v>14</v>
      </c>
      <c r="G78" s="187">
        <f>INDEX('Revenue by Customer'!$I:$I,MATCH('Full Customer List'!$B78,'Revenue by Customer'!$A:$A,0))</f>
        <v>1696</v>
      </c>
      <c r="H78" s="250" t="str">
        <f>IFERROR(IF(C78="Active","",INDEX('Client Departures'!$G:$G,MATCH('Full Customer List'!$B78,'Client Departures'!$A:$A,0))),"Unclassified")</f>
        <v/>
      </c>
      <c r="I78" s="191">
        <v>46054</v>
      </c>
      <c r="J78" s="191"/>
      <c r="K78" s="187" t="str">
        <f>INDEX('Revenue by Customer'!K:K,MATCH('Full Customer List'!$B78,'Revenue by Customer'!$A:$A,0))</f>
        <v/>
      </c>
      <c r="L78" s="187" t="str">
        <f>INDEX('Revenue by Customer'!L:L,MATCH('Full Customer List'!$B78,'Revenue by Customer'!$A:$A,0))</f>
        <v/>
      </c>
      <c r="M78" s="187" t="str">
        <f>INDEX('Revenue by Customer'!M:M,MATCH('Full Customer List'!$B78,'Revenue by Customer'!$A:$A,0))</f>
        <v/>
      </c>
      <c r="N78" s="187" t="str">
        <f>INDEX('Revenue by Customer'!N:N,MATCH('Full Customer List'!$B78,'Revenue by Customer'!$A:$A,0))</f>
        <v/>
      </c>
      <c r="O78" s="187" t="str">
        <f>INDEX('Revenue by Customer'!O:O,MATCH('Full Customer List'!$B78,'Revenue by Customer'!$A:$A,0))</f>
        <v/>
      </c>
      <c r="P78" s="187" t="str">
        <f>INDEX('Revenue by Customer'!P:P,MATCH('Full Customer List'!$B78,'Revenue by Customer'!$A:$A,0))</f>
        <v/>
      </c>
      <c r="Q78" s="187" t="str">
        <f>INDEX('Revenue by Customer'!Q:Q,MATCH('Full Customer List'!$B78,'Revenue by Customer'!$A:$A,0))</f>
        <v/>
      </c>
      <c r="R78" s="187" t="str">
        <f>INDEX('Revenue by Customer'!R:R,MATCH('Full Customer List'!$B78,'Revenue by Customer'!$A:$A,0))</f>
        <v/>
      </c>
      <c r="S78" s="187" t="str">
        <f>INDEX('Revenue by Customer'!S:S,MATCH('Full Customer List'!$B78,'Revenue by Customer'!$A:$A,0))</f>
        <v/>
      </c>
      <c r="T78" s="187" t="str">
        <f>INDEX('Revenue by Customer'!T:T,MATCH('Full Customer List'!$B78,'Revenue by Customer'!$A:$A,0))</f>
        <v/>
      </c>
      <c r="U78" s="187" t="str">
        <f>INDEX('Revenue by Customer'!U:U,MATCH('Full Customer List'!$B78,'Revenue by Customer'!$A:$A,0))</f>
        <v/>
      </c>
      <c r="V78" s="187" t="str">
        <f>INDEX('Revenue by Customer'!V:V,MATCH('Full Customer List'!$B78,'Revenue by Customer'!$A:$A,0))</f>
        <v/>
      </c>
      <c r="W78" s="187" t="str">
        <f>INDEX('Revenue by Customer'!W:W,MATCH('Full Customer List'!$B78,'Revenue by Customer'!$A:$A,0))</f>
        <v/>
      </c>
      <c r="X78" s="187">
        <f>INDEX('Revenue by Customer'!X:X,MATCH('Full Customer List'!$B78,'Revenue by Customer'!$A:$A,0))</f>
        <v>2242</v>
      </c>
      <c r="Y78" s="187">
        <f>INDEX('Revenue by Customer'!Y:Y,MATCH('Full Customer List'!$B78,'Revenue by Customer'!$A:$A,0))</f>
        <v>1666</v>
      </c>
      <c r="Z78" s="187">
        <f>INDEX('Revenue by Customer'!Z:Z,MATCH('Full Customer List'!$B78,'Revenue by Customer'!$A:$A,0))</f>
        <v>1783</v>
      </c>
      <c r="AA78" s="187">
        <f>INDEX('Revenue by Customer'!AA:AA,MATCH('Full Customer List'!$B78,'Revenue by Customer'!$A:$A,0))</f>
        <v>1696</v>
      </c>
      <c r="AB78" s="187">
        <f>INDEX('Revenue by Customer'!AB:AB,MATCH('Full Customer List'!$B78,'Revenue by Customer'!$A:$A,0))</f>
        <v>1696</v>
      </c>
      <c r="AC78" s="187">
        <f>INDEX('Revenue by Customer'!AC:AC,MATCH('Full Customer List'!$B78,'Revenue by Customer'!$A:$A,0))</f>
        <v>1696</v>
      </c>
    </row>
    <row r="79" spans="2:29" ht="12" customHeight="1">
      <c r="B79" s="171" t="s">
        <v>675</v>
      </c>
      <c r="C79" s="171" t="str">
        <f>INDEX('Customer List w Software'!$B:$B,MATCH('Full Customer List'!$B79,'Customer List w Software'!$A:$A,0))</f>
        <v>Active</v>
      </c>
      <c r="D79" s="171" t="str">
        <f>INDEX('Customer List w Software'!$C:$C,MATCH('Full Customer List'!$B79,'Customer List w Software'!$A:$A,0))</f>
        <v>Property manager</v>
      </c>
      <c r="E79" s="171" t="str">
        <f>INDEX('Customer List Mapping'!$C:$C,MATCH('Full Customer List'!D79,'Customer List Mapping'!$B:$B,0))</f>
        <v>Property Manager</v>
      </c>
      <c r="F79" s="187">
        <f>INDEX('Customer List w Software'!$K:$K,MATCH('Full Customer List'!$B79,'Customer List w Software'!$A:$A,0))</f>
        <v>9</v>
      </c>
      <c r="G79" s="187">
        <f>INDEX('Revenue by Customer'!$I:$I,MATCH('Full Customer List'!$B79,'Revenue by Customer'!$A:$A,0))</f>
        <v>855</v>
      </c>
      <c r="H79" s="250" t="str">
        <f>IFERROR(IF(C79="Active","",INDEX('Client Departures'!$G:$G,MATCH('Full Customer List'!$B79,'Client Departures'!$A:$A,0))),"Unclassified")</f>
        <v/>
      </c>
      <c r="I79" s="191">
        <v>45261</v>
      </c>
      <c r="J79" s="191"/>
      <c r="K79" s="187">
        <f>INDEX('Revenue by Customer'!K:K,MATCH('Full Customer List'!$B79,'Revenue by Customer'!$A:$A,0))</f>
        <v>1030</v>
      </c>
      <c r="L79" s="187">
        <f>INDEX('Revenue by Customer'!L:L,MATCH('Full Customer List'!$B79,'Revenue by Customer'!$A:$A,0))</f>
        <v>820</v>
      </c>
      <c r="M79" s="187">
        <f>INDEX('Revenue by Customer'!M:M,MATCH('Full Customer List'!$B79,'Revenue by Customer'!$A:$A,0))</f>
        <v>855</v>
      </c>
      <c r="N79" s="187">
        <f>INDEX('Revenue by Customer'!N:N,MATCH('Full Customer List'!$B79,'Revenue by Customer'!$A:$A,0))</f>
        <v>785</v>
      </c>
      <c r="O79" s="187">
        <f>INDEX('Revenue by Customer'!O:O,MATCH('Full Customer List'!$B79,'Revenue by Customer'!$A:$A,0))</f>
        <v>820</v>
      </c>
      <c r="P79" s="187">
        <f>INDEX('Revenue by Customer'!P:P,MATCH('Full Customer List'!$B79,'Revenue by Customer'!$A:$A,0))</f>
        <v>820</v>
      </c>
      <c r="Q79" s="187">
        <f>INDEX('Revenue by Customer'!Q:Q,MATCH('Full Customer List'!$B79,'Revenue by Customer'!$A:$A,0))</f>
        <v>980</v>
      </c>
      <c r="R79" s="187">
        <f>INDEX('Revenue by Customer'!R:R,MATCH('Full Customer List'!$B79,'Revenue by Customer'!$A:$A,0))</f>
        <v>980</v>
      </c>
      <c r="S79" s="187">
        <f>INDEX('Revenue by Customer'!S:S,MATCH('Full Customer List'!$B79,'Revenue by Customer'!$A:$A,0))</f>
        <v>1045</v>
      </c>
      <c r="T79" s="187">
        <f>INDEX('Revenue by Customer'!T:T,MATCH('Full Customer List'!$B79,'Revenue by Customer'!$A:$A,0))</f>
        <v>940</v>
      </c>
      <c r="U79" s="187">
        <f>INDEX('Revenue by Customer'!U:U,MATCH('Full Customer List'!$B79,'Revenue by Customer'!$A:$A,0))</f>
        <v>970</v>
      </c>
      <c r="V79" s="187">
        <f>INDEX('Revenue by Customer'!V:V,MATCH('Full Customer List'!$B79,'Revenue by Customer'!$A:$A,0))</f>
        <v>865</v>
      </c>
      <c r="W79" s="187">
        <f>INDEX('Revenue by Customer'!W:W,MATCH('Full Customer List'!$B79,'Revenue by Customer'!$A:$A,0))</f>
        <v>865</v>
      </c>
      <c r="X79" s="187">
        <f>INDEX('Revenue by Customer'!X:X,MATCH('Full Customer List'!$B79,'Revenue by Customer'!$A:$A,0))</f>
        <v>1000</v>
      </c>
      <c r="Y79" s="187">
        <f>INDEX('Revenue by Customer'!Y:Y,MATCH('Full Customer List'!$B79,'Revenue by Customer'!$A:$A,0))</f>
        <v>760</v>
      </c>
      <c r="Z79" s="187">
        <f>INDEX('Revenue by Customer'!Z:Z,MATCH('Full Customer List'!$B79,'Revenue by Customer'!$A:$A,0))</f>
        <v>780</v>
      </c>
      <c r="AA79" s="187">
        <f>INDEX('Revenue by Customer'!AA:AA,MATCH('Full Customer List'!$B79,'Revenue by Customer'!$A:$A,0))</f>
        <v>805</v>
      </c>
      <c r="AB79" s="187">
        <f>INDEX('Revenue by Customer'!AB:AB,MATCH('Full Customer List'!$B79,'Revenue by Customer'!$A:$A,0))</f>
        <v>985</v>
      </c>
      <c r="AC79" s="187">
        <f>INDEX('Revenue by Customer'!AC:AC,MATCH('Full Customer List'!$B79,'Revenue by Customer'!$A:$A,0))</f>
        <v>775</v>
      </c>
    </row>
    <row r="80" spans="2:29" ht="12" customHeight="1">
      <c r="B80" s="171" t="s">
        <v>676</v>
      </c>
      <c r="C80" s="171" t="str">
        <f>INDEX('Customer List w Software'!$B:$B,MATCH('Full Customer List'!$B80,'Customer List w Software'!$A:$A,0))</f>
        <v>Active</v>
      </c>
      <c r="D80" s="171" t="str">
        <f>INDEX('Customer List w Software'!$C:$C,MATCH('Full Customer List'!$B80,'Customer List w Software'!$A:$A,0))</f>
        <v>Property manager</v>
      </c>
      <c r="E80" s="171" t="str">
        <f>INDEX('Customer List Mapping'!$C:$C,MATCH('Full Customer List'!D80,'Customer List Mapping'!$B:$B,0))</f>
        <v>Property Manager</v>
      </c>
      <c r="F80" s="187">
        <f>INDEX('Customer List w Software'!$K:$K,MATCH('Full Customer List'!$B80,'Customer List w Software'!$A:$A,0))</f>
        <v>15</v>
      </c>
      <c r="G80" s="187">
        <f>INDEX('Revenue by Customer'!$I:$I,MATCH('Full Customer List'!$B80,'Revenue by Customer'!$A:$A,0))</f>
        <v>1100</v>
      </c>
      <c r="H80" s="250" t="str">
        <f>IFERROR(IF(C80="Active","",INDEX('Client Departures'!$G:$G,MATCH('Full Customer List'!$B80,'Client Departures'!$A:$A,0))),"Unclassified")</f>
        <v/>
      </c>
      <c r="I80" s="191">
        <v>45261</v>
      </c>
      <c r="J80" s="191"/>
      <c r="K80" s="187">
        <f>INDEX('Revenue by Customer'!K:K,MATCH('Full Customer List'!$B80,'Revenue by Customer'!$A:$A,0))</f>
        <v>875</v>
      </c>
      <c r="L80" s="187">
        <f>INDEX('Revenue by Customer'!L:L,MATCH('Full Customer List'!$B80,'Revenue by Customer'!$A:$A,0))</f>
        <v>725</v>
      </c>
      <c r="M80" s="187">
        <f>INDEX('Revenue by Customer'!M:M,MATCH('Full Customer List'!$B80,'Revenue by Customer'!$A:$A,0))</f>
        <v>725</v>
      </c>
      <c r="N80" s="187">
        <f>INDEX('Revenue by Customer'!N:N,MATCH('Full Customer List'!$B80,'Revenue by Customer'!$A:$A,0))</f>
        <v>725</v>
      </c>
      <c r="O80" s="187">
        <f>INDEX('Revenue by Customer'!O:O,MATCH('Full Customer List'!$B80,'Revenue by Customer'!$A:$A,0))</f>
        <v>500</v>
      </c>
      <c r="P80" s="187">
        <f>INDEX('Revenue by Customer'!P:P,MATCH('Full Customer List'!$B80,'Revenue by Customer'!$A:$A,0))</f>
        <v>500</v>
      </c>
      <c r="Q80" s="187">
        <f>INDEX('Revenue by Customer'!Q:Q,MATCH('Full Customer List'!$B80,'Revenue by Customer'!$A:$A,0))</f>
        <v>500</v>
      </c>
      <c r="R80" s="187">
        <f>INDEX('Revenue by Customer'!R:R,MATCH('Full Customer List'!$B80,'Revenue by Customer'!$A:$A,0))</f>
        <v>575</v>
      </c>
      <c r="S80" s="187">
        <f>INDEX('Revenue by Customer'!S:S,MATCH('Full Customer List'!$B80,'Revenue by Customer'!$A:$A,0))</f>
        <v>425</v>
      </c>
      <c r="T80" s="187">
        <f>INDEX('Revenue by Customer'!T:T,MATCH('Full Customer List'!$B80,'Revenue by Customer'!$A:$A,0))</f>
        <v>575</v>
      </c>
      <c r="U80" s="187">
        <f>INDEX('Revenue by Customer'!U:U,MATCH('Full Customer List'!$B80,'Revenue by Customer'!$A:$A,0))</f>
        <v>650</v>
      </c>
      <c r="V80" s="187">
        <f>INDEX('Revenue by Customer'!V:V,MATCH('Full Customer List'!$B80,'Revenue by Customer'!$A:$A,0))</f>
        <v>850</v>
      </c>
      <c r="W80" s="187">
        <f>INDEX('Revenue by Customer'!W:W,MATCH('Full Customer List'!$B80,'Revenue by Customer'!$A:$A,0))</f>
        <v>850</v>
      </c>
      <c r="X80" s="187">
        <f>INDEX('Revenue by Customer'!X:X,MATCH('Full Customer List'!$B80,'Revenue by Customer'!$A:$A,0))</f>
        <v>1315</v>
      </c>
      <c r="Y80" s="187">
        <f>INDEX('Revenue by Customer'!Y:Y,MATCH('Full Customer List'!$B80,'Revenue by Customer'!$A:$A,0))</f>
        <v>1075</v>
      </c>
      <c r="Z80" s="187">
        <f>INDEX('Revenue by Customer'!Z:Z,MATCH('Full Customer List'!$B80,'Revenue by Customer'!$A:$A,0))</f>
        <v>1150</v>
      </c>
      <c r="AA80" s="187">
        <f>INDEX('Revenue by Customer'!AA:AA,MATCH('Full Customer List'!$B80,'Revenue by Customer'!$A:$A,0))</f>
        <v>1150</v>
      </c>
      <c r="AB80" s="187">
        <f>INDEX('Revenue by Customer'!AB:AB,MATCH('Full Customer List'!$B80,'Revenue by Customer'!$A:$A,0))</f>
        <v>1075</v>
      </c>
      <c r="AC80" s="187">
        <f>INDEX('Revenue by Customer'!AC:AC,MATCH('Full Customer List'!$B80,'Revenue by Customer'!$A:$A,0))</f>
        <v>1075</v>
      </c>
    </row>
    <row r="81" spans="2:29" ht="12" customHeight="1">
      <c r="B81" s="171" t="s">
        <v>677</v>
      </c>
      <c r="C81" s="171" t="str">
        <f>INDEX('Customer List w Software'!$B:$B,MATCH('Full Customer List'!$B81,'Customer List w Software'!$A:$A,0))</f>
        <v>Active</v>
      </c>
      <c r="D81" s="171" t="str">
        <f>INDEX('Customer List w Software'!$C:$C,MATCH('Full Customer List'!$B81,'Customer List w Software'!$A:$A,0))</f>
        <v>STR owner</v>
      </c>
      <c r="E81" s="171" t="str">
        <f>INDEX('Customer List Mapping'!$C:$C,MATCH('Full Customer List'!D81,'Customer List Mapping'!$B:$B,0))</f>
        <v>STR Owner</v>
      </c>
      <c r="F81" s="187">
        <f>INDEX('Customer List w Software'!$K:$K,MATCH('Full Customer List'!$B81,'Customer List w Software'!$A:$A,0))</f>
        <v>14</v>
      </c>
      <c r="G81" s="187">
        <f>INDEX('Revenue by Customer'!$I:$I,MATCH('Full Customer List'!$B81,'Revenue by Customer'!$A:$A,0))</f>
        <v>828.66666666666663</v>
      </c>
      <c r="H81" s="250" t="str">
        <f>IFERROR(IF(C81="Active","",INDEX('Client Departures'!$G:$G,MATCH('Full Customer List'!$B81,'Client Departures'!$A:$A,0))),"Unclassified")</f>
        <v/>
      </c>
      <c r="I81" s="191">
        <v>45658</v>
      </c>
      <c r="J81" s="191"/>
      <c r="K81" s="187">
        <f>INDEX('Revenue by Customer'!K:K,MATCH('Full Customer List'!$B81,'Revenue by Customer'!$A:$A,0))</f>
        <v>1472.5</v>
      </c>
      <c r="L81" s="187">
        <f>INDEX('Revenue by Customer'!L:L,MATCH('Full Customer List'!$B81,'Revenue by Customer'!$A:$A,0))</f>
        <v>722.5</v>
      </c>
      <c r="M81" s="187">
        <f>INDEX('Revenue by Customer'!M:M,MATCH('Full Customer List'!$B81,'Revenue by Customer'!$A:$A,0))</f>
        <v>722.5</v>
      </c>
      <c r="N81" s="187">
        <f>INDEX('Revenue by Customer'!N:N,MATCH('Full Customer List'!$B81,'Revenue by Customer'!$A:$A,0))</f>
        <v>850</v>
      </c>
      <c r="O81" s="187">
        <f>INDEX('Revenue by Customer'!O:O,MATCH('Full Customer List'!$B81,'Revenue by Customer'!$A:$A,0))</f>
        <v>850</v>
      </c>
      <c r="P81" s="187">
        <f>INDEX('Revenue by Customer'!P:P,MATCH('Full Customer List'!$B81,'Revenue by Customer'!$A:$A,0))</f>
        <v>850</v>
      </c>
      <c r="Q81" s="187">
        <f>INDEX('Revenue by Customer'!Q:Q,MATCH('Full Customer List'!$B81,'Revenue by Customer'!$A:$A,0))</f>
        <v>850</v>
      </c>
      <c r="R81" s="187">
        <f>INDEX('Revenue by Customer'!R:R,MATCH('Full Customer List'!$B81,'Revenue by Customer'!$A:$A,0))</f>
        <v>850</v>
      </c>
      <c r="S81" s="187">
        <f>INDEX('Revenue by Customer'!S:S,MATCH('Full Customer List'!$B81,'Revenue by Customer'!$A:$A,0))</f>
        <v>850</v>
      </c>
      <c r="T81" s="187">
        <f>INDEX('Revenue by Customer'!T:T,MATCH('Full Customer List'!$B81,'Revenue by Customer'!$A:$A,0))</f>
        <v>850</v>
      </c>
      <c r="U81" s="187">
        <f>INDEX('Revenue by Customer'!U:U,MATCH('Full Customer List'!$B81,'Revenue by Customer'!$A:$A,0))</f>
        <v>850</v>
      </c>
      <c r="V81" s="187">
        <f>INDEX('Revenue by Customer'!V:V,MATCH('Full Customer List'!$B81,'Revenue by Customer'!$A:$A,0))</f>
        <v>925</v>
      </c>
      <c r="W81" s="187">
        <f>INDEX('Revenue by Customer'!W:W,MATCH('Full Customer List'!$B81,'Revenue by Customer'!$A:$A,0))</f>
        <v>957</v>
      </c>
      <c r="X81" s="187">
        <f>INDEX('Revenue by Customer'!X:X,MATCH('Full Customer List'!$B81,'Revenue by Customer'!$A:$A,0))</f>
        <v>1002</v>
      </c>
      <c r="Y81" s="187">
        <f>INDEX('Revenue by Customer'!Y:Y,MATCH('Full Customer List'!$B81,'Revenue by Customer'!$A:$A,0))</f>
        <v>957</v>
      </c>
      <c r="Z81" s="187">
        <f>INDEX('Revenue by Customer'!Z:Z,MATCH('Full Customer List'!$B81,'Revenue by Customer'!$A:$A,0))</f>
        <v>957</v>
      </c>
      <c r="AA81" s="187">
        <f>INDEX('Revenue by Customer'!AA:AA,MATCH('Full Customer List'!$B81,'Revenue by Customer'!$A:$A,0))</f>
        <v>957</v>
      </c>
      <c r="AB81" s="187">
        <f>INDEX('Revenue by Customer'!AB:AB,MATCH('Full Customer List'!$B81,'Revenue by Customer'!$A:$A,0))</f>
        <v>803</v>
      </c>
      <c r="AC81" s="187">
        <f>INDEX('Revenue by Customer'!AC:AC,MATCH('Full Customer List'!$B81,'Revenue by Customer'!$A:$A,0))</f>
        <v>726</v>
      </c>
    </row>
    <row r="82" spans="2:29" ht="12" customHeight="1">
      <c r="B82" s="171" t="s">
        <v>683</v>
      </c>
      <c r="C82" s="171" t="str">
        <f>INDEX('Customer List w Software'!$B:$B,MATCH('Full Customer List'!$B82,'Customer List w Software'!$A:$A,0))</f>
        <v>Former client</v>
      </c>
      <c r="D82" s="171" t="str">
        <f>INDEX('Customer List w Software'!$C:$C,MATCH('Full Customer List'!$B82,'Customer List w Software'!$A:$A,0))</f>
        <v>Property manager</v>
      </c>
      <c r="E82" s="171" t="str">
        <f>INDEX('Customer List Mapping'!$C:$C,MATCH('Full Customer List'!D82,'Customer List Mapping'!$B:$B,0))</f>
        <v>Property Manager</v>
      </c>
      <c r="F82" s="187">
        <f>INDEX('Customer List w Software'!$K:$K,MATCH('Full Customer List'!$B82,'Customer List w Software'!$A:$A,0))</f>
        <v>13</v>
      </c>
      <c r="G82" s="187">
        <f>INDEX('Revenue by Customer'!$I:$I,MATCH('Full Customer List'!$B82,'Revenue by Customer'!$A:$A,0))</f>
        <v>1450</v>
      </c>
      <c r="H82" s="250" t="str">
        <f>IFERROR(IF(C82="Active","",INDEX('Client Departures'!$G:$G,MATCH('Full Customer List'!$B82,'Client Departures'!$A:$A,0))),"Unclassified")</f>
        <v>Unclassified</v>
      </c>
      <c r="I82" s="191">
        <v>45627</v>
      </c>
      <c r="J82" s="191">
        <v>46112</v>
      </c>
      <c r="K82" s="187">
        <f>INDEX('Revenue by Customer'!K:K,MATCH('Full Customer List'!$B82,'Revenue by Customer'!$A:$A,0))</f>
        <v>1150</v>
      </c>
      <c r="L82" s="187">
        <f>INDEX('Revenue by Customer'!L:L,MATCH('Full Customer List'!$B82,'Revenue by Customer'!$A:$A,0))</f>
        <v>1630</v>
      </c>
      <c r="M82" s="187">
        <f>INDEX('Revenue by Customer'!M:M,MATCH('Full Customer List'!$B82,'Revenue by Customer'!$A:$A,0))</f>
        <v>1000</v>
      </c>
      <c r="N82" s="187">
        <f>INDEX('Revenue by Customer'!N:N,MATCH('Full Customer List'!$B82,'Revenue by Customer'!$A:$A,0))</f>
        <v>1000</v>
      </c>
      <c r="O82" s="187">
        <f>INDEX('Revenue by Customer'!O:O,MATCH('Full Customer List'!$B82,'Revenue by Customer'!$A:$A,0))</f>
        <v>1500</v>
      </c>
      <c r="P82" s="187">
        <f>INDEX('Revenue by Customer'!P:P,MATCH('Full Customer List'!$B82,'Revenue by Customer'!$A:$A,0))</f>
        <v>1075</v>
      </c>
      <c r="Q82" s="187">
        <f>INDEX('Revenue by Customer'!Q:Q,MATCH('Full Customer List'!$B82,'Revenue by Customer'!$A:$A,0))</f>
        <v>1075</v>
      </c>
      <c r="R82" s="187">
        <f>INDEX('Revenue by Customer'!R:R,MATCH('Full Customer List'!$B82,'Revenue by Customer'!$A:$A,0))</f>
        <v>1075</v>
      </c>
      <c r="S82" s="187">
        <f>INDEX('Revenue by Customer'!S:S,MATCH('Full Customer List'!$B82,'Revenue by Customer'!$A:$A,0))</f>
        <v>1225</v>
      </c>
      <c r="T82" s="187">
        <f>INDEX('Revenue by Customer'!T:T,MATCH('Full Customer List'!$B82,'Revenue by Customer'!$A:$A,0))</f>
        <v>1075</v>
      </c>
      <c r="U82" s="187">
        <f>INDEX('Revenue by Customer'!U:U,MATCH('Full Customer List'!$B82,'Revenue by Customer'!$A:$A,0))</f>
        <v>1545</v>
      </c>
      <c r="V82" s="187">
        <f>INDEX('Revenue by Customer'!V:V,MATCH('Full Customer List'!$B82,'Revenue by Customer'!$A:$A,0))</f>
        <v>1285</v>
      </c>
      <c r="W82" s="187">
        <f>INDEX('Revenue by Customer'!W:W,MATCH('Full Customer List'!$B82,'Revenue by Customer'!$A:$A,0))</f>
        <v>1285</v>
      </c>
      <c r="X82" s="187">
        <f>INDEX('Revenue by Customer'!X:X,MATCH('Full Customer List'!$B82,'Revenue by Customer'!$A:$A,0))</f>
        <v>1735</v>
      </c>
      <c r="Y82" s="187">
        <f>INDEX('Revenue by Customer'!Y:Y,MATCH('Full Customer List'!$B82,'Revenue by Customer'!$A:$A,0))</f>
        <v>1330</v>
      </c>
      <c r="Z82" s="187">
        <f>INDEX('Revenue by Customer'!Z:Z,MATCH('Full Customer List'!$B82,'Revenue by Customer'!$A:$A,0))</f>
        <v>0</v>
      </c>
      <c r="AA82" s="187" t="str">
        <f>INDEX('Revenue by Customer'!AA:AA,MATCH('Full Customer List'!$B82,'Revenue by Customer'!$A:$A,0))</f>
        <v/>
      </c>
      <c r="AB82" s="187" t="str">
        <f>INDEX('Revenue by Customer'!AB:AB,MATCH('Full Customer List'!$B82,'Revenue by Customer'!$A:$A,0))</f>
        <v/>
      </c>
      <c r="AC82" s="187" t="str">
        <f>INDEX('Revenue by Customer'!AC:AC,MATCH('Full Customer List'!$B82,'Revenue by Customer'!$A:$A,0))</f>
        <v/>
      </c>
    </row>
    <row r="83" spans="2:29" ht="12" customHeight="1">
      <c r="B83" s="171" t="s">
        <v>684</v>
      </c>
      <c r="C83" s="171" t="str">
        <f>INDEX('Customer List w Software'!$B:$B,MATCH('Full Customer List'!$B83,'Customer List w Software'!$A:$A,0))</f>
        <v>Active</v>
      </c>
      <c r="D83" s="171" t="str">
        <f>INDEX('Customer List w Software'!$C:$C,MATCH('Full Customer List'!$B83,'Customer List w Software'!$A:$A,0))</f>
        <v>Property manager</v>
      </c>
      <c r="E83" s="171" t="str">
        <f>INDEX('Customer List Mapping'!$C:$C,MATCH('Full Customer List'!D83,'Customer List Mapping'!$B:$B,0))</f>
        <v>Property Manager</v>
      </c>
      <c r="F83" s="187">
        <f>INDEX('Customer List w Software'!$K:$K,MATCH('Full Customer List'!$B83,'Customer List w Software'!$A:$A,0))</f>
        <v>45</v>
      </c>
      <c r="G83" s="187">
        <f>INDEX('Revenue by Customer'!$I:$I,MATCH('Full Customer List'!$B83,'Revenue by Customer'!$A:$A,0))</f>
        <v>1280</v>
      </c>
      <c r="H83" s="250" t="str">
        <f>IFERROR(IF(C83="Active","",INDEX('Client Departures'!$G:$G,MATCH('Full Customer List'!$B83,'Client Departures'!$A:$A,0))),"Unclassified")</f>
        <v/>
      </c>
      <c r="I83" s="191">
        <v>45992</v>
      </c>
      <c r="J83" s="191"/>
      <c r="K83" s="187" t="str">
        <f>INDEX('Revenue by Customer'!K:K,MATCH('Full Customer List'!$B83,'Revenue by Customer'!$A:$A,0))</f>
        <v/>
      </c>
      <c r="L83" s="187" t="str">
        <f>INDEX('Revenue by Customer'!L:L,MATCH('Full Customer List'!$B83,'Revenue by Customer'!$A:$A,0))</f>
        <v/>
      </c>
      <c r="M83" s="187" t="str">
        <f>INDEX('Revenue by Customer'!M:M,MATCH('Full Customer List'!$B83,'Revenue by Customer'!$A:$A,0))</f>
        <v/>
      </c>
      <c r="N83" s="187" t="str">
        <f>INDEX('Revenue by Customer'!N:N,MATCH('Full Customer List'!$B83,'Revenue by Customer'!$A:$A,0))</f>
        <v/>
      </c>
      <c r="O83" s="187" t="str">
        <f>INDEX('Revenue by Customer'!O:O,MATCH('Full Customer List'!$B83,'Revenue by Customer'!$A:$A,0))</f>
        <v/>
      </c>
      <c r="P83" s="187" t="str">
        <f>INDEX('Revenue by Customer'!P:P,MATCH('Full Customer List'!$B83,'Revenue by Customer'!$A:$A,0))</f>
        <v/>
      </c>
      <c r="Q83" s="187" t="str">
        <f>INDEX('Revenue by Customer'!Q:Q,MATCH('Full Customer List'!$B83,'Revenue by Customer'!$A:$A,0))</f>
        <v/>
      </c>
      <c r="R83" s="187" t="str">
        <f>INDEX('Revenue by Customer'!R:R,MATCH('Full Customer List'!$B83,'Revenue by Customer'!$A:$A,0))</f>
        <v/>
      </c>
      <c r="S83" s="187" t="str">
        <f>INDEX('Revenue by Customer'!S:S,MATCH('Full Customer List'!$B83,'Revenue by Customer'!$A:$A,0))</f>
        <v/>
      </c>
      <c r="T83" s="187" t="str">
        <f>INDEX('Revenue by Customer'!T:T,MATCH('Full Customer List'!$B83,'Revenue by Customer'!$A:$A,0))</f>
        <v/>
      </c>
      <c r="U83" s="187" t="str">
        <f>INDEX('Revenue by Customer'!U:U,MATCH('Full Customer List'!$B83,'Revenue by Customer'!$A:$A,0))</f>
        <v/>
      </c>
      <c r="V83" s="187">
        <f>INDEX('Revenue by Customer'!V:V,MATCH('Full Customer List'!$B83,'Revenue by Customer'!$A:$A,0))</f>
        <v>1580</v>
      </c>
      <c r="W83" s="187">
        <f>INDEX('Revenue by Customer'!W:W,MATCH('Full Customer List'!$B83,'Revenue by Customer'!$A:$A,0))</f>
        <v>1230</v>
      </c>
      <c r="X83" s="187">
        <f>INDEX('Revenue by Customer'!X:X,MATCH('Full Customer List'!$B83,'Revenue by Customer'!$A:$A,0))</f>
        <v>1230</v>
      </c>
      <c r="Y83" s="187">
        <f>INDEX('Revenue by Customer'!Y:Y,MATCH('Full Customer List'!$B83,'Revenue by Customer'!$A:$A,0))</f>
        <v>1260</v>
      </c>
      <c r="Z83" s="187">
        <f>INDEX('Revenue by Customer'!Z:Z,MATCH('Full Customer List'!$B83,'Revenue by Customer'!$A:$A,0))</f>
        <v>1230</v>
      </c>
      <c r="AA83" s="187">
        <f>INDEX('Revenue by Customer'!AA:AA,MATCH('Full Customer List'!$B83,'Revenue by Customer'!$A:$A,0))</f>
        <v>1230</v>
      </c>
      <c r="AB83" s="187">
        <f>INDEX('Revenue by Customer'!AB:AB,MATCH('Full Customer List'!$B83,'Revenue by Customer'!$A:$A,0))</f>
        <v>1290</v>
      </c>
      <c r="AC83" s="187">
        <f>INDEX('Revenue by Customer'!AC:AC,MATCH('Full Customer List'!$B83,'Revenue by Customer'!$A:$A,0))</f>
        <v>1320</v>
      </c>
    </row>
    <row r="84" spans="2:29" ht="12" customHeight="1">
      <c r="B84" s="171" t="s">
        <v>685</v>
      </c>
      <c r="C84" s="171" t="str">
        <f>INDEX('Customer List w Software'!$B:$B,MATCH('Full Customer List'!$B84,'Customer List w Software'!$A:$A,0))</f>
        <v>Active</v>
      </c>
      <c r="D84" s="171" t="str">
        <f>INDEX('Customer List w Software'!$C:$C,MATCH('Full Customer List'!$B84,'Customer List w Software'!$A:$A,0))</f>
        <v>Property manager</v>
      </c>
      <c r="E84" s="171" t="str">
        <f>INDEX('Customer List Mapping'!$C:$C,MATCH('Full Customer List'!D84,'Customer List Mapping'!$B:$B,0))</f>
        <v>Property Manager</v>
      </c>
      <c r="F84" s="187">
        <f>INDEX('Customer List w Software'!$K:$K,MATCH('Full Customer List'!$B84,'Customer List w Software'!$A:$A,0))</f>
        <v>14</v>
      </c>
      <c r="G84" s="187">
        <f>INDEX('Revenue by Customer'!$I:$I,MATCH('Full Customer List'!$B84,'Revenue by Customer'!$A:$A,0))</f>
        <v>1115</v>
      </c>
      <c r="H84" s="250" t="str">
        <f>IFERROR(IF(C84="Active","",INDEX('Client Departures'!$G:$G,MATCH('Full Customer List'!$B84,'Client Departures'!$A:$A,0))),"Unclassified")</f>
        <v/>
      </c>
      <c r="I84" s="191">
        <v>45292</v>
      </c>
      <c r="J84" s="191"/>
      <c r="K84" s="187">
        <f>INDEX('Revenue by Customer'!K:K,MATCH('Full Customer List'!$B84,'Revenue by Customer'!$A:$A,0))</f>
        <v>520</v>
      </c>
      <c r="L84" s="187">
        <f>INDEX('Revenue by Customer'!L:L,MATCH('Full Customer List'!$B84,'Revenue by Customer'!$A:$A,0))</f>
        <v>520</v>
      </c>
      <c r="M84" s="187">
        <f>INDEX('Revenue by Customer'!M:M,MATCH('Full Customer List'!$B84,'Revenue by Customer'!$A:$A,0))</f>
        <v>770</v>
      </c>
      <c r="N84" s="187">
        <f>INDEX('Revenue by Customer'!N:N,MATCH('Full Customer List'!$B84,'Revenue by Customer'!$A:$A,0))</f>
        <v>520</v>
      </c>
      <c r="O84" s="187">
        <f>INDEX('Revenue by Customer'!O:O,MATCH('Full Customer List'!$B84,'Revenue by Customer'!$A:$A,0))</f>
        <v>660</v>
      </c>
      <c r="P84" s="187">
        <f>INDEX('Revenue by Customer'!P:P,MATCH('Full Customer List'!$B84,'Revenue by Customer'!$A:$A,0))</f>
        <v>730</v>
      </c>
      <c r="Q84" s="187">
        <f>INDEX('Revenue by Customer'!Q:Q,MATCH('Full Customer List'!$B84,'Revenue by Customer'!$A:$A,0))</f>
        <v>730</v>
      </c>
      <c r="R84" s="187">
        <f>INDEX('Revenue by Customer'!R:R,MATCH('Full Customer List'!$B84,'Revenue by Customer'!$A:$A,0))</f>
        <v>870</v>
      </c>
      <c r="S84" s="187">
        <f>INDEX('Revenue by Customer'!S:S,MATCH('Full Customer List'!$B84,'Revenue by Customer'!$A:$A,0))</f>
        <v>660</v>
      </c>
      <c r="T84" s="187">
        <f>INDEX('Revenue by Customer'!T:T,MATCH('Full Customer List'!$B84,'Revenue by Customer'!$A:$A,0))</f>
        <v>660</v>
      </c>
      <c r="U84" s="187">
        <f>INDEX('Revenue by Customer'!U:U,MATCH('Full Customer List'!$B84,'Revenue by Customer'!$A:$A,0))</f>
        <v>775</v>
      </c>
      <c r="V84" s="187">
        <f>INDEX('Revenue by Customer'!V:V,MATCH('Full Customer List'!$B84,'Revenue by Customer'!$A:$A,0))</f>
        <v>775</v>
      </c>
      <c r="W84" s="187">
        <f>INDEX('Revenue by Customer'!W:W,MATCH('Full Customer List'!$B84,'Revenue by Customer'!$A:$A,0))</f>
        <v>726</v>
      </c>
      <c r="X84" s="187">
        <f>INDEX('Revenue by Customer'!X:X,MATCH('Full Customer List'!$B84,'Revenue by Customer'!$A:$A,0))</f>
        <v>803</v>
      </c>
      <c r="Y84" s="187">
        <f>INDEX('Revenue by Customer'!Y:Y,MATCH('Full Customer List'!$B84,'Revenue by Customer'!$A:$A,0))</f>
        <v>803</v>
      </c>
      <c r="Z84" s="187">
        <f>INDEX('Revenue by Customer'!Z:Z,MATCH('Full Customer List'!$B84,'Revenue by Customer'!$A:$A,0))</f>
        <v>880</v>
      </c>
      <c r="AA84" s="187">
        <f>INDEX('Revenue by Customer'!AA:AA,MATCH('Full Customer List'!$B84,'Revenue by Customer'!$A:$A,0))</f>
        <v>1115</v>
      </c>
      <c r="AB84" s="187">
        <f>INDEX('Revenue by Customer'!AB:AB,MATCH('Full Customer List'!$B84,'Revenue by Customer'!$A:$A,0))</f>
        <v>1115</v>
      </c>
      <c r="AC84" s="187">
        <f>INDEX('Revenue by Customer'!AC:AC,MATCH('Full Customer List'!$B84,'Revenue by Customer'!$A:$A,0))</f>
        <v>1115</v>
      </c>
    </row>
    <row r="85" spans="2:29" ht="12" customHeight="1">
      <c r="B85" s="171" t="s">
        <v>686</v>
      </c>
      <c r="C85" s="171" t="str">
        <f>INDEX('Customer List w Software'!$B:$B,MATCH('Full Customer List'!$B85,'Customer List w Software'!$A:$A,0))</f>
        <v>Former client</v>
      </c>
      <c r="D85" s="171" t="str">
        <f>INDEX('Customer List w Software'!$C:$C,MATCH('Full Customer List'!$B85,'Customer List w Software'!$A:$A,0))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87" t="str">
        <f>INDEX('Customer List w Software'!$K:$K,MATCH('Full Customer List'!$B85,'Customer List w Software'!$A:$A,0))</f>
        <v/>
      </c>
      <c r="G85" s="187">
        <f>INDEX('Revenue by Customer'!$I:$I,MATCH('Full Customer List'!$B85,'Revenue by Customer'!$A:$A,0))</f>
        <v>828.33333333333337</v>
      </c>
      <c r="H85" s="250" t="str">
        <f>IFERROR(IF(C85="Active","",INDEX('Client Departures'!$G:$G,MATCH('Full Customer List'!$B85,'Client Departures'!$A:$A,0))),"Unclassified")</f>
        <v>No</v>
      </c>
      <c r="I85" s="191">
        <v>45627</v>
      </c>
      <c r="J85" s="191">
        <v>45991</v>
      </c>
      <c r="K85" s="187">
        <f>INDEX('Revenue by Customer'!K:K,MATCH('Full Customer List'!$B85,'Revenue by Customer'!$A:$A,0))</f>
        <v>940</v>
      </c>
      <c r="L85" s="187">
        <f>INDEX('Revenue by Customer'!L:L,MATCH('Full Customer List'!$B85,'Revenue by Customer'!$A:$A,0))</f>
        <v>450</v>
      </c>
      <c r="M85" s="187">
        <f>INDEX('Revenue by Customer'!M:M,MATCH('Full Customer List'!$B85,'Revenue by Customer'!$A:$A,0))</f>
        <v>3098.55</v>
      </c>
      <c r="N85" s="187">
        <f>INDEX('Revenue by Customer'!N:N,MATCH('Full Customer List'!$B85,'Revenue by Customer'!$A:$A,0))</f>
        <v>380</v>
      </c>
      <c r="O85" s="187">
        <f>INDEX('Revenue by Customer'!O:O,MATCH('Full Customer List'!$B85,'Revenue by Customer'!$A:$A,0))</f>
        <v>1020</v>
      </c>
      <c r="P85" s="187">
        <f>INDEX('Revenue by Customer'!P:P,MATCH('Full Customer List'!$B85,'Revenue by Customer'!$A:$A,0))</f>
        <v>1590</v>
      </c>
      <c r="Q85" s="187">
        <f>INDEX('Revenue by Customer'!Q:Q,MATCH('Full Customer List'!$B85,'Revenue by Customer'!$A:$A,0))</f>
        <v>1340</v>
      </c>
      <c r="R85" s="187">
        <f>INDEX('Revenue by Customer'!R:R,MATCH('Full Customer List'!$B85,'Revenue by Customer'!$A:$A,0))</f>
        <v>1770</v>
      </c>
      <c r="S85" s="187">
        <f>INDEX('Revenue by Customer'!S:S,MATCH('Full Customer List'!$B85,'Revenue by Customer'!$A:$A,0))</f>
        <v>1745</v>
      </c>
      <c r="T85" s="187">
        <f>INDEX('Revenue by Customer'!T:T,MATCH('Full Customer List'!$B85,'Revenue by Customer'!$A:$A,0))</f>
        <v>1720</v>
      </c>
      <c r="U85" s="187">
        <f>INDEX('Revenue by Customer'!U:U,MATCH('Full Customer List'!$B85,'Revenue by Customer'!$A:$A,0))</f>
        <v>1270</v>
      </c>
      <c r="V85" s="187">
        <f>INDEX('Revenue by Customer'!V:V,MATCH('Full Customer List'!$B85,'Revenue by Customer'!$A:$A,0))</f>
        <v>1250</v>
      </c>
      <c r="W85" s="187">
        <f>INDEX('Revenue by Customer'!W:W,MATCH('Full Customer List'!$B85,'Revenue by Customer'!$A:$A,0))</f>
        <v>1250</v>
      </c>
      <c r="X85" s="187">
        <f>INDEX('Revenue by Customer'!X:X,MATCH('Full Customer List'!$B85,'Revenue by Customer'!$A:$A,0))</f>
        <v>1060</v>
      </c>
      <c r="Y85" s="187">
        <f>INDEX('Revenue by Customer'!Y:Y,MATCH('Full Customer List'!$B85,'Revenue by Customer'!$A:$A,0))</f>
        <v>175</v>
      </c>
      <c r="Z85" s="187" t="str">
        <f>INDEX('Revenue by Customer'!Z:Z,MATCH('Full Customer List'!$B85,'Revenue by Customer'!$A:$A,0))</f>
        <v/>
      </c>
      <c r="AA85" s="187" t="str">
        <f>INDEX('Revenue by Customer'!AA:AA,MATCH('Full Customer List'!$B85,'Revenue by Customer'!$A:$A,0))</f>
        <v/>
      </c>
      <c r="AB85" s="187" t="str">
        <f>INDEX('Revenue by Customer'!AB:AB,MATCH('Full Customer List'!$B85,'Revenue by Customer'!$A:$A,0))</f>
        <v/>
      </c>
      <c r="AC85" s="187" t="str">
        <f>INDEX('Revenue by Customer'!AC:AC,MATCH('Full Customer List'!$B85,'Revenue by Customer'!$A:$A,0))</f>
        <v/>
      </c>
    </row>
    <row r="86" spans="2:29" ht="12" customHeight="1">
      <c r="B86" s="171" t="s">
        <v>687</v>
      </c>
      <c r="C86" s="171" t="str">
        <f>INDEX('Customer List w Software'!$B:$B,MATCH('Full Customer List'!$B86,'Customer List w Software'!$A:$A,0))</f>
        <v>Active</v>
      </c>
      <c r="D86" s="171" t="str">
        <f>INDEX('Customer List w Software'!$C:$C,MATCH('Full Customer List'!$B86,'Customer List w Software'!$A:$A,0))</f>
        <v>Property manager</v>
      </c>
      <c r="E86" s="171" t="str">
        <f>INDEX('Customer List Mapping'!$C:$C,MATCH('Full Customer List'!D86,'Customer List Mapping'!$B:$B,0))</f>
        <v>Property Manager</v>
      </c>
      <c r="F86" s="187">
        <f>INDEX('Customer List w Software'!$K:$K,MATCH('Full Customer List'!$B86,'Customer List w Software'!$A:$A,0))</f>
        <v>13</v>
      </c>
      <c r="G86" s="187">
        <f>INDEX('Revenue by Customer'!$I:$I,MATCH('Full Customer List'!$B86,'Revenue by Customer'!$A:$A,0))</f>
        <v>971.33333333333337</v>
      </c>
      <c r="H86" s="250" t="str">
        <f>IFERROR(IF(C86="Active","",INDEX('Client Departures'!$G:$G,MATCH('Full Customer List'!$B86,'Client Departures'!$A:$A,0))),"Unclassified")</f>
        <v/>
      </c>
      <c r="I86" s="191">
        <v>45292</v>
      </c>
      <c r="J86" s="191"/>
      <c r="K86" s="187">
        <f>INDEX('Revenue by Customer'!K:K,MATCH('Full Customer List'!$B86,'Revenue by Customer'!$A:$A,0))</f>
        <v>525</v>
      </c>
      <c r="L86" s="187">
        <f>INDEX('Revenue by Customer'!L:L,MATCH('Full Customer List'!$B86,'Revenue by Customer'!$A:$A,0))</f>
        <v>360</v>
      </c>
      <c r="M86" s="187">
        <f>INDEX('Revenue by Customer'!M:M,MATCH('Full Customer List'!$B86,'Revenue by Customer'!$A:$A,0))</f>
        <v>610</v>
      </c>
      <c r="N86" s="187">
        <f>INDEX('Revenue by Customer'!N:N,MATCH('Full Customer List'!$B86,'Revenue by Customer'!$A:$A,0))</f>
        <v>640</v>
      </c>
      <c r="O86" s="187">
        <f>INDEX('Revenue by Customer'!O:O,MATCH('Full Customer List'!$B86,'Revenue by Customer'!$A:$A,0))</f>
        <v>640</v>
      </c>
      <c r="P86" s="187">
        <f>INDEX('Revenue by Customer'!P:P,MATCH('Full Customer List'!$B86,'Revenue by Customer'!$A:$A,0))</f>
        <v>710</v>
      </c>
      <c r="Q86" s="187">
        <f>INDEX('Revenue by Customer'!Q:Q,MATCH('Full Customer List'!$B86,'Revenue by Customer'!$A:$A,0))</f>
        <v>710</v>
      </c>
      <c r="R86" s="187">
        <f>INDEX('Revenue by Customer'!R:R,MATCH('Full Customer List'!$B86,'Revenue by Customer'!$A:$A,0))</f>
        <v>710</v>
      </c>
      <c r="S86" s="187">
        <f>INDEX('Revenue by Customer'!S:S,MATCH('Full Customer List'!$B86,'Revenue by Customer'!$A:$A,0))</f>
        <v>710</v>
      </c>
      <c r="T86" s="187">
        <f>INDEX('Revenue by Customer'!T:T,MATCH('Full Customer List'!$B86,'Revenue by Customer'!$A:$A,0))</f>
        <v>710</v>
      </c>
      <c r="U86" s="187">
        <f>INDEX('Revenue by Customer'!U:U,MATCH('Full Customer List'!$B86,'Revenue by Customer'!$A:$A,0))</f>
        <v>750</v>
      </c>
      <c r="V86" s="187">
        <f>INDEX('Revenue by Customer'!V:V,MATCH('Full Customer List'!$B86,'Revenue by Customer'!$A:$A,0))</f>
        <v>750</v>
      </c>
      <c r="W86" s="187">
        <f>INDEX('Revenue by Customer'!W:W,MATCH('Full Customer List'!$B86,'Revenue by Customer'!$A:$A,0))</f>
        <v>843</v>
      </c>
      <c r="X86" s="187">
        <f>INDEX('Revenue by Customer'!X:X,MATCH('Full Customer List'!$B86,'Revenue by Customer'!$A:$A,0))</f>
        <v>1023</v>
      </c>
      <c r="Y86" s="187">
        <f>INDEX('Revenue by Customer'!Y:Y,MATCH('Full Customer List'!$B86,'Revenue by Customer'!$A:$A,0))</f>
        <v>843</v>
      </c>
      <c r="Z86" s="187">
        <f>INDEX('Revenue by Customer'!Z:Z,MATCH('Full Customer List'!$B86,'Revenue by Customer'!$A:$A,0))</f>
        <v>920</v>
      </c>
      <c r="AA86" s="187">
        <f>INDEX('Revenue by Customer'!AA:AA,MATCH('Full Customer List'!$B86,'Revenue by Customer'!$A:$A,0))</f>
        <v>920</v>
      </c>
      <c r="AB86" s="187">
        <f>INDEX('Revenue by Customer'!AB:AB,MATCH('Full Customer List'!$B86,'Revenue by Customer'!$A:$A,0))</f>
        <v>997</v>
      </c>
      <c r="AC86" s="187">
        <f>INDEX('Revenue by Customer'!AC:AC,MATCH('Full Customer List'!$B86,'Revenue by Customer'!$A:$A,0))</f>
        <v>997</v>
      </c>
    </row>
    <row r="87" spans="2:29" ht="12" customHeight="1">
      <c r="B87" s="171" t="s">
        <v>688</v>
      </c>
      <c r="C87" s="171" t="str">
        <f>INDEX('Customer List w Software'!$B:$B,MATCH('Full Customer List'!$B87,'Customer List w Software'!$A:$A,0))</f>
        <v>Former client</v>
      </c>
      <c r="D87" s="171" t="str">
        <f>INDEX('Customer List w Software'!$C:$C,MATCH('Full Customer List'!$B87,'Customer List w Software'!$A:$A,0))</f>
        <v>Small business</v>
      </c>
      <c r="E87" s="171" t="str">
        <f>INDEX('Customer List Mapping'!$C:$C,MATCH('Full Customer List'!D87,'Customer List Mapping'!$B:$B,0))</f>
        <v>Small Business</v>
      </c>
      <c r="F87" s="187" t="str">
        <f>INDEX('Customer List w Software'!$K:$K,MATCH('Full Customer List'!$B87,'Customer List w Software'!$A:$A,0))</f>
        <v/>
      </c>
      <c r="G87" s="187">
        <f>INDEX('Revenue by Customer'!$I:$I,MATCH('Full Customer List'!$B87,'Revenue by Customer'!$A:$A,0))</f>
        <v>850</v>
      </c>
      <c r="H87" s="250" t="str">
        <f>IFERROR(IF(C87="Active","",INDEX('Client Departures'!$G:$G,MATCH('Full Customer List'!$B87,'Client Departures'!$A:$A,0))),"Unclassified")</f>
        <v>No</v>
      </c>
      <c r="I87" s="191">
        <v>44866</v>
      </c>
      <c r="J87" s="191">
        <v>46234</v>
      </c>
      <c r="K87" s="187">
        <f>INDEX('Revenue by Customer'!K:K,MATCH('Full Customer List'!$B87,'Revenue by Customer'!$A:$A,0))</f>
        <v>895</v>
      </c>
      <c r="L87" s="187">
        <f>INDEX('Revenue by Customer'!L:L,MATCH('Full Customer List'!$B87,'Revenue by Customer'!$A:$A,0))</f>
        <v>820</v>
      </c>
      <c r="M87" s="187">
        <f>INDEX('Revenue by Customer'!M:M,MATCH('Full Customer List'!$B87,'Revenue by Customer'!$A:$A,0))</f>
        <v>820</v>
      </c>
      <c r="N87" s="187">
        <f>INDEX('Revenue by Customer'!N:N,MATCH('Full Customer List'!$B87,'Revenue by Customer'!$A:$A,0))</f>
        <v>820</v>
      </c>
      <c r="O87" s="187">
        <f>INDEX('Revenue by Customer'!O:O,MATCH('Full Customer List'!$B87,'Revenue by Customer'!$A:$A,0))</f>
        <v>820</v>
      </c>
      <c r="P87" s="187">
        <f>INDEX('Revenue by Customer'!P:P,MATCH('Full Customer List'!$B87,'Revenue by Customer'!$A:$A,0))</f>
        <v>820</v>
      </c>
      <c r="Q87" s="187">
        <f>INDEX('Revenue by Customer'!Q:Q,MATCH('Full Customer List'!$B87,'Revenue by Customer'!$A:$A,0))</f>
        <v>820</v>
      </c>
      <c r="R87" s="187">
        <f>INDEX('Revenue by Customer'!R:R,MATCH('Full Customer List'!$B87,'Revenue by Customer'!$A:$A,0))</f>
        <v>820</v>
      </c>
      <c r="S87" s="187">
        <f>INDEX('Revenue by Customer'!S:S,MATCH('Full Customer List'!$B87,'Revenue by Customer'!$A:$A,0))</f>
        <v>820</v>
      </c>
      <c r="T87" s="187">
        <f>INDEX('Revenue by Customer'!T:T,MATCH('Full Customer List'!$B87,'Revenue by Customer'!$A:$A,0))</f>
        <v>820</v>
      </c>
      <c r="U87" s="187">
        <f>INDEX('Revenue by Customer'!U:U,MATCH('Full Customer List'!$B87,'Revenue by Customer'!$A:$A,0))</f>
        <v>850</v>
      </c>
      <c r="V87" s="187">
        <f>INDEX('Revenue by Customer'!V:V,MATCH('Full Customer List'!$B87,'Revenue by Customer'!$A:$A,0))</f>
        <v>850</v>
      </c>
      <c r="W87" s="187">
        <f>INDEX('Revenue by Customer'!W:W,MATCH('Full Customer List'!$B87,'Revenue by Customer'!$A:$A,0))</f>
        <v>850</v>
      </c>
      <c r="X87" s="187">
        <f>INDEX('Revenue by Customer'!X:X,MATCH('Full Customer List'!$B87,'Revenue by Customer'!$A:$A,0))</f>
        <v>865</v>
      </c>
      <c r="Y87" s="187">
        <f>INDEX('Revenue by Customer'!Y:Y,MATCH('Full Customer List'!$B87,'Revenue by Customer'!$A:$A,0))</f>
        <v>850</v>
      </c>
      <c r="Z87" s="187">
        <f>INDEX('Revenue by Customer'!Z:Z,MATCH('Full Customer List'!$B87,'Revenue by Customer'!$A:$A,0))</f>
        <v>850</v>
      </c>
      <c r="AA87" s="187">
        <f>INDEX('Revenue by Customer'!AA:AA,MATCH('Full Customer List'!$B87,'Revenue by Customer'!$A:$A,0))</f>
        <v>850</v>
      </c>
      <c r="AB87" s="187">
        <f>INDEX('Revenue by Customer'!AB:AB,MATCH('Full Customer List'!$B87,'Revenue by Customer'!$A:$A,0))</f>
        <v>850</v>
      </c>
      <c r="AC87" s="187">
        <f>INDEX('Revenue by Customer'!AC:AC,MATCH('Full Customer List'!$B87,'Revenue by Customer'!$A:$A,0))</f>
        <v>850</v>
      </c>
    </row>
    <row r="88" spans="2:29" ht="12" customHeight="1">
      <c r="B88" s="171" t="s">
        <v>691</v>
      </c>
      <c r="C88" s="171" t="str">
        <f>INDEX('Customer List w Software'!$B:$B,MATCH('Full Customer List'!$B88,'Customer List w Software'!$A:$A,0))</f>
        <v>Active</v>
      </c>
      <c r="D88" s="171" t="str">
        <f>INDEX('Customer List w Software'!$C:$C,MATCH('Full Customer List'!$B88,'Customer List w Software'!$A:$A,0))</f>
        <v>Property manager</v>
      </c>
      <c r="E88" s="171" t="str">
        <f>INDEX('Customer List Mapping'!$C:$C,MATCH('Full Customer List'!D88,'Customer List Mapping'!$B:$B,0))</f>
        <v>Property Manager</v>
      </c>
      <c r="F88" s="187">
        <f>INDEX('Customer List w Software'!$K:$K,MATCH('Full Customer List'!$B88,'Customer List w Software'!$A:$A,0))</f>
        <v>11</v>
      </c>
      <c r="G88" s="187">
        <f>INDEX('Revenue by Customer'!$I:$I,MATCH('Full Customer List'!$B88,'Revenue by Customer'!$A:$A,0))</f>
        <v>1038</v>
      </c>
      <c r="H88" s="250" t="str">
        <f>IFERROR(IF(C88="Active","",INDEX('Client Departures'!$G:$G,MATCH('Full Customer List'!$B88,'Client Departures'!$A:$A,0))),"Unclassified")</f>
        <v/>
      </c>
      <c r="I88" s="191">
        <v>45047</v>
      </c>
      <c r="J88" s="191"/>
      <c r="K88" s="187">
        <f>INDEX('Revenue by Customer'!K:K,MATCH('Full Customer List'!$B88,'Revenue by Customer'!$A:$A,0))</f>
        <v>907</v>
      </c>
      <c r="L88" s="187">
        <f>INDEX('Revenue by Customer'!L:L,MATCH('Full Customer List'!$B88,'Revenue by Customer'!$A:$A,0))</f>
        <v>712</v>
      </c>
      <c r="M88" s="187">
        <f>INDEX('Revenue by Customer'!M:M,MATCH('Full Customer List'!$B88,'Revenue by Customer'!$A:$A,0))</f>
        <v>623</v>
      </c>
      <c r="N88" s="187">
        <f>INDEX('Revenue by Customer'!N:N,MATCH('Full Customer List'!$B88,'Revenue by Customer'!$A:$A,0))</f>
        <v>534</v>
      </c>
      <c r="O88" s="187">
        <f>INDEX('Revenue by Customer'!O:O,MATCH('Full Customer List'!$B88,'Revenue by Customer'!$A:$A,0))</f>
        <v>610</v>
      </c>
      <c r="P88" s="187">
        <f>INDEX('Revenue by Customer'!P:P,MATCH('Full Customer List'!$B88,'Revenue by Customer'!$A:$A,0))</f>
        <v>695</v>
      </c>
      <c r="Q88" s="187">
        <f>INDEX('Revenue by Customer'!Q:Q,MATCH('Full Customer List'!$B88,'Revenue by Customer'!$A:$A,0))</f>
        <v>695</v>
      </c>
      <c r="R88" s="187">
        <f>INDEX('Revenue by Customer'!R:R,MATCH('Full Customer List'!$B88,'Revenue by Customer'!$A:$A,0))</f>
        <v>695</v>
      </c>
      <c r="S88" s="187">
        <f>INDEX('Revenue by Customer'!S:S,MATCH('Full Customer List'!$B88,'Revenue by Customer'!$A:$A,0))</f>
        <v>780</v>
      </c>
      <c r="T88" s="187">
        <f>INDEX('Revenue by Customer'!T:T,MATCH('Full Customer List'!$B88,'Revenue by Customer'!$A:$A,0))</f>
        <v>780</v>
      </c>
      <c r="U88" s="187">
        <f>INDEX('Revenue by Customer'!U:U,MATCH('Full Customer List'!$B88,'Revenue by Customer'!$A:$A,0))</f>
        <v>780</v>
      </c>
      <c r="V88" s="187" t="str">
        <f>INDEX('Revenue by Customer'!V:V,MATCH('Full Customer List'!$B88,'Revenue by Customer'!$A:$A,0))</f>
        <v/>
      </c>
      <c r="W88" s="187">
        <f>INDEX('Revenue by Customer'!W:W,MATCH('Full Customer List'!$B88,'Revenue by Customer'!$A:$A,0))</f>
        <v>1020</v>
      </c>
      <c r="X88" s="187">
        <f>INDEX('Revenue by Customer'!X:X,MATCH('Full Customer List'!$B88,'Revenue by Customer'!$A:$A,0))</f>
        <v>950</v>
      </c>
      <c r="Y88" s="187">
        <f>INDEX('Revenue by Customer'!Y:Y,MATCH('Full Customer List'!$B88,'Revenue by Customer'!$A:$A,0))</f>
        <v>950</v>
      </c>
      <c r="Z88" s="187">
        <f>INDEX('Revenue by Customer'!Z:Z,MATCH('Full Customer List'!$B88,'Revenue by Customer'!$A:$A,0))</f>
        <v>950</v>
      </c>
      <c r="AA88" s="187">
        <f>INDEX('Revenue by Customer'!AA:AA,MATCH('Full Customer List'!$B88,'Revenue by Customer'!$A:$A,0))</f>
        <v>1067</v>
      </c>
      <c r="AB88" s="187">
        <f>INDEX('Revenue by Customer'!AB:AB,MATCH('Full Customer List'!$B88,'Revenue by Customer'!$A:$A,0))</f>
        <v>1067</v>
      </c>
      <c r="AC88" s="187">
        <f>INDEX('Revenue by Customer'!AC:AC,MATCH('Full Customer List'!$B88,'Revenue by Customer'!$A:$A,0))</f>
        <v>980</v>
      </c>
    </row>
    <row r="89" spans="2:29" ht="12" customHeight="1">
      <c r="B89" s="171" t="s">
        <v>693</v>
      </c>
      <c r="C89" s="171" t="str">
        <f>INDEX('Customer List w Software'!$B:$B,MATCH('Full Customer List'!$B89,'Customer List w Software'!$A:$A,0))</f>
        <v>Active</v>
      </c>
      <c r="D89" s="171" t="str">
        <f>INDEX('Customer List w Software'!$C:$C,MATCH('Full Customer List'!$B89,'Customer List w Software'!$A:$A,0))</f>
        <v>Property manager</v>
      </c>
      <c r="E89" s="171" t="str">
        <f>INDEX('Customer List Mapping'!$C:$C,MATCH('Full Customer List'!D89,'Customer List Mapping'!$B:$B,0))</f>
        <v>Property Manager</v>
      </c>
      <c r="F89" s="187">
        <f>INDEX('Customer List w Software'!$K:$K,MATCH('Full Customer List'!$B89,'Customer List w Software'!$A:$A,0))</f>
        <v>21</v>
      </c>
      <c r="G89" s="187">
        <f>INDEX('Revenue by Customer'!$I:$I,MATCH('Full Customer List'!$B89,'Revenue by Customer'!$A:$A,0))</f>
        <v>1069.5</v>
      </c>
      <c r="H89" s="250" t="str">
        <f>IFERROR(IF(C89="Active","",INDEX('Client Departures'!$G:$G,MATCH('Full Customer List'!$B89,'Client Departures'!$A:$A,0))),"Unclassified")</f>
        <v/>
      </c>
      <c r="I89" s="191">
        <v>45627</v>
      </c>
      <c r="J89" s="191"/>
      <c r="K89" s="187">
        <f>INDEX('Revenue by Customer'!K:K,MATCH('Full Customer List'!$B89,'Revenue by Customer'!$A:$A,0))</f>
        <v>750</v>
      </c>
      <c r="L89" s="187">
        <f>INDEX('Revenue by Customer'!L:L,MATCH('Full Customer List'!$B89,'Revenue by Customer'!$A:$A,0))</f>
        <v>1065</v>
      </c>
      <c r="M89" s="187">
        <f>INDEX('Revenue by Customer'!M:M,MATCH('Full Customer List'!$B89,'Revenue by Customer'!$A:$A,0))</f>
        <v>750</v>
      </c>
      <c r="N89" s="187">
        <f>INDEX('Revenue by Customer'!N:N,MATCH('Full Customer List'!$B89,'Revenue by Customer'!$A:$A,0))</f>
        <v>750</v>
      </c>
      <c r="O89" s="187">
        <f>INDEX('Revenue by Customer'!O:O,MATCH('Full Customer List'!$B89,'Revenue by Customer'!$A:$A,0))</f>
        <v>750</v>
      </c>
      <c r="P89" s="187">
        <f>INDEX('Revenue by Customer'!P:P,MATCH('Full Customer List'!$B89,'Revenue by Customer'!$A:$A,0))</f>
        <v>750</v>
      </c>
      <c r="Q89" s="187">
        <f>INDEX('Revenue by Customer'!Q:Q,MATCH('Full Customer List'!$B89,'Revenue by Customer'!$A:$A,0))</f>
        <v>750</v>
      </c>
      <c r="R89" s="187">
        <f>INDEX('Revenue by Customer'!R:R,MATCH('Full Customer List'!$B89,'Revenue by Customer'!$A:$A,0))</f>
        <v>750</v>
      </c>
      <c r="S89" s="187">
        <f>INDEX('Revenue by Customer'!S:S,MATCH('Full Customer List'!$B89,'Revenue by Customer'!$A:$A,0))</f>
        <v>765</v>
      </c>
      <c r="T89" s="187">
        <f>INDEX('Revenue by Customer'!T:T,MATCH('Full Customer List'!$B89,'Revenue by Customer'!$A:$A,0))</f>
        <v>750</v>
      </c>
      <c r="U89" s="187">
        <f>INDEX('Revenue by Customer'!U:U,MATCH('Full Customer List'!$B89,'Revenue by Customer'!$A:$A,0))</f>
        <v>750</v>
      </c>
      <c r="V89" s="187">
        <f>INDEX('Revenue by Customer'!V:V,MATCH('Full Customer List'!$B89,'Revenue by Customer'!$A:$A,0))</f>
        <v>750</v>
      </c>
      <c r="W89" s="187">
        <f>INDEX('Revenue by Customer'!W:W,MATCH('Full Customer List'!$B89,'Revenue by Customer'!$A:$A,0))</f>
        <v>700</v>
      </c>
      <c r="X89" s="187">
        <f>INDEX('Revenue by Customer'!X:X,MATCH('Full Customer List'!$B89,'Revenue by Customer'!$A:$A,0))</f>
        <v>1015</v>
      </c>
      <c r="Y89" s="187">
        <f>INDEX('Revenue by Customer'!Y:Y,MATCH('Full Customer List'!$B89,'Revenue by Customer'!$A:$A,0))</f>
        <v>665</v>
      </c>
      <c r="Z89" s="187">
        <f>INDEX('Revenue by Customer'!Z:Z,MATCH('Full Customer List'!$B89,'Revenue by Customer'!$A:$A,0))</f>
        <v>665</v>
      </c>
      <c r="AA89" s="187">
        <f>INDEX('Revenue by Customer'!AA:AA,MATCH('Full Customer List'!$B89,'Revenue by Customer'!$A:$A,0))</f>
        <v>630</v>
      </c>
      <c r="AB89" s="187">
        <f>INDEX('Revenue by Customer'!AB:AB,MATCH('Full Customer List'!$B89,'Revenue by Customer'!$A:$A,0))</f>
        <v>1098</v>
      </c>
      <c r="AC89" s="187">
        <f>INDEX('Revenue by Customer'!AC:AC,MATCH('Full Customer List'!$B89,'Revenue by Customer'!$A:$A,0))</f>
        <v>1480.5</v>
      </c>
    </row>
    <row r="90" spans="2:29" ht="12" customHeight="1">
      <c r="B90" s="171" t="s">
        <v>694</v>
      </c>
      <c r="C90" s="171" t="str">
        <f>INDEX('Customer List w Software'!$B:$B,MATCH('Full Customer List'!$B90,'Customer List w Software'!$A:$A,0))</f>
        <v>Active</v>
      </c>
      <c r="D90" s="171" t="str">
        <f>INDEX('Customer List w Software'!$C:$C,MATCH('Full Customer List'!$B90,'Customer List w Software'!$A:$A,0))</f>
        <v>Property manager</v>
      </c>
      <c r="E90" s="171" t="str">
        <f>INDEX('Customer List Mapping'!$C:$C,MATCH('Full Customer List'!D90,'Customer List Mapping'!$B:$B,0))</f>
        <v>Property Manager</v>
      </c>
      <c r="F90" s="187">
        <f>INDEX('Customer List w Software'!$K:$K,MATCH('Full Customer List'!$B90,'Customer List w Software'!$A:$A,0))</f>
        <v>19</v>
      </c>
      <c r="G90" s="187">
        <f>INDEX('Revenue by Customer'!$I:$I,MATCH('Full Customer List'!$B90,'Revenue by Customer'!$A:$A,0))</f>
        <v>1105.6666666666667</v>
      </c>
      <c r="H90" s="250" t="str">
        <f>IFERROR(IF(C90="Active","",INDEX('Client Departures'!$G:$G,MATCH('Full Customer List'!$B90,'Client Departures'!$A:$A,0))),"Unclassified")</f>
        <v/>
      </c>
      <c r="I90" s="191">
        <v>45717</v>
      </c>
      <c r="J90" s="191"/>
      <c r="K90" s="187" t="str">
        <f>INDEX('Revenue by Customer'!K:K,MATCH('Full Customer List'!$B90,'Revenue by Customer'!$A:$A,0))</f>
        <v/>
      </c>
      <c r="L90" s="187" t="str">
        <f>INDEX('Revenue by Customer'!L:L,MATCH('Full Customer List'!$B90,'Revenue by Customer'!$A:$A,0))</f>
        <v/>
      </c>
      <c r="M90" s="187">
        <f>INDEX('Revenue by Customer'!M:M,MATCH('Full Customer List'!$B90,'Revenue by Customer'!$A:$A,0))</f>
        <v>350</v>
      </c>
      <c r="N90" s="187">
        <f>INDEX('Revenue by Customer'!N:N,MATCH('Full Customer List'!$B90,'Revenue by Customer'!$A:$A,0))</f>
        <v>150</v>
      </c>
      <c r="O90" s="187">
        <f>INDEX('Revenue by Customer'!O:O,MATCH('Full Customer List'!$B90,'Revenue by Customer'!$A:$A,0))</f>
        <v>990</v>
      </c>
      <c r="P90" s="187">
        <f>INDEX('Revenue by Customer'!P:P,MATCH('Full Customer List'!$B90,'Revenue by Customer'!$A:$A,0))</f>
        <v>570</v>
      </c>
      <c r="Q90" s="187">
        <f>INDEX('Revenue by Customer'!Q:Q,MATCH('Full Customer List'!$B90,'Revenue by Customer'!$A:$A,0))</f>
        <v>570</v>
      </c>
      <c r="R90" s="187">
        <f>INDEX('Revenue by Customer'!R:R,MATCH('Full Customer List'!$B90,'Revenue by Customer'!$A:$A,0))</f>
        <v>570</v>
      </c>
      <c r="S90" s="187">
        <f>INDEX('Revenue by Customer'!S:S,MATCH('Full Customer List'!$B90,'Revenue by Customer'!$A:$A,0))</f>
        <v>640</v>
      </c>
      <c r="T90" s="187">
        <f>INDEX('Revenue by Customer'!T:T,MATCH('Full Customer List'!$B90,'Revenue by Customer'!$A:$A,0))</f>
        <v>640</v>
      </c>
      <c r="U90" s="187">
        <f>INDEX('Revenue by Customer'!U:U,MATCH('Full Customer List'!$B90,'Revenue by Customer'!$A:$A,0))</f>
        <v>675</v>
      </c>
      <c r="V90" s="187">
        <f>INDEX('Revenue by Customer'!V:V,MATCH('Full Customer List'!$B90,'Revenue by Customer'!$A:$A,0))</f>
        <v>600</v>
      </c>
      <c r="W90" s="187">
        <f>INDEX('Revenue by Customer'!W:W,MATCH('Full Customer List'!$B90,'Revenue by Customer'!$A:$A,0))</f>
        <v>600</v>
      </c>
      <c r="X90" s="187">
        <f>INDEX('Revenue by Customer'!X:X,MATCH('Full Customer List'!$B90,'Revenue by Customer'!$A:$A,0))</f>
        <v>675</v>
      </c>
      <c r="Y90" s="187">
        <f>INDEX('Revenue by Customer'!Y:Y,MATCH('Full Customer List'!$B90,'Revenue by Customer'!$A:$A,0))</f>
        <v>780</v>
      </c>
      <c r="Z90" s="187">
        <f>INDEX('Revenue by Customer'!Z:Z,MATCH('Full Customer List'!$B90,'Revenue by Customer'!$A:$A,0))</f>
        <v>957</v>
      </c>
      <c r="AA90" s="187">
        <f>INDEX('Revenue by Customer'!AA:AA,MATCH('Full Customer List'!$B90,'Revenue by Customer'!$A:$A,0))</f>
        <v>957</v>
      </c>
      <c r="AB90" s="187">
        <f>INDEX('Revenue by Customer'!AB:AB,MATCH('Full Customer List'!$B90,'Revenue by Customer'!$A:$A,0))</f>
        <v>1111</v>
      </c>
      <c r="AC90" s="187">
        <f>INDEX('Revenue by Customer'!AC:AC,MATCH('Full Customer List'!$B90,'Revenue by Customer'!$A:$A,0))</f>
        <v>1249</v>
      </c>
    </row>
    <row r="91" spans="2:29" ht="12" customHeight="1">
      <c r="B91" s="171" t="s">
        <v>695</v>
      </c>
      <c r="C91" s="171" t="str">
        <f>INDEX('Customer List w Software'!$B:$B,MATCH('Full Customer List'!$B91,'Customer List w Software'!$A:$A,0))</f>
        <v>Active</v>
      </c>
      <c r="D91" s="171" t="str">
        <f>INDEX('Customer List w Software'!$C:$C,MATCH('Full Customer List'!$B91,'Customer List w Software'!$A:$A,0))</f>
        <v>Property manager</v>
      </c>
      <c r="E91" s="171" t="str">
        <f>INDEX('Customer List Mapping'!$C:$C,MATCH('Full Customer List'!D91,'Customer List Mapping'!$B:$B,0))</f>
        <v>Property Manager</v>
      </c>
      <c r="F91" s="187">
        <f>INDEX('Customer List w Software'!$K:$K,MATCH('Full Customer List'!$B91,'Customer List w Software'!$A:$A,0))</f>
        <v>19</v>
      </c>
      <c r="G91" s="187">
        <f>INDEX('Revenue by Customer'!$I:$I,MATCH('Full Customer List'!$B91,'Revenue by Customer'!$A:$A,0))</f>
        <v>1076.6666666666667</v>
      </c>
      <c r="H91" s="250" t="str">
        <f>IFERROR(IF(C91="Active","",INDEX('Client Departures'!$G:$G,MATCH('Full Customer List'!$B91,'Client Departures'!$A:$A,0))),"Unclassified")</f>
        <v/>
      </c>
      <c r="I91" s="191">
        <v>45748</v>
      </c>
      <c r="J91" s="191"/>
      <c r="K91" s="187" t="str">
        <f>INDEX('Revenue by Customer'!K:K,MATCH('Full Customer List'!$B91,'Revenue by Customer'!$A:$A,0))</f>
        <v/>
      </c>
      <c r="L91" s="187" t="str">
        <f>INDEX('Revenue by Customer'!L:L,MATCH('Full Customer List'!$B91,'Revenue by Customer'!$A:$A,0))</f>
        <v/>
      </c>
      <c r="M91" s="187" t="str">
        <f>INDEX('Revenue by Customer'!M:M,MATCH('Full Customer List'!$B91,'Revenue by Customer'!$A:$A,0))</f>
        <v/>
      </c>
      <c r="N91" s="187">
        <f>INDEX('Revenue by Customer'!N:N,MATCH('Full Customer List'!$B91,'Revenue by Customer'!$A:$A,0))</f>
        <v>640</v>
      </c>
      <c r="O91" s="187">
        <f>INDEX('Revenue by Customer'!O:O,MATCH('Full Customer List'!$B91,'Revenue by Customer'!$A:$A,0))</f>
        <v>340</v>
      </c>
      <c r="P91" s="187">
        <f>INDEX('Revenue by Customer'!P:P,MATCH('Full Customer List'!$B91,'Revenue by Customer'!$A:$A,0))</f>
        <v>403.75</v>
      </c>
      <c r="Q91" s="187">
        <f>INDEX('Revenue by Customer'!Q:Q,MATCH('Full Customer List'!$B91,'Revenue by Customer'!$A:$A,0))</f>
        <v>550</v>
      </c>
      <c r="R91" s="187">
        <f>INDEX('Revenue by Customer'!R:R,MATCH('Full Customer List'!$B91,'Revenue by Customer'!$A:$A,0))</f>
        <v>625</v>
      </c>
      <c r="S91" s="187">
        <f>INDEX('Revenue by Customer'!S:S,MATCH('Full Customer List'!$B91,'Revenue by Customer'!$A:$A,0))</f>
        <v>700</v>
      </c>
      <c r="T91" s="187">
        <f>INDEX('Revenue by Customer'!T:T,MATCH('Full Customer List'!$B91,'Revenue by Customer'!$A:$A,0))</f>
        <v>700</v>
      </c>
      <c r="U91" s="187">
        <f>INDEX('Revenue by Customer'!U:U,MATCH('Full Customer List'!$B91,'Revenue by Customer'!$A:$A,0))</f>
        <v>700</v>
      </c>
      <c r="V91" s="187">
        <f>INDEX('Revenue by Customer'!V:V,MATCH('Full Customer List'!$B91,'Revenue by Customer'!$A:$A,0))</f>
        <v>700</v>
      </c>
      <c r="W91" s="187">
        <f>INDEX('Revenue by Customer'!W:W,MATCH('Full Customer List'!$B91,'Revenue by Customer'!$A:$A,0))</f>
        <v>820</v>
      </c>
      <c r="X91" s="187">
        <f>INDEX('Revenue by Customer'!X:X,MATCH('Full Customer List'!$B91,'Revenue by Customer'!$A:$A,0))</f>
        <v>625</v>
      </c>
      <c r="Y91" s="187">
        <f>INDEX('Revenue by Customer'!Y:Y,MATCH('Full Customer List'!$B91,'Revenue by Customer'!$A:$A,0))</f>
        <v>700</v>
      </c>
      <c r="Z91" s="187">
        <f>INDEX('Revenue by Customer'!Z:Z,MATCH('Full Customer List'!$B91,'Revenue by Customer'!$A:$A,0))</f>
        <v>649</v>
      </c>
      <c r="AA91" s="187">
        <f>INDEX('Revenue by Customer'!AA:AA,MATCH('Full Customer List'!$B91,'Revenue by Customer'!$A:$A,0))</f>
        <v>880</v>
      </c>
      <c r="AB91" s="187">
        <f>INDEX('Revenue by Customer'!AB:AB,MATCH('Full Customer List'!$B91,'Revenue by Customer'!$A:$A,0))</f>
        <v>1034</v>
      </c>
      <c r="AC91" s="187">
        <f>INDEX('Revenue by Customer'!AC:AC,MATCH('Full Customer List'!$B91,'Revenue by Customer'!$A:$A,0))</f>
        <v>1316</v>
      </c>
    </row>
    <row r="92" spans="2:29" ht="12" customHeight="1">
      <c r="B92" s="171" t="s">
        <v>696</v>
      </c>
      <c r="C92" s="171" t="str">
        <f>INDEX('Customer List w Software'!$B:$B,MATCH('Full Customer List'!$B92,'Customer List w Software'!$A:$A,0))</f>
        <v>Active</v>
      </c>
      <c r="D92" s="171" t="str">
        <f>INDEX('Customer List w Software'!$C:$C,MATCH('Full Customer List'!$B92,'Customer List w Software'!$A:$A,0))</f>
        <v>Property manager</v>
      </c>
      <c r="E92" s="171" t="str">
        <f>INDEX('Customer List Mapping'!$C:$C,MATCH('Full Customer List'!D92,'Customer List Mapping'!$B:$B,0))</f>
        <v>Property Manager</v>
      </c>
      <c r="F92" s="187">
        <f>INDEX('Customer List w Software'!$K:$K,MATCH('Full Customer List'!$B92,'Customer List w Software'!$A:$A,0))</f>
        <v>9</v>
      </c>
      <c r="G92" s="187">
        <f>INDEX('Revenue by Customer'!$I:$I,MATCH('Full Customer List'!$B92,'Revenue by Customer'!$A:$A,0))</f>
        <v>955</v>
      </c>
      <c r="H92" s="250" t="str">
        <f>IFERROR(IF(C92="Active","",INDEX('Client Departures'!$G:$G,MATCH('Full Customer List'!$B92,'Client Departures'!$A:$A,0))),"Unclassified")</f>
        <v/>
      </c>
      <c r="I92" s="191">
        <v>45962</v>
      </c>
      <c r="J92" s="191"/>
      <c r="K92" s="187" t="str">
        <f>INDEX('Revenue by Customer'!K:K,MATCH('Full Customer List'!$B92,'Revenue by Customer'!$A:$A,0))</f>
        <v/>
      </c>
      <c r="L92" s="187" t="str">
        <f>INDEX('Revenue by Customer'!L:L,MATCH('Full Customer List'!$B92,'Revenue by Customer'!$A:$A,0))</f>
        <v/>
      </c>
      <c r="M92" s="187" t="str">
        <f>INDEX('Revenue by Customer'!M:M,MATCH('Full Customer List'!$B92,'Revenue by Customer'!$A:$A,0))</f>
        <v/>
      </c>
      <c r="N92" s="187" t="str">
        <f>INDEX('Revenue by Customer'!N:N,MATCH('Full Customer List'!$B92,'Revenue by Customer'!$A:$A,0))</f>
        <v/>
      </c>
      <c r="O92" s="187" t="str">
        <f>INDEX('Revenue by Customer'!O:O,MATCH('Full Customer List'!$B92,'Revenue by Customer'!$A:$A,0))</f>
        <v/>
      </c>
      <c r="P92" s="187" t="str">
        <f>INDEX('Revenue by Customer'!P:P,MATCH('Full Customer List'!$B92,'Revenue by Customer'!$A:$A,0))</f>
        <v/>
      </c>
      <c r="Q92" s="187" t="str">
        <f>INDEX('Revenue by Customer'!Q:Q,MATCH('Full Customer List'!$B92,'Revenue by Customer'!$A:$A,0))</f>
        <v/>
      </c>
      <c r="R92" s="187" t="str">
        <f>INDEX('Revenue by Customer'!R:R,MATCH('Full Customer List'!$B92,'Revenue by Customer'!$A:$A,0))</f>
        <v/>
      </c>
      <c r="S92" s="187" t="str">
        <f>INDEX('Revenue by Customer'!S:S,MATCH('Full Customer List'!$B92,'Revenue by Customer'!$A:$A,0))</f>
        <v/>
      </c>
      <c r="T92" s="187" t="str">
        <f>INDEX('Revenue by Customer'!T:T,MATCH('Full Customer List'!$B92,'Revenue by Customer'!$A:$A,0))</f>
        <v/>
      </c>
      <c r="U92" s="187">
        <f>INDEX('Revenue by Customer'!U:U,MATCH('Full Customer List'!$B92,'Revenue by Customer'!$A:$A,0))</f>
        <v>1468.75</v>
      </c>
      <c r="V92" s="187">
        <f>INDEX('Revenue by Customer'!V:V,MATCH('Full Customer List'!$B92,'Revenue by Customer'!$A:$A,0))</f>
        <v>1071.25</v>
      </c>
      <c r="W92" s="187">
        <f>INDEX('Revenue by Customer'!W:W,MATCH('Full Customer List'!$B92,'Revenue by Customer'!$A:$A,0))</f>
        <v>866.25</v>
      </c>
      <c r="X92" s="187">
        <f>INDEX('Revenue by Customer'!X:X,MATCH('Full Customer List'!$B92,'Revenue by Customer'!$A:$A,0))</f>
        <v>955</v>
      </c>
      <c r="Y92" s="187">
        <f>INDEX('Revenue by Customer'!Y:Y,MATCH('Full Customer List'!$B92,'Revenue by Customer'!$A:$A,0))</f>
        <v>955</v>
      </c>
      <c r="Z92" s="187">
        <f>INDEX('Revenue by Customer'!Z:Z,MATCH('Full Customer List'!$B92,'Revenue by Customer'!$A:$A,0))</f>
        <v>955</v>
      </c>
      <c r="AA92" s="187">
        <f>INDEX('Revenue by Customer'!AA:AA,MATCH('Full Customer List'!$B92,'Revenue by Customer'!$A:$A,0))</f>
        <v>955</v>
      </c>
      <c r="AB92" s="187">
        <f>INDEX('Revenue by Customer'!AB:AB,MATCH('Full Customer List'!$B92,'Revenue by Customer'!$A:$A,0))</f>
        <v>955</v>
      </c>
      <c r="AC92" s="187">
        <f>INDEX('Revenue by Customer'!AC:AC,MATCH('Full Customer List'!$B92,'Revenue by Customer'!$A:$A,0))</f>
        <v>955</v>
      </c>
    </row>
    <row r="93" spans="2:29" ht="12" customHeight="1">
      <c r="B93" s="171" t="s">
        <v>697</v>
      </c>
      <c r="C93" s="171" t="str">
        <f>INDEX('Customer List w Software'!$B:$B,MATCH('Full Customer List'!$B93,'Customer List w Software'!$A:$A,0))</f>
        <v>Active</v>
      </c>
      <c r="D93" s="171" t="str">
        <f>INDEX('Customer List w Software'!$C:$C,MATCH('Full Customer List'!$B93,'Customer List w Software'!$A:$A,0))</f>
        <v>Property manager</v>
      </c>
      <c r="E93" s="171" t="str">
        <f>INDEX('Customer List Mapping'!$C:$C,MATCH('Full Customer List'!D93,'Customer List Mapping'!$B:$B,0))</f>
        <v>Property Manager</v>
      </c>
      <c r="F93" s="187">
        <f>INDEX('Customer List w Software'!$K:$K,MATCH('Full Customer List'!$B93,'Customer List w Software'!$A:$A,0))</f>
        <v>8</v>
      </c>
      <c r="G93" s="187">
        <f>INDEX('Revenue by Customer'!$I:$I,MATCH('Full Customer List'!$B93,'Revenue by Customer'!$A:$A,0))</f>
        <v>922</v>
      </c>
      <c r="H93" s="250" t="str">
        <f>IFERROR(IF(C93="Active","",INDEX('Client Departures'!$G:$G,MATCH('Full Customer List'!$B93,'Client Departures'!$A:$A,0))),"Unclassified")</f>
        <v/>
      </c>
      <c r="I93" s="191">
        <v>45748</v>
      </c>
      <c r="J93" s="191"/>
      <c r="K93" s="187" t="str">
        <f>INDEX('Revenue by Customer'!K:K,MATCH('Full Customer List'!$B93,'Revenue by Customer'!$A:$A,0))</f>
        <v/>
      </c>
      <c r="L93" s="187" t="str">
        <f>INDEX('Revenue by Customer'!L:L,MATCH('Full Customer List'!$B93,'Revenue by Customer'!$A:$A,0))</f>
        <v/>
      </c>
      <c r="M93" s="187" t="str">
        <f>INDEX('Revenue by Customer'!M:M,MATCH('Full Customer List'!$B93,'Revenue by Customer'!$A:$A,0))</f>
        <v/>
      </c>
      <c r="N93" s="187">
        <f>INDEX('Revenue by Customer'!N:N,MATCH('Full Customer List'!$B93,'Revenue by Customer'!$A:$A,0))</f>
        <v>903.75</v>
      </c>
      <c r="O93" s="187">
        <f>INDEX('Revenue by Customer'!O:O,MATCH('Full Customer List'!$B93,'Revenue by Customer'!$A:$A,0))</f>
        <v>503.75</v>
      </c>
      <c r="P93" s="187">
        <f>INDEX('Revenue by Customer'!P:P,MATCH('Full Customer List'!$B93,'Revenue by Customer'!$A:$A,0))</f>
        <v>503.75</v>
      </c>
      <c r="Q93" s="187">
        <f>INDEX('Revenue by Customer'!Q:Q,MATCH('Full Customer List'!$B93,'Revenue by Customer'!$A:$A,0))</f>
        <v>575</v>
      </c>
      <c r="R93" s="187">
        <f>INDEX('Revenue by Customer'!R:R,MATCH('Full Customer List'!$B93,'Revenue by Customer'!$A:$A,0))</f>
        <v>575</v>
      </c>
      <c r="S93" s="187">
        <f>INDEX('Revenue by Customer'!S:S,MATCH('Full Customer List'!$B93,'Revenue by Customer'!$A:$A,0))</f>
        <v>575</v>
      </c>
      <c r="T93" s="187">
        <f>INDEX('Revenue by Customer'!T:T,MATCH('Full Customer List'!$B93,'Revenue by Customer'!$A:$A,0))</f>
        <v>670</v>
      </c>
      <c r="U93" s="187">
        <f>INDEX('Revenue by Customer'!U:U,MATCH('Full Customer List'!$B93,'Revenue by Customer'!$A:$A,0))</f>
        <v>575</v>
      </c>
      <c r="V93" s="187">
        <f>INDEX('Revenue by Customer'!V:V,MATCH('Full Customer List'!$B93,'Revenue by Customer'!$A:$A,0))</f>
        <v>575</v>
      </c>
      <c r="W93" s="187">
        <f>INDEX('Revenue by Customer'!W:W,MATCH('Full Customer List'!$B93,'Revenue by Customer'!$A:$A,0))</f>
        <v>860</v>
      </c>
      <c r="X93" s="187">
        <f>INDEX('Revenue by Customer'!X:X,MATCH('Full Customer List'!$B93,'Revenue by Customer'!$A:$A,0))</f>
        <v>860</v>
      </c>
      <c r="Y93" s="187">
        <f>INDEX('Revenue by Customer'!Y:Y,MATCH('Full Customer List'!$B93,'Revenue by Customer'!$A:$A,0))</f>
        <v>860</v>
      </c>
      <c r="Z93" s="187">
        <f>INDEX('Revenue by Customer'!Z:Z,MATCH('Full Customer List'!$B93,'Revenue by Customer'!$A:$A,0))</f>
        <v>806</v>
      </c>
      <c r="AA93" s="187">
        <f>INDEX('Revenue by Customer'!AA:AA,MATCH('Full Customer List'!$B93,'Revenue by Customer'!$A:$A,0))</f>
        <v>806</v>
      </c>
      <c r="AB93" s="187">
        <f>INDEX('Revenue by Customer'!AB:AB,MATCH('Full Customer List'!$B93,'Revenue by Customer'!$A:$A,0))</f>
        <v>806</v>
      </c>
      <c r="AC93" s="187">
        <f>INDEX('Revenue by Customer'!AC:AC,MATCH('Full Customer List'!$B93,'Revenue by Customer'!$A:$A,0))</f>
        <v>1154</v>
      </c>
    </row>
    <row r="94" spans="2:29" ht="12" customHeight="1">
      <c r="B94" s="171" t="s">
        <v>698</v>
      </c>
      <c r="C94" s="171" t="str">
        <f>INDEX('Customer List w Software'!$B:$B,MATCH('Full Customer List'!$B94,'Customer List w Software'!$A:$A,0))</f>
        <v>Active</v>
      </c>
      <c r="D94" s="171" t="str">
        <f>INDEX('Customer List w Software'!$C:$C,MATCH('Full Customer List'!$B94,'Customer List w Software'!$A:$A,0))</f>
        <v>Property manager</v>
      </c>
      <c r="E94" s="171" t="str">
        <f>INDEX('Customer List Mapping'!$C:$C,MATCH('Full Customer List'!D94,'Customer List Mapping'!$B:$B,0))</f>
        <v>Property Manager</v>
      </c>
      <c r="F94" s="187">
        <f>INDEX('Customer List w Software'!$K:$K,MATCH('Full Customer List'!$B94,'Customer List w Software'!$A:$A,0))</f>
        <v>11</v>
      </c>
      <c r="G94" s="187">
        <f>INDEX('Revenue by Customer'!$I:$I,MATCH('Full Customer List'!$B94,'Revenue by Customer'!$A:$A,0))</f>
        <v>1284</v>
      </c>
      <c r="H94" s="250" t="str">
        <f>IFERROR(IF(C94="Active","",INDEX('Client Departures'!$G:$G,MATCH('Full Customer List'!$B94,'Client Departures'!$A:$A,0))),"Unclassified")</f>
        <v/>
      </c>
      <c r="I94" s="191">
        <v>45839</v>
      </c>
      <c r="J94" s="191"/>
      <c r="K94" s="187" t="str">
        <f>INDEX('Revenue by Customer'!K:K,MATCH('Full Customer List'!$B94,'Revenue by Customer'!$A:$A,0))</f>
        <v/>
      </c>
      <c r="L94" s="187" t="str">
        <f>INDEX('Revenue by Customer'!L:L,MATCH('Full Customer List'!$B94,'Revenue by Customer'!$A:$A,0))</f>
        <v/>
      </c>
      <c r="M94" s="187" t="str">
        <f>INDEX('Revenue by Customer'!M:M,MATCH('Full Customer List'!$B94,'Revenue by Customer'!$A:$A,0))</f>
        <v/>
      </c>
      <c r="N94" s="187" t="str">
        <f>INDEX('Revenue by Customer'!N:N,MATCH('Full Customer List'!$B94,'Revenue by Customer'!$A:$A,0))</f>
        <v/>
      </c>
      <c r="O94" s="187" t="str">
        <f>INDEX('Revenue by Customer'!O:O,MATCH('Full Customer List'!$B94,'Revenue by Customer'!$A:$A,0))</f>
        <v/>
      </c>
      <c r="P94" s="187" t="str">
        <f>INDEX('Revenue by Customer'!P:P,MATCH('Full Customer List'!$B94,'Revenue by Customer'!$A:$A,0))</f>
        <v/>
      </c>
      <c r="Q94" s="187">
        <f>INDEX('Revenue by Customer'!Q:Q,MATCH('Full Customer List'!$B94,'Revenue by Customer'!$A:$A,0))</f>
        <v>740</v>
      </c>
      <c r="R94" s="187">
        <f>INDEX('Revenue by Customer'!R:R,MATCH('Full Customer List'!$B94,'Revenue by Customer'!$A:$A,0))</f>
        <v>480</v>
      </c>
      <c r="S94" s="187">
        <f>INDEX('Revenue by Customer'!S:S,MATCH('Full Customer List'!$B94,'Revenue by Customer'!$A:$A,0))</f>
        <v>470</v>
      </c>
      <c r="T94" s="187">
        <f>INDEX('Revenue by Customer'!T:T,MATCH('Full Customer List'!$B94,'Revenue by Customer'!$A:$A,0))</f>
        <v>470</v>
      </c>
      <c r="U94" s="187">
        <f>INDEX('Revenue by Customer'!U:U,MATCH('Full Customer List'!$B94,'Revenue by Customer'!$A:$A,0))</f>
        <v>470</v>
      </c>
      <c r="V94" s="187">
        <f>INDEX('Revenue by Customer'!V:V,MATCH('Full Customer List'!$B94,'Revenue by Customer'!$A:$A,0))</f>
        <v>470</v>
      </c>
      <c r="W94" s="187">
        <f>INDEX('Revenue by Customer'!W:W,MATCH('Full Customer List'!$B94,'Revenue by Customer'!$A:$A,0))</f>
        <v>505</v>
      </c>
      <c r="X94" s="187">
        <f>INDEX('Revenue by Customer'!X:X,MATCH('Full Customer List'!$B94,'Revenue by Customer'!$A:$A,0))</f>
        <v>565</v>
      </c>
      <c r="Y94" s="187">
        <f>INDEX('Revenue by Customer'!Y:Y,MATCH('Full Customer List'!$B94,'Revenue by Customer'!$A:$A,0))</f>
        <v>505</v>
      </c>
      <c r="Z94" s="187">
        <f>INDEX('Revenue by Customer'!Z:Z,MATCH('Full Customer List'!$B94,'Revenue by Customer'!$A:$A,0))</f>
        <v>1310</v>
      </c>
      <c r="AA94" s="187">
        <f>INDEX('Revenue by Customer'!AA:AA,MATCH('Full Customer List'!$B94,'Revenue by Customer'!$A:$A,0))</f>
        <v>1310</v>
      </c>
      <c r="AB94" s="187">
        <f>INDEX('Revenue by Customer'!AB:AB,MATCH('Full Customer List'!$B94,'Revenue by Customer'!$A:$A,0))</f>
        <v>1310</v>
      </c>
      <c r="AC94" s="187">
        <f>INDEX('Revenue by Customer'!AC:AC,MATCH('Full Customer List'!$B94,'Revenue by Customer'!$A:$A,0))</f>
        <v>1232</v>
      </c>
    </row>
    <row r="95" spans="2:29" ht="12" customHeight="1">
      <c r="B95" s="171" t="s">
        <v>699</v>
      </c>
      <c r="C95" s="171" t="str">
        <f>INDEX('Customer List w Software'!$B:$B,MATCH('Full Customer List'!$B95,'Customer List w Software'!$A:$A,0))</f>
        <v>Former client</v>
      </c>
      <c r="D95" s="171" t="str">
        <f>INDEX('Customer List w Software'!$C:$C,MATCH('Full Customer List'!$B95,'Customer List w Software'!$A:$A,0))</f>
        <v>Small business</v>
      </c>
      <c r="E95" s="171" t="str">
        <f>INDEX('Customer List Mapping'!$C:$C,MATCH('Full Customer List'!D95,'Customer List Mapping'!$B:$B,0))</f>
        <v>Small Business</v>
      </c>
      <c r="F95" s="187" t="str">
        <f>INDEX('Customer List w Software'!$K:$K,MATCH('Full Customer List'!$B95,'Customer List w Software'!$A:$A,0))</f>
        <v/>
      </c>
      <c r="G95" s="187">
        <f>INDEX('Revenue by Customer'!$I:$I,MATCH('Full Customer List'!$B95,'Revenue by Customer'!$A:$A,0))</f>
        <v>750</v>
      </c>
      <c r="H95" s="250" t="str">
        <f>IFERROR(IF(C95="Active","",INDEX('Client Departures'!$G:$G,MATCH('Full Customer List'!$B95,'Client Departures'!$A:$A,0))),"Unclassified")</f>
        <v>No</v>
      </c>
      <c r="I95" s="191">
        <v>44317</v>
      </c>
      <c r="J95" s="191">
        <v>46234</v>
      </c>
      <c r="K95" s="187">
        <f>INDEX('Revenue by Customer'!K:K,MATCH('Full Customer List'!$B95,'Revenue by Customer'!$A:$A,0))</f>
        <v>635</v>
      </c>
      <c r="L95" s="187">
        <f>INDEX('Revenue by Customer'!L:L,MATCH('Full Customer List'!$B95,'Revenue by Customer'!$A:$A,0))</f>
        <v>575</v>
      </c>
      <c r="M95" s="187">
        <f>INDEX('Revenue by Customer'!M:M,MATCH('Full Customer List'!$B95,'Revenue by Customer'!$A:$A,0))</f>
        <v>575</v>
      </c>
      <c r="N95" s="187">
        <f>INDEX('Revenue by Customer'!N:N,MATCH('Full Customer List'!$B95,'Revenue by Customer'!$A:$A,0))</f>
        <v>725</v>
      </c>
      <c r="O95" s="187">
        <f>INDEX('Revenue by Customer'!O:O,MATCH('Full Customer List'!$B95,'Revenue by Customer'!$A:$A,0))</f>
        <v>725</v>
      </c>
      <c r="P95" s="187">
        <f>INDEX('Revenue by Customer'!P:P,MATCH('Full Customer List'!$B95,'Revenue by Customer'!$A:$A,0))</f>
        <v>725</v>
      </c>
      <c r="Q95" s="187">
        <f>INDEX('Revenue by Customer'!Q:Q,MATCH('Full Customer List'!$B95,'Revenue by Customer'!$A:$A,0))</f>
        <v>725</v>
      </c>
      <c r="R95" s="187">
        <f>INDEX('Revenue by Customer'!R:R,MATCH('Full Customer List'!$B95,'Revenue by Customer'!$A:$A,0))</f>
        <v>725</v>
      </c>
      <c r="S95" s="187">
        <f>INDEX('Revenue by Customer'!S:S,MATCH('Full Customer List'!$B95,'Revenue by Customer'!$A:$A,0))</f>
        <v>725</v>
      </c>
      <c r="T95" s="187">
        <f>INDEX('Revenue by Customer'!T:T,MATCH('Full Customer List'!$B95,'Revenue by Customer'!$A:$A,0))</f>
        <v>725</v>
      </c>
      <c r="U95" s="187">
        <f>INDEX('Revenue by Customer'!U:U,MATCH('Full Customer List'!$B95,'Revenue by Customer'!$A:$A,0))</f>
        <v>725</v>
      </c>
      <c r="V95" s="187">
        <f>INDEX('Revenue by Customer'!V:V,MATCH('Full Customer List'!$B95,'Revenue by Customer'!$A:$A,0))</f>
        <v>725</v>
      </c>
      <c r="W95" s="187">
        <f>INDEX('Revenue by Customer'!W:W,MATCH('Full Customer List'!$B95,'Revenue by Customer'!$A:$A,0))</f>
        <v>725</v>
      </c>
      <c r="X95" s="187">
        <f>INDEX('Revenue by Customer'!X:X,MATCH('Full Customer List'!$B95,'Revenue by Customer'!$A:$A,0))</f>
        <v>770</v>
      </c>
      <c r="Y95" s="187">
        <f>INDEX('Revenue by Customer'!Y:Y,MATCH('Full Customer List'!$B95,'Revenue by Customer'!$A:$A,0))</f>
        <v>725</v>
      </c>
      <c r="Z95" s="187">
        <f>INDEX('Revenue by Customer'!Z:Z,MATCH('Full Customer List'!$B95,'Revenue by Customer'!$A:$A,0))</f>
        <v>750</v>
      </c>
      <c r="AA95" s="187">
        <f>INDEX('Revenue by Customer'!AA:AA,MATCH('Full Customer List'!$B95,'Revenue by Customer'!$A:$A,0))</f>
        <v>750</v>
      </c>
      <c r="AB95" s="187">
        <f>INDEX('Revenue by Customer'!AB:AB,MATCH('Full Customer List'!$B95,'Revenue by Customer'!$A:$A,0))</f>
        <v>750</v>
      </c>
      <c r="AC95" s="187">
        <f>INDEX('Revenue by Customer'!AC:AC,MATCH('Full Customer List'!$B95,'Revenue by Customer'!$A:$A,0))</f>
        <v>750</v>
      </c>
    </row>
    <row r="96" spans="2:29" ht="12" customHeight="1">
      <c r="B96" s="171" t="s">
        <v>701</v>
      </c>
      <c r="C96" s="171" t="str">
        <f>INDEX('Customer List w Software'!$B:$B,MATCH('Full Customer List'!$B96,'Customer List w Software'!$A:$A,0))</f>
        <v>Active</v>
      </c>
      <c r="D96" s="171" t="str">
        <f>INDEX('Customer List w Software'!$C:$C,MATCH('Full Customer List'!$B96,'Customer List w Software'!$A:$A,0))</f>
        <v>Property manager</v>
      </c>
      <c r="E96" s="171" t="str">
        <f>INDEX('Customer List Mapping'!$C:$C,MATCH('Full Customer List'!D96,'Customer List Mapping'!$B:$B,0))</f>
        <v>Property Manager</v>
      </c>
      <c r="F96" s="187">
        <f>INDEX('Customer List w Software'!$K:$K,MATCH('Full Customer List'!$B96,'Customer List w Software'!$A:$A,0))</f>
        <v>27</v>
      </c>
      <c r="G96" s="187">
        <f>INDEX('Revenue by Customer'!$I:$I,MATCH('Full Customer List'!$B96,'Revenue by Customer'!$A:$A,0))</f>
        <v>1829.6666666666667</v>
      </c>
      <c r="H96" s="250" t="str">
        <f>IFERROR(IF(C96="Active","",INDEX('Client Departures'!$G:$G,MATCH('Full Customer List'!$B96,'Client Departures'!$A:$A,0))),"Unclassified")</f>
        <v/>
      </c>
      <c r="I96" s="191">
        <v>46113</v>
      </c>
      <c r="J96" s="191"/>
      <c r="K96" s="187" t="str">
        <f>INDEX('Revenue by Customer'!K:K,MATCH('Full Customer List'!$B96,'Revenue by Customer'!$A:$A,0))</f>
        <v/>
      </c>
      <c r="L96" s="187" t="str">
        <f>INDEX('Revenue by Customer'!L:L,MATCH('Full Customer List'!$B96,'Revenue by Customer'!$A:$A,0))</f>
        <v/>
      </c>
      <c r="M96" s="187" t="str">
        <f>INDEX('Revenue by Customer'!M:M,MATCH('Full Customer List'!$B96,'Revenue by Customer'!$A:$A,0))</f>
        <v/>
      </c>
      <c r="N96" s="187" t="str">
        <f>INDEX('Revenue by Customer'!N:N,MATCH('Full Customer List'!$B96,'Revenue by Customer'!$A:$A,0))</f>
        <v/>
      </c>
      <c r="O96" s="187" t="str">
        <f>INDEX('Revenue by Customer'!O:O,MATCH('Full Customer List'!$B96,'Revenue by Customer'!$A:$A,0))</f>
        <v/>
      </c>
      <c r="P96" s="187" t="str">
        <f>INDEX('Revenue by Customer'!P:P,MATCH('Full Customer List'!$B96,'Revenue by Customer'!$A:$A,0))</f>
        <v/>
      </c>
      <c r="Q96" s="187" t="str">
        <f>INDEX('Revenue by Customer'!Q:Q,MATCH('Full Customer List'!$B96,'Revenue by Customer'!$A:$A,0))</f>
        <v/>
      </c>
      <c r="R96" s="187" t="str">
        <f>INDEX('Revenue by Customer'!R:R,MATCH('Full Customer List'!$B96,'Revenue by Customer'!$A:$A,0))</f>
        <v/>
      </c>
      <c r="S96" s="187" t="str">
        <f>INDEX('Revenue by Customer'!S:S,MATCH('Full Customer List'!$B96,'Revenue by Customer'!$A:$A,0))</f>
        <v/>
      </c>
      <c r="T96" s="187" t="str">
        <f>INDEX('Revenue by Customer'!T:T,MATCH('Full Customer List'!$B96,'Revenue by Customer'!$A:$A,0))</f>
        <v/>
      </c>
      <c r="U96" s="187" t="str">
        <f>INDEX('Revenue by Customer'!U:U,MATCH('Full Customer List'!$B96,'Revenue by Customer'!$A:$A,0))</f>
        <v/>
      </c>
      <c r="V96" s="187" t="str">
        <f>INDEX('Revenue by Customer'!V:V,MATCH('Full Customer List'!$B96,'Revenue by Customer'!$A:$A,0))</f>
        <v/>
      </c>
      <c r="W96" s="187" t="str">
        <f>INDEX('Revenue by Customer'!W:W,MATCH('Full Customer List'!$B96,'Revenue by Customer'!$A:$A,0))</f>
        <v/>
      </c>
      <c r="X96" s="187" t="str">
        <f>INDEX('Revenue by Customer'!X:X,MATCH('Full Customer List'!$B96,'Revenue by Customer'!$A:$A,0))</f>
        <v/>
      </c>
      <c r="Y96" s="187" t="str">
        <f>INDEX('Revenue by Customer'!Y:Y,MATCH('Full Customer List'!$B96,'Revenue by Customer'!$A:$A,0))</f>
        <v/>
      </c>
      <c r="Z96" s="187">
        <f>INDEX('Revenue by Customer'!Z:Z,MATCH('Full Customer List'!$B96,'Revenue by Customer'!$A:$A,0))</f>
        <v>3326</v>
      </c>
      <c r="AA96" s="187">
        <f>INDEX('Revenue by Customer'!AA:AA,MATCH('Full Customer List'!$B96,'Revenue by Customer'!$A:$A,0))</f>
        <v>1785</v>
      </c>
      <c r="AB96" s="187">
        <f>INDEX('Revenue by Customer'!AB:AB,MATCH('Full Customer List'!$B96,'Revenue by Customer'!$A:$A,0))</f>
        <v>1785</v>
      </c>
      <c r="AC96" s="187">
        <f>INDEX('Revenue by Customer'!AC:AC,MATCH('Full Customer List'!$B96,'Revenue by Customer'!$A:$A,0))</f>
        <v>1919</v>
      </c>
    </row>
    <row r="97" spans="2:29" ht="12" customHeight="1">
      <c r="B97" s="171" t="s">
        <v>702</v>
      </c>
      <c r="C97" s="171" t="str">
        <f>INDEX('Customer List w Software'!$B:$B,MATCH('Full Customer List'!$B97,'Customer List w Software'!$A:$A,0))</f>
        <v>Active</v>
      </c>
      <c r="D97" s="171" t="str">
        <f>INDEX('Customer List w Software'!$C:$C,MATCH('Full Customer List'!$B97,'Customer List w Software'!$A:$A,0))</f>
        <v>Property manager</v>
      </c>
      <c r="E97" s="171" t="str">
        <f>INDEX('Customer List Mapping'!$C:$C,MATCH('Full Customer List'!D97,'Customer List Mapping'!$B:$B,0))</f>
        <v>Property Manager</v>
      </c>
      <c r="F97" s="187">
        <f>INDEX('Customer List w Software'!$K:$K,MATCH('Full Customer List'!$B97,'Customer List w Software'!$A:$A,0))</f>
        <v>22</v>
      </c>
      <c r="G97" s="187">
        <f>INDEX('Revenue by Customer'!$I:$I,MATCH('Full Customer List'!$B97,'Revenue by Customer'!$A:$A,0))</f>
        <v>932.66666666666663</v>
      </c>
      <c r="H97" s="250" t="str">
        <f>IFERROR(IF(C97="Active","",INDEX('Client Departures'!$G:$G,MATCH('Full Customer List'!$B97,'Client Departures'!$A:$A,0))),"Unclassified")</f>
        <v/>
      </c>
      <c r="I97" s="191">
        <v>45717</v>
      </c>
      <c r="J97" s="191"/>
      <c r="K97" s="187" t="str">
        <f>INDEX('Revenue by Customer'!K:K,MATCH('Full Customer List'!$B97,'Revenue by Customer'!$A:$A,0))</f>
        <v/>
      </c>
      <c r="L97" s="187" t="str">
        <f>INDEX('Revenue by Customer'!L:L,MATCH('Full Customer List'!$B97,'Revenue by Customer'!$A:$A,0))</f>
        <v/>
      </c>
      <c r="M97" s="187">
        <f>INDEX('Revenue by Customer'!M:M,MATCH('Full Customer List'!$B97,'Revenue by Customer'!$A:$A,0))</f>
        <v>917.5</v>
      </c>
      <c r="N97" s="187">
        <f>INDEX('Revenue by Customer'!N:N,MATCH('Full Customer List'!$B97,'Revenue by Customer'!$A:$A,0))</f>
        <v>531.25</v>
      </c>
      <c r="O97" s="187">
        <f>INDEX('Revenue by Customer'!O:O,MATCH('Full Customer List'!$B97,'Revenue by Customer'!$A:$A,0))</f>
        <v>595</v>
      </c>
      <c r="P97" s="187">
        <f>INDEX('Revenue by Customer'!P:P,MATCH('Full Customer List'!$B97,'Revenue by Customer'!$A:$A,0))</f>
        <v>625</v>
      </c>
      <c r="Q97" s="187">
        <f>INDEX('Revenue by Customer'!Q:Q,MATCH('Full Customer List'!$B97,'Revenue by Customer'!$A:$A,0))</f>
        <v>775</v>
      </c>
      <c r="R97" s="187">
        <f>INDEX('Revenue by Customer'!R:R,MATCH('Full Customer List'!$B97,'Revenue by Customer'!$A:$A,0))</f>
        <v>775</v>
      </c>
      <c r="S97" s="187">
        <f>INDEX('Revenue by Customer'!S:S,MATCH('Full Customer List'!$B97,'Revenue by Customer'!$A:$A,0))</f>
        <v>850</v>
      </c>
      <c r="T97" s="187">
        <f>INDEX('Revenue by Customer'!T:T,MATCH('Full Customer List'!$B97,'Revenue by Customer'!$A:$A,0))</f>
        <v>850</v>
      </c>
      <c r="U97" s="187">
        <f>INDEX('Revenue by Customer'!U:U,MATCH('Full Customer List'!$B97,'Revenue by Customer'!$A:$A,0))</f>
        <v>775</v>
      </c>
      <c r="V97" s="187">
        <f>INDEX('Revenue by Customer'!V:V,MATCH('Full Customer List'!$B97,'Revenue by Customer'!$A:$A,0))</f>
        <v>625</v>
      </c>
      <c r="W97" s="187">
        <f>INDEX('Revenue by Customer'!W:W,MATCH('Full Customer List'!$B97,'Revenue by Customer'!$A:$A,0))</f>
        <v>550</v>
      </c>
      <c r="X97" s="187">
        <f>INDEX('Revenue by Customer'!X:X,MATCH('Full Customer List'!$B97,'Revenue by Customer'!$A:$A,0))</f>
        <v>745</v>
      </c>
      <c r="Y97" s="187">
        <f>INDEX('Revenue by Customer'!Y:Y,MATCH('Full Customer List'!$B97,'Revenue by Customer'!$A:$A,0))</f>
        <v>418</v>
      </c>
      <c r="Z97" s="187">
        <f>INDEX('Revenue by Customer'!Z:Z,MATCH('Full Customer List'!$B97,'Revenue by Customer'!$A:$A,0))</f>
        <v>418</v>
      </c>
      <c r="AA97" s="187">
        <f>INDEX('Revenue by Customer'!AA:AA,MATCH('Full Customer List'!$B97,'Revenue by Customer'!$A:$A,0))</f>
        <v>726</v>
      </c>
      <c r="AB97" s="187">
        <f>INDEX('Revenue by Customer'!AB:AB,MATCH('Full Customer List'!$B97,'Revenue by Customer'!$A:$A,0))</f>
        <v>957</v>
      </c>
      <c r="AC97" s="187">
        <f>INDEX('Revenue by Customer'!AC:AC,MATCH('Full Customer List'!$B97,'Revenue by Customer'!$A:$A,0))</f>
        <v>1115</v>
      </c>
    </row>
    <row r="98" spans="2:29" ht="12" customHeight="1">
      <c r="B98" s="171" t="s">
        <v>703</v>
      </c>
      <c r="C98" s="171" t="str">
        <f>INDEX('Customer List w Software'!$B:$B,MATCH('Full Customer List'!$B98,'Customer List w Software'!$A:$A,0))</f>
        <v>Active</v>
      </c>
      <c r="D98" s="171" t="str">
        <f>INDEX('Customer List w Software'!$C:$C,MATCH('Full Customer List'!$B98,'Customer List w Software'!$A:$A,0))</f>
        <v>STR owner</v>
      </c>
      <c r="E98" s="171" t="str">
        <f>INDEX('Customer List Mapping'!$C:$C,MATCH('Full Customer List'!D98,'Customer List Mapping'!$B:$B,0))</f>
        <v>STR Owner</v>
      </c>
      <c r="F98" s="187" t="str">
        <f>INDEX('Customer List w Software'!$K:$K,MATCH('Full Customer List'!$B98,'Customer List w Software'!$A:$A,0))</f>
        <v/>
      </c>
      <c r="G98" s="187">
        <f>INDEX('Revenue by Customer'!$I:$I,MATCH('Full Customer List'!$B98,'Revenue by Customer'!$A:$A,0))</f>
        <v>418</v>
      </c>
      <c r="H98" s="250" t="str">
        <f>IFERROR(IF(C98="Active","",INDEX('Client Departures'!$G:$G,MATCH('Full Customer List'!$B98,'Client Departures'!$A:$A,0))),"Unclassified")</f>
        <v/>
      </c>
      <c r="I98" s="191">
        <v>45292</v>
      </c>
      <c r="J98" s="191"/>
      <c r="K98" s="187">
        <f>INDEX('Revenue by Customer'!K:K,MATCH('Full Customer List'!$B98,'Revenue by Customer'!$A:$A,0))</f>
        <v>475</v>
      </c>
      <c r="L98" s="187">
        <f>INDEX('Revenue by Customer'!L:L,MATCH('Full Customer List'!$B98,'Revenue by Customer'!$A:$A,0))</f>
        <v>400</v>
      </c>
      <c r="M98" s="187">
        <f>INDEX('Revenue by Customer'!M:M,MATCH('Full Customer List'!$B98,'Revenue by Customer'!$A:$A,0))</f>
        <v>400</v>
      </c>
      <c r="N98" s="187">
        <f>INDEX('Revenue by Customer'!N:N,MATCH('Full Customer List'!$B98,'Revenue by Customer'!$A:$A,0))</f>
        <v>400</v>
      </c>
      <c r="O98" s="187">
        <f>INDEX('Revenue by Customer'!O:O,MATCH('Full Customer List'!$B98,'Revenue by Customer'!$A:$A,0))</f>
        <v>400</v>
      </c>
      <c r="P98" s="187">
        <f>INDEX('Revenue by Customer'!P:P,MATCH('Full Customer List'!$B98,'Revenue by Customer'!$A:$A,0))</f>
        <v>400</v>
      </c>
      <c r="Q98" s="187">
        <f>INDEX('Revenue by Customer'!Q:Q,MATCH('Full Customer List'!$B98,'Revenue by Customer'!$A:$A,0))</f>
        <v>400</v>
      </c>
      <c r="R98" s="187">
        <f>INDEX('Revenue by Customer'!R:R,MATCH('Full Customer List'!$B98,'Revenue by Customer'!$A:$A,0))</f>
        <v>400</v>
      </c>
      <c r="S98" s="187">
        <f>INDEX('Revenue by Customer'!S:S,MATCH('Full Customer List'!$B98,'Revenue by Customer'!$A:$A,0))</f>
        <v>1225</v>
      </c>
      <c r="T98" s="187">
        <f>INDEX('Revenue by Customer'!T:T,MATCH('Full Customer List'!$B98,'Revenue by Customer'!$A:$A,0))</f>
        <v>3090</v>
      </c>
      <c r="U98" s="187">
        <f>INDEX('Revenue by Customer'!U:U,MATCH('Full Customer List'!$B98,'Revenue by Customer'!$A:$A,0))</f>
        <v>400</v>
      </c>
      <c r="V98" s="187">
        <f>INDEX('Revenue by Customer'!V:V,MATCH('Full Customer List'!$B98,'Revenue by Customer'!$A:$A,0))</f>
        <v>400</v>
      </c>
      <c r="W98" s="187">
        <f>INDEX('Revenue by Customer'!W:W,MATCH('Full Customer List'!$B98,'Revenue by Customer'!$A:$A,0))</f>
        <v>418</v>
      </c>
      <c r="X98" s="187">
        <f>INDEX('Revenue by Customer'!X:X,MATCH('Full Customer List'!$B98,'Revenue by Customer'!$A:$A,0))</f>
        <v>583</v>
      </c>
      <c r="Y98" s="187">
        <f>INDEX('Revenue by Customer'!Y:Y,MATCH('Full Customer List'!$B98,'Revenue by Customer'!$A:$A,0))</f>
        <v>418</v>
      </c>
      <c r="Z98" s="187">
        <f>INDEX('Revenue by Customer'!Z:Z,MATCH('Full Customer List'!$B98,'Revenue by Customer'!$A:$A,0))</f>
        <v>418</v>
      </c>
      <c r="AA98" s="187">
        <f>INDEX('Revenue by Customer'!AA:AA,MATCH('Full Customer List'!$B98,'Revenue by Customer'!$A:$A,0))</f>
        <v>418</v>
      </c>
      <c r="AB98" s="187">
        <f>INDEX('Revenue by Customer'!AB:AB,MATCH('Full Customer List'!$B98,'Revenue by Customer'!$A:$A,0))</f>
        <v>418</v>
      </c>
      <c r="AC98" s="187">
        <f>INDEX('Revenue by Customer'!AC:AC,MATCH('Full Customer List'!$B98,'Revenue by Customer'!$A:$A,0))</f>
        <v>418</v>
      </c>
    </row>
    <row r="99" spans="2:29" ht="12" customHeight="1">
      <c r="B99" s="171" t="s">
        <v>706</v>
      </c>
      <c r="C99" s="171" t="str">
        <f>INDEX('Customer List w Software'!$B:$B,MATCH('Full Customer List'!$B99,'Customer List w Software'!$A:$A,0))</f>
        <v>Active</v>
      </c>
      <c r="D99" s="171" t="str">
        <f>INDEX('Customer List w Software'!$C:$C,MATCH('Full Customer List'!$B99,'Customer List w Software'!$A:$A,0))</f>
        <v>Property manager</v>
      </c>
      <c r="E99" s="171" t="str">
        <f>INDEX('Customer List Mapping'!$C:$C,MATCH('Full Customer List'!D99,'Customer List Mapping'!$B:$B,0))</f>
        <v>Property Manager</v>
      </c>
      <c r="F99" s="187">
        <f>INDEX('Customer List w Software'!$K:$K,MATCH('Full Customer List'!$B99,'Customer List w Software'!$A:$A,0))</f>
        <v>5</v>
      </c>
      <c r="G99" s="187">
        <f>INDEX('Revenue by Customer'!$I:$I,MATCH('Full Customer List'!$B99,'Revenue by Customer'!$A:$A,0))</f>
        <v>692</v>
      </c>
      <c r="H99" s="250" t="str">
        <f>IFERROR(IF(C99="Active","",INDEX('Client Departures'!$G:$G,MATCH('Full Customer List'!$B99,'Client Departures'!$A:$A,0))),"Unclassified")</f>
        <v/>
      </c>
      <c r="I99" s="191">
        <v>45323</v>
      </c>
      <c r="J99" s="191"/>
      <c r="K99" s="187">
        <f>INDEX('Revenue by Customer'!K:K,MATCH('Full Customer List'!$B99,'Revenue by Customer'!$A:$A,0))</f>
        <v>460</v>
      </c>
      <c r="L99" s="187">
        <f>INDEX('Revenue by Customer'!L:L,MATCH('Full Customer List'!$B99,'Revenue by Customer'!$A:$A,0))</f>
        <v>510</v>
      </c>
      <c r="M99" s="187">
        <f>INDEX('Revenue by Customer'!M:M,MATCH('Full Customer List'!$B99,'Revenue by Customer'!$A:$A,0))</f>
        <v>510</v>
      </c>
      <c r="N99" s="187">
        <f>INDEX('Revenue by Customer'!N:N,MATCH('Full Customer List'!$B99,'Revenue by Customer'!$A:$A,0))</f>
        <v>510</v>
      </c>
      <c r="O99" s="187">
        <f>INDEX('Revenue by Customer'!O:O,MATCH('Full Customer List'!$B99,'Revenue by Customer'!$A:$A,0))</f>
        <v>850</v>
      </c>
      <c r="P99" s="187">
        <f>INDEX('Revenue by Customer'!P:P,MATCH('Full Customer List'!$B99,'Revenue by Customer'!$A:$A,0))</f>
        <v>600</v>
      </c>
      <c r="Q99" s="187">
        <f>INDEX('Revenue by Customer'!Q:Q,MATCH('Full Customer List'!$B99,'Revenue by Customer'!$A:$A,0))</f>
        <v>600</v>
      </c>
      <c r="R99" s="187">
        <f>INDEX('Revenue by Customer'!R:R,MATCH('Full Customer List'!$B99,'Revenue by Customer'!$A:$A,0))</f>
        <v>690</v>
      </c>
      <c r="S99" s="187">
        <f>INDEX('Revenue by Customer'!S:S,MATCH('Full Customer List'!$B99,'Revenue by Customer'!$A:$A,0))</f>
        <v>690</v>
      </c>
      <c r="T99" s="187">
        <f>INDEX('Revenue by Customer'!T:T,MATCH('Full Customer List'!$B99,'Revenue by Customer'!$A:$A,0))</f>
        <v>780</v>
      </c>
      <c r="U99" s="187">
        <f>INDEX('Revenue by Customer'!U:U,MATCH('Full Customer List'!$B99,'Revenue by Customer'!$A:$A,0))</f>
        <v>815</v>
      </c>
      <c r="V99" s="187">
        <f>INDEX('Revenue by Customer'!V:V,MATCH('Full Customer List'!$B99,'Revenue by Customer'!$A:$A,0))</f>
        <v>815</v>
      </c>
      <c r="W99" s="187">
        <f>INDEX('Revenue by Customer'!W:W,MATCH('Full Customer List'!$B99,'Revenue by Customer'!$A:$A,0))</f>
        <v>420</v>
      </c>
      <c r="X99" s="187">
        <f>INDEX('Revenue by Customer'!X:X,MATCH('Full Customer List'!$B99,'Revenue by Customer'!$A:$A,0))</f>
        <v>909</v>
      </c>
      <c r="Y99" s="187">
        <f>INDEX('Revenue by Customer'!Y:Y,MATCH('Full Customer List'!$B99,'Revenue by Customer'!$A:$A,0))</f>
        <v>789</v>
      </c>
      <c r="Z99" s="187">
        <f>INDEX('Revenue by Customer'!Z:Z,MATCH('Full Customer List'!$B99,'Revenue by Customer'!$A:$A,0))</f>
        <v>595</v>
      </c>
      <c r="AA99" s="187">
        <f>INDEX('Revenue by Customer'!AA:AA,MATCH('Full Customer List'!$B99,'Revenue by Customer'!$A:$A,0))</f>
        <v>692</v>
      </c>
      <c r="AB99" s="187">
        <f>INDEX('Revenue by Customer'!AB:AB,MATCH('Full Customer List'!$B99,'Revenue by Customer'!$A:$A,0))</f>
        <v>692</v>
      </c>
      <c r="AC99" s="187">
        <f>INDEX('Revenue by Customer'!AC:AC,MATCH('Full Customer List'!$B99,'Revenue by Customer'!$A:$A,0))</f>
        <v>692</v>
      </c>
    </row>
    <row r="100" spans="2:29" ht="12" customHeight="1">
      <c r="B100" s="171" t="s">
        <v>707</v>
      </c>
      <c r="C100" s="171" t="str">
        <f>INDEX('Customer List w Software'!$B:$B,MATCH('Full Customer List'!$B100,'Customer List w Software'!$A:$A,0))</f>
        <v>Former client</v>
      </c>
      <c r="D100" s="171" t="str">
        <f>INDEX('Customer List w Software'!$C:$C,MATCH('Full Customer List'!$B100,'Customer List w Software'!$A:$A,0))</f>
        <v>Property manager</v>
      </c>
      <c r="E100" s="171" t="str">
        <f>INDEX('Customer List Mapping'!$C:$C,MATCH('Full Customer List'!D100,'Customer List Mapping'!$B:$B,0))</f>
        <v>Property Manager</v>
      </c>
      <c r="F100" s="187">
        <f>INDEX('Customer List w Software'!$K:$K,MATCH('Full Customer List'!$B100,'Customer List w Software'!$A:$A,0))</f>
        <v>90</v>
      </c>
      <c r="G100" s="187">
        <f>INDEX('Revenue by Customer'!$I:$I,MATCH('Full Customer List'!$B100,'Revenue by Customer'!$A:$A,0))</f>
        <v>2853.3333333333335</v>
      </c>
      <c r="H100" s="250" t="str">
        <f>IFERROR(IF(C100="Active","",INDEX('Client Departures'!$G:$G,MATCH('Full Customer List'!$B100,'Client Departures'!$A:$A,0))),"Unclassified")</f>
        <v>No</v>
      </c>
      <c r="I100" s="191">
        <v>45962</v>
      </c>
      <c r="J100" s="191">
        <v>46053</v>
      </c>
      <c r="K100" s="187" t="str">
        <f>INDEX('Revenue by Customer'!K:K,MATCH('Full Customer List'!$B100,'Revenue by Customer'!$A:$A,0))</f>
        <v/>
      </c>
      <c r="L100" s="187" t="str">
        <f>INDEX('Revenue by Customer'!L:L,MATCH('Full Customer List'!$B100,'Revenue by Customer'!$A:$A,0))</f>
        <v/>
      </c>
      <c r="M100" s="187" t="str">
        <f>INDEX('Revenue by Customer'!M:M,MATCH('Full Customer List'!$B100,'Revenue by Customer'!$A:$A,0))</f>
        <v/>
      </c>
      <c r="N100" s="187" t="str">
        <f>INDEX('Revenue by Customer'!N:N,MATCH('Full Customer List'!$B100,'Revenue by Customer'!$A:$A,0))</f>
        <v/>
      </c>
      <c r="O100" s="187" t="str">
        <f>INDEX('Revenue by Customer'!O:O,MATCH('Full Customer List'!$B100,'Revenue by Customer'!$A:$A,0))</f>
        <v/>
      </c>
      <c r="P100" s="187" t="str">
        <f>INDEX('Revenue by Customer'!P:P,MATCH('Full Customer List'!$B100,'Revenue by Customer'!$A:$A,0))</f>
        <v/>
      </c>
      <c r="Q100" s="187" t="str">
        <f>INDEX('Revenue by Customer'!Q:Q,MATCH('Full Customer List'!$B100,'Revenue by Customer'!$A:$A,0))</f>
        <v/>
      </c>
      <c r="R100" s="187" t="str">
        <f>INDEX('Revenue by Customer'!R:R,MATCH('Full Customer List'!$B100,'Revenue by Customer'!$A:$A,0))</f>
        <v/>
      </c>
      <c r="S100" s="187" t="str">
        <f>INDEX('Revenue by Customer'!S:S,MATCH('Full Customer List'!$B100,'Revenue by Customer'!$A:$A,0))</f>
        <v/>
      </c>
      <c r="T100" s="187" t="str">
        <f>INDEX('Revenue by Customer'!T:T,MATCH('Full Customer List'!$B100,'Revenue by Customer'!$A:$A,0))</f>
        <v/>
      </c>
      <c r="U100" s="187">
        <f>INDEX('Revenue by Customer'!U:U,MATCH('Full Customer List'!$B100,'Revenue by Customer'!$A:$A,0))</f>
        <v>3947.5</v>
      </c>
      <c r="V100" s="187">
        <f>INDEX('Revenue by Customer'!V:V,MATCH('Full Customer List'!$B100,'Revenue by Customer'!$A:$A,0))</f>
        <v>2665</v>
      </c>
      <c r="W100" s="187">
        <f>INDEX('Revenue by Customer'!W:W,MATCH('Full Customer List'!$B100,'Revenue by Customer'!$A:$A,0))</f>
        <v>1947.5</v>
      </c>
      <c r="X100" s="187">
        <f>INDEX('Revenue by Customer'!X:X,MATCH('Full Customer List'!$B100,'Revenue by Customer'!$A:$A,0))</f>
        <v>0</v>
      </c>
      <c r="Y100" s="187" t="str">
        <f>INDEX('Revenue by Customer'!Y:Y,MATCH('Full Customer List'!$B100,'Revenue by Customer'!$A:$A,0))</f>
        <v/>
      </c>
      <c r="Z100" s="187" t="str">
        <f>INDEX('Revenue by Customer'!Z:Z,MATCH('Full Customer List'!$B100,'Revenue by Customer'!$A:$A,0))</f>
        <v/>
      </c>
      <c r="AA100" s="187" t="str">
        <f>INDEX('Revenue by Customer'!AA:AA,MATCH('Full Customer List'!$B100,'Revenue by Customer'!$A:$A,0))</f>
        <v/>
      </c>
      <c r="AB100" s="187" t="str">
        <f>INDEX('Revenue by Customer'!AB:AB,MATCH('Full Customer List'!$B100,'Revenue by Customer'!$A:$A,0))</f>
        <v/>
      </c>
      <c r="AC100" s="187" t="str">
        <f>INDEX('Revenue by Customer'!AC:AC,MATCH('Full Customer List'!$B100,'Revenue by Customer'!$A:$A,0))</f>
        <v/>
      </c>
    </row>
    <row r="101" spans="2:29" ht="12" customHeight="1">
      <c r="B101" s="171" t="s">
        <v>709</v>
      </c>
      <c r="C101" s="171" t="str">
        <f>INDEX('Customer List w Software'!$B:$B,MATCH('Full Customer List'!$B101,'Customer List w Software'!$A:$A,0))</f>
        <v>Active</v>
      </c>
      <c r="D101" s="171" t="str">
        <f>INDEX('Customer List w Software'!$C:$C,MATCH('Full Customer List'!$B101,'Customer List w Software'!$A:$A,0))</f>
        <v>Property manager</v>
      </c>
      <c r="E101" s="171" t="str">
        <f>INDEX('Customer List Mapping'!$C:$C,MATCH('Full Customer List'!D101,'Customer List Mapping'!$B:$B,0))</f>
        <v>Property Manager</v>
      </c>
      <c r="F101" s="187">
        <f>INDEX('Customer List w Software'!$K:$K,MATCH('Full Customer List'!$B101,'Customer List w Software'!$A:$A,0))</f>
        <v>12</v>
      </c>
      <c r="G101" s="187">
        <f>INDEX('Revenue by Customer'!$I:$I,MATCH('Full Customer List'!$B101,'Revenue by Customer'!$A:$A,0))</f>
        <v>1300</v>
      </c>
      <c r="H101" s="250" t="str">
        <f>IFERROR(IF(C101="Active","",INDEX('Client Departures'!$G:$G,MATCH('Full Customer List'!$B101,'Client Departures'!$A:$A,0))),"Unclassified")</f>
        <v/>
      </c>
      <c r="I101" s="191">
        <v>45261</v>
      </c>
      <c r="J101" s="191"/>
      <c r="K101" s="187">
        <f>INDEX('Revenue by Customer'!K:K,MATCH('Full Customer List'!$B101,'Revenue by Customer'!$A:$A,0))</f>
        <v>675</v>
      </c>
      <c r="L101" s="187">
        <f>INDEX('Revenue by Customer'!L:L,MATCH('Full Customer List'!$B101,'Revenue by Customer'!$A:$A,0))</f>
        <v>495</v>
      </c>
      <c r="M101" s="187">
        <f>INDEX('Revenue by Customer'!M:M,MATCH('Full Customer List'!$B101,'Revenue by Customer'!$A:$A,0))</f>
        <v>495</v>
      </c>
      <c r="N101" s="187">
        <f>INDEX('Revenue by Customer'!N:N,MATCH('Full Customer List'!$B101,'Revenue by Customer'!$A:$A,0))</f>
        <v>425</v>
      </c>
      <c r="O101" s="187">
        <f>INDEX('Revenue by Customer'!O:O,MATCH('Full Customer List'!$B101,'Revenue by Customer'!$A:$A,0))</f>
        <v>425</v>
      </c>
      <c r="P101" s="187">
        <f>INDEX('Revenue by Customer'!P:P,MATCH('Full Customer List'!$B101,'Revenue by Customer'!$A:$A,0))</f>
        <v>425</v>
      </c>
      <c r="Q101" s="187">
        <f>INDEX('Revenue by Customer'!Q:Q,MATCH('Full Customer List'!$B101,'Revenue by Customer'!$A:$A,0))</f>
        <v>425</v>
      </c>
      <c r="R101" s="187">
        <f>INDEX('Revenue by Customer'!R:R,MATCH('Full Customer List'!$B101,'Revenue by Customer'!$A:$A,0))</f>
        <v>425</v>
      </c>
      <c r="S101" s="187">
        <f>INDEX('Revenue by Customer'!S:S,MATCH('Full Customer List'!$B101,'Revenue by Customer'!$A:$A,0))</f>
        <v>425</v>
      </c>
      <c r="T101" s="187">
        <f>INDEX('Revenue by Customer'!T:T,MATCH('Full Customer List'!$B101,'Revenue by Customer'!$A:$A,0))</f>
        <v>425</v>
      </c>
      <c r="U101" s="187">
        <f>INDEX('Revenue by Customer'!U:U,MATCH('Full Customer List'!$B101,'Revenue by Customer'!$A:$A,0))</f>
        <v>425</v>
      </c>
      <c r="V101" s="187">
        <f>INDEX('Revenue by Customer'!V:V,MATCH('Full Customer List'!$B101,'Revenue by Customer'!$A:$A,0))</f>
        <v>450</v>
      </c>
      <c r="W101" s="187">
        <f>INDEX('Revenue by Customer'!W:W,MATCH('Full Customer List'!$B101,'Revenue by Customer'!$A:$A,0))</f>
        <v>615</v>
      </c>
      <c r="X101" s="187">
        <f>INDEX('Revenue by Customer'!X:X,MATCH('Full Customer List'!$B101,'Revenue by Customer'!$A:$A,0))</f>
        <v>450</v>
      </c>
      <c r="Y101" s="187">
        <f>INDEX('Revenue by Customer'!Y:Y,MATCH('Full Customer List'!$B101,'Revenue by Customer'!$A:$A,0))</f>
        <v>630</v>
      </c>
      <c r="Z101" s="187">
        <f>INDEX('Revenue by Customer'!Z:Z,MATCH('Full Customer List'!$B101,'Revenue by Customer'!$A:$A,0))</f>
        <v>630</v>
      </c>
      <c r="AA101" s="187">
        <f>INDEX('Revenue by Customer'!AA:AA,MATCH('Full Customer List'!$B101,'Revenue by Customer'!$A:$A,0))</f>
        <v>1020</v>
      </c>
      <c r="AB101" s="187">
        <f>INDEX('Revenue by Customer'!AB:AB,MATCH('Full Customer List'!$B101,'Revenue by Customer'!$A:$A,0))</f>
        <v>1440</v>
      </c>
      <c r="AC101" s="187">
        <f>INDEX('Revenue by Customer'!AC:AC,MATCH('Full Customer List'!$B101,'Revenue by Customer'!$A:$A,0))</f>
        <v>1440</v>
      </c>
    </row>
    <row r="102" spans="2:29" ht="12" customHeight="1">
      <c r="B102" s="171" t="s">
        <v>710</v>
      </c>
      <c r="C102" s="171" t="str">
        <f>INDEX('Customer List w Software'!$B:$B,MATCH('Full Customer List'!$B102,'Customer List w Software'!$A:$A,0))</f>
        <v>Active</v>
      </c>
      <c r="D102" s="171" t="str">
        <f>INDEX('Customer List w Software'!$C:$C,MATCH('Full Customer List'!$B102,'Customer List w Software'!$A:$A,0))</f>
        <v>Property manager</v>
      </c>
      <c r="E102" s="171" t="str">
        <f>INDEX('Customer List Mapping'!$C:$C,MATCH('Full Customer List'!D102,'Customer List Mapping'!$B:$B,0))</f>
        <v>Property Manager</v>
      </c>
      <c r="F102" s="187">
        <f>INDEX('Customer List w Software'!$K:$K,MATCH('Full Customer List'!$B102,'Customer List w Software'!$A:$A,0))</f>
        <v>12</v>
      </c>
      <c r="G102" s="187">
        <f>INDEX('Revenue by Customer'!$I:$I,MATCH('Full Customer List'!$B102,'Revenue by Customer'!$A:$A,0))</f>
        <v>726.66666666666663</v>
      </c>
      <c r="H102" s="250" t="str">
        <f>IFERROR(IF(C102="Active","",INDEX('Client Departures'!$G:$G,MATCH('Full Customer List'!$B102,'Client Departures'!$A:$A,0))),"Unclassified")</f>
        <v/>
      </c>
      <c r="I102" s="191">
        <v>45474</v>
      </c>
      <c r="J102" s="191"/>
      <c r="K102" s="187">
        <f>INDEX('Revenue by Customer'!K:K,MATCH('Full Customer List'!$B102,'Revenue by Customer'!$A:$A,0))</f>
        <v>560</v>
      </c>
      <c r="L102" s="187">
        <f>INDEX('Revenue by Customer'!L:L,MATCH('Full Customer List'!$B102,'Revenue by Customer'!$A:$A,0))</f>
        <v>560</v>
      </c>
      <c r="M102" s="187">
        <f>INDEX('Revenue by Customer'!M:M,MATCH('Full Customer List'!$B102,'Revenue by Customer'!$A:$A,0))</f>
        <v>560</v>
      </c>
      <c r="N102" s="187">
        <f>INDEX('Revenue by Customer'!N:N,MATCH('Full Customer List'!$B102,'Revenue by Customer'!$A:$A,0))</f>
        <v>560</v>
      </c>
      <c r="O102" s="187">
        <f>INDEX('Revenue by Customer'!O:O,MATCH('Full Customer List'!$B102,'Revenue by Customer'!$A:$A,0))</f>
        <v>560</v>
      </c>
      <c r="P102" s="187">
        <f>INDEX('Revenue by Customer'!P:P,MATCH('Full Customer List'!$B102,'Revenue by Customer'!$A:$A,0))</f>
        <v>560</v>
      </c>
      <c r="Q102" s="187">
        <f>INDEX('Revenue by Customer'!Q:Q,MATCH('Full Customer List'!$B102,'Revenue by Customer'!$A:$A,0))</f>
        <v>595</v>
      </c>
      <c r="R102" s="187">
        <f>INDEX('Revenue by Customer'!R:R,MATCH('Full Customer List'!$B102,'Revenue by Customer'!$A:$A,0))</f>
        <v>595</v>
      </c>
      <c r="S102" s="187">
        <f>INDEX('Revenue by Customer'!S:S,MATCH('Full Customer List'!$B102,'Revenue by Customer'!$A:$A,0))</f>
        <v>595</v>
      </c>
      <c r="T102" s="187">
        <f>INDEX('Revenue by Customer'!T:T,MATCH('Full Customer List'!$B102,'Revenue by Customer'!$A:$A,0))</f>
        <v>660</v>
      </c>
      <c r="U102" s="187">
        <f>INDEX('Revenue by Customer'!U:U,MATCH('Full Customer List'!$B102,'Revenue by Customer'!$A:$A,0))</f>
        <v>660</v>
      </c>
      <c r="V102" s="187">
        <f>INDEX('Revenue by Customer'!V:V,MATCH('Full Customer List'!$B102,'Revenue by Customer'!$A:$A,0))</f>
        <v>660</v>
      </c>
      <c r="W102" s="187">
        <f>INDEX('Revenue by Customer'!W:W,MATCH('Full Customer List'!$B102,'Revenue by Customer'!$A:$A,0))</f>
        <v>725</v>
      </c>
      <c r="X102" s="187">
        <f>INDEX('Revenue by Customer'!X:X,MATCH('Full Customer List'!$B102,'Revenue by Customer'!$A:$A,0))</f>
        <v>725</v>
      </c>
      <c r="Y102" s="187">
        <f>INDEX('Revenue by Customer'!Y:Y,MATCH('Full Customer List'!$B102,'Revenue by Customer'!$A:$A,0))</f>
        <v>725</v>
      </c>
      <c r="Z102" s="187">
        <f>INDEX('Revenue by Customer'!Z:Z,MATCH('Full Customer List'!$B102,'Revenue by Customer'!$A:$A,0))</f>
        <v>725</v>
      </c>
      <c r="AA102" s="187">
        <f>INDEX('Revenue by Customer'!AA:AA,MATCH('Full Customer List'!$B102,'Revenue by Customer'!$A:$A,0))</f>
        <v>725</v>
      </c>
      <c r="AB102" s="187">
        <f>INDEX('Revenue by Customer'!AB:AB,MATCH('Full Customer List'!$B102,'Revenue by Customer'!$A:$A,0))</f>
        <v>725</v>
      </c>
      <c r="AC102" s="187">
        <f>INDEX('Revenue by Customer'!AC:AC,MATCH('Full Customer List'!$B102,'Revenue by Customer'!$A:$A,0))</f>
        <v>730</v>
      </c>
    </row>
    <row r="103" spans="2:29" ht="12" customHeight="1">
      <c r="B103" s="171" t="s">
        <v>711</v>
      </c>
      <c r="C103" s="171" t="str">
        <f>INDEX('Customer List w Software'!$B:$B,MATCH('Full Customer List'!$B103,'Customer List w Software'!$A:$A,0))</f>
        <v>Former client</v>
      </c>
      <c r="D103" s="171" t="str">
        <f>INDEX('Customer List w Software'!$C:$C,MATCH('Full Customer List'!$B103,'Customer List w Software'!$A:$A,0))</f>
        <v>Property manager</v>
      </c>
      <c r="E103" s="171" t="str">
        <f>INDEX('Customer List Mapping'!$C:$C,MATCH('Full Customer List'!D103,'Customer List Mapping'!$B:$B,0))</f>
        <v>Property Manager</v>
      </c>
      <c r="F103" s="187">
        <f>INDEX('Customer List w Software'!$K:$K,MATCH('Full Customer List'!$B103,'Customer List w Software'!$A:$A,0))</f>
        <v>48</v>
      </c>
      <c r="G103" s="187">
        <f>INDEX('Revenue by Customer'!$I:$I,MATCH('Full Customer List'!$B103,'Revenue by Customer'!$A:$A,0))</f>
        <v>2715</v>
      </c>
      <c r="H103" s="250" t="str">
        <f>IFERROR(IF(C103="Active","",INDEX('Client Departures'!$G:$G,MATCH('Full Customer List'!$B103,'Client Departures'!$A:$A,0))),"Unclassified")</f>
        <v>Yes</v>
      </c>
      <c r="I103" s="191">
        <v>45689</v>
      </c>
      <c r="J103" s="191">
        <v>45869</v>
      </c>
      <c r="K103" s="187" t="str">
        <f>INDEX('Revenue by Customer'!K:K,MATCH('Full Customer List'!$B103,'Revenue by Customer'!$A:$A,0))</f>
        <v/>
      </c>
      <c r="L103" s="187">
        <f>INDEX('Revenue by Customer'!L:L,MATCH('Full Customer List'!$B103,'Revenue by Customer'!$A:$A,0))</f>
        <v>1620</v>
      </c>
      <c r="M103" s="187">
        <f>INDEX('Revenue by Customer'!M:M,MATCH('Full Customer List'!$B103,'Revenue by Customer'!$A:$A,0))</f>
        <v>2380</v>
      </c>
      <c r="N103" s="187">
        <f>INDEX('Revenue by Customer'!N:N,MATCH('Full Customer List'!$B103,'Revenue by Customer'!$A:$A,0))</f>
        <v>1800</v>
      </c>
      <c r="O103" s="187">
        <f>INDEX('Revenue by Customer'!O:O,MATCH('Full Customer List'!$B103,'Revenue by Customer'!$A:$A,0))</f>
        <v>2100</v>
      </c>
      <c r="P103" s="187">
        <f>INDEX('Revenue by Customer'!P:P,MATCH('Full Customer List'!$B103,'Revenue by Customer'!$A:$A,0))</f>
        <v>2563.5</v>
      </c>
      <c r="Q103" s="187">
        <f>INDEX('Revenue by Customer'!Q:Q,MATCH('Full Customer List'!$B103,'Revenue by Customer'!$A:$A,0))</f>
        <v>468.5</v>
      </c>
      <c r="R103" s="187" t="str">
        <f>INDEX('Revenue by Customer'!R:R,MATCH('Full Customer List'!$B103,'Revenue by Customer'!$A:$A,0))</f>
        <v/>
      </c>
      <c r="S103" s="187" t="str">
        <f>INDEX('Revenue by Customer'!S:S,MATCH('Full Customer List'!$B103,'Revenue by Customer'!$A:$A,0))</f>
        <v/>
      </c>
      <c r="T103" s="187" t="str">
        <f>INDEX('Revenue by Customer'!T:T,MATCH('Full Customer List'!$B103,'Revenue by Customer'!$A:$A,0))</f>
        <v/>
      </c>
      <c r="U103" s="187" t="str">
        <f>INDEX('Revenue by Customer'!U:U,MATCH('Full Customer List'!$B103,'Revenue by Customer'!$A:$A,0))</f>
        <v/>
      </c>
      <c r="V103" s="187" t="str">
        <f>INDEX('Revenue by Customer'!V:V,MATCH('Full Customer List'!$B103,'Revenue by Customer'!$A:$A,0))</f>
        <v/>
      </c>
      <c r="W103" s="187" t="str">
        <f>INDEX('Revenue by Customer'!W:W,MATCH('Full Customer List'!$B103,'Revenue by Customer'!$A:$A,0))</f>
        <v/>
      </c>
      <c r="X103" s="187" t="str">
        <f>INDEX('Revenue by Customer'!X:X,MATCH('Full Customer List'!$B103,'Revenue by Customer'!$A:$A,0))</f>
        <v/>
      </c>
      <c r="Y103" s="187" t="str">
        <f>INDEX('Revenue by Customer'!Y:Y,MATCH('Full Customer List'!$B103,'Revenue by Customer'!$A:$A,0))</f>
        <v/>
      </c>
      <c r="Z103" s="187" t="str">
        <f>INDEX('Revenue by Customer'!Z:Z,MATCH('Full Customer List'!$B103,'Revenue by Customer'!$A:$A,0))</f>
        <v/>
      </c>
      <c r="AA103" s="187">
        <f>INDEX('Revenue by Customer'!AA:AA,MATCH('Full Customer List'!$B103,'Revenue by Customer'!$A:$A,0))</f>
        <v>4145</v>
      </c>
      <c r="AB103" s="187">
        <f>INDEX('Revenue by Customer'!AB:AB,MATCH('Full Customer List'!$B103,'Revenue by Customer'!$A:$A,0))</f>
        <v>2000</v>
      </c>
      <c r="AC103" s="187">
        <f>INDEX('Revenue by Customer'!AC:AC,MATCH('Full Customer List'!$B103,'Revenue by Customer'!$A:$A,0))</f>
        <v>2000</v>
      </c>
    </row>
    <row r="104" spans="2:29" ht="12" customHeight="1">
      <c r="B104" s="171" t="s">
        <v>712</v>
      </c>
      <c r="C104" s="171" t="str">
        <f>INDEX('Customer List w Software'!$B:$B,MATCH('Full Customer List'!$B104,'Customer List w Software'!$A:$A,0))</f>
        <v>Active</v>
      </c>
      <c r="D104" s="171" t="str">
        <f>INDEX('Customer List w Software'!$C:$C,MATCH('Full Customer List'!$B104,'Customer List w Software'!$A:$A,0))</f>
        <v>Property manager</v>
      </c>
      <c r="E104" s="171" t="str">
        <f>INDEX('Customer List Mapping'!$C:$C,MATCH('Full Customer List'!D104,'Customer List Mapping'!$B:$B,0))</f>
        <v>Property Manager</v>
      </c>
      <c r="F104" s="187">
        <f>INDEX('Customer List w Software'!$K:$K,MATCH('Full Customer List'!$B104,'Customer List w Software'!$A:$A,0))</f>
        <v>12</v>
      </c>
      <c r="G104" s="187">
        <f>INDEX('Revenue by Customer'!$I:$I,MATCH('Full Customer List'!$B104,'Revenue by Customer'!$A:$A,0))</f>
        <v>775</v>
      </c>
      <c r="H104" s="250" t="str">
        <f>IFERROR(IF(C104="Active","",INDEX('Client Departures'!$G:$G,MATCH('Full Customer List'!$B104,'Client Departures'!$A:$A,0))),"Unclassified")</f>
        <v/>
      </c>
      <c r="I104" s="191">
        <v>45505</v>
      </c>
      <c r="J104" s="191"/>
      <c r="K104" s="187">
        <f>INDEX('Revenue by Customer'!K:K,MATCH('Full Customer List'!$B104,'Revenue by Customer'!$A:$A,0))</f>
        <v>395</v>
      </c>
      <c r="L104" s="187">
        <f>INDEX('Revenue by Customer'!L:L,MATCH('Full Customer List'!$B104,'Revenue by Customer'!$A:$A,0))</f>
        <v>395</v>
      </c>
      <c r="M104" s="187">
        <f>INDEX('Revenue by Customer'!M:M,MATCH('Full Customer List'!$B104,'Revenue by Customer'!$A:$A,0))</f>
        <v>395</v>
      </c>
      <c r="N104" s="187">
        <f>INDEX('Revenue by Customer'!N:N,MATCH('Full Customer List'!$B104,'Revenue by Customer'!$A:$A,0))</f>
        <v>395</v>
      </c>
      <c r="O104" s="187">
        <f>INDEX('Revenue by Customer'!O:O,MATCH('Full Customer List'!$B104,'Revenue by Customer'!$A:$A,0))</f>
        <v>395</v>
      </c>
      <c r="P104" s="187">
        <f>INDEX('Revenue by Customer'!P:P,MATCH('Full Customer List'!$B104,'Revenue by Customer'!$A:$A,0))</f>
        <v>395</v>
      </c>
      <c r="Q104" s="187">
        <f>INDEX('Revenue by Customer'!Q:Q,MATCH('Full Customer List'!$B104,'Revenue by Customer'!$A:$A,0))</f>
        <v>395</v>
      </c>
      <c r="R104" s="187">
        <f>INDEX('Revenue by Customer'!R:R,MATCH('Full Customer List'!$B104,'Revenue by Customer'!$A:$A,0))</f>
        <v>440</v>
      </c>
      <c r="S104" s="187">
        <f>INDEX('Revenue by Customer'!S:S,MATCH('Full Customer List'!$B104,'Revenue by Customer'!$A:$A,0))</f>
        <v>350</v>
      </c>
      <c r="T104" s="187">
        <f>INDEX('Revenue by Customer'!T:T,MATCH('Full Customer List'!$B104,'Revenue by Customer'!$A:$A,0))</f>
        <v>350</v>
      </c>
      <c r="U104" s="187">
        <f>INDEX('Revenue by Customer'!U:U,MATCH('Full Customer List'!$B104,'Revenue by Customer'!$A:$A,0))</f>
        <v>350</v>
      </c>
      <c r="V104" s="187">
        <f>INDEX('Revenue by Customer'!V:V,MATCH('Full Customer List'!$B104,'Revenue by Customer'!$A:$A,0))</f>
        <v>425</v>
      </c>
      <c r="W104" s="187">
        <f>INDEX('Revenue by Customer'!W:W,MATCH('Full Customer List'!$B104,'Revenue by Customer'!$A:$A,0))</f>
        <v>500</v>
      </c>
      <c r="X104" s="187">
        <f>INDEX('Revenue by Customer'!X:X,MATCH('Full Customer List'!$B104,'Revenue by Customer'!$A:$A,0))</f>
        <v>1775</v>
      </c>
      <c r="Y104" s="187">
        <f>INDEX('Revenue by Customer'!Y:Y,MATCH('Full Customer List'!$B104,'Revenue by Customer'!$A:$A,0))</f>
        <v>800</v>
      </c>
      <c r="Z104" s="187">
        <f>INDEX('Revenue by Customer'!Z:Z,MATCH('Full Customer List'!$B104,'Revenue by Customer'!$A:$A,0))</f>
        <v>725</v>
      </c>
      <c r="AA104" s="187">
        <f>INDEX('Revenue by Customer'!AA:AA,MATCH('Full Customer List'!$B104,'Revenue by Customer'!$A:$A,0))</f>
        <v>725</v>
      </c>
      <c r="AB104" s="187">
        <f>INDEX('Revenue by Customer'!AB:AB,MATCH('Full Customer List'!$B104,'Revenue by Customer'!$A:$A,0))</f>
        <v>725</v>
      </c>
      <c r="AC104" s="187">
        <f>INDEX('Revenue by Customer'!AC:AC,MATCH('Full Customer List'!$B104,'Revenue by Customer'!$A:$A,0))</f>
        <v>875</v>
      </c>
    </row>
    <row r="105" spans="2:29" ht="12" customHeight="1">
      <c r="B105" s="171" t="s">
        <v>713</v>
      </c>
      <c r="C105" s="171" t="str">
        <f>INDEX('Customer List w Software'!$B:$B,MATCH('Full Customer List'!$B105,'Customer List w Software'!$A:$A,0))</f>
        <v>Active</v>
      </c>
      <c r="D105" s="171" t="str">
        <f>INDEX('Customer List w Software'!$C:$C,MATCH('Full Customer List'!$B105,'Customer List w Software'!$A:$A,0))</f>
        <v>Property manager</v>
      </c>
      <c r="E105" s="171" t="str">
        <f>INDEX('Customer List Mapping'!$C:$C,MATCH('Full Customer List'!D105,'Customer List Mapping'!$B:$B,0))</f>
        <v>Property Manager</v>
      </c>
      <c r="F105" s="187">
        <f>INDEX('Customer List w Software'!$K:$K,MATCH('Full Customer List'!$B105,'Customer List w Software'!$A:$A,0))</f>
        <v>7</v>
      </c>
      <c r="G105" s="187">
        <f>INDEX('Revenue by Customer'!$I:$I,MATCH('Full Customer List'!$B105,'Revenue by Customer'!$A:$A,0))</f>
        <v>813.33333333333337</v>
      </c>
      <c r="H105" s="250" t="str">
        <f>IFERROR(IF(C105="Active","",INDEX('Client Departures'!$G:$G,MATCH('Full Customer List'!$B105,'Client Departures'!$A:$A,0))),"Unclassified")</f>
        <v/>
      </c>
      <c r="I105" s="191">
        <v>45566</v>
      </c>
      <c r="J105" s="191"/>
      <c r="K105" s="187">
        <f>INDEX('Revenue by Customer'!K:K,MATCH('Full Customer List'!$B105,'Revenue by Customer'!$A:$A,0))</f>
        <v>466</v>
      </c>
      <c r="L105" s="187">
        <f>INDEX('Revenue by Customer'!L:L,MATCH('Full Customer List'!$B105,'Revenue by Customer'!$A:$A,0))</f>
        <v>466</v>
      </c>
      <c r="M105" s="187">
        <f>INDEX('Revenue by Customer'!M:M,MATCH('Full Customer List'!$B105,'Revenue by Customer'!$A:$A,0))</f>
        <v>466</v>
      </c>
      <c r="N105" s="187">
        <f>INDEX('Revenue by Customer'!N:N,MATCH('Full Customer List'!$B105,'Revenue by Customer'!$A:$A,0))</f>
        <v>387</v>
      </c>
      <c r="O105" s="187">
        <f>INDEX('Revenue by Customer'!O:O,MATCH('Full Customer List'!$B105,'Revenue by Customer'!$A:$A,0))</f>
        <v>387</v>
      </c>
      <c r="P105" s="187">
        <f>INDEX('Revenue by Customer'!P:P,MATCH('Full Customer List'!$B105,'Revenue by Customer'!$A:$A,0))</f>
        <v>387</v>
      </c>
      <c r="Q105" s="187">
        <f>INDEX('Revenue by Customer'!Q:Q,MATCH('Full Customer List'!$B105,'Revenue by Customer'!$A:$A,0))</f>
        <v>387</v>
      </c>
      <c r="R105" s="187">
        <f>INDEX('Revenue by Customer'!R:R,MATCH('Full Customer List'!$B105,'Revenue by Customer'!$A:$A,0))</f>
        <v>387</v>
      </c>
      <c r="S105" s="187">
        <f>INDEX('Revenue by Customer'!S:S,MATCH('Full Customer List'!$B105,'Revenue by Customer'!$A:$A,0))</f>
        <v>387</v>
      </c>
      <c r="T105" s="187">
        <f>INDEX('Revenue by Customer'!T:T,MATCH('Full Customer List'!$B105,'Revenue by Customer'!$A:$A,0))</f>
        <v>500</v>
      </c>
      <c r="U105" s="187">
        <f>INDEX('Revenue by Customer'!U:U,MATCH('Full Customer List'!$B105,'Revenue by Customer'!$A:$A,0))</f>
        <v>560</v>
      </c>
      <c r="V105" s="187">
        <f>INDEX('Revenue by Customer'!V:V,MATCH('Full Customer List'!$B105,'Revenue by Customer'!$A:$A,0))</f>
        <v>645</v>
      </c>
      <c r="W105" s="187">
        <f>INDEX('Revenue by Customer'!W:W,MATCH('Full Customer List'!$B105,'Revenue by Customer'!$A:$A,0))</f>
        <v>900</v>
      </c>
      <c r="X105" s="187">
        <f>INDEX('Revenue by Customer'!X:X,MATCH('Full Customer List'!$B105,'Revenue by Customer'!$A:$A,0))</f>
        <v>730</v>
      </c>
      <c r="Y105" s="187">
        <f>INDEX('Revenue by Customer'!Y:Y,MATCH('Full Customer List'!$B105,'Revenue by Customer'!$A:$A,0))</f>
        <v>730</v>
      </c>
      <c r="Z105" s="187">
        <f>INDEX('Revenue by Customer'!Z:Z,MATCH('Full Customer List'!$B105,'Revenue by Customer'!$A:$A,0))</f>
        <v>730</v>
      </c>
      <c r="AA105" s="187">
        <f>INDEX('Revenue by Customer'!AA:AA,MATCH('Full Customer List'!$B105,'Revenue by Customer'!$A:$A,0))</f>
        <v>730</v>
      </c>
      <c r="AB105" s="187">
        <f>INDEX('Revenue by Customer'!AB:AB,MATCH('Full Customer List'!$B105,'Revenue by Customer'!$A:$A,0))</f>
        <v>980</v>
      </c>
      <c r="AC105" s="187">
        <f>INDEX('Revenue by Customer'!AC:AC,MATCH('Full Customer List'!$B105,'Revenue by Customer'!$A:$A,0))</f>
        <v>730</v>
      </c>
    </row>
    <row r="106" spans="2:29" ht="12" customHeight="1">
      <c r="B106" s="171" t="s">
        <v>714</v>
      </c>
      <c r="C106" s="217" t="s">
        <v>497</v>
      </c>
      <c r="D106" s="171" t="str">
        <f>INDEX('Customer List w Software'!$C:$C,MATCH('Full Customer List'!$B106,'Customer List w Software'!$A:$A,0))</f>
        <v>Property manager</v>
      </c>
      <c r="E106" s="171" t="str">
        <f>INDEX('Customer List Mapping'!$C:$C,MATCH('Full Customer List'!D106,'Customer List Mapping'!$B:$B,0))</f>
        <v>Property Manager</v>
      </c>
      <c r="F106" s="187">
        <f>INDEX('Customer List w Software'!$K:$K,MATCH('Full Customer List'!$B106,'Customer List w Software'!$A:$A,0))</f>
        <v>79</v>
      </c>
      <c r="G106" s="187">
        <f>INDEX('Revenue by Customer'!$I:$I,MATCH('Full Customer List'!$B106,'Revenue by Customer'!$A:$A,0))</f>
        <v>1600</v>
      </c>
      <c r="H106" s="250" t="str">
        <f>IFERROR(IF(C106="Active","",INDEX('Client Departures'!$G:$G,MATCH('Full Customer List'!$B106,'Client Departures'!$A:$A,0))),"Unclassified")</f>
        <v/>
      </c>
      <c r="I106" s="191">
        <v>46113</v>
      </c>
      <c r="J106" s="191"/>
      <c r="K106" s="187" t="str">
        <f>INDEX('Revenue by Customer'!K:K,MATCH('Full Customer List'!$B106,'Revenue by Customer'!$A:$A,0))</f>
        <v/>
      </c>
      <c r="L106" s="187" t="str">
        <f>INDEX('Revenue by Customer'!L:L,MATCH('Full Customer List'!$B106,'Revenue by Customer'!$A:$A,0))</f>
        <v/>
      </c>
      <c r="M106" s="187" t="str">
        <f>INDEX('Revenue by Customer'!M:M,MATCH('Full Customer List'!$B106,'Revenue by Customer'!$A:$A,0))</f>
        <v/>
      </c>
      <c r="N106" s="187" t="str">
        <f>INDEX('Revenue by Customer'!N:N,MATCH('Full Customer List'!$B106,'Revenue by Customer'!$A:$A,0))</f>
        <v/>
      </c>
      <c r="O106" s="187" t="str">
        <f>INDEX('Revenue by Customer'!O:O,MATCH('Full Customer List'!$B106,'Revenue by Customer'!$A:$A,0))</f>
        <v/>
      </c>
      <c r="P106" s="187" t="str">
        <f>INDEX('Revenue by Customer'!P:P,MATCH('Full Customer List'!$B106,'Revenue by Customer'!$A:$A,0))</f>
        <v/>
      </c>
      <c r="Q106" s="187" t="str">
        <f>INDEX('Revenue by Customer'!Q:Q,MATCH('Full Customer List'!$B106,'Revenue by Customer'!$A:$A,0))</f>
        <v/>
      </c>
      <c r="R106" s="187" t="str">
        <f>INDEX('Revenue by Customer'!R:R,MATCH('Full Customer List'!$B106,'Revenue by Customer'!$A:$A,0))</f>
        <v/>
      </c>
      <c r="S106" s="187" t="str">
        <f>INDEX('Revenue by Customer'!S:S,MATCH('Full Customer List'!$B106,'Revenue by Customer'!$A:$A,0))</f>
        <v/>
      </c>
      <c r="T106" s="187" t="str">
        <f>INDEX('Revenue by Customer'!T:T,MATCH('Full Customer List'!$B106,'Revenue by Customer'!$A:$A,0))</f>
        <v/>
      </c>
      <c r="U106" s="187" t="str">
        <f>INDEX('Revenue by Customer'!U:U,MATCH('Full Customer List'!$B106,'Revenue by Customer'!$A:$A,0))</f>
        <v/>
      </c>
      <c r="V106" s="187" t="str">
        <f>INDEX('Revenue by Customer'!V:V,MATCH('Full Customer List'!$B106,'Revenue by Customer'!$A:$A,0))</f>
        <v/>
      </c>
      <c r="W106" s="187" t="str">
        <f>INDEX('Revenue by Customer'!W:W,MATCH('Full Customer List'!$B106,'Revenue by Customer'!$A:$A,0))</f>
        <v/>
      </c>
      <c r="X106" s="187" t="str">
        <f>INDEX('Revenue by Customer'!X:X,MATCH('Full Customer List'!$B106,'Revenue by Customer'!$A:$A,0))</f>
        <v/>
      </c>
      <c r="Y106" s="187" t="str">
        <f>INDEX('Revenue by Customer'!Y:Y,MATCH('Full Customer List'!$B106,'Revenue by Customer'!$A:$A,0))</f>
        <v/>
      </c>
      <c r="Z106" s="187">
        <f>INDEX('Revenue by Customer'!Z:Z,MATCH('Full Customer List'!$B106,'Revenue by Customer'!$A:$A,0))</f>
        <v>3160</v>
      </c>
      <c r="AA106" s="187">
        <f>INDEX('Revenue by Customer'!AA:AA,MATCH('Full Customer List'!$B106,'Revenue by Customer'!$A:$A,0))</f>
        <v>1640</v>
      </c>
      <c r="AB106" s="187">
        <f>INDEX('Revenue by Customer'!AB:AB,MATCH('Full Customer List'!$B106,'Revenue by Customer'!$A:$A,0))</f>
        <v>1580</v>
      </c>
      <c r="AC106" s="187">
        <f>INDEX('Revenue by Customer'!AC:AC,MATCH('Full Customer List'!$B106,'Revenue by Customer'!$A:$A,0))</f>
        <v>1580</v>
      </c>
    </row>
    <row r="107" spans="2:29" ht="12" customHeight="1">
      <c r="B107" s="171" t="s">
        <v>717</v>
      </c>
      <c r="C107" s="171" t="str">
        <f>INDEX('Customer List w Software'!$B:$B,MATCH('Full Customer List'!$B107,'Customer List w Software'!$A:$A,0))</f>
        <v>Active</v>
      </c>
      <c r="D107" s="171" t="str">
        <f>INDEX('Customer List w Software'!$C:$C,MATCH('Full Customer List'!$B107,'Customer List w Software'!$A:$A,0))</f>
        <v>Property manager</v>
      </c>
      <c r="E107" s="171" t="str">
        <f>INDEX('Customer List Mapping'!$C:$C,MATCH('Full Customer List'!D107,'Customer List Mapping'!$B:$B,0))</f>
        <v>Property Manager</v>
      </c>
      <c r="F107" s="187">
        <f>INDEX('Customer List w Software'!$K:$K,MATCH('Full Customer List'!$B107,'Customer List w Software'!$A:$A,0))</f>
        <v>29</v>
      </c>
      <c r="G107" s="187">
        <f>INDEX('Revenue by Customer'!$I:$I,MATCH('Full Customer List'!$B107,'Revenue by Customer'!$A:$A,0))</f>
        <v>2639</v>
      </c>
      <c r="H107" s="250" t="str">
        <f>IFERROR(IF(C107="Active","",INDEX('Client Departures'!$G:$G,MATCH('Full Customer List'!$B107,'Client Departures'!$A:$A,0))),"Unclassified")</f>
        <v/>
      </c>
      <c r="I107" s="191">
        <v>46143</v>
      </c>
      <c r="J107" s="191"/>
      <c r="K107" s="187" t="str">
        <f>INDEX('Revenue by Customer'!K:K,MATCH('Full Customer List'!$B107,'Revenue by Customer'!$A:$A,0))</f>
        <v/>
      </c>
      <c r="L107" s="187" t="str">
        <f>INDEX('Revenue by Customer'!L:L,MATCH('Full Customer List'!$B107,'Revenue by Customer'!$A:$A,0))</f>
        <v/>
      </c>
      <c r="M107" s="187" t="str">
        <f>INDEX('Revenue by Customer'!M:M,MATCH('Full Customer List'!$B107,'Revenue by Customer'!$A:$A,0))</f>
        <v/>
      </c>
      <c r="N107" s="187" t="str">
        <f>INDEX('Revenue by Customer'!N:N,MATCH('Full Customer List'!$B107,'Revenue by Customer'!$A:$A,0))</f>
        <v/>
      </c>
      <c r="O107" s="187" t="str">
        <f>INDEX('Revenue by Customer'!O:O,MATCH('Full Customer List'!$B107,'Revenue by Customer'!$A:$A,0))</f>
        <v/>
      </c>
      <c r="P107" s="187" t="str">
        <f>INDEX('Revenue by Customer'!P:P,MATCH('Full Customer List'!$B107,'Revenue by Customer'!$A:$A,0))</f>
        <v/>
      </c>
      <c r="Q107" s="187" t="str">
        <f>INDEX('Revenue by Customer'!Q:Q,MATCH('Full Customer List'!$B107,'Revenue by Customer'!$A:$A,0))</f>
        <v/>
      </c>
      <c r="R107" s="187" t="str">
        <f>INDEX('Revenue by Customer'!R:R,MATCH('Full Customer List'!$B107,'Revenue by Customer'!$A:$A,0))</f>
        <v/>
      </c>
      <c r="S107" s="187" t="str">
        <f>INDEX('Revenue by Customer'!S:S,MATCH('Full Customer List'!$B107,'Revenue by Customer'!$A:$A,0))</f>
        <v/>
      </c>
      <c r="T107" s="187" t="str">
        <f>INDEX('Revenue by Customer'!T:T,MATCH('Full Customer List'!$B107,'Revenue by Customer'!$A:$A,0))</f>
        <v/>
      </c>
      <c r="U107" s="187" t="str">
        <f>INDEX('Revenue by Customer'!U:U,MATCH('Full Customer List'!$B107,'Revenue by Customer'!$A:$A,0))</f>
        <v/>
      </c>
      <c r="V107" s="187" t="str">
        <f>INDEX('Revenue by Customer'!V:V,MATCH('Full Customer List'!$B107,'Revenue by Customer'!$A:$A,0))</f>
        <v/>
      </c>
      <c r="W107" s="187" t="str">
        <f>INDEX('Revenue by Customer'!W:W,MATCH('Full Customer List'!$B107,'Revenue by Customer'!$A:$A,0))</f>
        <v/>
      </c>
      <c r="X107" s="187" t="str">
        <f>INDEX('Revenue by Customer'!X:X,MATCH('Full Customer List'!$B107,'Revenue by Customer'!$A:$A,0))</f>
        <v/>
      </c>
      <c r="Y107" s="187" t="str">
        <f>INDEX('Revenue by Customer'!Y:Y,MATCH('Full Customer List'!$B107,'Revenue by Customer'!$A:$A,0))</f>
        <v/>
      </c>
      <c r="Z107" s="187" t="str">
        <f>INDEX('Revenue by Customer'!Z:Z,MATCH('Full Customer List'!$B107,'Revenue by Customer'!$A:$A,0))</f>
        <v/>
      </c>
      <c r="AA107" s="187">
        <f>INDEX('Revenue by Customer'!AA:AA,MATCH('Full Customer List'!$B107,'Revenue by Customer'!$A:$A,0))</f>
        <v>3903</v>
      </c>
      <c r="AB107" s="187">
        <f>INDEX('Revenue by Customer'!AB:AB,MATCH('Full Customer List'!$B107,'Revenue by Customer'!$A:$A,0))</f>
        <v>2007</v>
      </c>
      <c r="AC107" s="187">
        <f>INDEX('Revenue by Customer'!AC:AC,MATCH('Full Customer List'!$B107,'Revenue by Customer'!$A:$A,0))</f>
        <v>2007</v>
      </c>
    </row>
    <row r="108" spans="2:29" ht="12" customHeight="1">
      <c r="B108" s="171" t="s">
        <v>720</v>
      </c>
      <c r="C108" s="171" t="str">
        <f>INDEX('Customer List w Software'!$B:$B,MATCH('Full Customer List'!$B108,'Customer List w Software'!$A:$A,0))</f>
        <v>Active</v>
      </c>
      <c r="D108" s="171" t="str">
        <f>INDEX('Customer List w Software'!$C:$C,MATCH('Full Customer List'!$B108,'Customer List w Software'!$A:$A,0))</f>
        <v>Property manager</v>
      </c>
      <c r="E108" s="171" t="str">
        <f>INDEX('Customer List Mapping'!$C:$C,MATCH('Full Customer List'!D108,'Customer List Mapping'!$B:$B,0))</f>
        <v>Property Manager</v>
      </c>
      <c r="F108" s="187">
        <f>INDEX('Customer List w Software'!$K:$K,MATCH('Full Customer List'!$B108,'Customer List w Software'!$A:$A,0))</f>
        <v>6</v>
      </c>
      <c r="G108" s="187">
        <f>INDEX('Revenue by Customer'!$I:$I,MATCH('Full Customer List'!$B108,'Revenue by Customer'!$A:$A,0))</f>
        <v>572</v>
      </c>
      <c r="H108" s="250" t="str">
        <f>IFERROR(IF(C108="Active","",INDEX('Client Departures'!$G:$G,MATCH('Full Customer List'!$B108,'Client Departures'!$A:$A,0))),"Unclassified")</f>
        <v/>
      </c>
      <c r="I108" s="191">
        <v>45383</v>
      </c>
      <c r="J108" s="191"/>
      <c r="K108" s="187">
        <f>INDEX('Revenue by Customer'!K:K,MATCH('Full Customer List'!$B108,'Revenue by Customer'!$A:$A,0))</f>
        <v>711</v>
      </c>
      <c r="L108" s="187">
        <f>INDEX('Revenue by Customer'!L:L,MATCH('Full Customer List'!$B108,'Revenue by Customer'!$A:$A,0))</f>
        <v>891</v>
      </c>
      <c r="M108" s="187">
        <f>INDEX('Revenue by Customer'!M:M,MATCH('Full Customer List'!$B108,'Revenue by Customer'!$A:$A,0))</f>
        <v>711</v>
      </c>
      <c r="N108" s="187">
        <f>INDEX('Revenue by Customer'!N:N,MATCH('Full Customer List'!$B108,'Revenue by Customer'!$A:$A,0))</f>
        <v>775</v>
      </c>
      <c r="O108" s="187">
        <f>INDEX('Revenue by Customer'!O:O,MATCH('Full Customer List'!$B108,'Revenue by Customer'!$A:$A,0))</f>
        <v>550</v>
      </c>
      <c r="P108" s="187">
        <f>INDEX('Revenue by Customer'!P:P,MATCH('Full Customer List'!$B108,'Revenue by Customer'!$A:$A,0))</f>
        <v>775</v>
      </c>
      <c r="Q108" s="187">
        <f>INDEX('Revenue by Customer'!Q:Q,MATCH('Full Customer List'!$B108,'Revenue by Customer'!$A:$A,0))</f>
        <v>775</v>
      </c>
      <c r="R108" s="187">
        <f>INDEX('Revenue by Customer'!R:R,MATCH('Full Customer List'!$B108,'Revenue by Customer'!$A:$A,0))</f>
        <v>775</v>
      </c>
      <c r="S108" s="187">
        <f>INDEX('Revenue by Customer'!S:S,MATCH('Full Customer List'!$B108,'Revenue by Customer'!$A:$A,0))</f>
        <v>775</v>
      </c>
      <c r="T108" s="187">
        <f>INDEX('Revenue by Customer'!T:T,MATCH('Full Customer List'!$B108,'Revenue by Customer'!$A:$A,0))</f>
        <v>700</v>
      </c>
      <c r="U108" s="187">
        <f>INDEX('Revenue by Customer'!U:U,MATCH('Full Customer List'!$B108,'Revenue by Customer'!$A:$A,0))</f>
        <v>700</v>
      </c>
      <c r="V108" s="187">
        <f>INDEX('Revenue by Customer'!V:V,MATCH('Full Customer List'!$B108,'Revenue by Customer'!$A:$A,0))</f>
        <v>700</v>
      </c>
      <c r="W108" s="187">
        <f>INDEX('Revenue by Customer'!W:W,MATCH('Full Customer List'!$B108,'Revenue by Customer'!$A:$A,0))</f>
        <v>700</v>
      </c>
      <c r="X108" s="187">
        <f>INDEX('Revenue by Customer'!X:X,MATCH('Full Customer List'!$B108,'Revenue by Customer'!$A:$A,0))</f>
        <v>550</v>
      </c>
      <c r="Y108" s="187">
        <f>INDEX('Revenue by Customer'!Y:Y,MATCH('Full Customer List'!$B108,'Revenue by Customer'!$A:$A,0))</f>
        <v>655</v>
      </c>
      <c r="Z108" s="187">
        <f>INDEX('Revenue by Customer'!Z:Z,MATCH('Full Customer List'!$B108,'Revenue by Customer'!$A:$A,0))</f>
        <v>572</v>
      </c>
      <c r="AA108" s="187">
        <f>INDEX('Revenue by Customer'!AA:AA,MATCH('Full Customer List'!$B108,'Revenue by Customer'!$A:$A,0))</f>
        <v>572</v>
      </c>
      <c r="AB108" s="187">
        <f>INDEX('Revenue by Customer'!AB:AB,MATCH('Full Customer List'!$B108,'Revenue by Customer'!$A:$A,0))</f>
        <v>572</v>
      </c>
      <c r="AC108" s="187">
        <f>INDEX('Revenue by Customer'!AC:AC,MATCH('Full Customer List'!$B108,'Revenue by Customer'!$A:$A,0))</f>
        <v>572</v>
      </c>
    </row>
    <row r="109" spans="2:29" ht="12" customHeight="1">
      <c r="B109" s="171" t="s">
        <v>721</v>
      </c>
      <c r="C109" s="171" t="str">
        <f>INDEX('Customer List w Software'!$B:$B,MATCH('Full Customer List'!$B109,'Customer List w Software'!$A:$A,0))</f>
        <v>Active</v>
      </c>
      <c r="D109" s="171" t="str">
        <f>INDEX('Customer List w Software'!$C:$C,MATCH('Full Customer List'!$B109,'Customer List w Software'!$A:$A,0))</f>
        <v>Property manager</v>
      </c>
      <c r="E109" s="171" t="str">
        <f>INDEX('Customer List Mapping'!$C:$C,MATCH('Full Customer List'!D109,'Customer List Mapping'!$B:$B,0))</f>
        <v>Property Manager</v>
      </c>
      <c r="F109" s="187">
        <f>INDEX('Customer List w Software'!$K:$K,MATCH('Full Customer List'!$B109,'Customer List w Software'!$A:$A,0))</f>
        <v>6</v>
      </c>
      <c r="G109" s="187">
        <f>INDEX('Revenue by Customer'!$I:$I,MATCH('Full Customer List'!$B109,'Revenue by Customer'!$A:$A,0))</f>
        <v>567.66666666666663</v>
      </c>
      <c r="H109" s="250" t="str">
        <f>IFERROR(IF(C109="Active","",INDEX('Client Departures'!$G:$G,MATCH('Full Customer List'!$B109,'Client Departures'!$A:$A,0))),"Unclassified")</f>
        <v/>
      </c>
      <c r="I109" s="191">
        <v>45292</v>
      </c>
      <c r="J109" s="191"/>
      <c r="K109" s="187">
        <f>INDEX('Revenue by Customer'!K:K,MATCH('Full Customer List'!$B109,'Revenue by Customer'!$A:$A,0))</f>
        <v>710</v>
      </c>
      <c r="L109" s="187">
        <f>INDEX('Revenue by Customer'!L:L,MATCH('Full Customer List'!$B109,'Revenue by Customer'!$A:$A,0))</f>
        <v>500</v>
      </c>
      <c r="M109" s="187">
        <f>INDEX('Revenue by Customer'!M:M,MATCH('Full Customer List'!$B109,'Revenue by Customer'!$A:$A,0))</f>
        <v>500</v>
      </c>
      <c r="N109" s="187">
        <f>INDEX('Revenue by Customer'!N:N,MATCH('Full Customer List'!$B109,'Revenue by Customer'!$A:$A,0))</f>
        <v>500</v>
      </c>
      <c r="O109" s="187">
        <f>INDEX('Revenue by Customer'!O:O,MATCH('Full Customer List'!$B109,'Revenue by Customer'!$A:$A,0))</f>
        <v>575</v>
      </c>
      <c r="P109" s="187">
        <f>INDEX('Revenue by Customer'!P:P,MATCH('Full Customer List'!$B109,'Revenue by Customer'!$A:$A,0))</f>
        <v>650</v>
      </c>
      <c r="Q109" s="187">
        <f>INDEX('Revenue by Customer'!Q:Q,MATCH('Full Customer List'!$B109,'Revenue by Customer'!$A:$A,0))</f>
        <v>650</v>
      </c>
      <c r="R109" s="187">
        <f>INDEX('Revenue by Customer'!R:R,MATCH('Full Customer List'!$B109,'Revenue by Customer'!$A:$A,0))</f>
        <v>650</v>
      </c>
      <c r="S109" s="187">
        <f>INDEX('Revenue by Customer'!S:S,MATCH('Full Customer List'!$B109,'Revenue by Customer'!$A:$A,0))</f>
        <v>650</v>
      </c>
      <c r="T109" s="187">
        <f>INDEX('Revenue by Customer'!T:T,MATCH('Full Customer List'!$B109,'Revenue by Customer'!$A:$A,0))</f>
        <v>650</v>
      </c>
      <c r="U109" s="187">
        <f>INDEX('Revenue by Customer'!U:U,MATCH('Full Customer List'!$B109,'Revenue by Customer'!$A:$A,0))</f>
        <v>725</v>
      </c>
      <c r="V109" s="187">
        <f>INDEX('Revenue by Customer'!V:V,MATCH('Full Customer List'!$B109,'Revenue by Customer'!$A:$A,0))</f>
        <v>575</v>
      </c>
      <c r="W109" s="187">
        <f>INDEX('Revenue by Customer'!W:W,MATCH('Full Customer List'!$B109,'Revenue by Customer'!$A:$A,0))</f>
        <v>696</v>
      </c>
      <c r="X109" s="187">
        <f>INDEX('Revenue by Customer'!X:X,MATCH('Full Customer List'!$B109,'Revenue by Customer'!$A:$A,0))</f>
        <v>904</v>
      </c>
      <c r="Y109" s="187">
        <f>INDEX('Revenue by Customer'!Y:Y,MATCH('Full Customer List'!$B109,'Revenue by Customer'!$A:$A,0))</f>
        <v>619</v>
      </c>
      <c r="Z109" s="187">
        <f>INDEX('Revenue by Customer'!Z:Z,MATCH('Full Customer List'!$B109,'Revenue by Customer'!$A:$A,0))</f>
        <v>619</v>
      </c>
      <c r="AA109" s="187">
        <f>INDEX('Revenue by Customer'!AA:AA,MATCH('Full Customer List'!$B109,'Revenue by Customer'!$A:$A,0))</f>
        <v>619</v>
      </c>
      <c r="AB109" s="187">
        <f>INDEX('Revenue by Customer'!AB:AB,MATCH('Full Customer List'!$B109,'Revenue by Customer'!$A:$A,0))</f>
        <v>619</v>
      </c>
      <c r="AC109" s="187">
        <f>INDEX('Revenue by Customer'!AC:AC,MATCH('Full Customer List'!$B109,'Revenue by Customer'!$A:$A,0))</f>
        <v>465</v>
      </c>
    </row>
    <row r="110" spans="2:29" ht="12" customHeight="1">
      <c r="B110" s="171" t="s">
        <v>722</v>
      </c>
      <c r="C110" s="171" t="str">
        <f>INDEX('Customer List w Software'!$B:$B,MATCH('Full Customer List'!$B110,'Customer List w Software'!$A:$A,0))</f>
        <v>Active</v>
      </c>
      <c r="D110" s="171" t="str">
        <f>INDEX('Customer List w Software'!$C:$C,MATCH('Full Customer List'!$B110,'Customer List w Software'!$A:$A,0))</f>
        <v>Property manager</v>
      </c>
      <c r="E110" s="171" t="str">
        <f>INDEX('Customer List Mapping'!$C:$C,MATCH('Full Customer List'!D110,'Customer List Mapping'!$B:$B,0))</f>
        <v>Property Manager</v>
      </c>
      <c r="F110" s="187">
        <f>INDEX('Customer List w Software'!$K:$K,MATCH('Full Customer List'!$B110,'Customer List w Software'!$A:$A,0))</f>
        <v>8</v>
      </c>
      <c r="G110" s="187">
        <f>INDEX('Revenue by Customer'!$I:$I,MATCH('Full Customer List'!$B110,'Revenue by Customer'!$A:$A,0))</f>
        <v>650</v>
      </c>
      <c r="H110" s="250" t="str">
        <f>IFERROR(IF(C110="Active","",INDEX('Client Departures'!$G:$G,MATCH('Full Customer List'!$B110,'Client Departures'!$A:$A,0))),"Unclassified")</f>
        <v/>
      </c>
      <c r="I110" s="191">
        <v>45536</v>
      </c>
      <c r="J110" s="191"/>
      <c r="K110" s="187">
        <f>INDEX('Revenue by Customer'!K:K,MATCH('Full Customer List'!$B110,'Revenue by Customer'!$A:$A,0))</f>
        <v>474</v>
      </c>
      <c r="L110" s="187">
        <f>INDEX('Revenue by Customer'!L:L,MATCH('Full Customer List'!$B110,'Revenue by Customer'!$A:$A,0))</f>
        <v>545</v>
      </c>
      <c r="M110" s="187">
        <f>INDEX('Revenue by Customer'!M:M,MATCH('Full Customer List'!$B110,'Revenue by Customer'!$A:$A,0))</f>
        <v>395</v>
      </c>
      <c r="N110" s="187">
        <f>INDEX('Revenue by Customer'!N:N,MATCH('Full Customer List'!$B110,'Revenue by Customer'!$A:$A,0))</f>
        <v>474</v>
      </c>
      <c r="O110" s="187">
        <f>INDEX('Revenue by Customer'!O:O,MATCH('Full Customer List'!$B110,'Revenue by Customer'!$A:$A,0))</f>
        <v>474</v>
      </c>
      <c r="P110" s="187">
        <f>INDEX('Revenue by Customer'!P:P,MATCH('Full Customer List'!$B110,'Revenue by Customer'!$A:$A,0))</f>
        <v>553</v>
      </c>
      <c r="Q110" s="187">
        <f>INDEX('Revenue by Customer'!Q:Q,MATCH('Full Customer List'!$B110,'Revenue by Customer'!$A:$A,0))</f>
        <v>553</v>
      </c>
      <c r="R110" s="187">
        <f>INDEX('Revenue by Customer'!R:R,MATCH('Full Customer List'!$B110,'Revenue by Customer'!$A:$A,0))</f>
        <v>553</v>
      </c>
      <c r="S110" s="187">
        <f>INDEX('Revenue by Customer'!S:S,MATCH('Full Customer List'!$B110,'Revenue by Customer'!$A:$A,0))</f>
        <v>575</v>
      </c>
      <c r="T110" s="187">
        <f>INDEX('Revenue by Customer'!T:T,MATCH('Full Customer List'!$B110,'Revenue by Customer'!$A:$A,0))</f>
        <v>500</v>
      </c>
      <c r="U110" s="187">
        <f>INDEX('Revenue by Customer'!U:U,MATCH('Full Customer List'!$B110,'Revenue by Customer'!$A:$A,0))</f>
        <v>575</v>
      </c>
      <c r="V110" s="187">
        <f>INDEX('Revenue by Customer'!V:V,MATCH('Full Customer List'!$B110,'Revenue by Customer'!$A:$A,0))</f>
        <v>500</v>
      </c>
      <c r="W110" s="187">
        <f>INDEX('Revenue by Customer'!W:W,MATCH('Full Customer List'!$B110,'Revenue by Customer'!$A:$A,0))</f>
        <v>725</v>
      </c>
      <c r="X110" s="187">
        <f>INDEX('Revenue by Customer'!X:X,MATCH('Full Customer List'!$B110,'Revenue by Customer'!$A:$A,0))</f>
        <v>845</v>
      </c>
      <c r="Y110" s="187">
        <f>INDEX('Revenue by Customer'!Y:Y,MATCH('Full Customer List'!$B110,'Revenue by Customer'!$A:$A,0))</f>
        <v>650</v>
      </c>
      <c r="Z110" s="187">
        <f>INDEX('Revenue by Customer'!Z:Z,MATCH('Full Customer List'!$B110,'Revenue by Customer'!$A:$A,0))</f>
        <v>650</v>
      </c>
      <c r="AA110" s="187">
        <f>INDEX('Revenue by Customer'!AA:AA,MATCH('Full Customer List'!$B110,'Revenue by Customer'!$A:$A,0))</f>
        <v>575</v>
      </c>
      <c r="AB110" s="187">
        <f>INDEX('Revenue by Customer'!AB:AB,MATCH('Full Customer List'!$B110,'Revenue by Customer'!$A:$A,0))</f>
        <v>650</v>
      </c>
      <c r="AC110" s="187">
        <f>INDEX('Revenue by Customer'!AC:AC,MATCH('Full Customer List'!$B110,'Revenue by Customer'!$A:$A,0))</f>
        <v>725</v>
      </c>
    </row>
    <row r="111" spans="2:29" ht="12" customHeight="1">
      <c r="B111" s="171" t="s">
        <v>723</v>
      </c>
      <c r="C111" s="171" t="str">
        <f>INDEX('Customer List w Software'!$B:$B,MATCH('Full Customer List'!$B111,'Customer List w Software'!$A:$A,0))</f>
        <v>Former client</v>
      </c>
      <c r="D111" s="171" t="str">
        <f>INDEX('Customer List w Software'!$C:$C,MATCH('Full Customer List'!$B111,'Customer List w Software'!$A:$A,0))</f>
        <v>Property manager</v>
      </c>
      <c r="E111" s="171" t="str">
        <f>INDEX('Customer List Mapping'!$C:$C,MATCH('Full Customer List'!D111,'Customer List Mapping'!$B:$B,0))</f>
        <v>Property Manager</v>
      </c>
      <c r="F111" s="187">
        <f>INDEX('Customer List w Software'!$K:$K,MATCH('Full Customer List'!$B111,'Customer List w Software'!$A:$A,0))</f>
        <v>0</v>
      </c>
      <c r="G111" s="187">
        <f>INDEX('Revenue by Customer'!$I:$I,MATCH('Full Customer List'!$B111,'Revenue by Customer'!$A:$A,0))</f>
        <v>775</v>
      </c>
      <c r="H111" s="250" t="str">
        <f>IFERROR(IF(C111="Active","",INDEX('Client Departures'!$G:$G,MATCH('Full Customer List'!$B111,'Client Departures'!$A:$A,0))),"Unclassified")</f>
        <v>Yes</v>
      </c>
      <c r="I111" s="191">
        <v>45444</v>
      </c>
      <c r="J111" s="191">
        <v>46173</v>
      </c>
      <c r="K111" s="187">
        <f>INDEX('Revenue by Customer'!K:K,MATCH('Full Customer List'!$B111,'Revenue by Customer'!$A:$A,0))</f>
        <v>385</v>
      </c>
      <c r="L111" s="187">
        <f>INDEX('Revenue by Customer'!L:L,MATCH('Full Customer List'!$B111,'Revenue by Customer'!$A:$A,0))</f>
        <v>325</v>
      </c>
      <c r="M111" s="187">
        <f>INDEX('Revenue by Customer'!M:M,MATCH('Full Customer List'!$B111,'Revenue by Customer'!$A:$A,0))</f>
        <v>325</v>
      </c>
      <c r="N111" s="187">
        <f>INDEX('Revenue by Customer'!N:N,MATCH('Full Customer List'!$B111,'Revenue by Customer'!$A:$A,0))</f>
        <v>325</v>
      </c>
      <c r="O111" s="187">
        <f>INDEX('Revenue by Customer'!O:O,MATCH('Full Customer List'!$B111,'Revenue by Customer'!$A:$A,0))</f>
        <v>325</v>
      </c>
      <c r="P111" s="187">
        <f>INDEX('Revenue by Customer'!P:P,MATCH('Full Customer List'!$B111,'Revenue by Customer'!$A:$A,0))</f>
        <v>325</v>
      </c>
      <c r="Q111" s="187">
        <f>INDEX('Revenue by Customer'!Q:Q,MATCH('Full Customer List'!$B111,'Revenue by Customer'!$A:$A,0))</f>
        <v>490</v>
      </c>
      <c r="R111" s="187">
        <f>INDEX('Revenue by Customer'!R:R,MATCH('Full Customer List'!$B111,'Revenue by Customer'!$A:$A,0))</f>
        <v>490</v>
      </c>
      <c r="S111" s="187">
        <f>INDEX('Revenue by Customer'!S:S,MATCH('Full Customer List'!$B111,'Revenue by Customer'!$A:$A,0))</f>
        <v>665</v>
      </c>
      <c r="T111" s="187">
        <f>INDEX('Revenue by Customer'!T:T,MATCH('Full Customer List'!$B111,'Revenue by Customer'!$A:$A,0))</f>
        <v>665</v>
      </c>
      <c r="U111" s="187">
        <f>INDEX('Revenue by Customer'!U:U,MATCH('Full Customer List'!$B111,'Revenue by Customer'!$A:$A,0))</f>
        <v>775</v>
      </c>
      <c r="V111" s="187">
        <f>INDEX('Revenue by Customer'!V:V,MATCH('Full Customer List'!$B111,'Revenue by Customer'!$A:$A,0))</f>
        <v>775</v>
      </c>
      <c r="W111" s="187">
        <f>INDEX('Revenue by Customer'!W:W,MATCH('Full Customer List'!$B111,'Revenue by Customer'!$A:$A,0))</f>
        <v>940</v>
      </c>
      <c r="X111" s="187">
        <f>INDEX('Revenue by Customer'!X:X,MATCH('Full Customer List'!$B111,'Revenue by Customer'!$A:$A,0))</f>
        <v>775</v>
      </c>
      <c r="Y111" s="187">
        <f>INDEX('Revenue by Customer'!Y:Y,MATCH('Full Customer List'!$B111,'Revenue by Customer'!$A:$A,0))</f>
        <v>775</v>
      </c>
      <c r="Z111" s="187">
        <f>INDEX('Revenue by Customer'!Z:Z,MATCH('Full Customer List'!$B111,'Revenue by Customer'!$A:$A,0))</f>
        <v>775</v>
      </c>
      <c r="AA111" s="187">
        <f>INDEX('Revenue by Customer'!AA:AA,MATCH('Full Customer List'!$B111,'Revenue by Customer'!$A:$A,0))</f>
        <v>775</v>
      </c>
      <c r="AB111" s="187" t="str">
        <f>INDEX('Revenue by Customer'!AB:AB,MATCH('Full Customer List'!$B111,'Revenue by Customer'!$A:$A,0))</f>
        <v/>
      </c>
      <c r="AC111" s="187" t="str">
        <f>INDEX('Revenue by Customer'!AC:AC,MATCH('Full Customer List'!$B111,'Revenue by Customer'!$A:$A,0))</f>
        <v/>
      </c>
    </row>
    <row r="112" spans="2:29" ht="12" customHeight="1">
      <c r="B112" s="171" t="s">
        <v>724</v>
      </c>
      <c r="C112" s="217" t="s">
        <v>562</v>
      </c>
      <c r="D112" s="171" t="str">
        <f>INDEX('Customer List w Software'!$C:$C,MATCH('Full Customer List'!$B112,'Customer List w Software'!$A:$A,0))</f>
        <v>Property manager</v>
      </c>
      <c r="E112" s="171" t="str">
        <f>INDEX('Customer List Mapping'!$C:$C,MATCH('Full Customer List'!D112,'Customer List Mapping'!$B:$B,0))</f>
        <v>Property Manager</v>
      </c>
      <c r="F112" s="187">
        <f>INDEX('Customer List w Software'!$K:$K,MATCH('Full Customer List'!$B112,'Customer List w Software'!$A:$A,0))</f>
        <v>6</v>
      </c>
      <c r="G112" s="187">
        <f>INDEX('Revenue by Customer'!$I:$I,MATCH('Full Customer List'!$B112,'Revenue by Customer'!$A:$A,0))</f>
        <v>659.66666666666663</v>
      </c>
      <c r="H112" s="250" t="str">
        <f>IFERROR(IF(C112="Active","",INDEX('Client Departures'!$G:$G,MATCH('Full Customer List'!$B112,'Client Departures'!$A:$A,0))),"Unclassified")</f>
        <v>Unclassified</v>
      </c>
      <c r="I112" s="191">
        <v>44986</v>
      </c>
      <c r="J112" s="191">
        <v>46265</v>
      </c>
      <c r="K112" s="187">
        <f>INDEX('Revenue by Customer'!K:K,MATCH('Full Customer List'!$B112,'Revenue by Customer'!$A:$A,0))</f>
        <v>595</v>
      </c>
      <c r="L112" s="187">
        <f>INDEX('Revenue by Customer'!L:L,MATCH('Full Customer List'!$B112,'Revenue by Customer'!$A:$A,0))</f>
        <v>445</v>
      </c>
      <c r="M112" s="187">
        <f>INDEX('Revenue by Customer'!M:M,MATCH('Full Customer List'!$B112,'Revenue by Customer'!$A:$A,0))</f>
        <v>575</v>
      </c>
      <c r="N112" s="187">
        <f>INDEX('Revenue by Customer'!N:N,MATCH('Full Customer List'!$B112,'Revenue by Customer'!$A:$A,0))</f>
        <v>385</v>
      </c>
      <c r="O112" s="187">
        <f>INDEX('Revenue by Customer'!O:O,MATCH('Full Customer List'!$B112,'Revenue by Customer'!$A:$A,0))</f>
        <v>730</v>
      </c>
      <c r="P112" s="187">
        <f>INDEX('Revenue by Customer'!P:P,MATCH('Full Customer List'!$B112,'Revenue by Customer'!$A:$A,0))</f>
        <v>575</v>
      </c>
      <c r="Q112" s="187">
        <f>INDEX('Revenue by Customer'!Q:Q,MATCH('Full Customer List'!$B112,'Revenue by Customer'!$A:$A,0))</f>
        <v>385</v>
      </c>
      <c r="R112" s="187">
        <f>INDEX('Revenue by Customer'!R:R,MATCH('Full Customer List'!$B112,'Revenue by Customer'!$A:$A,0))</f>
        <v>480</v>
      </c>
      <c r="S112" s="187">
        <f>INDEX('Revenue by Customer'!S:S,MATCH('Full Customer List'!$B112,'Revenue by Customer'!$A:$A,0))</f>
        <v>480</v>
      </c>
      <c r="T112" s="187">
        <f>INDEX('Revenue by Customer'!T:T,MATCH('Full Customer List'!$B112,'Revenue by Customer'!$A:$A,0))</f>
        <v>480</v>
      </c>
      <c r="U112" s="187">
        <f>INDEX('Revenue by Customer'!U:U,MATCH('Full Customer List'!$B112,'Revenue by Customer'!$A:$A,0))</f>
        <v>480</v>
      </c>
      <c r="V112" s="187">
        <f>INDEX('Revenue by Customer'!V:V,MATCH('Full Customer List'!$B112,'Revenue by Customer'!$A:$A,0))</f>
        <v>575</v>
      </c>
      <c r="W112" s="187">
        <f>INDEX('Revenue by Customer'!W:W,MATCH('Full Customer List'!$B112,'Revenue by Customer'!$A:$A,0))</f>
        <v>670</v>
      </c>
      <c r="X112" s="187">
        <f>INDEX('Revenue by Customer'!X:X,MATCH('Full Customer List'!$B112,'Revenue by Customer'!$A:$A,0))</f>
        <v>775</v>
      </c>
      <c r="Y112" s="187">
        <f>INDEX('Revenue by Customer'!Y:Y,MATCH('Full Customer List'!$B112,'Revenue by Customer'!$A:$A,0))</f>
        <v>692</v>
      </c>
      <c r="Z112" s="187">
        <f>INDEX('Revenue by Customer'!Z:Z,MATCH('Full Customer List'!$B112,'Revenue by Customer'!$A:$A,0))</f>
        <v>789</v>
      </c>
      <c r="AA112" s="187">
        <f>INDEX('Revenue by Customer'!AA:AA,MATCH('Full Customer List'!$B112,'Revenue by Customer'!$A:$A,0))</f>
        <v>789</v>
      </c>
      <c r="AB112" s="187">
        <f>INDEX('Revenue by Customer'!AB:AB,MATCH('Full Customer List'!$B112,'Revenue by Customer'!$A:$A,0))</f>
        <v>692</v>
      </c>
      <c r="AC112" s="187">
        <f>INDEX('Revenue by Customer'!AC:AC,MATCH('Full Customer List'!$B112,'Revenue by Customer'!$A:$A,0))</f>
        <v>498</v>
      </c>
    </row>
    <row r="113" spans="2:29" ht="12" customHeight="1">
      <c r="B113" s="171" t="s">
        <v>725</v>
      </c>
      <c r="C113" s="171" t="str">
        <f>INDEX('Customer List w Software'!$B:$B,MATCH('Full Customer List'!$B113,'Customer List w Software'!$A:$A,0))</f>
        <v>Active</v>
      </c>
      <c r="D113" s="171" t="str">
        <f>INDEX('Customer List w Software'!$C:$C,MATCH('Full Customer List'!$B113,'Customer List w Software'!$A:$A,0))</f>
        <v>Property manager</v>
      </c>
      <c r="E113" s="171" t="str">
        <f>INDEX('Customer List Mapping'!$C:$C,MATCH('Full Customer List'!D113,'Customer List Mapping'!$B:$B,0))</f>
        <v>Property Manager</v>
      </c>
      <c r="F113" s="187">
        <f>INDEX('Customer List w Software'!$K:$K,MATCH('Full Customer List'!$B113,'Customer List w Software'!$A:$A,0))</f>
        <v>8</v>
      </c>
      <c r="G113" s="187">
        <f>INDEX('Revenue by Customer'!$I:$I,MATCH('Full Customer List'!$B113,'Revenue by Customer'!$A:$A,0))</f>
        <v>649</v>
      </c>
      <c r="H113" s="250" t="str">
        <f>IFERROR(IF(C113="Active","",INDEX('Client Departures'!$G:$G,MATCH('Full Customer List'!$B113,'Client Departures'!$A:$A,0))),"Unclassified")</f>
        <v/>
      </c>
      <c r="I113" s="191">
        <v>45717</v>
      </c>
      <c r="J113" s="191"/>
      <c r="K113" s="187" t="str">
        <f>INDEX('Revenue by Customer'!K:K,MATCH('Full Customer List'!$B113,'Revenue by Customer'!$A:$A,0))</f>
        <v/>
      </c>
      <c r="L113" s="187" t="str">
        <f>INDEX('Revenue by Customer'!L:L,MATCH('Full Customer List'!$B113,'Revenue by Customer'!$A:$A,0))</f>
        <v/>
      </c>
      <c r="M113" s="187">
        <f>INDEX('Revenue by Customer'!M:M,MATCH('Full Customer List'!$B113,'Revenue by Customer'!$A:$A,0))</f>
        <v>640</v>
      </c>
      <c r="N113" s="187">
        <f>INDEX('Revenue by Customer'!N:N,MATCH('Full Customer List'!$B113,'Revenue by Customer'!$A:$A,0))</f>
        <v>340</v>
      </c>
      <c r="O113" s="187">
        <f>INDEX('Revenue by Customer'!O:O,MATCH('Full Customer List'!$B113,'Revenue by Customer'!$A:$A,0))</f>
        <v>340</v>
      </c>
      <c r="P113" s="187">
        <f>INDEX('Revenue by Customer'!P:P,MATCH('Full Customer List'!$B113,'Revenue by Customer'!$A:$A,0))</f>
        <v>400</v>
      </c>
      <c r="Q113" s="187">
        <f>INDEX('Revenue by Customer'!Q:Q,MATCH('Full Customer List'!$B113,'Revenue by Customer'!$A:$A,0))</f>
        <v>400</v>
      </c>
      <c r="R113" s="187">
        <f>INDEX('Revenue by Customer'!R:R,MATCH('Full Customer List'!$B113,'Revenue by Customer'!$A:$A,0))</f>
        <v>400</v>
      </c>
      <c r="S113" s="187">
        <f>INDEX('Revenue by Customer'!S:S,MATCH('Full Customer List'!$B113,'Revenue by Customer'!$A:$A,0))</f>
        <v>400</v>
      </c>
      <c r="T113" s="187">
        <f>INDEX('Revenue by Customer'!T:T,MATCH('Full Customer List'!$B113,'Revenue by Customer'!$A:$A,0))</f>
        <v>400</v>
      </c>
      <c r="U113" s="187">
        <f>INDEX('Revenue by Customer'!U:U,MATCH('Full Customer List'!$B113,'Revenue by Customer'!$A:$A,0))</f>
        <v>400</v>
      </c>
      <c r="V113" s="187">
        <f>INDEX('Revenue by Customer'!V:V,MATCH('Full Customer List'!$B113,'Revenue by Customer'!$A:$A,0))</f>
        <v>400</v>
      </c>
      <c r="W113" s="187">
        <f>INDEX('Revenue by Customer'!W:W,MATCH('Full Customer List'!$B113,'Revenue by Customer'!$A:$A,0))</f>
        <v>400</v>
      </c>
      <c r="X113" s="187">
        <f>INDEX('Revenue by Customer'!X:X,MATCH('Full Customer List'!$B113,'Revenue by Customer'!$A:$A,0))</f>
        <v>1536.5</v>
      </c>
      <c r="Y113" s="187">
        <f>INDEX('Revenue by Customer'!Y:Y,MATCH('Full Customer List'!$B113,'Revenue by Customer'!$A:$A,0))</f>
        <v>495</v>
      </c>
      <c r="Z113" s="187">
        <f>INDEX('Revenue by Customer'!Z:Z,MATCH('Full Customer List'!$B113,'Revenue by Customer'!$A:$A,0))</f>
        <v>868.5</v>
      </c>
      <c r="AA113" s="187">
        <f>INDEX('Revenue by Customer'!AA:AA,MATCH('Full Customer List'!$B113,'Revenue by Customer'!$A:$A,0))</f>
        <v>572</v>
      </c>
      <c r="AB113" s="187">
        <f>INDEX('Revenue by Customer'!AB:AB,MATCH('Full Customer List'!$B113,'Revenue by Customer'!$A:$A,0))</f>
        <v>649</v>
      </c>
      <c r="AC113" s="187">
        <f>INDEX('Revenue by Customer'!AC:AC,MATCH('Full Customer List'!$B113,'Revenue by Customer'!$A:$A,0))</f>
        <v>726</v>
      </c>
    </row>
    <row r="114" spans="2:29" ht="12" customHeight="1">
      <c r="B114" s="171" t="s">
        <v>726</v>
      </c>
      <c r="C114" s="171" t="str">
        <f>INDEX('Customer List w Software'!$B:$B,MATCH('Full Customer List'!$B114,'Customer List w Software'!$A:$A,0))</f>
        <v>Former client</v>
      </c>
      <c r="D114" s="171" t="str">
        <f>INDEX('Customer List w Software'!$C:$C,MATCH('Full Customer List'!$B114,'Customer List w Software'!$A:$A,0))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87" t="str">
        <f>INDEX('Customer List w Software'!$K:$K,MATCH('Full Customer List'!$B114,'Customer List w Software'!$A:$A,0))</f>
        <v/>
      </c>
      <c r="G114" s="187">
        <f>INDEX('Revenue by Customer'!$I:$I,MATCH('Full Customer List'!$B114,'Revenue by Customer'!$A:$A,0))</f>
        <v>2400</v>
      </c>
      <c r="H114" s="250" t="str">
        <f>IFERROR(IF(C114="Active","",INDEX('Client Departures'!$G:$G,MATCH('Full Customer List'!$B114,'Client Departures'!$A:$A,0))),"Unclassified")</f>
        <v>No</v>
      </c>
      <c r="I114" s="191">
        <v>45901</v>
      </c>
      <c r="J114" s="191">
        <v>45991</v>
      </c>
      <c r="K114" s="187" t="str">
        <f>INDEX('Revenue by Customer'!K:K,MATCH('Full Customer List'!$B114,'Revenue by Customer'!$A:$A,0))</f>
        <v/>
      </c>
      <c r="L114" s="187" t="str">
        <f>INDEX('Revenue by Customer'!L:L,MATCH('Full Customer List'!$B114,'Revenue by Customer'!$A:$A,0))</f>
        <v/>
      </c>
      <c r="M114" s="187" t="str">
        <f>INDEX('Revenue by Customer'!M:M,MATCH('Full Customer List'!$B114,'Revenue by Customer'!$A:$A,0))</f>
        <v/>
      </c>
      <c r="N114" s="187" t="str">
        <f>INDEX('Revenue by Customer'!N:N,MATCH('Full Customer List'!$B114,'Revenue by Customer'!$A:$A,0))</f>
        <v/>
      </c>
      <c r="O114" s="187" t="str">
        <f>INDEX('Revenue by Customer'!O:O,MATCH('Full Customer List'!$B114,'Revenue by Customer'!$A:$A,0))</f>
        <v/>
      </c>
      <c r="P114" s="187" t="str">
        <f>INDEX('Revenue by Customer'!P:P,MATCH('Full Customer List'!$B114,'Revenue by Customer'!$A:$A,0))</f>
        <v/>
      </c>
      <c r="Q114" s="187" t="str">
        <f>INDEX('Revenue by Customer'!Q:Q,MATCH('Full Customer List'!$B114,'Revenue by Customer'!$A:$A,0))</f>
        <v/>
      </c>
      <c r="R114" s="187" t="str">
        <f>INDEX('Revenue by Customer'!R:R,MATCH('Full Customer List'!$B114,'Revenue by Customer'!$A:$A,0))</f>
        <v/>
      </c>
      <c r="S114" s="187">
        <f>INDEX('Revenue by Customer'!S:S,MATCH('Full Customer List'!$B114,'Revenue by Customer'!$A:$A,0))</f>
        <v>415</v>
      </c>
      <c r="T114" s="187">
        <f>INDEX('Revenue by Customer'!T:T,MATCH('Full Customer List'!$B114,'Revenue by Customer'!$A:$A,0))</f>
        <v>3580</v>
      </c>
      <c r="U114" s="187">
        <f>INDEX('Revenue by Customer'!U:U,MATCH('Full Customer List'!$B114,'Revenue by Customer'!$A:$A,0))</f>
        <v>3205</v>
      </c>
      <c r="V114" s="187" t="str">
        <f>INDEX('Revenue by Customer'!V:V,MATCH('Full Customer List'!$B114,'Revenue by Customer'!$A:$A,0))</f>
        <v/>
      </c>
      <c r="W114" s="187" t="str">
        <f>INDEX('Revenue by Customer'!W:W,MATCH('Full Customer List'!$B114,'Revenue by Customer'!$A:$A,0))</f>
        <v/>
      </c>
      <c r="X114" s="187" t="str">
        <f>INDEX('Revenue by Customer'!X:X,MATCH('Full Customer List'!$B114,'Revenue by Customer'!$A:$A,0))</f>
        <v/>
      </c>
      <c r="Y114" s="187" t="str">
        <f>INDEX('Revenue by Customer'!Y:Y,MATCH('Full Customer List'!$B114,'Revenue by Customer'!$A:$A,0))</f>
        <v/>
      </c>
      <c r="Z114" s="187" t="str">
        <f>INDEX('Revenue by Customer'!Z:Z,MATCH('Full Customer List'!$B114,'Revenue by Customer'!$A:$A,0))</f>
        <v/>
      </c>
      <c r="AA114" s="187" t="str">
        <f>INDEX('Revenue by Customer'!AA:AA,MATCH('Full Customer List'!$B114,'Revenue by Customer'!$A:$A,0))</f>
        <v/>
      </c>
      <c r="AB114" s="187" t="str">
        <f>INDEX('Revenue by Customer'!AB:AB,MATCH('Full Customer List'!$B114,'Revenue by Customer'!$A:$A,0))</f>
        <v/>
      </c>
      <c r="AC114" s="187" t="str">
        <f>INDEX('Revenue by Customer'!AC:AC,MATCH('Full Customer List'!$B114,'Revenue by Customer'!$A:$A,0))</f>
        <v/>
      </c>
    </row>
    <row r="115" spans="2:29" ht="12" customHeight="1">
      <c r="B115" s="171" t="s">
        <v>727</v>
      </c>
      <c r="C115" s="171" t="s">
        <v>497</v>
      </c>
      <c r="D115" s="171" t="str">
        <f>INDEX('Customer List w Software'!$C:$C,MATCH('Full Customer List'!$B115,'Customer List w Software'!$A:$A,0))</f>
        <v>Tax client only</v>
      </c>
      <c r="E115" s="171" t="str">
        <f>INDEX('Customer List Mapping'!$C:$C,MATCH('Full Customer List'!D115,'Customer List Mapping'!$B:$B,0))</f>
        <v>Tax-Only Client</v>
      </c>
      <c r="F115" s="187" t="str">
        <f>INDEX('Customer List w Software'!$K:$K,MATCH('Full Customer List'!$B115,'Customer List w Software'!$A:$A,0))</f>
        <v/>
      </c>
      <c r="G115" s="187">
        <f>INDEX('Revenue by Customer'!$I:$I,MATCH('Full Customer List'!$B115,'Revenue by Customer'!$A:$A,0))</f>
        <v>2358.3333333333335</v>
      </c>
      <c r="H115" s="250" t="str">
        <f>IFERROR(IF(C115="Active","",INDEX('Client Departures'!$G:$G,MATCH('Full Customer List'!$B115,'Client Departures'!$A:$A,0))),"Unclassified")</f>
        <v/>
      </c>
      <c r="I115" s="191">
        <v>45901</v>
      </c>
      <c r="J115" s="191"/>
      <c r="K115" s="187" t="str">
        <f>INDEX('Revenue by Customer'!K:K,MATCH('Full Customer List'!$B115,'Revenue by Customer'!$A:$A,0))</f>
        <v/>
      </c>
      <c r="L115" s="187" t="str">
        <f>INDEX('Revenue by Customer'!L:L,MATCH('Full Customer List'!$B115,'Revenue by Customer'!$A:$A,0))</f>
        <v/>
      </c>
      <c r="M115" s="187" t="str">
        <f>INDEX('Revenue by Customer'!M:M,MATCH('Full Customer List'!$B115,'Revenue by Customer'!$A:$A,0))</f>
        <v/>
      </c>
      <c r="N115" s="187" t="str">
        <f>INDEX('Revenue by Customer'!N:N,MATCH('Full Customer List'!$B115,'Revenue by Customer'!$A:$A,0))</f>
        <v/>
      </c>
      <c r="O115" s="187" t="str">
        <f>INDEX('Revenue by Customer'!O:O,MATCH('Full Customer List'!$B115,'Revenue by Customer'!$A:$A,0))</f>
        <v/>
      </c>
      <c r="P115" s="187" t="str">
        <f>INDEX('Revenue by Customer'!P:P,MATCH('Full Customer List'!$B115,'Revenue by Customer'!$A:$A,0))</f>
        <v/>
      </c>
      <c r="Q115" s="187" t="str">
        <f>INDEX('Revenue by Customer'!Q:Q,MATCH('Full Customer List'!$B115,'Revenue by Customer'!$A:$A,0))</f>
        <v/>
      </c>
      <c r="R115" s="187" t="str">
        <f>INDEX('Revenue by Customer'!R:R,MATCH('Full Customer List'!$B115,'Revenue by Customer'!$A:$A,0))</f>
        <v/>
      </c>
      <c r="S115" s="187">
        <f>INDEX('Revenue by Customer'!S:S,MATCH('Full Customer List'!$B115,'Revenue by Customer'!$A:$A,0))</f>
        <v>3537.5</v>
      </c>
      <c r="T115" s="187" t="str">
        <f>INDEX('Revenue by Customer'!T:T,MATCH('Full Customer List'!$B115,'Revenue by Customer'!$A:$A,0))</f>
        <v/>
      </c>
      <c r="U115" s="187" t="str">
        <f>INDEX('Revenue by Customer'!U:U,MATCH('Full Customer List'!$B115,'Revenue by Customer'!$A:$A,0))</f>
        <v/>
      </c>
      <c r="V115" s="187">
        <f>INDEX('Revenue by Customer'!V:V,MATCH('Full Customer List'!$B115,'Revenue by Customer'!$A:$A,0))</f>
        <v>875</v>
      </c>
      <c r="W115" s="187" t="str">
        <f>INDEX('Revenue by Customer'!W:W,MATCH('Full Customer List'!$B115,'Revenue by Customer'!$A:$A,0))</f>
        <v/>
      </c>
      <c r="X115" s="187" t="str">
        <f>INDEX('Revenue by Customer'!X:X,MATCH('Full Customer List'!$B115,'Revenue by Customer'!$A:$A,0))</f>
        <v/>
      </c>
      <c r="Y115" s="187">
        <f>INDEX('Revenue by Customer'!Y:Y,MATCH('Full Customer List'!$B115,'Revenue by Customer'!$A:$A,0))</f>
        <v>0</v>
      </c>
      <c r="Z115" s="187">
        <f>INDEX('Revenue by Customer'!Z:Z,MATCH('Full Customer List'!$B115,'Revenue by Customer'!$A:$A,0))</f>
        <v>2662.5</v>
      </c>
      <c r="AA115" s="187" t="str">
        <f>INDEX('Revenue by Customer'!AA:AA,MATCH('Full Customer List'!$B115,'Revenue by Customer'!$A:$A,0))</f>
        <v/>
      </c>
      <c r="AB115" s="187" t="str">
        <f>INDEX('Revenue by Customer'!AB:AB,MATCH('Full Customer List'!$B115,'Revenue by Customer'!$A:$A,0))</f>
        <v/>
      </c>
      <c r="AC115" s="187" t="str">
        <f>INDEX('Revenue by Customer'!AC:AC,MATCH('Full Customer List'!$B115,'Revenue by Customer'!$A:$A,0))</f>
        <v/>
      </c>
    </row>
    <row r="116" spans="2:29" ht="12" customHeight="1">
      <c r="B116" s="171" t="s">
        <v>729</v>
      </c>
      <c r="C116" s="171" t="str">
        <f>INDEX('Customer List w Software'!$B:$B,MATCH('Full Customer List'!$B116,'Customer List w Software'!$A:$A,0))</f>
        <v>Active</v>
      </c>
      <c r="D116" s="171" t="str">
        <f>INDEX('Customer List w Software'!$C:$C,MATCH('Full Customer List'!$B116,'Customer List w Software'!$A:$A,0))</f>
        <v>STR owner</v>
      </c>
      <c r="E116" s="171" t="str">
        <f>INDEX('Customer List Mapping'!$C:$C,MATCH('Full Customer List'!D116,'Customer List Mapping'!$B:$B,0))</f>
        <v>STR Owner</v>
      </c>
      <c r="F116" s="187" t="str">
        <f>INDEX('Customer List w Software'!$K:$K,MATCH('Full Customer List'!$B116,'Customer List w Software'!$A:$A,0))</f>
        <v/>
      </c>
      <c r="G116" s="187">
        <f>INDEX('Revenue by Customer'!$I:$I,MATCH('Full Customer List'!$B116,'Revenue by Customer'!$A:$A,0))</f>
        <v>669.33333333333337</v>
      </c>
      <c r="H116" s="250" t="str">
        <f>IFERROR(IF(C116="Active","",INDEX('Client Departures'!$G:$G,MATCH('Full Customer List'!$B116,'Client Departures'!$A:$A,0))),"Unclassified")</f>
        <v/>
      </c>
      <c r="I116" s="191">
        <v>45413</v>
      </c>
      <c r="J116" s="191"/>
      <c r="K116" s="187">
        <f>INDEX('Revenue by Customer'!K:K,MATCH('Full Customer List'!$B116,'Revenue by Customer'!$A:$A,0))</f>
        <v>395</v>
      </c>
      <c r="L116" s="187">
        <f>INDEX('Revenue by Customer'!L:L,MATCH('Full Customer List'!$B116,'Revenue by Customer'!$A:$A,0))</f>
        <v>395</v>
      </c>
      <c r="M116" s="187">
        <f>INDEX('Revenue by Customer'!M:M,MATCH('Full Customer List'!$B116,'Revenue by Customer'!$A:$A,0))</f>
        <v>395</v>
      </c>
      <c r="N116" s="187">
        <f>INDEX('Revenue by Customer'!N:N,MATCH('Full Customer List'!$B116,'Revenue by Customer'!$A:$A,0))</f>
        <v>395</v>
      </c>
      <c r="O116" s="187">
        <f>INDEX('Revenue by Customer'!O:O,MATCH('Full Customer List'!$B116,'Revenue by Customer'!$A:$A,0))</f>
        <v>474</v>
      </c>
      <c r="P116" s="187">
        <f>INDEX('Revenue by Customer'!P:P,MATCH('Full Customer List'!$B116,'Revenue by Customer'!$A:$A,0))</f>
        <v>560</v>
      </c>
      <c r="Q116" s="187">
        <f>INDEX('Revenue by Customer'!Q:Q,MATCH('Full Customer List'!$B116,'Revenue by Customer'!$A:$A,0))</f>
        <v>560</v>
      </c>
      <c r="R116" s="187">
        <f>INDEX('Revenue by Customer'!R:R,MATCH('Full Customer List'!$B116,'Revenue by Customer'!$A:$A,0))</f>
        <v>560</v>
      </c>
      <c r="S116" s="187">
        <f>INDEX('Revenue by Customer'!S:S,MATCH('Full Customer List'!$B116,'Revenue by Customer'!$A:$A,0))</f>
        <v>560</v>
      </c>
      <c r="T116" s="187">
        <f>INDEX('Revenue by Customer'!T:T,MATCH('Full Customer List'!$B116,'Revenue by Customer'!$A:$A,0))</f>
        <v>560</v>
      </c>
      <c r="U116" s="187">
        <f>INDEX('Revenue by Customer'!U:U,MATCH('Full Customer List'!$B116,'Revenue by Customer'!$A:$A,0))</f>
        <v>560</v>
      </c>
      <c r="V116" s="187">
        <f>INDEX('Revenue by Customer'!V:V,MATCH('Full Customer List'!$B116,'Revenue by Customer'!$A:$A,0))</f>
        <v>560</v>
      </c>
      <c r="W116" s="187">
        <f>INDEX('Revenue by Customer'!W:W,MATCH('Full Customer List'!$B116,'Revenue by Customer'!$A:$A,0))</f>
        <v>560</v>
      </c>
      <c r="X116" s="187">
        <f>INDEX('Revenue by Customer'!X:X,MATCH('Full Customer List'!$B116,'Revenue by Customer'!$A:$A,0))</f>
        <v>560</v>
      </c>
      <c r="Y116" s="187">
        <f>INDEX('Revenue by Customer'!Y:Y,MATCH('Full Customer List'!$B116,'Revenue by Customer'!$A:$A,0))</f>
        <v>560</v>
      </c>
      <c r="Z116" s="187">
        <f>INDEX('Revenue by Customer'!Z:Z,MATCH('Full Customer List'!$B116,'Revenue by Customer'!$A:$A,0))</f>
        <v>558.91</v>
      </c>
      <c r="AA116" s="187">
        <f>INDEX('Revenue by Customer'!AA:AA,MATCH('Full Customer List'!$B116,'Revenue by Customer'!$A:$A,0))</f>
        <v>560</v>
      </c>
      <c r="AB116" s="187">
        <f>INDEX('Revenue by Customer'!AB:AB,MATCH('Full Customer List'!$B116,'Revenue by Customer'!$A:$A,0))</f>
        <v>724</v>
      </c>
      <c r="AC116" s="187">
        <f>INDEX('Revenue by Customer'!AC:AC,MATCH('Full Customer List'!$B116,'Revenue by Customer'!$A:$A,0))</f>
        <v>724</v>
      </c>
    </row>
    <row r="117" spans="2:29" ht="12" customHeight="1">
      <c r="B117" s="171" t="s">
        <v>730</v>
      </c>
      <c r="C117" s="171" t="str">
        <f>INDEX('Customer List w Software'!$B:$B,MATCH('Full Customer List'!$B117,'Customer List w Software'!$A:$A,0))</f>
        <v>Former client</v>
      </c>
      <c r="D117" s="171" t="str">
        <f>INDEX('Customer List w Software'!$C:$C,MATCH('Full Customer List'!$B117,'Customer List w Software'!$A:$A,0))</f>
        <v>Small business</v>
      </c>
      <c r="E117" s="171" t="str">
        <f>INDEX('Customer List Mapping'!$C:$C,MATCH('Full Customer List'!D117,'Customer List Mapping'!$B:$B,0))</f>
        <v>Small Business</v>
      </c>
      <c r="F117" s="187" t="str">
        <f>INDEX('Customer List w Software'!$K:$K,MATCH('Full Customer List'!$B117,'Customer List w Software'!$A:$A,0))</f>
        <v/>
      </c>
      <c r="G117" s="187">
        <f>INDEX('Revenue by Customer'!$I:$I,MATCH('Full Customer List'!$B117,'Revenue by Customer'!$A:$A,0))</f>
        <v>600</v>
      </c>
      <c r="H117" s="250" t="str">
        <f>IFERROR(IF(C117="Active","",INDEX('Client Departures'!$G:$G,MATCH('Full Customer List'!$B117,'Client Departures'!$A:$A,0))),"Unclassified")</f>
        <v>No</v>
      </c>
      <c r="I117" s="191">
        <v>44652</v>
      </c>
      <c r="J117" s="191">
        <v>46234</v>
      </c>
      <c r="K117" s="187">
        <f>INDEX('Revenue by Customer'!K:K,MATCH('Full Customer List'!$B117,'Revenue by Customer'!$A:$A,0))</f>
        <v>550</v>
      </c>
      <c r="L117" s="187">
        <f>INDEX('Revenue by Customer'!L:L,MATCH('Full Customer List'!$B117,'Revenue by Customer'!$A:$A,0))</f>
        <v>550</v>
      </c>
      <c r="M117" s="187">
        <f>INDEX('Revenue by Customer'!M:M,MATCH('Full Customer List'!$B117,'Revenue by Customer'!$A:$A,0))</f>
        <v>550</v>
      </c>
      <c r="N117" s="187">
        <f>INDEX('Revenue by Customer'!N:N,MATCH('Full Customer List'!$B117,'Revenue by Customer'!$A:$A,0))</f>
        <v>580</v>
      </c>
      <c r="O117" s="187">
        <f>INDEX('Revenue by Customer'!O:O,MATCH('Full Customer List'!$B117,'Revenue by Customer'!$A:$A,0))</f>
        <v>580</v>
      </c>
      <c r="P117" s="187">
        <f>INDEX('Revenue by Customer'!P:P,MATCH('Full Customer List'!$B117,'Revenue by Customer'!$A:$A,0))</f>
        <v>580</v>
      </c>
      <c r="Q117" s="187">
        <f>INDEX('Revenue by Customer'!Q:Q,MATCH('Full Customer List'!$B117,'Revenue by Customer'!$A:$A,0))</f>
        <v>580</v>
      </c>
      <c r="R117" s="187">
        <f>INDEX('Revenue by Customer'!R:R,MATCH('Full Customer List'!$B117,'Revenue by Customer'!$A:$A,0))</f>
        <v>580</v>
      </c>
      <c r="S117" s="187">
        <f>INDEX('Revenue by Customer'!S:S,MATCH('Full Customer List'!$B117,'Revenue by Customer'!$A:$A,0))</f>
        <v>580</v>
      </c>
      <c r="T117" s="187">
        <f>INDEX('Revenue by Customer'!T:T,MATCH('Full Customer List'!$B117,'Revenue by Customer'!$A:$A,0))</f>
        <v>580</v>
      </c>
      <c r="U117" s="187">
        <f>INDEX('Revenue by Customer'!U:U,MATCH('Full Customer List'!$B117,'Revenue by Customer'!$A:$A,0))</f>
        <v>580</v>
      </c>
      <c r="V117" s="187">
        <f>INDEX('Revenue by Customer'!V:V,MATCH('Full Customer List'!$B117,'Revenue by Customer'!$A:$A,0))</f>
        <v>580</v>
      </c>
      <c r="W117" s="187">
        <f>INDEX('Revenue by Customer'!W:W,MATCH('Full Customer List'!$B117,'Revenue by Customer'!$A:$A,0))</f>
        <v>580</v>
      </c>
      <c r="X117" s="187">
        <f>INDEX('Revenue by Customer'!X:X,MATCH('Full Customer List'!$B117,'Revenue by Customer'!$A:$A,0))</f>
        <v>580</v>
      </c>
      <c r="Y117" s="187">
        <f>INDEX('Revenue by Customer'!Y:Y,MATCH('Full Customer List'!$B117,'Revenue by Customer'!$A:$A,0))</f>
        <v>580</v>
      </c>
      <c r="Z117" s="187">
        <f>INDEX('Revenue by Customer'!Z:Z,MATCH('Full Customer List'!$B117,'Revenue by Customer'!$A:$A,0))</f>
        <v>600</v>
      </c>
      <c r="AA117" s="187">
        <f>INDEX('Revenue by Customer'!AA:AA,MATCH('Full Customer List'!$B117,'Revenue by Customer'!$A:$A,0))</f>
        <v>600</v>
      </c>
      <c r="AB117" s="187">
        <f>INDEX('Revenue by Customer'!AB:AB,MATCH('Full Customer List'!$B117,'Revenue by Customer'!$A:$A,0))</f>
        <v>600</v>
      </c>
      <c r="AC117" s="187">
        <f>INDEX('Revenue by Customer'!AC:AC,MATCH('Full Customer List'!$B117,'Revenue by Customer'!$A:$A,0))</f>
        <v>600</v>
      </c>
    </row>
    <row r="118" spans="2:29" ht="12" customHeight="1">
      <c r="B118" s="171" t="s">
        <v>733</v>
      </c>
      <c r="C118" s="171" t="str">
        <f>INDEX('Customer List w Software'!$B:$B,MATCH('Full Customer List'!$B118,'Customer List w Software'!$A:$A,0))</f>
        <v>Active</v>
      </c>
      <c r="D118" s="171" t="str">
        <f>INDEX('Customer List w Software'!$C:$C,MATCH('Full Customer List'!$B118,'Customer List w Software'!$A:$A,0))</f>
        <v>Property manager</v>
      </c>
      <c r="E118" s="171" t="str">
        <f>INDEX('Customer List Mapping'!$C:$C,MATCH('Full Customer List'!D118,'Customer List Mapping'!$B:$B,0))</f>
        <v>Property Manager</v>
      </c>
      <c r="F118" s="187">
        <f>INDEX('Customer List w Software'!$K:$K,MATCH('Full Customer List'!$B118,'Customer List w Software'!$A:$A,0))</f>
        <v>8</v>
      </c>
      <c r="G118" s="187">
        <f>INDEX('Revenue by Customer'!$I:$I,MATCH('Full Customer List'!$B118,'Revenue by Customer'!$A:$A,0))</f>
        <v>446.33333333333331</v>
      </c>
      <c r="H118" s="250" t="str">
        <f>IFERROR(IF(C118="Active","",INDEX('Client Departures'!$G:$G,MATCH('Full Customer List'!$B118,'Client Departures'!$A:$A,0))),"Unclassified")</f>
        <v/>
      </c>
      <c r="I118" s="191">
        <v>45444</v>
      </c>
      <c r="J118" s="191"/>
      <c r="K118" s="187">
        <f>INDEX('Revenue by Customer'!K:K,MATCH('Full Customer List'!$B118,'Revenue by Customer'!$A:$A,0))</f>
        <v>525</v>
      </c>
      <c r="L118" s="187">
        <f>INDEX('Revenue by Customer'!L:L,MATCH('Full Customer List'!$B118,'Revenue by Customer'!$A:$A,0))</f>
        <v>420</v>
      </c>
      <c r="M118" s="187">
        <f>INDEX('Revenue by Customer'!M:M,MATCH('Full Customer List'!$B118,'Revenue by Customer'!$A:$A,0))</f>
        <v>420</v>
      </c>
      <c r="N118" s="187">
        <f>INDEX('Revenue by Customer'!N:N,MATCH('Full Customer List'!$B118,'Revenue by Customer'!$A:$A,0))</f>
        <v>420</v>
      </c>
      <c r="O118" s="187">
        <f>INDEX('Revenue by Customer'!O:O,MATCH('Full Customer List'!$B118,'Revenue by Customer'!$A:$A,0))</f>
        <v>420</v>
      </c>
      <c r="P118" s="187">
        <f>INDEX('Revenue by Customer'!P:P,MATCH('Full Customer List'!$B118,'Revenue by Customer'!$A:$A,0))</f>
        <v>445</v>
      </c>
      <c r="Q118" s="187">
        <f>INDEX('Revenue by Customer'!Q:Q,MATCH('Full Customer List'!$B118,'Revenue by Customer'!$A:$A,0))</f>
        <v>445</v>
      </c>
      <c r="R118" s="187">
        <f>INDEX('Revenue by Customer'!R:R,MATCH('Full Customer List'!$B118,'Revenue by Customer'!$A:$A,0))</f>
        <v>445</v>
      </c>
      <c r="S118" s="187">
        <f>INDEX('Revenue by Customer'!S:S,MATCH('Full Customer List'!$B118,'Revenue by Customer'!$A:$A,0))</f>
        <v>445</v>
      </c>
      <c r="T118" s="187">
        <f>INDEX('Revenue by Customer'!T:T,MATCH('Full Customer List'!$B118,'Revenue by Customer'!$A:$A,0))</f>
        <v>1210</v>
      </c>
      <c r="U118" s="187">
        <f>INDEX('Revenue by Customer'!U:U,MATCH('Full Customer List'!$B118,'Revenue by Customer'!$A:$A,0))</f>
        <v>445</v>
      </c>
      <c r="V118" s="187">
        <f>INDEX('Revenue by Customer'!V:V,MATCH('Full Customer List'!$B118,'Revenue by Customer'!$A:$A,0))</f>
        <v>445</v>
      </c>
      <c r="W118" s="187">
        <f>INDEX('Revenue by Customer'!W:W,MATCH('Full Customer List'!$B118,'Revenue by Customer'!$A:$A,0))</f>
        <v>535</v>
      </c>
      <c r="X118" s="187">
        <f>INDEX('Revenue by Customer'!X:X,MATCH('Full Customer List'!$B118,'Revenue by Customer'!$A:$A,0))</f>
        <v>445</v>
      </c>
      <c r="Y118" s="187">
        <f>INDEX('Revenue by Customer'!Y:Y,MATCH('Full Customer List'!$B118,'Revenue by Customer'!$A:$A,0))</f>
        <v>1210</v>
      </c>
      <c r="Z118" s="187">
        <f>INDEX('Revenue by Customer'!Z:Z,MATCH('Full Customer List'!$B118,'Revenue by Customer'!$A:$A,0))</f>
        <v>445</v>
      </c>
      <c r="AA118" s="187">
        <f>INDEX('Revenue by Customer'!AA:AA,MATCH('Full Customer List'!$B118,'Revenue by Customer'!$A:$A,0))</f>
        <v>445</v>
      </c>
      <c r="AB118" s="187">
        <f>INDEX('Revenue by Customer'!AB:AB,MATCH('Full Customer List'!$B118,'Revenue by Customer'!$A:$A,0))</f>
        <v>447</v>
      </c>
      <c r="AC118" s="187">
        <f>INDEX('Revenue by Customer'!AC:AC,MATCH('Full Customer List'!$B118,'Revenue by Customer'!$A:$A,0))</f>
        <v>447</v>
      </c>
    </row>
    <row r="119" spans="2:29" ht="12" customHeight="1">
      <c r="B119" s="171" t="s">
        <v>734</v>
      </c>
      <c r="C119" s="171" t="str">
        <f>INDEX('Customer List w Software'!$B:$B,MATCH('Full Customer List'!$B119,'Customer List w Software'!$A:$A,0))</f>
        <v>Active</v>
      </c>
      <c r="D119" s="171" t="str">
        <f>INDEX('Customer List w Software'!$C:$C,MATCH('Full Customer List'!$B119,'Customer List w Software'!$A:$A,0))</f>
        <v>Property manager</v>
      </c>
      <c r="E119" s="171" t="str">
        <f>INDEX('Customer List Mapping'!$C:$C,MATCH('Full Customer List'!D119,'Customer List Mapping'!$B:$B,0))</f>
        <v>Property Manager</v>
      </c>
      <c r="F119" s="187">
        <f>INDEX('Customer List w Software'!$K:$K,MATCH('Full Customer List'!$B119,'Customer List w Software'!$A:$A,0))</f>
        <v>8</v>
      </c>
      <c r="G119" s="187">
        <f>INDEX('Revenue by Customer'!$I:$I,MATCH('Full Customer List'!$B119,'Revenue by Customer'!$A:$A,0))</f>
        <v>910</v>
      </c>
      <c r="H119" s="250" t="str">
        <f>IFERROR(IF(C119="Active","",INDEX('Client Departures'!$G:$G,MATCH('Full Customer List'!$B119,'Client Departures'!$A:$A,0))),"Unclassified")</f>
        <v/>
      </c>
      <c r="I119" s="191">
        <v>46023</v>
      </c>
      <c r="J119" s="191"/>
      <c r="K119" s="187" t="str">
        <f>INDEX('Revenue by Customer'!K:K,MATCH('Full Customer List'!$B119,'Revenue by Customer'!$A:$A,0))</f>
        <v/>
      </c>
      <c r="L119" s="187" t="str">
        <f>INDEX('Revenue by Customer'!L:L,MATCH('Full Customer List'!$B119,'Revenue by Customer'!$A:$A,0))</f>
        <v/>
      </c>
      <c r="M119" s="187" t="str">
        <f>INDEX('Revenue by Customer'!M:M,MATCH('Full Customer List'!$B119,'Revenue by Customer'!$A:$A,0))</f>
        <v/>
      </c>
      <c r="N119" s="187" t="str">
        <f>INDEX('Revenue by Customer'!N:N,MATCH('Full Customer List'!$B119,'Revenue by Customer'!$A:$A,0))</f>
        <v/>
      </c>
      <c r="O119" s="187" t="str">
        <f>INDEX('Revenue by Customer'!O:O,MATCH('Full Customer List'!$B119,'Revenue by Customer'!$A:$A,0))</f>
        <v/>
      </c>
      <c r="P119" s="187" t="str">
        <f>INDEX('Revenue by Customer'!P:P,MATCH('Full Customer List'!$B119,'Revenue by Customer'!$A:$A,0))</f>
        <v/>
      </c>
      <c r="Q119" s="187" t="str">
        <f>INDEX('Revenue by Customer'!Q:Q,MATCH('Full Customer List'!$B119,'Revenue by Customer'!$A:$A,0))</f>
        <v/>
      </c>
      <c r="R119" s="187" t="str">
        <f>INDEX('Revenue by Customer'!R:R,MATCH('Full Customer List'!$B119,'Revenue by Customer'!$A:$A,0))</f>
        <v/>
      </c>
      <c r="S119" s="187" t="str">
        <f>INDEX('Revenue by Customer'!S:S,MATCH('Full Customer List'!$B119,'Revenue by Customer'!$A:$A,0))</f>
        <v/>
      </c>
      <c r="T119" s="187" t="str">
        <f>INDEX('Revenue by Customer'!T:T,MATCH('Full Customer List'!$B119,'Revenue by Customer'!$A:$A,0))</f>
        <v/>
      </c>
      <c r="U119" s="187" t="str">
        <f>INDEX('Revenue by Customer'!U:U,MATCH('Full Customer List'!$B119,'Revenue by Customer'!$A:$A,0))</f>
        <v/>
      </c>
      <c r="V119" s="187" t="str">
        <f>INDEX('Revenue by Customer'!V:V,MATCH('Full Customer List'!$B119,'Revenue by Customer'!$A:$A,0))</f>
        <v/>
      </c>
      <c r="W119" s="187">
        <f>INDEX('Revenue by Customer'!W:W,MATCH('Full Customer List'!$B119,'Revenue by Customer'!$A:$A,0))</f>
        <v>1783.75</v>
      </c>
      <c r="X119" s="187">
        <f>INDEX('Revenue by Customer'!X:X,MATCH('Full Customer List'!$B119,'Revenue by Customer'!$A:$A,0))</f>
        <v>1108.75</v>
      </c>
      <c r="Y119" s="187">
        <f>INDEX('Revenue by Customer'!Y:Y,MATCH('Full Customer List'!$B119,'Revenue by Customer'!$A:$A,0))</f>
        <v>163.75</v>
      </c>
      <c r="Z119" s="187">
        <f>INDEX('Revenue by Customer'!Z:Z,MATCH('Full Customer List'!$B119,'Revenue by Customer'!$A:$A,0))</f>
        <v>910</v>
      </c>
      <c r="AA119" s="187">
        <f>INDEX('Revenue by Customer'!AA:AA,MATCH('Full Customer List'!$B119,'Revenue by Customer'!$A:$A,0))</f>
        <v>910</v>
      </c>
      <c r="AB119" s="187">
        <f>INDEX('Revenue by Customer'!AB:AB,MATCH('Full Customer List'!$B119,'Revenue by Customer'!$A:$A,0))</f>
        <v>910</v>
      </c>
      <c r="AC119" s="187">
        <f>INDEX('Revenue by Customer'!AC:AC,MATCH('Full Customer List'!$B119,'Revenue by Customer'!$A:$A,0))</f>
        <v>910</v>
      </c>
    </row>
    <row r="120" spans="2:29" ht="12" customHeight="1">
      <c r="B120" s="171" t="s">
        <v>735</v>
      </c>
      <c r="C120" s="171" t="str">
        <f>INDEX('Customer List w Software'!$B:$B,MATCH('Full Customer List'!$B120,'Customer List w Software'!$A:$A,0))</f>
        <v>Active</v>
      </c>
      <c r="D120" s="171" t="str">
        <f>INDEX('Customer List w Software'!$C:$C,MATCH('Full Customer List'!$B120,'Customer List w Software'!$A:$A,0))</f>
        <v>Property manager</v>
      </c>
      <c r="E120" s="171" t="str">
        <f>INDEX('Customer List Mapping'!$C:$C,MATCH('Full Customer List'!D120,'Customer List Mapping'!$B:$B,0))</f>
        <v>Property Manager</v>
      </c>
      <c r="F120" s="187">
        <f>INDEX('Customer List w Software'!$K:$K,MATCH('Full Customer List'!$B120,'Customer List w Software'!$A:$A,0))</f>
        <v>8</v>
      </c>
      <c r="G120" s="187">
        <f>INDEX('Revenue by Customer'!$I:$I,MATCH('Full Customer List'!$B120,'Revenue by Customer'!$A:$A,0))</f>
        <v>649</v>
      </c>
      <c r="H120" s="250" t="str">
        <f>IFERROR(IF(C120="Active","",INDEX('Client Departures'!$G:$G,MATCH('Full Customer List'!$B120,'Client Departures'!$A:$A,0))),"Unclassified")</f>
        <v/>
      </c>
      <c r="I120" s="191">
        <v>45717</v>
      </c>
      <c r="J120" s="191"/>
      <c r="K120" s="187" t="str">
        <f>INDEX('Revenue by Customer'!K:K,MATCH('Full Customer List'!$B120,'Revenue by Customer'!$A:$A,0))</f>
        <v/>
      </c>
      <c r="L120" s="187" t="str">
        <f>INDEX('Revenue by Customer'!L:L,MATCH('Full Customer List'!$B120,'Revenue by Customer'!$A:$A,0))</f>
        <v/>
      </c>
      <c r="M120" s="187">
        <f>INDEX('Revenue by Customer'!M:M,MATCH('Full Customer List'!$B120,'Revenue by Customer'!$A:$A,0))</f>
        <v>350</v>
      </c>
      <c r="N120" s="187">
        <f>INDEX('Revenue by Customer'!N:N,MATCH('Full Customer List'!$B120,'Revenue by Customer'!$A:$A,0))</f>
        <v>150</v>
      </c>
      <c r="O120" s="187">
        <f>INDEX('Revenue by Customer'!O:O,MATCH('Full Customer List'!$B120,'Revenue by Customer'!$A:$A,0))</f>
        <v>360</v>
      </c>
      <c r="P120" s="187">
        <f>INDEX('Revenue by Customer'!P:P,MATCH('Full Customer List'!$B120,'Revenue by Customer'!$A:$A,0))</f>
        <v>280</v>
      </c>
      <c r="Q120" s="187">
        <f>INDEX('Revenue by Customer'!Q:Q,MATCH('Full Customer List'!$B120,'Revenue by Customer'!$A:$A,0))</f>
        <v>430</v>
      </c>
      <c r="R120" s="187">
        <f>INDEX('Revenue by Customer'!R:R,MATCH('Full Customer List'!$B120,'Revenue by Customer'!$A:$A,0))</f>
        <v>430</v>
      </c>
      <c r="S120" s="187">
        <f>INDEX('Revenue by Customer'!S:S,MATCH('Full Customer List'!$B120,'Revenue by Customer'!$A:$A,0))</f>
        <v>430</v>
      </c>
      <c r="T120" s="187">
        <f>INDEX('Revenue by Customer'!T:T,MATCH('Full Customer List'!$B120,'Revenue by Customer'!$A:$A,0))</f>
        <v>430</v>
      </c>
      <c r="U120" s="187">
        <f>INDEX('Revenue by Customer'!U:U,MATCH('Full Customer List'!$B120,'Revenue by Customer'!$A:$A,0))</f>
        <v>525</v>
      </c>
      <c r="V120" s="187">
        <f>INDEX('Revenue by Customer'!V:V,MATCH('Full Customer List'!$B120,'Revenue by Customer'!$A:$A,0))</f>
        <v>525</v>
      </c>
      <c r="W120" s="187">
        <f>INDEX('Revenue by Customer'!W:W,MATCH('Full Customer List'!$B120,'Revenue by Customer'!$A:$A,0))</f>
        <v>525</v>
      </c>
      <c r="X120" s="187">
        <f>INDEX('Revenue by Customer'!X:X,MATCH('Full Customer List'!$B120,'Revenue by Customer'!$A:$A,0))</f>
        <v>630</v>
      </c>
      <c r="Y120" s="187">
        <f>INDEX('Revenue by Customer'!Y:Y,MATCH('Full Customer List'!$B120,'Revenue by Customer'!$A:$A,0))</f>
        <v>525</v>
      </c>
      <c r="Z120" s="187">
        <f>INDEX('Revenue by Customer'!Z:Z,MATCH('Full Customer List'!$B120,'Revenue by Customer'!$A:$A,0))</f>
        <v>649</v>
      </c>
      <c r="AA120" s="187">
        <f>INDEX('Revenue by Customer'!AA:AA,MATCH('Full Customer List'!$B120,'Revenue by Customer'!$A:$A,0))</f>
        <v>649</v>
      </c>
      <c r="AB120" s="187">
        <f>INDEX('Revenue by Customer'!AB:AB,MATCH('Full Customer List'!$B120,'Revenue by Customer'!$A:$A,0))</f>
        <v>649</v>
      </c>
      <c r="AC120" s="187">
        <f>INDEX('Revenue by Customer'!AC:AC,MATCH('Full Customer List'!$B120,'Revenue by Customer'!$A:$A,0))</f>
        <v>649</v>
      </c>
    </row>
    <row r="121" spans="2:29" ht="12" customHeight="1">
      <c r="B121" s="171" t="s">
        <v>736</v>
      </c>
      <c r="C121" s="171" t="str">
        <f>INDEX('Customer List w Software'!$B:$B,MATCH('Full Customer List'!$B121,'Customer List w Software'!$A:$A,0))</f>
        <v>Active</v>
      </c>
      <c r="D121" s="171" t="str">
        <f>INDEX('Customer List w Software'!$C:$C,MATCH('Full Customer List'!$B121,'Customer List w Software'!$A:$A,0))</f>
        <v>Property manager</v>
      </c>
      <c r="E121" s="171" t="str">
        <f>INDEX('Customer List Mapping'!$C:$C,MATCH('Full Customer List'!D121,'Customer List Mapping'!$B:$B,0))</f>
        <v>Property Manager</v>
      </c>
      <c r="F121" s="187">
        <f>INDEX('Customer List w Software'!$K:$K,MATCH('Full Customer List'!$B121,'Customer List w Software'!$A:$A,0))</f>
        <v>3</v>
      </c>
      <c r="G121" s="187">
        <f>INDEX('Revenue by Customer'!$I:$I,MATCH('Full Customer List'!$B121,'Revenue by Customer'!$A:$A,0))</f>
        <v>493</v>
      </c>
      <c r="H121" s="250" t="str">
        <f>IFERROR(IF(C121="Active","",INDEX('Client Departures'!$G:$G,MATCH('Full Customer List'!$B121,'Client Departures'!$A:$A,0))),"Unclassified")</f>
        <v/>
      </c>
      <c r="I121" s="191">
        <v>45474</v>
      </c>
      <c r="J121" s="191"/>
      <c r="K121" s="187">
        <f>INDEX('Revenue by Customer'!K:K,MATCH('Full Customer List'!$B121,'Revenue by Customer'!$A:$A,0))</f>
        <v>570</v>
      </c>
      <c r="L121" s="187">
        <f>INDEX('Revenue by Customer'!L:L,MATCH('Full Customer List'!$B121,'Revenue by Customer'!$A:$A,0))</f>
        <v>810</v>
      </c>
      <c r="M121" s="187">
        <f>INDEX('Revenue by Customer'!M:M,MATCH('Full Customer List'!$B121,'Revenue by Customer'!$A:$A,0))</f>
        <v>570</v>
      </c>
      <c r="N121" s="187">
        <f>INDEX('Revenue by Customer'!N:N,MATCH('Full Customer List'!$B121,'Revenue by Customer'!$A:$A,0))</f>
        <v>570</v>
      </c>
      <c r="O121" s="187">
        <f>INDEX('Revenue by Customer'!O:O,MATCH('Full Customer List'!$B121,'Revenue by Customer'!$A:$A,0))</f>
        <v>570</v>
      </c>
      <c r="P121" s="187">
        <f>INDEX('Revenue by Customer'!P:P,MATCH('Full Customer List'!$B121,'Revenue by Customer'!$A:$A,0))</f>
        <v>570</v>
      </c>
      <c r="Q121" s="187">
        <f>INDEX('Revenue by Customer'!Q:Q,MATCH('Full Customer List'!$B121,'Revenue by Customer'!$A:$A,0))</f>
        <v>555</v>
      </c>
      <c r="R121" s="187">
        <f>INDEX('Revenue by Customer'!R:R,MATCH('Full Customer List'!$B121,'Revenue by Customer'!$A:$A,0))</f>
        <v>555</v>
      </c>
      <c r="S121" s="187">
        <f>INDEX('Revenue by Customer'!S:S,MATCH('Full Customer List'!$B121,'Revenue by Customer'!$A:$A,0))</f>
        <v>555</v>
      </c>
      <c r="T121" s="187">
        <f>INDEX('Revenue by Customer'!T:T,MATCH('Full Customer List'!$B121,'Revenue by Customer'!$A:$A,0))</f>
        <v>555</v>
      </c>
      <c r="U121" s="187">
        <f>INDEX('Revenue by Customer'!U:U,MATCH('Full Customer List'!$B121,'Revenue by Customer'!$A:$A,0))</f>
        <v>555</v>
      </c>
      <c r="V121" s="187">
        <f>INDEX('Revenue by Customer'!V:V,MATCH('Full Customer List'!$B121,'Revenue by Customer'!$A:$A,0))</f>
        <v>535</v>
      </c>
      <c r="W121" s="187">
        <f>INDEX('Revenue by Customer'!W:W,MATCH('Full Customer List'!$B121,'Revenue by Customer'!$A:$A,0))</f>
        <v>535</v>
      </c>
      <c r="X121" s="187">
        <f>INDEX('Revenue by Customer'!X:X,MATCH('Full Customer List'!$B121,'Revenue by Customer'!$A:$A,0))</f>
        <v>775</v>
      </c>
      <c r="Y121" s="187">
        <f>INDEX('Revenue by Customer'!Y:Y,MATCH('Full Customer List'!$B121,'Revenue by Customer'!$A:$A,0))</f>
        <v>535</v>
      </c>
      <c r="Z121" s="187">
        <f>INDEX('Revenue by Customer'!Z:Z,MATCH('Full Customer List'!$B121,'Revenue by Customer'!$A:$A,0))</f>
        <v>535</v>
      </c>
      <c r="AA121" s="187">
        <f>INDEX('Revenue by Customer'!AA:AA,MATCH('Full Customer List'!$B121,'Revenue by Customer'!$A:$A,0))</f>
        <v>518</v>
      </c>
      <c r="AB121" s="187">
        <f>INDEX('Revenue by Customer'!AB:AB,MATCH('Full Customer List'!$B121,'Revenue by Customer'!$A:$A,0))</f>
        <v>468</v>
      </c>
      <c r="AC121" s="187">
        <f>INDEX('Revenue by Customer'!AC:AC,MATCH('Full Customer List'!$B121,'Revenue by Customer'!$A:$A,0))</f>
        <v>493</v>
      </c>
    </row>
    <row r="122" spans="2:29" ht="12" customHeight="1">
      <c r="B122" s="171" t="s">
        <v>737</v>
      </c>
      <c r="C122" s="171" t="str">
        <f>INDEX('Customer List w Software'!$B:$B,MATCH('Full Customer List'!$B122,'Customer List w Software'!$A:$A,0))</f>
        <v>Active</v>
      </c>
      <c r="D122" s="171" t="str">
        <f>INDEX('Customer List w Software'!$C:$C,MATCH('Full Customer List'!$B122,'Customer List w Software'!$A:$A,0))</f>
        <v>Property manager</v>
      </c>
      <c r="E122" s="171" t="str">
        <f>INDEX('Customer List Mapping'!$C:$C,MATCH('Full Customer List'!D122,'Customer List Mapping'!$B:$B,0))</f>
        <v>Property Manager</v>
      </c>
      <c r="F122" s="187">
        <f>INDEX('Customer List w Software'!$K:$K,MATCH('Full Customer List'!$B122,'Customer List w Software'!$A:$A,0))</f>
        <v>6</v>
      </c>
      <c r="G122" s="187">
        <f>INDEX('Revenue by Customer'!$I:$I,MATCH('Full Customer List'!$B122,'Revenue by Customer'!$A:$A,0))</f>
        <v>630</v>
      </c>
      <c r="H122" s="250" t="str">
        <f>IFERROR(IF(C122="Active","",INDEX('Client Departures'!$G:$G,MATCH('Full Customer List'!$B122,'Client Departures'!$A:$A,0))),"Unclassified")</f>
        <v/>
      </c>
      <c r="I122" s="191">
        <v>45536</v>
      </c>
      <c r="J122" s="191"/>
      <c r="K122" s="187">
        <f>INDEX('Revenue by Customer'!K:K,MATCH('Full Customer List'!$B122,'Revenue by Customer'!$A:$A,0))</f>
        <v>350</v>
      </c>
      <c r="L122" s="187">
        <f>INDEX('Revenue by Customer'!L:L,MATCH('Full Customer List'!$B122,'Revenue by Customer'!$A:$A,0))</f>
        <v>440</v>
      </c>
      <c r="M122" s="187">
        <f>INDEX('Revenue by Customer'!M:M,MATCH('Full Customer List'!$B122,'Revenue by Customer'!$A:$A,0))</f>
        <v>350</v>
      </c>
      <c r="N122" s="187">
        <f>INDEX('Revenue by Customer'!N:N,MATCH('Full Customer List'!$B122,'Revenue by Customer'!$A:$A,0))</f>
        <v>350</v>
      </c>
      <c r="O122" s="187">
        <f>INDEX('Revenue by Customer'!O:O,MATCH('Full Customer List'!$B122,'Revenue by Customer'!$A:$A,0))</f>
        <v>350</v>
      </c>
      <c r="P122" s="187">
        <f>INDEX('Revenue by Customer'!P:P,MATCH('Full Customer List'!$B122,'Revenue by Customer'!$A:$A,0))</f>
        <v>350</v>
      </c>
      <c r="Q122" s="187">
        <f>INDEX('Revenue by Customer'!Q:Q,MATCH('Full Customer List'!$B122,'Revenue by Customer'!$A:$A,0))</f>
        <v>350</v>
      </c>
      <c r="R122" s="187">
        <f>INDEX('Revenue by Customer'!R:R,MATCH('Full Customer List'!$B122,'Revenue by Customer'!$A:$A,0))</f>
        <v>350</v>
      </c>
      <c r="S122" s="187">
        <f>INDEX('Revenue by Customer'!S:S,MATCH('Full Customer List'!$B122,'Revenue by Customer'!$A:$A,0))</f>
        <v>510</v>
      </c>
      <c r="T122" s="187">
        <f>INDEX('Revenue by Customer'!T:T,MATCH('Full Customer List'!$B122,'Revenue by Customer'!$A:$A,0))</f>
        <v>510</v>
      </c>
      <c r="U122" s="187">
        <f>INDEX('Revenue by Customer'!U:U,MATCH('Full Customer List'!$B122,'Revenue by Customer'!$A:$A,0))</f>
        <v>510</v>
      </c>
      <c r="V122" s="187">
        <f>INDEX('Revenue by Customer'!V:V,MATCH('Full Customer List'!$B122,'Revenue by Customer'!$A:$A,0))</f>
        <v>510</v>
      </c>
      <c r="W122" s="187">
        <f>INDEX('Revenue by Customer'!W:W,MATCH('Full Customer List'!$B122,'Revenue by Customer'!$A:$A,0))</f>
        <v>530</v>
      </c>
      <c r="X122" s="187">
        <f>INDEX('Revenue by Customer'!X:X,MATCH('Full Customer List'!$B122,'Revenue by Customer'!$A:$A,0))</f>
        <v>620</v>
      </c>
      <c r="Y122" s="187">
        <f>INDEX('Revenue by Customer'!Y:Y,MATCH('Full Customer List'!$B122,'Revenue by Customer'!$A:$A,0))</f>
        <v>530</v>
      </c>
      <c r="Z122" s="187">
        <f>INDEX('Revenue by Customer'!Z:Z,MATCH('Full Customer List'!$B122,'Revenue by Customer'!$A:$A,0))</f>
        <v>630</v>
      </c>
      <c r="AA122" s="187">
        <f>INDEX('Revenue by Customer'!AA:AA,MATCH('Full Customer List'!$B122,'Revenue by Customer'!$A:$A,0))</f>
        <v>630</v>
      </c>
      <c r="AB122" s="187">
        <f>INDEX('Revenue by Customer'!AB:AB,MATCH('Full Customer List'!$B122,'Revenue by Customer'!$A:$A,0))</f>
        <v>630</v>
      </c>
      <c r="AC122" s="187">
        <f>INDEX('Revenue by Customer'!AC:AC,MATCH('Full Customer List'!$B122,'Revenue by Customer'!$A:$A,0))</f>
        <v>630</v>
      </c>
    </row>
    <row r="123" spans="2:29" ht="12" customHeight="1">
      <c r="B123" s="171" t="s">
        <v>738</v>
      </c>
      <c r="C123" s="171" t="str">
        <f>INDEX('Customer List w Software'!$B:$B,MATCH('Full Customer List'!$B123,'Customer List w Software'!$A:$A,0))</f>
        <v>Active</v>
      </c>
      <c r="D123" s="171" t="str">
        <f>INDEX('Customer List w Software'!$C:$C,MATCH('Full Customer List'!$B123,'Customer List w Software'!$A:$A,0))</f>
        <v>Property manager</v>
      </c>
      <c r="E123" s="171" t="str">
        <f>INDEX('Customer List Mapping'!$C:$C,MATCH('Full Customer List'!D123,'Customer List Mapping'!$B:$B,0))</f>
        <v>Property Manager</v>
      </c>
      <c r="F123" s="187">
        <f>INDEX('Customer List w Software'!$K:$K,MATCH('Full Customer List'!$B123,'Customer List w Software'!$A:$A,0))</f>
        <v>4</v>
      </c>
      <c r="G123" s="187">
        <f>INDEX('Revenue by Customer'!$I:$I,MATCH('Full Customer List'!$B123,'Revenue by Customer'!$A:$A,0))</f>
        <v>650</v>
      </c>
      <c r="H123" s="250" t="str">
        <f>IFERROR(IF(C123="Active","",INDEX('Client Departures'!$G:$G,MATCH('Full Customer List'!$B123,'Client Departures'!$A:$A,0))),"Unclassified")</f>
        <v/>
      </c>
      <c r="I123" s="191">
        <v>45931</v>
      </c>
      <c r="J123" s="191"/>
      <c r="K123" s="187" t="str">
        <f>INDEX('Revenue by Customer'!K:K,MATCH('Full Customer List'!$B123,'Revenue by Customer'!$A:$A,0))</f>
        <v/>
      </c>
      <c r="L123" s="187" t="str">
        <f>INDEX('Revenue by Customer'!L:L,MATCH('Full Customer List'!$B123,'Revenue by Customer'!$A:$A,0))</f>
        <v/>
      </c>
      <c r="M123" s="187" t="str">
        <f>INDEX('Revenue by Customer'!M:M,MATCH('Full Customer List'!$B123,'Revenue by Customer'!$A:$A,0))</f>
        <v/>
      </c>
      <c r="N123" s="187" t="str">
        <f>INDEX('Revenue by Customer'!N:N,MATCH('Full Customer List'!$B123,'Revenue by Customer'!$A:$A,0))</f>
        <v/>
      </c>
      <c r="O123" s="187" t="str">
        <f>INDEX('Revenue by Customer'!O:O,MATCH('Full Customer List'!$B123,'Revenue by Customer'!$A:$A,0))</f>
        <v/>
      </c>
      <c r="P123" s="187" t="str">
        <f>INDEX('Revenue by Customer'!P:P,MATCH('Full Customer List'!$B123,'Revenue by Customer'!$A:$A,0))</f>
        <v/>
      </c>
      <c r="Q123" s="187" t="str">
        <f>INDEX('Revenue by Customer'!Q:Q,MATCH('Full Customer List'!$B123,'Revenue by Customer'!$A:$A,0))</f>
        <v/>
      </c>
      <c r="R123" s="187" t="str">
        <f>INDEX('Revenue by Customer'!R:R,MATCH('Full Customer List'!$B123,'Revenue by Customer'!$A:$A,0))</f>
        <v/>
      </c>
      <c r="S123" s="187" t="str">
        <f>INDEX('Revenue by Customer'!S:S,MATCH('Full Customer List'!$B123,'Revenue by Customer'!$A:$A,0))</f>
        <v/>
      </c>
      <c r="T123" s="187">
        <f>INDEX('Revenue by Customer'!T:T,MATCH('Full Customer List'!$B123,'Revenue by Customer'!$A:$A,0))</f>
        <v>925</v>
      </c>
      <c r="U123" s="187">
        <f>INDEX('Revenue by Customer'!U:U,MATCH('Full Customer List'!$B123,'Revenue by Customer'!$A:$A,0))</f>
        <v>736.25</v>
      </c>
      <c r="V123" s="187">
        <f>INDEX('Revenue by Customer'!V:V,MATCH('Full Customer List'!$B123,'Revenue by Customer'!$A:$A,0))</f>
        <v>650</v>
      </c>
      <c r="W123" s="187">
        <f>INDEX('Revenue by Customer'!W:W,MATCH('Full Customer List'!$B123,'Revenue by Customer'!$A:$A,0))</f>
        <v>650</v>
      </c>
      <c r="X123" s="187">
        <f>INDEX('Revenue by Customer'!X:X,MATCH('Full Customer List'!$B123,'Revenue by Customer'!$A:$A,0))</f>
        <v>263.86</v>
      </c>
      <c r="Y123" s="187">
        <f>INDEX('Revenue by Customer'!Y:Y,MATCH('Full Customer List'!$B123,'Revenue by Customer'!$A:$A,0))</f>
        <v>650</v>
      </c>
      <c r="Z123" s="187">
        <f>INDEX('Revenue by Customer'!Z:Z,MATCH('Full Customer List'!$B123,'Revenue by Customer'!$A:$A,0))</f>
        <v>650</v>
      </c>
      <c r="AA123" s="187">
        <f>INDEX('Revenue by Customer'!AA:AA,MATCH('Full Customer List'!$B123,'Revenue by Customer'!$A:$A,0))</f>
        <v>650</v>
      </c>
      <c r="AB123" s="187">
        <f>INDEX('Revenue by Customer'!AB:AB,MATCH('Full Customer List'!$B123,'Revenue by Customer'!$A:$A,0))</f>
        <v>650</v>
      </c>
      <c r="AC123" s="187">
        <f>INDEX('Revenue by Customer'!AC:AC,MATCH('Full Customer List'!$B123,'Revenue by Customer'!$A:$A,0))</f>
        <v>650</v>
      </c>
    </row>
    <row r="124" spans="2:29" ht="12" customHeight="1">
      <c r="B124" s="171" t="s">
        <v>739</v>
      </c>
      <c r="C124" s="171" t="str">
        <f>INDEX('Customer List w Software'!$B:$B,MATCH('Full Customer List'!$B124,'Customer List w Software'!$A:$A,0))</f>
        <v>Active</v>
      </c>
      <c r="D124" s="171" t="str">
        <f>INDEX('Customer List w Software'!$C:$C,MATCH('Full Customer List'!$B124,'Customer List w Software'!$A:$A,0))</f>
        <v>Property manager</v>
      </c>
      <c r="E124" s="171" t="str">
        <f>INDEX('Customer List Mapping'!$C:$C,MATCH('Full Customer List'!D124,'Customer List Mapping'!$B:$B,0))</f>
        <v>Property Manager</v>
      </c>
      <c r="F124" s="187">
        <f>INDEX('Customer List w Software'!$K:$K,MATCH('Full Customer List'!$B124,'Customer List w Software'!$A:$A,0))</f>
        <v>15</v>
      </c>
      <c r="G124" s="187">
        <f>INDEX('Revenue by Customer'!$I:$I,MATCH('Full Customer List'!$B124,'Revenue by Customer'!$A:$A,0))</f>
        <v>476.66666666666669</v>
      </c>
      <c r="H124" s="250" t="str">
        <f>IFERROR(IF(C124="Active","",INDEX('Client Departures'!$G:$G,MATCH('Full Customer List'!$B124,'Client Departures'!$A:$A,0))),"Unclassified")</f>
        <v/>
      </c>
      <c r="I124" s="191">
        <v>45444</v>
      </c>
      <c r="J124" s="191"/>
      <c r="K124" s="187">
        <f>INDEX('Revenue by Customer'!K:K,MATCH('Full Customer List'!$B124,'Revenue by Customer'!$A:$A,0))</f>
        <v>325</v>
      </c>
      <c r="L124" s="187">
        <f>INDEX('Revenue by Customer'!L:L,MATCH('Full Customer List'!$B124,'Revenue by Customer'!$A:$A,0))</f>
        <v>325</v>
      </c>
      <c r="M124" s="187">
        <f>INDEX('Revenue by Customer'!M:M,MATCH('Full Customer List'!$B124,'Revenue by Customer'!$A:$A,0))</f>
        <v>325</v>
      </c>
      <c r="N124" s="187">
        <f>INDEX('Revenue by Customer'!N:N,MATCH('Full Customer List'!$B124,'Revenue by Customer'!$A:$A,0))</f>
        <v>325</v>
      </c>
      <c r="O124" s="187">
        <f>INDEX('Revenue by Customer'!O:O,MATCH('Full Customer List'!$B124,'Revenue by Customer'!$A:$A,0))</f>
        <v>325</v>
      </c>
      <c r="P124" s="187">
        <f>INDEX('Revenue by Customer'!P:P,MATCH('Full Customer List'!$B124,'Revenue by Customer'!$A:$A,0))</f>
        <v>325</v>
      </c>
      <c r="Q124" s="187">
        <f>INDEX('Revenue by Customer'!Q:Q,MATCH('Full Customer List'!$B124,'Revenue by Customer'!$A:$A,0))</f>
        <v>325</v>
      </c>
      <c r="R124" s="187">
        <f>INDEX('Revenue by Customer'!R:R,MATCH('Full Customer List'!$B124,'Revenue by Customer'!$A:$A,0))</f>
        <v>600</v>
      </c>
      <c r="S124" s="187">
        <f>INDEX('Revenue by Customer'!S:S,MATCH('Full Customer List'!$B124,'Revenue by Customer'!$A:$A,0))</f>
        <v>600</v>
      </c>
      <c r="T124" s="187">
        <f>INDEX('Revenue by Customer'!T:T,MATCH('Full Customer List'!$B124,'Revenue by Customer'!$A:$A,0))</f>
        <v>600</v>
      </c>
      <c r="U124" s="187">
        <f>INDEX('Revenue by Customer'!U:U,MATCH('Full Customer List'!$B124,'Revenue by Customer'!$A:$A,0))</f>
        <v>600</v>
      </c>
      <c r="V124" s="187">
        <f>INDEX('Revenue by Customer'!V:V,MATCH('Full Customer List'!$B124,'Revenue by Customer'!$A:$A,0))</f>
        <v>420</v>
      </c>
      <c r="W124" s="187">
        <f>INDEX('Revenue by Customer'!W:W,MATCH('Full Customer List'!$B124,'Revenue by Customer'!$A:$A,0))</f>
        <v>600</v>
      </c>
      <c r="X124" s="187">
        <f>INDEX('Revenue by Customer'!X:X,MATCH('Full Customer List'!$B124,'Revenue by Customer'!$A:$A,0))</f>
        <v>510</v>
      </c>
      <c r="Y124" s="187">
        <f>INDEX('Revenue by Customer'!Y:Y,MATCH('Full Customer List'!$B124,'Revenue by Customer'!$A:$A,0))</f>
        <v>600</v>
      </c>
      <c r="Z124" s="187">
        <f>INDEX('Revenue by Customer'!Z:Z,MATCH('Full Customer List'!$B124,'Revenue by Customer'!$A:$A,0))</f>
        <v>510</v>
      </c>
      <c r="AA124" s="187">
        <f>INDEX('Revenue by Customer'!AA:AA,MATCH('Full Customer List'!$B124,'Revenue by Customer'!$A:$A,0))</f>
        <v>430</v>
      </c>
      <c r="AB124" s="187">
        <f>INDEX('Revenue by Customer'!AB:AB,MATCH('Full Customer List'!$B124,'Revenue by Customer'!$A:$A,0))</f>
        <v>500</v>
      </c>
      <c r="AC124" s="187">
        <f>INDEX('Revenue by Customer'!AC:AC,MATCH('Full Customer List'!$B124,'Revenue by Customer'!$A:$A,0))</f>
        <v>500</v>
      </c>
    </row>
    <row r="125" spans="2:29" ht="12" customHeight="1">
      <c r="B125" s="171" t="s">
        <v>740</v>
      </c>
      <c r="C125" s="171" t="str">
        <f>INDEX('Customer List w Software'!$B:$B,MATCH('Full Customer List'!$B125,'Customer List w Software'!$A:$A,0))</f>
        <v>Former client</v>
      </c>
      <c r="D125" s="171" t="str">
        <f>INDEX('Customer List w Software'!$C:$C,MATCH('Full Customer List'!$B125,'Customer List w Software'!$A:$A,0))</f>
        <v>Small business</v>
      </c>
      <c r="E125" s="171" t="str">
        <f>INDEX('Customer List Mapping'!$C:$C,MATCH('Full Customer List'!D125,'Customer List Mapping'!$B:$B,0))</f>
        <v>Small Business</v>
      </c>
      <c r="F125" s="187" t="str">
        <f>INDEX('Customer List w Software'!$K:$K,MATCH('Full Customer List'!$B125,'Customer List w Software'!$A:$A,0))</f>
        <v/>
      </c>
      <c r="G125" s="187">
        <f>INDEX('Revenue by Customer'!$I:$I,MATCH('Full Customer List'!$B125,'Revenue by Customer'!$A:$A,0))</f>
        <v>535</v>
      </c>
      <c r="H125" s="250" t="str">
        <f>IFERROR(IF(C125="Active","",INDEX('Client Departures'!$G:$G,MATCH('Full Customer List'!$B125,'Client Departures'!$A:$A,0))),"Unclassified")</f>
        <v>No</v>
      </c>
      <c r="I125" s="191">
        <v>44501</v>
      </c>
      <c r="J125" s="191">
        <v>46234</v>
      </c>
      <c r="K125" s="187">
        <f>INDEX('Revenue by Customer'!K:K,MATCH('Full Customer List'!$B125,'Revenue by Customer'!$A:$A,0))</f>
        <v>560</v>
      </c>
      <c r="L125" s="187">
        <f>INDEX('Revenue by Customer'!L:L,MATCH('Full Customer List'!$B125,'Revenue by Customer'!$A:$A,0))</f>
        <v>515</v>
      </c>
      <c r="M125" s="187">
        <f>INDEX('Revenue by Customer'!M:M,MATCH('Full Customer List'!$B125,'Revenue by Customer'!$A:$A,0))</f>
        <v>515</v>
      </c>
      <c r="N125" s="187">
        <f>INDEX('Revenue by Customer'!N:N,MATCH('Full Customer List'!$B125,'Revenue by Customer'!$A:$A,0))</f>
        <v>515</v>
      </c>
      <c r="O125" s="187">
        <f>INDEX('Revenue by Customer'!O:O,MATCH('Full Customer List'!$B125,'Revenue by Customer'!$A:$A,0))</f>
        <v>515</v>
      </c>
      <c r="P125" s="187">
        <f>INDEX('Revenue by Customer'!P:P,MATCH('Full Customer List'!$B125,'Revenue by Customer'!$A:$A,0))</f>
        <v>515</v>
      </c>
      <c r="Q125" s="187">
        <f>INDEX('Revenue by Customer'!Q:Q,MATCH('Full Customer List'!$B125,'Revenue by Customer'!$A:$A,0))</f>
        <v>515</v>
      </c>
      <c r="R125" s="187">
        <f>INDEX('Revenue by Customer'!R:R,MATCH('Full Customer List'!$B125,'Revenue by Customer'!$A:$A,0))</f>
        <v>515</v>
      </c>
      <c r="S125" s="187">
        <f>INDEX('Revenue by Customer'!S:S,MATCH('Full Customer List'!$B125,'Revenue by Customer'!$A:$A,0))</f>
        <v>515</v>
      </c>
      <c r="T125" s="187">
        <f>INDEX('Revenue by Customer'!T:T,MATCH('Full Customer List'!$B125,'Revenue by Customer'!$A:$A,0))</f>
        <v>515</v>
      </c>
      <c r="U125" s="187">
        <f>INDEX('Revenue by Customer'!U:U,MATCH('Full Customer List'!$B125,'Revenue by Customer'!$A:$A,0))</f>
        <v>535</v>
      </c>
      <c r="V125" s="187">
        <f>INDEX('Revenue by Customer'!V:V,MATCH('Full Customer List'!$B125,'Revenue by Customer'!$A:$A,0))</f>
        <v>535</v>
      </c>
      <c r="W125" s="187">
        <f>INDEX('Revenue by Customer'!W:W,MATCH('Full Customer List'!$B125,'Revenue by Customer'!$A:$A,0))</f>
        <v>535</v>
      </c>
      <c r="X125" s="187">
        <f>INDEX('Revenue by Customer'!X:X,MATCH('Full Customer List'!$B125,'Revenue by Customer'!$A:$A,0))</f>
        <v>550</v>
      </c>
      <c r="Y125" s="187">
        <f>INDEX('Revenue by Customer'!Y:Y,MATCH('Full Customer List'!$B125,'Revenue by Customer'!$A:$A,0))</f>
        <v>535</v>
      </c>
      <c r="Z125" s="187">
        <f>INDEX('Revenue by Customer'!Z:Z,MATCH('Full Customer List'!$B125,'Revenue by Customer'!$A:$A,0))</f>
        <v>535</v>
      </c>
      <c r="AA125" s="187">
        <f>INDEX('Revenue by Customer'!AA:AA,MATCH('Full Customer List'!$B125,'Revenue by Customer'!$A:$A,0))</f>
        <v>535</v>
      </c>
      <c r="AB125" s="187">
        <f>INDEX('Revenue by Customer'!AB:AB,MATCH('Full Customer List'!$B125,'Revenue by Customer'!$A:$A,0))</f>
        <v>535</v>
      </c>
      <c r="AC125" s="187">
        <f>INDEX('Revenue by Customer'!AC:AC,MATCH('Full Customer List'!$B125,'Revenue by Customer'!$A:$A,0))</f>
        <v>535</v>
      </c>
    </row>
    <row r="126" spans="2:29" ht="12" customHeight="1">
      <c r="B126" s="171" t="s">
        <v>743</v>
      </c>
      <c r="C126" s="171" t="str">
        <f>INDEX('Customer List w Software'!$B:$B,MATCH('Full Customer List'!$B126,'Customer List w Software'!$A:$A,0))</f>
        <v>Active</v>
      </c>
      <c r="D126" s="171" t="str">
        <f>INDEX('Customer List w Software'!$C:$C,MATCH('Full Customer List'!$B126,'Customer List w Software'!$A:$A,0))</f>
        <v>Property manager</v>
      </c>
      <c r="E126" s="171" t="str">
        <f>INDEX('Customer List Mapping'!$C:$C,MATCH('Full Customer List'!D126,'Customer List Mapping'!$B:$B,0))</f>
        <v>Property Manager</v>
      </c>
      <c r="F126" s="187">
        <f>INDEX('Customer List w Software'!$K:$K,MATCH('Full Customer List'!$B126,'Customer List w Software'!$A:$A,0))</f>
        <v>4</v>
      </c>
      <c r="G126" s="187">
        <f>INDEX('Revenue by Customer'!$I:$I,MATCH('Full Customer List'!$B126,'Revenue by Customer'!$A:$A,0))</f>
        <v>520</v>
      </c>
      <c r="H126" s="250" t="str">
        <f>IFERROR(IF(C126="Active","",INDEX('Client Departures'!$G:$G,MATCH('Full Customer List'!$B126,'Client Departures'!$A:$A,0))),"Unclassified")</f>
        <v/>
      </c>
      <c r="I126" s="191">
        <v>45170</v>
      </c>
      <c r="J126" s="191"/>
      <c r="K126" s="187">
        <f>INDEX('Revenue by Customer'!K:K,MATCH('Full Customer List'!$B126,'Revenue by Customer'!$A:$A,0))</f>
        <v>575</v>
      </c>
      <c r="L126" s="187">
        <f>INDEX('Revenue by Customer'!L:L,MATCH('Full Customer List'!$B126,'Revenue by Customer'!$A:$A,0))</f>
        <v>446</v>
      </c>
      <c r="M126" s="187">
        <f>INDEX('Revenue by Customer'!M:M,MATCH('Full Customer List'!$B126,'Revenue by Customer'!$A:$A,0))</f>
        <v>515</v>
      </c>
      <c r="N126" s="187">
        <f>INDEX('Revenue by Customer'!N:N,MATCH('Full Customer List'!$B126,'Revenue by Customer'!$A:$A,0))</f>
        <v>515</v>
      </c>
      <c r="O126" s="187">
        <f>INDEX('Revenue by Customer'!O:O,MATCH('Full Customer List'!$B126,'Revenue by Customer'!$A:$A,0))</f>
        <v>515</v>
      </c>
      <c r="P126" s="187">
        <f>INDEX('Revenue by Customer'!P:P,MATCH('Full Customer List'!$B126,'Revenue by Customer'!$A:$A,0))</f>
        <v>515</v>
      </c>
      <c r="Q126" s="187">
        <f>INDEX('Revenue by Customer'!Q:Q,MATCH('Full Customer List'!$B126,'Revenue by Customer'!$A:$A,0))</f>
        <v>515</v>
      </c>
      <c r="R126" s="187">
        <f>INDEX('Revenue by Customer'!R:R,MATCH('Full Customer List'!$B126,'Revenue by Customer'!$A:$A,0))</f>
        <v>515</v>
      </c>
      <c r="S126" s="187">
        <f>INDEX('Revenue by Customer'!S:S,MATCH('Full Customer List'!$B126,'Revenue by Customer'!$A:$A,0))</f>
        <v>520</v>
      </c>
      <c r="T126" s="187">
        <f>INDEX('Revenue by Customer'!T:T,MATCH('Full Customer List'!$B126,'Revenue by Customer'!$A:$A,0))</f>
        <v>520</v>
      </c>
      <c r="U126" s="187">
        <f>INDEX('Revenue by Customer'!U:U,MATCH('Full Customer List'!$B126,'Revenue by Customer'!$A:$A,0))</f>
        <v>520</v>
      </c>
      <c r="V126" s="187">
        <f>INDEX('Revenue by Customer'!V:V,MATCH('Full Customer List'!$B126,'Revenue by Customer'!$A:$A,0))</f>
        <v>520</v>
      </c>
      <c r="W126" s="187">
        <f>INDEX('Revenue by Customer'!W:W,MATCH('Full Customer List'!$B126,'Revenue by Customer'!$A:$A,0))</f>
        <v>520</v>
      </c>
      <c r="X126" s="187">
        <f>INDEX('Revenue by Customer'!X:X,MATCH('Full Customer List'!$B126,'Revenue by Customer'!$A:$A,0))</f>
        <v>565</v>
      </c>
      <c r="Y126" s="187">
        <f>INDEX('Revenue by Customer'!Y:Y,MATCH('Full Customer List'!$B126,'Revenue by Customer'!$A:$A,0))</f>
        <v>520</v>
      </c>
      <c r="Z126" s="187">
        <f>INDEX('Revenue by Customer'!Z:Z,MATCH('Full Customer List'!$B126,'Revenue by Customer'!$A:$A,0))</f>
        <v>520</v>
      </c>
      <c r="AA126" s="187">
        <f>INDEX('Revenue by Customer'!AA:AA,MATCH('Full Customer List'!$B126,'Revenue by Customer'!$A:$A,0))</f>
        <v>520</v>
      </c>
      <c r="AB126" s="187">
        <f>INDEX('Revenue by Customer'!AB:AB,MATCH('Full Customer List'!$B126,'Revenue by Customer'!$A:$A,0))</f>
        <v>520</v>
      </c>
      <c r="AC126" s="187">
        <f>INDEX('Revenue by Customer'!AC:AC,MATCH('Full Customer List'!$B126,'Revenue by Customer'!$A:$A,0))</f>
        <v>520</v>
      </c>
    </row>
    <row r="127" spans="2:29" ht="12" customHeight="1">
      <c r="B127" s="171" t="s">
        <v>744</v>
      </c>
      <c r="C127" s="171" t="str">
        <f>INDEX('Customer List w Software'!$B:$B,MATCH('Full Customer List'!$B127,'Customer List w Software'!$A:$A,0))</f>
        <v>Active</v>
      </c>
      <c r="D127" s="171" t="str">
        <f>INDEX('Customer List w Software'!$C:$C,MATCH('Full Customer List'!$B127,'Customer List w Software'!$A:$A,0))</f>
        <v>Property manager</v>
      </c>
      <c r="E127" s="171" t="str">
        <f>INDEX('Customer List Mapping'!$C:$C,MATCH('Full Customer List'!D127,'Customer List Mapping'!$B:$B,0))</f>
        <v>Property Manager</v>
      </c>
      <c r="F127" s="187">
        <f>INDEX('Customer List w Software'!$K:$K,MATCH('Full Customer List'!$B127,'Customer List w Software'!$A:$A,0))</f>
        <v>17</v>
      </c>
      <c r="G127" s="187">
        <f>INDEX('Revenue by Customer'!$I:$I,MATCH('Full Customer List'!$B127,'Revenue by Customer'!$A:$A,0))</f>
        <v>1040</v>
      </c>
      <c r="H127" s="250" t="str">
        <f>IFERROR(IF(C127="Active","",INDEX('Client Departures'!$G:$G,MATCH('Full Customer List'!$B127,'Client Departures'!$A:$A,0))),"Unclassified")</f>
        <v/>
      </c>
      <c r="I127" s="191">
        <v>45962</v>
      </c>
      <c r="J127" s="191"/>
      <c r="K127" s="187" t="str">
        <f>INDEX('Revenue by Customer'!K:K,MATCH('Full Customer List'!$B127,'Revenue by Customer'!$A:$A,0))</f>
        <v/>
      </c>
      <c r="L127" s="187" t="str">
        <f>INDEX('Revenue by Customer'!L:L,MATCH('Full Customer List'!$B127,'Revenue by Customer'!$A:$A,0))</f>
        <v/>
      </c>
      <c r="M127" s="187" t="str">
        <f>INDEX('Revenue by Customer'!M:M,MATCH('Full Customer List'!$B127,'Revenue by Customer'!$A:$A,0))</f>
        <v/>
      </c>
      <c r="N127" s="187" t="str">
        <f>INDEX('Revenue by Customer'!N:N,MATCH('Full Customer List'!$B127,'Revenue by Customer'!$A:$A,0))</f>
        <v/>
      </c>
      <c r="O127" s="187" t="str">
        <f>INDEX('Revenue by Customer'!O:O,MATCH('Full Customer List'!$B127,'Revenue by Customer'!$A:$A,0))</f>
        <v/>
      </c>
      <c r="P127" s="187" t="str">
        <f>INDEX('Revenue by Customer'!P:P,MATCH('Full Customer List'!$B127,'Revenue by Customer'!$A:$A,0))</f>
        <v/>
      </c>
      <c r="Q127" s="187" t="str">
        <f>INDEX('Revenue by Customer'!Q:Q,MATCH('Full Customer List'!$B127,'Revenue by Customer'!$A:$A,0))</f>
        <v/>
      </c>
      <c r="R127" s="187" t="str">
        <f>INDEX('Revenue by Customer'!R:R,MATCH('Full Customer List'!$B127,'Revenue by Customer'!$A:$A,0))</f>
        <v/>
      </c>
      <c r="S127" s="187" t="str">
        <f>INDEX('Revenue by Customer'!S:S,MATCH('Full Customer List'!$B127,'Revenue by Customer'!$A:$A,0))</f>
        <v/>
      </c>
      <c r="T127" s="187" t="str">
        <f>INDEX('Revenue by Customer'!T:T,MATCH('Full Customer List'!$B127,'Revenue by Customer'!$A:$A,0))</f>
        <v/>
      </c>
      <c r="U127" s="187" t="str">
        <f>INDEX('Revenue by Customer'!U:U,MATCH('Full Customer List'!$B127,'Revenue by Customer'!$A:$A,0))</f>
        <v/>
      </c>
      <c r="V127" s="187">
        <f>INDEX('Revenue by Customer'!V:V,MATCH('Full Customer List'!$B127,'Revenue by Customer'!$A:$A,0))</f>
        <v>950</v>
      </c>
      <c r="W127" s="187">
        <f>INDEX('Revenue by Customer'!W:W,MATCH('Full Customer List'!$B127,'Revenue by Customer'!$A:$A,0))</f>
        <v>525</v>
      </c>
      <c r="X127" s="187">
        <f>INDEX('Revenue by Customer'!X:X,MATCH('Full Customer List'!$B127,'Revenue by Customer'!$A:$A,0))</f>
        <v>560</v>
      </c>
      <c r="Y127" s="187">
        <f>INDEX('Revenue by Customer'!Y:Y,MATCH('Full Customer List'!$B127,'Revenue by Customer'!$A:$A,0))</f>
        <v>560</v>
      </c>
      <c r="Z127" s="187">
        <f>INDEX('Revenue by Customer'!Z:Z,MATCH('Full Customer List'!$B127,'Revenue by Customer'!$A:$A,0))</f>
        <v>560</v>
      </c>
      <c r="AA127" s="187">
        <f>INDEX('Revenue by Customer'!AA:AA,MATCH('Full Customer List'!$B127,'Revenue by Customer'!$A:$A,0))</f>
        <v>1040</v>
      </c>
      <c r="AB127" s="187">
        <f>INDEX('Revenue by Customer'!AB:AB,MATCH('Full Customer List'!$B127,'Revenue by Customer'!$A:$A,0))</f>
        <v>1040</v>
      </c>
      <c r="AC127" s="187">
        <f>INDEX('Revenue by Customer'!AC:AC,MATCH('Full Customer List'!$B127,'Revenue by Customer'!$A:$A,0))</f>
        <v>1040</v>
      </c>
    </row>
    <row r="128" spans="2:29" ht="12" customHeight="1">
      <c r="B128" s="171" t="s">
        <v>745</v>
      </c>
      <c r="C128" s="217" t="s">
        <v>497</v>
      </c>
      <c r="D128" s="171" t="str">
        <f>INDEX('Customer List w Software'!$C:$C,MATCH('Full Customer List'!$B128,'Customer List w Software'!$A:$A,0))</f>
        <v>Property manager</v>
      </c>
      <c r="E128" s="171" t="str">
        <f>INDEX('Customer List Mapping'!$C:$C,MATCH('Full Customer List'!D128,'Customer List Mapping'!$B:$B,0))</f>
        <v>Property Manager</v>
      </c>
      <c r="F128" s="187">
        <f>INDEX('Customer List w Software'!$K:$K,MATCH('Full Customer List'!$B128,'Customer List w Software'!$A:$A,0))</f>
        <v>23</v>
      </c>
      <c r="G128" s="187">
        <f>INDEX('Revenue by Customer'!$I:$I,MATCH('Full Customer List'!$B128,'Revenue by Customer'!$A:$A,0))</f>
        <v>1327</v>
      </c>
      <c r="H128" s="250" t="str">
        <f>IFERROR(IF(C128="Active","",INDEX('Client Departures'!$G:$G,MATCH('Full Customer List'!$B128,'Client Departures'!$A:$A,0))),"Unclassified")</f>
        <v/>
      </c>
      <c r="I128" s="191">
        <v>46113</v>
      </c>
      <c r="J128" s="191"/>
      <c r="K128" s="187" t="str">
        <f>INDEX('Revenue by Customer'!K:K,MATCH('Full Customer List'!$B128,'Revenue by Customer'!$A:$A,0))</f>
        <v/>
      </c>
      <c r="L128" s="187" t="str">
        <f>INDEX('Revenue by Customer'!L:L,MATCH('Full Customer List'!$B128,'Revenue by Customer'!$A:$A,0))</f>
        <v/>
      </c>
      <c r="M128" s="187" t="str">
        <f>INDEX('Revenue by Customer'!M:M,MATCH('Full Customer List'!$B128,'Revenue by Customer'!$A:$A,0))</f>
        <v/>
      </c>
      <c r="N128" s="187" t="str">
        <f>INDEX('Revenue by Customer'!N:N,MATCH('Full Customer List'!$B128,'Revenue by Customer'!$A:$A,0))</f>
        <v/>
      </c>
      <c r="O128" s="187" t="str">
        <f>INDEX('Revenue by Customer'!O:O,MATCH('Full Customer List'!$B128,'Revenue by Customer'!$A:$A,0))</f>
        <v/>
      </c>
      <c r="P128" s="187" t="str">
        <f>INDEX('Revenue by Customer'!P:P,MATCH('Full Customer List'!$B128,'Revenue by Customer'!$A:$A,0))</f>
        <v/>
      </c>
      <c r="Q128" s="187" t="str">
        <f>INDEX('Revenue by Customer'!Q:Q,MATCH('Full Customer List'!$B128,'Revenue by Customer'!$A:$A,0))</f>
        <v/>
      </c>
      <c r="R128" s="187" t="str">
        <f>INDEX('Revenue by Customer'!R:R,MATCH('Full Customer List'!$B128,'Revenue by Customer'!$A:$A,0))</f>
        <v/>
      </c>
      <c r="S128" s="187" t="str">
        <f>INDEX('Revenue by Customer'!S:S,MATCH('Full Customer List'!$B128,'Revenue by Customer'!$A:$A,0))</f>
        <v/>
      </c>
      <c r="T128" s="187" t="str">
        <f>INDEX('Revenue by Customer'!T:T,MATCH('Full Customer List'!$B128,'Revenue by Customer'!$A:$A,0))</f>
        <v/>
      </c>
      <c r="U128" s="187" t="str">
        <f>INDEX('Revenue by Customer'!U:U,MATCH('Full Customer List'!$B128,'Revenue by Customer'!$A:$A,0))</f>
        <v/>
      </c>
      <c r="V128" s="187" t="str">
        <f>INDEX('Revenue by Customer'!V:V,MATCH('Full Customer List'!$B128,'Revenue by Customer'!$A:$A,0))</f>
        <v/>
      </c>
      <c r="W128" s="187" t="str">
        <f>INDEX('Revenue by Customer'!W:W,MATCH('Full Customer List'!$B128,'Revenue by Customer'!$A:$A,0))</f>
        <v/>
      </c>
      <c r="X128" s="187" t="str">
        <f>INDEX('Revenue by Customer'!X:X,MATCH('Full Customer List'!$B128,'Revenue by Customer'!$A:$A,0))</f>
        <v/>
      </c>
      <c r="Y128" s="187" t="str">
        <f>INDEX('Revenue by Customer'!Y:Y,MATCH('Full Customer List'!$B128,'Revenue by Customer'!$A:$A,0))</f>
        <v/>
      </c>
      <c r="Z128" s="187">
        <f>INDEX('Revenue by Customer'!Z:Z,MATCH('Full Customer List'!$B128,'Revenue by Customer'!$A:$A,0))</f>
        <v>2273</v>
      </c>
      <c r="AA128" s="187">
        <f>INDEX('Revenue by Customer'!AA:AA,MATCH('Full Customer List'!$B128,'Revenue by Customer'!$A:$A,0))</f>
        <v>1286</v>
      </c>
      <c r="AB128" s="187">
        <f>INDEX('Revenue by Customer'!AB:AB,MATCH('Full Customer List'!$B128,'Revenue by Customer'!$A:$A,0))</f>
        <v>1295</v>
      </c>
      <c r="AC128" s="187">
        <f>INDEX('Revenue by Customer'!AC:AC,MATCH('Full Customer List'!$B128,'Revenue by Customer'!$A:$A,0))</f>
        <v>1400</v>
      </c>
    </row>
    <row r="129" spans="2:29" ht="12" customHeight="1">
      <c r="B129" s="171" t="s">
        <v>746</v>
      </c>
      <c r="C129" s="217" t="s">
        <v>497</v>
      </c>
      <c r="D129" s="171" t="str">
        <f>INDEX('Customer List w Software'!$C:$C,MATCH('Full Customer List'!$B129,'Customer List w Software'!$A:$A,0))</f>
        <v>Property manager</v>
      </c>
      <c r="E129" s="171" t="str">
        <f>INDEX('Customer List Mapping'!$C:$C,MATCH('Full Customer List'!D129,'Customer List Mapping'!$B:$B,0))</f>
        <v>Property Manager</v>
      </c>
      <c r="F129" s="187">
        <f>INDEX('Customer List w Software'!$K:$K,MATCH('Full Customer List'!$B129,'Customer List w Software'!$A:$A,0))</f>
        <v>83</v>
      </c>
      <c r="G129" s="187">
        <f>INDEX('Revenue by Customer'!$I:$I,MATCH('Full Customer List'!$B129,'Revenue by Customer'!$A:$A,0))</f>
        <v>6252</v>
      </c>
      <c r="H129" s="250" t="str">
        <f>IFERROR(IF(C129="Active","",INDEX('Client Departures'!$G:$G,MATCH('Full Customer List'!$B129,'Client Departures'!$A:$A,0))),"Unclassified")</f>
        <v/>
      </c>
      <c r="I129" s="191">
        <v>46204</v>
      </c>
      <c r="J129" s="191"/>
      <c r="K129" s="187" t="str">
        <f>INDEX('Revenue by Customer'!K:K,MATCH('Full Customer List'!$B129,'Revenue by Customer'!$A:$A,0))</f>
        <v/>
      </c>
      <c r="L129" s="187" t="str">
        <f>INDEX('Revenue by Customer'!L:L,MATCH('Full Customer List'!$B129,'Revenue by Customer'!$A:$A,0))</f>
        <v/>
      </c>
      <c r="M129" s="187" t="str">
        <f>INDEX('Revenue by Customer'!M:M,MATCH('Full Customer List'!$B129,'Revenue by Customer'!$A:$A,0))</f>
        <v/>
      </c>
      <c r="N129" s="187" t="str">
        <f>INDEX('Revenue by Customer'!N:N,MATCH('Full Customer List'!$B129,'Revenue by Customer'!$A:$A,0))</f>
        <v/>
      </c>
      <c r="O129" s="187" t="str">
        <f>INDEX('Revenue by Customer'!O:O,MATCH('Full Customer List'!$B129,'Revenue by Customer'!$A:$A,0))</f>
        <v/>
      </c>
      <c r="P129" s="187" t="str">
        <f>INDEX('Revenue by Customer'!P:P,MATCH('Full Customer List'!$B129,'Revenue by Customer'!$A:$A,0))</f>
        <v/>
      </c>
      <c r="Q129" s="187" t="str">
        <f>INDEX('Revenue by Customer'!Q:Q,MATCH('Full Customer List'!$B129,'Revenue by Customer'!$A:$A,0))</f>
        <v/>
      </c>
      <c r="R129" s="187" t="str">
        <f>INDEX('Revenue by Customer'!R:R,MATCH('Full Customer List'!$B129,'Revenue by Customer'!$A:$A,0))</f>
        <v/>
      </c>
      <c r="S129" s="187" t="str">
        <f>INDEX('Revenue by Customer'!S:S,MATCH('Full Customer List'!$B129,'Revenue by Customer'!$A:$A,0))</f>
        <v/>
      </c>
      <c r="T129" s="187" t="str">
        <f>INDEX('Revenue by Customer'!T:T,MATCH('Full Customer List'!$B129,'Revenue by Customer'!$A:$A,0))</f>
        <v/>
      </c>
      <c r="U129" s="187" t="str">
        <f>INDEX('Revenue by Customer'!U:U,MATCH('Full Customer List'!$B129,'Revenue by Customer'!$A:$A,0))</f>
        <v/>
      </c>
      <c r="V129" s="187" t="str">
        <f>INDEX('Revenue by Customer'!V:V,MATCH('Full Customer List'!$B129,'Revenue by Customer'!$A:$A,0))</f>
        <v/>
      </c>
      <c r="W129" s="187" t="str">
        <f>INDEX('Revenue by Customer'!W:W,MATCH('Full Customer List'!$B129,'Revenue by Customer'!$A:$A,0))</f>
        <v/>
      </c>
      <c r="X129" s="187" t="str">
        <f>INDEX('Revenue by Customer'!X:X,MATCH('Full Customer List'!$B129,'Revenue by Customer'!$A:$A,0))</f>
        <v/>
      </c>
      <c r="Y129" s="187" t="str">
        <f>INDEX('Revenue by Customer'!Y:Y,MATCH('Full Customer List'!$B129,'Revenue by Customer'!$A:$A,0))</f>
        <v/>
      </c>
      <c r="Z129" s="187" t="str">
        <f>INDEX('Revenue by Customer'!Z:Z,MATCH('Full Customer List'!$B129,'Revenue by Customer'!$A:$A,0))</f>
        <v/>
      </c>
      <c r="AA129" s="187" t="str">
        <f>INDEX('Revenue by Customer'!AA:AA,MATCH('Full Customer List'!$B129,'Revenue by Customer'!$A:$A,0))</f>
        <v/>
      </c>
      <c r="AB129" s="187" t="str">
        <f>INDEX('Revenue by Customer'!AB:AB,MATCH('Full Customer List'!$B129,'Revenue by Customer'!$A:$A,0))</f>
        <v/>
      </c>
      <c r="AC129" s="187">
        <f>INDEX('Revenue by Customer'!AC:AC,MATCH('Full Customer List'!$B129,'Revenue by Customer'!$A:$A,0))</f>
        <v>6252</v>
      </c>
    </row>
    <row r="130" spans="2:29" ht="12" customHeight="1">
      <c r="B130" s="171" t="s">
        <v>747</v>
      </c>
      <c r="C130" s="171" t="str">
        <f>INDEX('Customer List w Software'!$B:$B,MATCH('Full Customer List'!$B130,'Customer List w Software'!$A:$A,0))</f>
        <v>Active</v>
      </c>
      <c r="D130" s="171" t="str">
        <f>INDEX('Customer List w Software'!$C:$C,MATCH('Full Customer List'!$B130,'Customer List w Software'!$A:$A,0))</f>
        <v>Property manager</v>
      </c>
      <c r="E130" s="171" t="str">
        <f>INDEX('Customer List Mapping'!$C:$C,MATCH('Full Customer List'!D130,'Customer List Mapping'!$B:$B,0))</f>
        <v>Property Manager</v>
      </c>
      <c r="F130" s="187">
        <f>INDEX('Customer List w Software'!$K:$K,MATCH('Full Customer List'!$B130,'Customer List w Software'!$A:$A,0))</f>
        <v>47</v>
      </c>
      <c r="G130" s="187">
        <f>INDEX('Revenue by Customer'!$I:$I,MATCH('Full Customer List'!$B130,'Revenue by Customer'!$A:$A,0))</f>
        <v>2063</v>
      </c>
      <c r="H130" s="250" t="str">
        <f>IFERROR(IF(C130="Active","",INDEX('Client Departures'!$G:$G,MATCH('Full Customer List'!$B130,'Client Departures'!$A:$A,0))),"Unclassified")</f>
        <v/>
      </c>
      <c r="I130" s="191">
        <v>46143</v>
      </c>
      <c r="J130" s="191"/>
      <c r="K130" s="187" t="str">
        <f>INDEX('Revenue by Customer'!K:K,MATCH('Full Customer List'!$B130,'Revenue by Customer'!$A:$A,0))</f>
        <v/>
      </c>
      <c r="L130" s="187" t="str">
        <f>INDEX('Revenue by Customer'!L:L,MATCH('Full Customer List'!$B130,'Revenue by Customer'!$A:$A,0))</f>
        <v/>
      </c>
      <c r="M130" s="187" t="str">
        <f>INDEX('Revenue by Customer'!M:M,MATCH('Full Customer List'!$B130,'Revenue by Customer'!$A:$A,0))</f>
        <v/>
      </c>
      <c r="N130" s="187" t="str">
        <f>INDEX('Revenue by Customer'!N:N,MATCH('Full Customer List'!$B130,'Revenue by Customer'!$A:$A,0))</f>
        <v/>
      </c>
      <c r="O130" s="187" t="str">
        <f>INDEX('Revenue by Customer'!O:O,MATCH('Full Customer List'!$B130,'Revenue by Customer'!$A:$A,0))</f>
        <v/>
      </c>
      <c r="P130" s="187" t="str">
        <f>INDEX('Revenue by Customer'!P:P,MATCH('Full Customer List'!$B130,'Revenue by Customer'!$A:$A,0))</f>
        <v/>
      </c>
      <c r="Q130" s="187" t="str">
        <f>INDEX('Revenue by Customer'!Q:Q,MATCH('Full Customer List'!$B130,'Revenue by Customer'!$A:$A,0))</f>
        <v/>
      </c>
      <c r="R130" s="187" t="str">
        <f>INDEX('Revenue by Customer'!R:R,MATCH('Full Customer List'!$B130,'Revenue by Customer'!$A:$A,0))</f>
        <v/>
      </c>
      <c r="S130" s="187" t="str">
        <f>INDEX('Revenue by Customer'!S:S,MATCH('Full Customer List'!$B130,'Revenue by Customer'!$A:$A,0))</f>
        <v/>
      </c>
      <c r="T130" s="187" t="str">
        <f>INDEX('Revenue by Customer'!T:T,MATCH('Full Customer List'!$B130,'Revenue by Customer'!$A:$A,0))</f>
        <v/>
      </c>
      <c r="U130" s="187" t="str">
        <f>INDEX('Revenue by Customer'!U:U,MATCH('Full Customer List'!$B130,'Revenue by Customer'!$A:$A,0))</f>
        <v/>
      </c>
      <c r="V130" s="187" t="str">
        <f>INDEX('Revenue by Customer'!V:V,MATCH('Full Customer List'!$B130,'Revenue by Customer'!$A:$A,0))</f>
        <v/>
      </c>
      <c r="W130" s="187" t="str">
        <f>INDEX('Revenue by Customer'!W:W,MATCH('Full Customer List'!$B130,'Revenue by Customer'!$A:$A,0))</f>
        <v/>
      </c>
      <c r="X130" s="187" t="str">
        <f>INDEX('Revenue by Customer'!X:X,MATCH('Full Customer List'!$B130,'Revenue by Customer'!$A:$A,0))</f>
        <v/>
      </c>
      <c r="Y130" s="187" t="str">
        <f>INDEX('Revenue by Customer'!Y:Y,MATCH('Full Customer List'!$B130,'Revenue by Customer'!$A:$A,0))</f>
        <v/>
      </c>
      <c r="Z130" s="187" t="str">
        <f>INDEX('Revenue by Customer'!Z:Z,MATCH('Full Customer List'!$B130,'Revenue by Customer'!$A:$A,0))</f>
        <v/>
      </c>
      <c r="AA130" s="187">
        <f>INDEX('Revenue by Customer'!AA:AA,MATCH('Full Customer List'!$B130,'Revenue by Customer'!$A:$A,0))</f>
        <v>1180</v>
      </c>
      <c r="AB130" s="187">
        <f>INDEX('Revenue by Customer'!AB:AB,MATCH('Full Customer List'!$B130,'Revenue by Customer'!$A:$A,0))</f>
        <v>2676</v>
      </c>
      <c r="AC130" s="187">
        <f>INDEX('Revenue by Customer'!AC:AC,MATCH('Full Customer List'!$B130,'Revenue by Customer'!$A:$A,0))</f>
        <v>2333</v>
      </c>
    </row>
    <row r="131" spans="2:29" ht="12" customHeight="1">
      <c r="B131" s="171" t="s">
        <v>748</v>
      </c>
      <c r="C131" s="171" t="str">
        <f>INDEX('Customer List w Software'!$B:$B,MATCH('Full Customer List'!$B131,'Customer List w Software'!$A:$A,0))</f>
        <v>Former client</v>
      </c>
      <c r="D131" s="171" t="str">
        <f>INDEX('Customer List w Software'!$C:$C,MATCH('Full Customer List'!$B131,'Customer List w Software'!$A:$A,0))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87" t="str">
        <f>INDEX('Customer List w Software'!$K:$K,MATCH('Full Customer List'!$B131,'Customer List w Software'!$A:$A,0))</f>
        <v/>
      </c>
      <c r="G131" s="187">
        <f>INDEX('Revenue by Customer'!$I:$I,MATCH('Full Customer List'!$B131,'Revenue by Customer'!$A:$A,0))</f>
        <v>1574</v>
      </c>
      <c r="H131" s="250" t="str">
        <f>IFERROR(IF(C131="Active","",INDEX('Client Departures'!$G:$G,MATCH('Full Customer List'!$B131,'Client Departures'!$A:$A,0))),"Unclassified")</f>
        <v>Yes</v>
      </c>
      <c r="I131" s="191">
        <v>45809</v>
      </c>
      <c r="J131" s="191">
        <v>45991</v>
      </c>
      <c r="K131" s="187" t="str">
        <f>INDEX('Revenue by Customer'!K:K,MATCH('Full Customer List'!$B131,'Revenue by Customer'!$A:$A,0))</f>
        <v/>
      </c>
      <c r="L131" s="187" t="str">
        <f>INDEX('Revenue by Customer'!L:L,MATCH('Full Customer List'!$B131,'Revenue by Customer'!$A:$A,0))</f>
        <v/>
      </c>
      <c r="M131" s="187" t="str">
        <f>INDEX('Revenue by Customer'!M:M,MATCH('Full Customer List'!$B131,'Revenue by Customer'!$A:$A,0))</f>
        <v/>
      </c>
      <c r="N131" s="187" t="str">
        <f>INDEX('Revenue by Customer'!N:N,MATCH('Full Customer List'!$B131,'Revenue by Customer'!$A:$A,0))</f>
        <v/>
      </c>
      <c r="O131" s="187" t="str">
        <f>INDEX('Revenue by Customer'!O:O,MATCH('Full Customer List'!$B131,'Revenue by Customer'!$A:$A,0))</f>
        <v/>
      </c>
      <c r="P131" s="187">
        <f>INDEX('Revenue by Customer'!P:P,MATCH('Full Customer List'!$B131,'Revenue by Customer'!$A:$A,0))</f>
        <v>2089</v>
      </c>
      <c r="Q131" s="187">
        <f>INDEX('Revenue by Customer'!Q:Q,MATCH('Full Customer List'!$B131,'Revenue by Customer'!$A:$A,0))</f>
        <v>3029</v>
      </c>
      <c r="R131" s="187">
        <f>INDEX('Revenue by Customer'!R:R,MATCH('Full Customer List'!$B131,'Revenue by Customer'!$A:$A,0))</f>
        <v>1440</v>
      </c>
      <c r="S131" s="187">
        <f>INDEX('Revenue by Customer'!S:S,MATCH('Full Customer List'!$B131,'Revenue by Customer'!$A:$A,0))</f>
        <v>1574</v>
      </c>
      <c r="T131" s="187">
        <f>INDEX('Revenue by Customer'!T:T,MATCH('Full Customer List'!$B131,'Revenue by Customer'!$A:$A,0))</f>
        <v>1708</v>
      </c>
      <c r="U131" s="187">
        <f>INDEX('Revenue by Customer'!U:U,MATCH('Full Customer List'!$B131,'Revenue by Customer'!$A:$A,0))</f>
        <v>1440</v>
      </c>
      <c r="V131" s="187" t="str">
        <f>INDEX('Revenue by Customer'!V:V,MATCH('Full Customer List'!$B131,'Revenue by Customer'!$A:$A,0))</f>
        <v/>
      </c>
      <c r="W131" s="187" t="str">
        <f>INDEX('Revenue by Customer'!W:W,MATCH('Full Customer List'!$B131,'Revenue by Customer'!$A:$A,0))</f>
        <v/>
      </c>
      <c r="X131" s="187" t="str">
        <f>INDEX('Revenue by Customer'!X:X,MATCH('Full Customer List'!$B131,'Revenue by Customer'!$A:$A,0))</f>
        <v/>
      </c>
      <c r="Y131" s="187" t="str">
        <f>INDEX('Revenue by Customer'!Y:Y,MATCH('Full Customer List'!$B131,'Revenue by Customer'!$A:$A,0))</f>
        <v/>
      </c>
      <c r="Z131" s="187" t="str">
        <f>INDEX('Revenue by Customer'!Z:Z,MATCH('Full Customer List'!$B131,'Revenue by Customer'!$A:$A,0))</f>
        <v/>
      </c>
      <c r="AA131" s="187" t="str">
        <f>INDEX('Revenue by Customer'!AA:AA,MATCH('Full Customer List'!$B131,'Revenue by Customer'!$A:$A,0))</f>
        <v/>
      </c>
      <c r="AB131" s="187" t="str">
        <f>INDEX('Revenue by Customer'!AB:AB,MATCH('Full Customer List'!$B131,'Revenue by Customer'!$A:$A,0))</f>
        <v/>
      </c>
      <c r="AC131" s="187" t="str">
        <f>INDEX('Revenue by Customer'!AC:AC,MATCH('Full Customer List'!$B131,'Revenue by Customer'!$A:$A,0))</f>
        <v/>
      </c>
    </row>
    <row r="132" spans="2:29" ht="12" customHeight="1">
      <c r="B132" s="171" t="s">
        <v>749</v>
      </c>
      <c r="C132" s="171" t="str">
        <f>INDEX('Customer List w Software'!$B:$B,MATCH('Full Customer List'!$B132,'Customer List w Software'!$A:$A,0))</f>
        <v>Active</v>
      </c>
      <c r="D132" s="171" t="str">
        <f>INDEX('Customer List w Software'!$C:$C,MATCH('Full Customer List'!$B132,'Customer List w Software'!$A:$A,0))</f>
        <v>Property manager</v>
      </c>
      <c r="E132" s="171" t="str">
        <f>INDEX('Customer List Mapping'!$C:$C,MATCH('Full Customer List'!D132,'Customer List Mapping'!$B:$B,0))</f>
        <v>Property Manager</v>
      </c>
      <c r="F132" s="187">
        <f>INDEX('Customer List w Software'!$K:$K,MATCH('Full Customer List'!$B132,'Customer List w Software'!$A:$A,0))</f>
        <v>5</v>
      </c>
      <c r="G132" s="187">
        <f>INDEX('Revenue by Customer'!$I:$I,MATCH('Full Customer List'!$B132,'Revenue by Customer'!$A:$A,0))</f>
        <v>200</v>
      </c>
      <c r="H132" s="250" t="str">
        <f>IFERROR(IF(C132="Active","",INDEX('Client Departures'!$G:$G,MATCH('Full Customer List'!$B132,'Client Departures'!$A:$A,0))),"Unclassified")</f>
        <v/>
      </c>
      <c r="I132" s="191">
        <v>45870</v>
      </c>
      <c r="J132" s="191"/>
      <c r="K132" s="187" t="str">
        <f>INDEX('Revenue by Customer'!K:K,MATCH('Full Customer List'!$B132,'Revenue by Customer'!$A:$A,0))</f>
        <v/>
      </c>
      <c r="L132" s="187" t="str">
        <f>INDEX('Revenue by Customer'!L:L,MATCH('Full Customer List'!$B132,'Revenue by Customer'!$A:$A,0))</f>
        <v/>
      </c>
      <c r="M132" s="187" t="str">
        <f>INDEX('Revenue by Customer'!M:M,MATCH('Full Customer List'!$B132,'Revenue by Customer'!$A:$A,0))</f>
        <v/>
      </c>
      <c r="N132" s="187" t="str">
        <f>INDEX('Revenue by Customer'!N:N,MATCH('Full Customer List'!$B132,'Revenue by Customer'!$A:$A,0))</f>
        <v/>
      </c>
      <c r="O132" s="187" t="str">
        <f>INDEX('Revenue by Customer'!O:O,MATCH('Full Customer List'!$B132,'Revenue by Customer'!$A:$A,0))</f>
        <v/>
      </c>
      <c r="P132" s="187" t="str">
        <f>INDEX('Revenue by Customer'!P:P,MATCH('Full Customer List'!$B132,'Revenue by Customer'!$A:$A,0))</f>
        <v/>
      </c>
      <c r="Q132" s="187" t="str">
        <f>INDEX('Revenue by Customer'!Q:Q,MATCH('Full Customer List'!$B132,'Revenue by Customer'!$A:$A,0))</f>
        <v/>
      </c>
      <c r="R132" s="187">
        <f>INDEX('Revenue by Customer'!R:R,MATCH('Full Customer List'!$B132,'Revenue by Customer'!$A:$A,0))</f>
        <v>990</v>
      </c>
      <c r="S132" s="187">
        <f>INDEX('Revenue by Customer'!S:S,MATCH('Full Customer List'!$B132,'Revenue by Customer'!$A:$A,0))</f>
        <v>640</v>
      </c>
      <c r="T132" s="187">
        <f>INDEX('Revenue by Customer'!T:T,MATCH('Full Customer List'!$B132,'Revenue by Customer'!$A:$A,0))</f>
        <v>640</v>
      </c>
      <c r="U132" s="187">
        <f>INDEX('Revenue by Customer'!U:U,MATCH('Full Customer List'!$B132,'Revenue by Customer'!$A:$A,0))</f>
        <v>675</v>
      </c>
      <c r="V132" s="187">
        <f>INDEX('Revenue by Customer'!V:V,MATCH('Full Customer List'!$B132,'Revenue by Customer'!$A:$A,0))</f>
        <v>675</v>
      </c>
      <c r="W132" s="187">
        <f>INDEX('Revenue by Customer'!W:W,MATCH('Full Customer List'!$B132,'Revenue by Customer'!$A:$A,0))</f>
        <v>600</v>
      </c>
      <c r="X132" s="187">
        <f>INDEX('Revenue by Customer'!X:X,MATCH('Full Customer List'!$B132,'Revenue by Customer'!$A:$A,0))</f>
        <v>705</v>
      </c>
      <c r="Y132" s="187">
        <f>INDEX('Revenue by Customer'!Y:Y,MATCH('Full Customer List'!$B132,'Revenue by Customer'!$A:$A,0))</f>
        <v>240</v>
      </c>
      <c r="Z132" s="187">
        <f>INDEX('Revenue by Customer'!Z:Z,MATCH('Full Customer List'!$B132,'Revenue by Customer'!$A:$A,0))</f>
        <v>240</v>
      </c>
      <c r="AA132" s="187">
        <f>INDEX('Revenue by Customer'!AA:AA,MATCH('Full Customer List'!$B132,'Revenue by Customer'!$A:$A,0))</f>
        <v>200</v>
      </c>
      <c r="AB132" s="187">
        <f>INDEX('Revenue by Customer'!AB:AB,MATCH('Full Customer List'!$B132,'Revenue by Customer'!$A:$A,0))</f>
        <v>200</v>
      </c>
      <c r="AC132" s="187">
        <f>INDEX('Revenue by Customer'!AC:AC,MATCH('Full Customer List'!$B132,'Revenue by Customer'!$A:$A,0))</f>
        <v>200</v>
      </c>
    </row>
    <row r="133" spans="2:29" ht="12" customHeight="1">
      <c r="B133" s="171" t="s">
        <v>750</v>
      </c>
      <c r="C133" s="171" t="str">
        <f>INDEX('Customer List w Software'!$B:$B,MATCH('Full Customer List'!$B133,'Customer List w Software'!$A:$A,0))</f>
        <v>Former client</v>
      </c>
      <c r="D133" s="171" t="str">
        <f>INDEX('Customer List w Software'!$C:$C,MATCH('Full Customer List'!$B133,'Customer List w Software'!$A:$A,0))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87" t="str">
        <f>INDEX('Customer List w Software'!$K:$K,MATCH('Full Customer List'!$B133,'Customer List w Software'!$A:$A,0))</f>
        <v/>
      </c>
      <c r="G133" s="187">
        <f>INDEX('Revenue by Customer'!$I:$I,MATCH('Full Customer List'!$B133,'Revenue by Customer'!$A:$A,0))</f>
        <v>1500</v>
      </c>
      <c r="H133" s="250" t="str">
        <f>IFERROR(IF(C133="Active","",INDEX('Client Departures'!$G:$G,MATCH('Full Customer List'!$B133,'Client Departures'!$A:$A,0))),"Unclassified")</f>
        <v>No</v>
      </c>
      <c r="I133" s="191">
        <v>46113</v>
      </c>
      <c r="J133" s="191">
        <v>46234</v>
      </c>
      <c r="K133" s="187" t="str">
        <f>INDEX('Revenue by Customer'!K:K,MATCH('Full Customer List'!$B133,'Revenue by Customer'!$A:$A,0))</f>
        <v/>
      </c>
      <c r="L133" s="187" t="str">
        <f>INDEX('Revenue by Customer'!L:L,MATCH('Full Customer List'!$B133,'Revenue by Customer'!$A:$A,0))</f>
        <v/>
      </c>
      <c r="M133" s="187" t="str">
        <f>INDEX('Revenue by Customer'!M:M,MATCH('Full Customer List'!$B133,'Revenue by Customer'!$A:$A,0))</f>
        <v/>
      </c>
      <c r="N133" s="187" t="str">
        <f>INDEX('Revenue by Customer'!N:N,MATCH('Full Customer List'!$B133,'Revenue by Customer'!$A:$A,0))</f>
        <v/>
      </c>
      <c r="O133" s="187" t="str">
        <f>INDEX('Revenue by Customer'!O:O,MATCH('Full Customer List'!$B133,'Revenue by Customer'!$A:$A,0))</f>
        <v/>
      </c>
      <c r="P133" s="187" t="str">
        <f>INDEX('Revenue by Customer'!P:P,MATCH('Full Customer List'!$B133,'Revenue by Customer'!$A:$A,0))</f>
        <v/>
      </c>
      <c r="Q133" s="187" t="str">
        <f>INDEX('Revenue by Customer'!Q:Q,MATCH('Full Customer List'!$B133,'Revenue by Customer'!$A:$A,0))</f>
        <v/>
      </c>
      <c r="R133" s="187" t="str">
        <f>INDEX('Revenue by Customer'!R:R,MATCH('Full Customer List'!$B133,'Revenue by Customer'!$A:$A,0))</f>
        <v/>
      </c>
      <c r="S133" s="187" t="str">
        <f>INDEX('Revenue by Customer'!S:S,MATCH('Full Customer List'!$B133,'Revenue by Customer'!$A:$A,0))</f>
        <v/>
      </c>
      <c r="T133" s="187" t="str">
        <f>INDEX('Revenue by Customer'!T:T,MATCH('Full Customer List'!$B133,'Revenue by Customer'!$A:$A,0))</f>
        <v/>
      </c>
      <c r="U133" s="187" t="str">
        <f>INDEX('Revenue by Customer'!U:U,MATCH('Full Customer List'!$B133,'Revenue by Customer'!$A:$A,0))</f>
        <v/>
      </c>
      <c r="V133" s="187" t="str">
        <f>INDEX('Revenue by Customer'!V:V,MATCH('Full Customer List'!$B133,'Revenue by Customer'!$A:$A,0))</f>
        <v/>
      </c>
      <c r="W133" s="187" t="str">
        <f>INDEX('Revenue by Customer'!W:W,MATCH('Full Customer List'!$B133,'Revenue by Customer'!$A:$A,0))</f>
        <v/>
      </c>
      <c r="X133" s="187" t="str">
        <f>INDEX('Revenue by Customer'!X:X,MATCH('Full Customer List'!$B133,'Revenue by Customer'!$A:$A,0))</f>
        <v/>
      </c>
      <c r="Y133" s="187" t="str">
        <f>INDEX('Revenue by Customer'!Y:Y,MATCH('Full Customer List'!$B133,'Revenue by Customer'!$A:$A,0))</f>
        <v/>
      </c>
      <c r="Z133" s="187">
        <f>INDEX('Revenue by Customer'!Z:Z,MATCH('Full Customer List'!$B133,'Revenue by Customer'!$A:$A,0))</f>
        <v>1500</v>
      </c>
      <c r="AA133" s="187">
        <f>INDEX('Revenue by Customer'!AA:AA,MATCH('Full Customer List'!$B133,'Revenue by Customer'!$A:$A,0))</f>
        <v>1500</v>
      </c>
      <c r="AB133" s="187">
        <f>INDEX('Revenue by Customer'!AB:AB,MATCH('Full Customer List'!$B133,'Revenue by Customer'!$A:$A,0))</f>
        <v>1500</v>
      </c>
      <c r="AC133" s="187">
        <f>INDEX('Revenue by Customer'!AC:AC,MATCH('Full Customer List'!$B133,'Revenue by Customer'!$A:$A,0))</f>
        <v>1500</v>
      </c>
    </row>
    <row r="134" spans="2:29" ht="12" customHeight="1">
      <c r="B134" s="171" t="s">
        <v>751</v>
      </c>
      <c r="C134" s="171" t="str">
        <f>INDEX('Customer List w Software'!$B:$B,MATCH('Full Customer List'!$B134,'Customer List w Software'!$A:$A,0))</f>
        <v>Active</v>
      </c>
      <c r="D134" s="171" t="str">
        <f>INDEX('Customer List w Software'!$C:$C,MATCH('Full Customer List'!$B134,'Customer List w Software'!$A:$A,0))</f>
        <v>Property manager</v>
      </c>
      <c r="E134" s="171" t="str">
        <f>INDEX('Customer List Mapping'!$C:$C,MATCH('Full Customer List'!D134,'Customer List Mapping'!$B:$B,0))</f>
        <v>Property Manager</v>
      </c>
      <c r="F134" s="187">
        <f>INDEX('Customer List w Software'!$K:$K,MATCH('Full Customer List'!$B134,'Customer List w Software'!$A:$A,0))</f>
        <v>10</v>
      </c>
      <c r="G134" s="187">
        <f>INDEX('Revenue by Customer'!$I:$I,MATCH('Full Customer List'!$B134,'Revenue by Customer'!$A:$A,0))</f>
        <v>546.33333333333337</v>
      </c>
      <c r="H134" s="250" t="str">
        <f>IFERROR(IF(C134="Active","",INDEX('Client Departures'!$G:$G,MATCH('Full Customer List'!$B134,'Client Departures'!$A:$A,0))),"Unclassified")</f>
        <v/>
      </c>
      <c r="I134" s="191">
        <v>45748</v>
      </c>
      <c r="J134" s="191"/>
      <c r="K134" s="187" t="str">
        <f>INDEX('Revenue by Customer'!K:K,MATCH('Full Customer List'!$B134,'Revenue by Customer'!$A:$A,0))</f>
        <v/>
      </c>
      <c r="L134" s="187" t="str">
        <f>INDEX('Revenue by Customer'!L:L,MATCH('Full Customer List'!$B134,'Revenue by Customer'!$A:$A,0))</f>
        <v/>
      </c>
      <c r="M134" s="187" t="str">
        <f>INDEX('Revenue by Customer'!M:M,MATCH('Full Customer List'!$B134,'Revenue by Customer'!$A:$A,0))</f>
        <v/>
      </c>
      <c r="N134" s="187">
        <f>INDEX('Revenue by Customer'!N:N,MATCH('Full Customer List'!$B134,'Revenue by Customer'!$A:$A,0))</f>
        <v>778.75</v>
      </c>
      <c r="O134" s="187">
        <f>INDEX('Revenue by Customer'!O:O,MATCH('Full Customer List'!$B134,'Revenue by Customer'!$A:$A,0))</f>
        <v>340</v>
      </c>
      <c r="P134" s="187">
        <f>INDEX('Revenue by Customer'!P:P,MATCH('Full Customer List'!$B134,'Revenue by Customer'!$A:$A,0))</f>
        <v>340</v>
      </c>
      <c r="Q134" s="187">
        <f>INDEX('Revenue by Customer'!Q:Q,MATCH('Full Customer List'!$B134,'Revenue by Customer'!$A:$A,0))</f>
        <v>400</v>
      </c>
      <c r="R134" s="187">
        <f>INDEX('Revenue by Customer'!R:R,MATCH('Full Customer List'!$B134,'Revenue by Customer'!$A:$A,0))</f>
        <v>400</v>
      </c>
      <c r="S134" s="187">
        <f>INDEX('Revenue by Customer'!S:S,MATCH('Full Customer List'!$B134,'Revenue by Customer'!$A:$A,0))</f>
        <v>625</v>
      </c>
      <c r="T134" s="187">
        <f>INDEX('Revenue by Customer'!T:T,MATCH('Full Customer List'!$B134,'Revenue by Customer'!$A:$A,0))</f>
        <v>400</v>
      </c>
      <c r="U134" s="187">
        <f>INDEX('Revenue by Customer'!U:U,MATCH('Full Customer List'!$B134,'Revenue by Customer'!$A:$A,0))</f>
        <v>475</v>
      </c>
      <c r="V134" s="187">
        <f>INDEX('Revenue by Customer'!V:V,MATCH('Full Customer List'!$B134,'Revenue by Customer'!$A:$A,0))</f>
        <v>475</v>
      </c>
      <c r="W134" s="187">
        <f>INDEX('Revenue by Customer'!W:W,MATCH('Full Customer List'!$B134,'Revenue by Customer'!$A:$A,0))</f>
        <v>475</v>
      </c>
      <c r="X134" s="187">
        <f>INDEX('Revenue by Customer'!X:X,MATCH('Full Customer List'!$B134,'Revenue by Customer'!$A:$A,0))</f>
        <v>520</v>
      </c>
      <c r="Y134" s="187">
        <f>INDEX('Revenue by Customer'!Y:Y,MATCH('Full Customer List'!$B134,'Revenue by Customer'!$A:$A,0))</f>
        <v>475</v>
      </c>
      <c r="Z134" s="187">
        <f>INDEX('Revenue by Customer'!Z:Z,MATCH('Full Customer List'!$B134,'Revenue by Customer'!$A:$A,0))</f>
        <v>495</v>
      </c>
      <c r="AA134" s="187">
        <f>INDEX('Revenue by Customer'!AA:AA,MATCH('Full Customer List'!$B134,'Revenue by Customer'!$A:$A,0))</f>
        <v>495</v>
      </c>
      <c r="AB134" s="187">
        <f>INDEX('Revenue by Customer'!AB:AB,MATCH('Full Customer List'!$B134,'Revenue by Customer'!$A:$A,0))</f>
        <v>495</v>
      </c>
      <c r="AC134" s="187">
        <f>INDEX('Revenue by Customer'!AC:AC,MATCH('Full Customer List'!$B134,'Revenue by Customer'!$A:$A,0))</f>
        <v>649</v>
      </c>
    </row>
    <row r="135" spans="2:29" ht="12" customHeight="1">
      <c r="B135" s="171" t="s">
        <v>753</v>
      </c>
      <c r="C135" s="171" t="str">
        <f>INDEX('Customer List w Software'!$B:$B,MATCH('Full Customer List'!$B135,'Customer List w Software'!$A:$A,0))</f>
        <v>Active</v>
      </c>
      <c r="D135" s="171" t="str">
        <f>INDEX('Customer List w Software'!$C:$C,MATCH('Full Customer List'!$B135,'Customer List w Software'!$A:$A,0))</f>
        <v>Property manager</v>
      </c>
      <c r="E135" s="171" t="str">
        <f>INDEX('Customer List Mapping'!$C:$C,MATCH('Full Customer List'!D135,'Customer List Mapping'!$B:$B,0))</f>
        <v>Property Manager</v>
      </c>
      <c r="F135" s="187">
        <f>INDEX('Customer List w Software'!$K:$K,MATCH('Full Customer List'!$B135,'Customer List w Software'!$A:$A,0))</f>
        <v>16</v>
      </c>
      <c r="G135" s="187">
        <f>INDEX('Revenue by Customer'!$I:$I,MATCH('Full Customer List'!$B135,'Revenue by Customer'!$A:$A,0))</f>
        <v>495</v>
      </c>
      <c r="H135" s="250" t="str">
        <f>IFERROR(IF(C135="Active","",INDEX('Client Departures'!$G:$G,MATCH('Full Customer List'!$B135,'Client Departures'!$A:$A,0))),"Unclassified")</f>
        <v/>
      </c>
      <c r="I135" s="191">
        <v>45413</v>
      </c>
      <c r="J135" s="191"/>
      <c r="K135" s="187">
        <f>INDEX('Revenue by Customer'!K:K,MATCH('Full Customer List'!$B135,'Revenue by Customer'!$A:$A,0))</f>
        <v>385</v>
      </c>
      <c r="L135" s="187">
        <f>INDEX('Revenue by Customer'!L:L,MATCH('Full Customer List'!$B135,'Revenue by Customer'!$A:$A,0))</f>
        <v>325</v>
      </c>
      <c r="M135" s="187">
        <f>INDEX('Revenue by Customer'!M:M,MATCH('Full Customer List'!$B135,'Revenue by Customer'!$A:$A,0))</f>
        <v>325</v>
      </c>
      <c r="N135" s="187">
        <f>INDEX('Revenue by Customer'!N:N,MATCH('Full Customer List'!$B135,'Revenue by Customer'!$A:$A,0))</f>
        <v>325</v>
      </c>
      <c r="O135" s="187">
        <f>INDEX('Revenue by Customer'!O:O,MATCH('Full Customer List'!$B135,'Revenue by Customer'!$A:$A,0))</f>
        <v>325</v>
      </c>
      <c r="P135" s="187">
        <f>INDEX('Revenue by Customer'!P:P,MATCH('Full Customer List'!$B135,'Revenue by Customer'!$A:$A,0))</f>
        <v>360</v>
      </c>
      <c r="Q135" s="187">
        <f>INDEX('Revenue by Customer'!Q:Q,MATCH('Full Customer List'!$B135,'Revenue by Customer'!$A:$A,0))</f>
        <v>360</v>
      </c>
      <c r="R135" s="187">
        <f>INDEX('Revenue by Customer'!R:R,MATCH('Full Customer List'!$B135,'Revenue by Customer'!$A:$A,0))</f>
        <v>360</v>
      </c>
      <c r="S135" s="187">
        <f>INDEX('Revenue by Customer'!S:S,MATCH('Full Customer List'!$B135,'Revenue by Customer'!$A:$A,0))</f>
        <v>360</v>
      </c>
      <c r="T135" s="187">
        <f>INDEX('Revenue by Customer'!T:T,MATCH('Full Customer List'!$B135,'Revenue by Customer'!$A:$A,0))</f>
        <v>360</v>
      </c>
      <c r="U135" s="187">
        <f>INDEX('Revenue by Customer'!U:U,MATCH('Full Customer List'!$B135,'Revenue by Customer'!$A:$A,0))</f>
        <v>375</v>
      </c>
      <c r="V135" s="187">
        <f>INDEX('Revenue by Customer'!V:V,MATCH('Full Customer List'!$B135,'Revenue by Customer'!$A:$A,0))</f>
        <v>375</v>
      </c>
      <c r="W135" s="187">
        <f>INDEX('Revenue by Customer'!W:W,MATCH('Full Customer List'!$B135,'Revenue by Customer'!$A:$A,0))</f>
        <v>450</v>
      </c>
      <c r="X135" s="187">
        <f>INDEX('Revenue by Customer'!X:X,MATCH('Full Customer List'!$B135,'Revenue by Customer'!$A:$A,0))</f>
        <v>555</v>
      </c>
      <c r="Y135" s="187">
        <f>INDEX('Revenue by Customer'!Y:Y,MATCH('Full Customer List'!$B135,'Revenue by Customer'!$A:$A,0))</f>
        <v>675</v>
      </c>
      <c r="Z135" s="187">
        <f>INDEX('Revenue by Customer'!Z:Z,MATCH('Full Customer List'!$B135,'Revenue by Customer'!$A:$A,0))</f>
        <v>975</v>
      </c>
      <c r="AA135" s="187">
        <f>INDEX('Revenue by Customer'!AA:AA,MATCH('Full Customer List'!$B135,'Revenue by Customer'!$A:$A,0))</f>
        <v>400</v>
      </c>
      <c r="AB135" s="187">
        <f>INDEX('Revenue by Customer'!AB:AB,MATCH('Full Customer List'!$B135,'Revenue by Customer'!$A:$A,0))</f>
        <v>560</v>
      </c>
      <c r="AC135" s="187">
        <f>INDEX('Revenue by Customer'!AC:AC,MATCH('Full Customer List'!$B135,'Revenue by Customer'!$A:$A,0))</f>
        <v>525</v>
      </c>
    </row>
    <row r="136" spans="2:29" ht="12" customHeight="1">
      <c r="B136" s="171" t="s">
        <v>754</v>
      </c>
      <c r="C136" s="171" t="str">
        <f>INDEX('Customer List w Software'!$B:$B,MATCH('Full Customer List'!$B136,'Customer List w Software'!$A:$A,0))</f>
        <v>Active</v>
      </c>
      <c r="D136" s="171" t="str">
        <f>INDEX('Customer List w Software'!$C:$C,MATCH('Full Customer List'!$B136,'Customer List w Software'!$A:$A,0))</f>
        <v>Property manager</v>
      </c>
      <c r="E136" s="171" t="str">
        <f>INDEX('Customer List Mapping'!$C:$C,MATCH('Full Customer List'!D136,'Customer List Mapping'!$B:$B,0))</f>
        <v>Property Manager</v>
      </c>
      <c r="F136" s="187">
        <f>INDEX('Customer List w Software'!$K:$K,MATCH('Full Customer List'!$B136,'Customer List w Software'!$A:$A,0))</f>
        <v>11</v>
      </c>
      <c r="G136" s="187">
        <f>INDEX('Revenue by Customer'!$I:$I,MATCH('Full Customer List'!$B136,'Revenue by Customer'!$A:$A,0))</f>
        <v>840</v>
      </c>
      <c r="H136" s="250" t="str">
        <f>IFERROR(IF(C136="Active","",INDEX('Client Departures'!$G:$G,MATCH('Full Customer List'!$B136,'Client Departures'!$A:$A,0))),"Unclassified")</f>
        <v/>
      </c>
      <c r="I136" s="191">
        <v>45992</v>
      </c>
      <c r="J136" s="191"/>
      <c r="K136" s="187" t="str">
        <f>INDEX('Revenue by Customer'!K:K,MATCH('Full Customer List'!$B136,'Revenue by Customer'!$A:$A,0))</f>
        <v/>
      </c>
      <c r="L136" s="187" t="str">
        <f>INDEX('Revenue by Customer'!L:L,MATCH('Full Customer List'!$B136,'Revenue by Customer'!$A:$A,0))</f>
        <v/>
      </c>
      <c r="M136" s="187" t="str">
        <f>INDEX('Revenue by Customer'!M:M,MATCH('Full Customer List'!$B136,'Revenue by Customer'!$A:$A,0))</f>
        <v/>
      </c>
      <c r="N136" s="187" t="str">
        <f>INDEX('Revenue by Customer'!N:N,MATCH('Full Customer List'!$B136,'Revenue by Customer'!$A:$A,0))</f>
        <v/>
      </c>
      <c r="O136" s="187" t="str">
        <f>INDEX('Revenue by Customer'!O:O,MATCH('Full Customer List'!$B136,'Revenue by Customer'!$A:$A,0))</f>
        <v/>
      </c>
      <c r="P136" s="187" t="str">
        <f>INDEX('Revenue by Customer'!P:P,MATCH('Full Customer List'!$B136,'Revenue by Customer'!$A:$A,0))</f>
        <v/>
      </c>
      <c r="Q136" s="187" t="str">
        <f>INDEX('Revenue by Customer'!Q:Q,MATCH('Full Customer List'!$B136,'Revenue by Customer'!$A:$A,0))</f>
        <v/>
      </c>
      <c r="R136" s="187" t="str">
        <f>INDEX('Revenue by Customer'!R:R,MATCH('Full Customer List'!$B136,'Revenue by Customer'!$A:$A,0))</f>
        <v/>
      </c>
      <c r="S136" s="187" t="str">
        <f>INDEX('Revenue by Customer'!S:S,MATCH('Full Customer List'!$B136,'Revenue by Customer'!$A:$A,0))</f>
        <v/>
      </c>
      <c r="T136" s="187" t="str">
        <f>INDEX('Revenue by Customer'!T:T,MATCH('Full Customer List'!$B136,'Revenue by Customer'!$A:$A,0))</f>
        <v/>
      </c>
      <c r="U136" s="187" t="str">
        <f>INDEX('Revenue by Customer'!U:U,MATCH('Full Customer List'!$B136,'Revenue by Customer'!$A:$A,0))</f>
        <v/>
      </c>
      <c r="V136" s="187">
        <f>INDEX('Revenue by Customer'!V:V,MATCH('Full Customer List'!$B136,'Revenue by Customer'!$A:$A,0))</f>
        <v>700</v>
      </c>
      <c r="W136" s="187">
        <f>INDEX('Revenue by Customer'!W:W,MATCH('Full Customer List'!$B136,'Revenue by Customer'!$A:$A,0))</f>
        <v>600</v>
      </c>
      <c r="X136" s="187">
        <f>INDEX('Revenue by Customer'!X:X,MATCH('Full Customer List'!$B136,'Revenue by Customer'!$A:$A,0))</f>
        <v>720</v>
      </c>
      <c r="Y136" s="187">
        <f>INDEX('Revenue by Customer'!Y:Y,MATCH('Full Customer List'!$B136,'Revenue by Customer'!$A:$A,0))</f>
        <v>720</v>
      </c>
      <c r="Z136" s="187">
        <f>INDEX('Revenue by Customer'!Z:Z,MATCH('Full Customer List'!$B136,'Revenue by Customer'!$A:$A,0))</f>
        <v>700</v>
      </c>
      <c r="AA136" s="187">
        <f>INDEX('Revenue by Customer'!AA:AA,MATCH('Full Customer List'!$B136,'Revenue by Customer'!$A:$A,0))</f>
        <v>780</v>
      </c>
      <c r="AB136" s="187">
        <f>INDEX('Revenue by Customer'!AB:AB,MATCH('Full Customer List'!$B136,'Revenue by Customer'!$A:$A,0))</f>
        <v>880</v>
      </c>
      <c r="AC136" s="187">
        <f>INDEX('Revenue by Customer'!AC:AC,MATCH('Full Customer List'!$B136,'Revenue by Customer'!$A:$A,0))</f>
        <v>860</v>
      </c>
    </row>
    <row r="137" spans="2:29" ht="12" customHeight="1">
      <c r="B137" s="171" t="s">
        <v>755</v>
      </c>
      <c r="C137" s="171" t="str">
        <f>INDEX('Customer List w Software'!$B:$B,MATCH('Full Customer List'!$B137,'Customer List w Software'!$A:$A,0))</f>
        <v>Active</v>
      </c>
      <c r="D137" s="171" t="str">
        <f>INDEX('Customer List w Software'!$C:$C,MATCH('Full Customer List'!$B137,'Customer List w Software'!$A:$A,0))</f>
        <v>Property manager</v>
      </c>
      <c r="E137" s="171" t="str">
        <f>INDEX('Customer List Mapping'!$C:$C,MATCH('Full Customer List'!D137,'Customer List Mapping'!$B:$B,0))</f>
        <v>Property Manager</v>
      </c>
      <c r="F137" s="187">
        <f>INDEX('Customer List w Software'!$K:$K,MATCH('Full Customer List'!$B137,'Customer List w Software'!$A:$A,0))</f>
        <v>6</v>
      </c>
      <c r="G137" s="187">
        <f>INDEX('Revenue by Customer'!$I:$I,MATCH('Full Customer List'!$B137,'Revenue by Customer'!$A:$A,0))</f>
        <v>653.9666666666667</v>
      </c>
      <c r="H137" s="250" t="str">
        <f>IFERROR(IF(C137="Active","",INDEX('Client Departures'!$G:$G,MATCH('Full Customer List'!$B137,'Client Departures'!$A:$A,0))),"Unclassified")</f>
        <v/>
      </c>
      <c r="I137" s="191">
        <v>45839</v>
      </c>
      <c r="J137" s="191"/>
      <c r="K137" s="187" t="str">
        <f>INDEX('Revenue by Customer'!K:K,MATCH('Full Customer List'!$B137,'Revenue by Customer'!$A:$A,0))</f>
        <v/>
      </c>
      <c r="L137" s="187" t="str">
        <f>INDEX('Revenue by Customer'!L:L,MATCH('Full Customer List'!$B137,'Revenue by Customer'!$A:$A,0))</f>
        <v/>
      </c>
      <c r="M137" s="187" t="str">
        <f>INDEX('Revenue by Customer'!M:M,MATCH('Full Customer List'!$B137,'Revenue by Customer'!$A:$A,0))</f>
        <v/>
      </c>
      <c r="N137" s="187" t="str">
        <f>INDEX('Revenue by Customer'!N:N,MATCH('Full Customer List'!$B137,'Revenue by Customer'!$A:$A,0))</f>
        <v/>
      </c>
      <c r="O137" s="187" t="str">
        <f>INDEX('Revenue by Customer'!O:O,MATCH('Full Customer List'!$B137,'Revenue by Customer'!$A:$A,0))</f>
        <v/>
      </c>
      <c r="P137" s="187" t="str">
        <f>INDEX('Revenue by Customer'!P:P,MATCH('Full Customer List'!$B137,'Revenue by Customer'!$A:$A,0))</f>
        <v/>
      </c>
      <c r="Q137" s="187">
        <f>INDEX('Revenue by Customer'!Q:Q,MATCH('Full Customer List'!$B137,'Revenue by Customer'!$A:$A,0))</f>
        <v>896.25</v>
      </c>
      <c r="R137" s="187">
        <f>INDEX('Revenue by Customer'!R:R,MATCH('Full Customer List'!$B137,'Revenue by Customer'!$A:$A,0))</f>
        <v>331.5</v>
      </c>
      <c r="S137" s="187">
        <f>INDEX('Revenue by Customer'!S:S,MATCH('Full Customer List'!$B137,'Revenue by Customer'!$A:$A,0))</f>
        <v>331.5</v>
      </c>
      <c r="T137" s="187">
        <f>INDEX('Revenue by Customer'!T:T,MATCH('Full Customer List'!$B137,'Revenue by Customer'!$A:$A,0))</f>
        <v>390</v>
      </c>
      <c r="U137" s="187">
        <f>INDEX('Revenue by Customer'!U:U,MATCH('Full Customer List'!$B137,'Revenue by Customer'!$A:$A,0))</f>
        <v>390</v>
      </c>
      <c r="V137" s="187">
        <f>INDEX('Revenue by Customer'!V:V,MATCH('Full Customer List'!$B137,'Revenue by Customer'!$A:$A,0))</f>
        <v>470</v>
      </c>
      <c r="W137" s="187">
        <f>INDEX('Revenue by Customer'!W:W,MATCH('Full Customer List'!$B137,'Revenue by Customer'!$A:$A,0))</f>
        <v>470</v>
      </c>
      <c r="X137" s="187">
        <f>INDEX('Revenue by Customer'!X:X,MATCH('Full Customer List'!$B137,'Revenue by Customer'!$A:$A,0))</f>
        <v>635</v>
      </c>
      <c r="Y137" s="187">
        <f>INDEX('Revenue by Customer'!Y:Y,MATCH('Full Customer List'!$B137,'Revenue by Customer'!$A:$A,0))</f>
        <v>470</v>
      </c>
      <c r="Z137" s="187">
        <f>INDEX('Revenue by Customer'!Z:Z,MATCH('Full Customer List'!$B137,'Revenue by Customer'!$A:$A,0))</f>
        <v>470</v>
      </c>
      <c r="AA137" s="187">
        <f>INDEX('Revenue by Customer'!AA:AA,MATCH('Full Customer List'!$B137,'Revenue by Customer'!$A:$A,0))</f>
        <v>660</v>
      </c>
      <c r="AB137" s="187">
        <f>INDEX('Revenue by Customer'!AB:AB,MATCH('Full Customer List'!$B137,'Revenue by Customer'!$A:$A,0))</f>
        <v>660</v>
      </c>
      <c r="AC137" s="187">
        <f>INDEX('Revenue by Customer'!AC:AC,MATCH('Full Customer List'!$B137,'Revenue by Customer'!$A:$A,0))</f>
        <v>641.9</v>
      </c>
    </row>
    <row r="138" spans="2:29" ht="12" customHeight="1">
      <c r="B138" s="171" t="s">
        <v>756</v>
      </c>
      <c r="C138" s="171" t="str">
        <f>INDEX('Customer List w Software'!$B:$B,MATCH('Full Customer List'!$B138,'Customer List w Software'!$A:$A,0))</f>
        <v>Active</v>
      </c>
      <c r="D138" s="171" t="str">
        <f>INDEX('Customer List w Software'!$C:$C,MATCH('Full Customer List'!$B138,'Customer List w Software'!$A:$A,0))</f>
        <v>STR owner</v>
      </c>
      <c r="E138" s="171" t="str">
        <f>INDEX('Customer List Mapping'!$C:$C,MATCH('Full Customer List'!D138,'Customer List Mapping'!$B:$B,0))</f>
        <v>STR Owner</v>
      </c>
      <c r="F138" s="187">
        <f>INDEX('Customer List w Software'!$K:$K,MATCH('Full Customer List'!$B138,'Customer List w Software'!$A:$A,0))</f>
        <v>0</v>
      </c>
      <c r="G138" s="187">
        <f>INDEX('Revenue by Customer'!$I:$I,MATCH('Full Customer List'!$B138,'Revenue by Customer'!$A:$A,0))</f>
        <v>500</v>
      </c>
      <c r="H138" s="250" t="str">
        <f>IFERROR(IF(C138="Active","",INDEX('Client Departures'!$G:$G,MATCH('Full Customer List'!$B138,'Client Departures'!$A:$A,0))),"Unclassified")</f>
        <v/>
      </c>
      <c r="I138" s="191">
        <v>44805</v>
      </c>
      <c r="J138" s="191"/>
      <c r="K138" s="187">
        <f>INDEX('Revenue by Customer'!K:K,MATCH('Full Customer List'!$B138,'Revenue by Customer'!$A:$A,0))</f>
        <v>564</v>
      </c>
      <c r="L138" s="187">
        <f>INDEX('Revenue by Customer'!L:L,MATCH('Full Customer List'!$B138,'Revenue by Customer'!$A:$A,0))</f>
        <v>395</v>
      </c>
      <c r="M138" s="187">
        <f>INDEX('Revenue by Customer'!M:M,MATCH('Full Customer List'!$B138,'Revenue by Customer'!$A:$A,0))</f>
        <v>395</v>
      </c>
      <c r="N138" s="187">
        <f>INDEX('Revenue by Customer'!N:N,MATCH('Full Customer List'!$B138,'Revenue by Customer'!$A:$A,0))</f>
        <v>395</v>
      </c>
      <c r="O138" s="187">
        <f>INDEX('Revenue by Customer'!O:O,MATCH('Full Customer List'!$B138,'Revenue by Customer'!$A:$A,0))</f>
        <v>474</v>
      </c>
      <c r="P138" s="187">
        <f>INDEX('Revenue by Customer'!P:P,MATCH('Full Customer List'!$B138,'Revenue by Customer'!$A:$A,0))</f>
        <v>474</v>
      </c>
      <c r="Q138" s="187">
        <f>INDEX('Revenue by Customer'!Q:Q,MATCH('Full Customer List'!$B138,'Revenue by Customer'!$A:$A,0))</f>
        <v>632</v>
      </c>
      <c r="R138" s="187">
        <f>INDEX('Revenue by Customer'!R:R,MATCH('Full Customer List'!$B138,'Revenue by Customer'!$A:$A,0))</f>
        <v>316</v>
      </c>
      <c r="S138" s="187">
        <f>INDEX('Revenue by Customer'!S:S,MATCH('Full Customer List'!$B138,'Revenue by Customer'!$A:$A,0))</f>
        <v>500</v>
      </c>
      <c r="T138" s="187">
        <f>INDEX('Revenue by Customer'!T:T,MATCH('Full Customer List'!$B138,'Revenue by Customer'!$A:$A,0))</f>
        <v>500</v>
      </c>
      <c r="U138" s="187">
        <f>INDEX('Revenue by Customer'!U:U,MATCH('Full Customer List'!$B138,'Revenue by Customer'!$A:$A,0))</f>
        <v>500</v>
      </c>
      <c r="V138" s="187">
        <f>INDEX('Revenue by Customer'!V:V,MATCH('Full Customer List'!$B138,'Revenue by Customer'!$A:$A,0))</f>
        <v>500</v>
      </c>
      <c r="W138" s="187">
        <f>INDEX('Revenue by Customer'!W:W,MATCH('Full Customer List'!$B138,'Revenue by Customer'!$A:$A,0))</f>
        <v>500</v>
      </c>
      <c r="X138" s="187">
        <f>INDEX('Revenue by Customer'!X:X,MATCH('Full Customer List'!$B138,'Revenue by Customer'!$A:$A,0))</f>
        <v>515</v>
      </c>
      <c r="Y138" s="187">
        <f>INDEX('Revenue by Customer'!Y:Y,MATCH('Full Customer List'!$B138,'Revenue by Customer'!$A:$A,0))</f>
        <v>500</v>
      </c>
      <c r="Z138" s="187">
        <f>INDEX('Revenue by Customer'!Z:Z,MATCH('Full Customer List'!$B138,'Revenue by Customer'!$A:$A,0))</f>
        <v>500</v>
      </c>
      <c r="AA138" s="187">
        <f>INDEX('Revenue by Customer'!AA:AA,MATCH('Full Customer List'!$B138,'Revenue by Customer'!$A:$A,0))</f>
        <v>500</v>
      </c>
      <c r="AB138" s="187">
        <f>INDEX('Revenue by Customer'!AB:AB,MATCH('Full Customer List'!$B138,'Revenue by Customer'!$A:$A,0))</f>
        <v>500</v>
      </c>
      <c r="AC138" s="187">
        <f>INDEX('Revenue by Customer'!AC:AC,MATCH('Full Customer List'!$B138,'Revenue by Customer'!$A:$A,0))</f>
        <v>500</v>
      </c>
    </row>
    <row r="139" spans="2:29" ht="12" customHeight="1">
      <c r="B139" s="171" t="s">
        <v>758</v>
      </c>
      <c r="C139" s="171" t="str">
        <f>INDEX('Customer List w Software'!$B:$B,MATCH('Full Customer List'!$B139,'Customer List w Software'!$A:$A,0))</f>
        <v>Former client</v>
      </c>
      <c r="D139" s="171" t="str">
        <f>INDEX('Customer List w Software'!$C:$C,MATCH('Full Customer List'!$B139,'Customer List w Software'!$A:$A,0))</f>
        <v>Small business</v>
      </c>
      <c r="E139" s="171" t="str">
        <f>INDEX('Customer List Mapping'!$C:$C,MATCH('Full Customer List'!D139,'Customer List Mapping'!$B:$B,0))</f>
        <v>Small Business</v>
      </c>
      <c r="F139" s="187" t="str">
        <f>INDEX('Customer List w Software'!$K:$K,MATCH('Full Customer List'!$B139,'Customer List w Software'!$A:$A,0))</f>
        <v/>
      </c>
      <c r="G139" s="187">
        <f>INDEX('Revenue by Customer'!$I:$I,MATCH('Full Customer List'!$B139,'Revenue by Customer'!$A:$A,0))</f>
        <v>485</v>
      </c>
      <c r="H139" s="250" t="str">
        <f>IFERROR(IF(C139="Active","",INDEX('Client Departures'!$G:$G,MATCH('Full Customer List'!$B139,'Client Departures'!$A:$A,0))),"Unclassified")</f>
        <v>No</v>
      </c>
      <c r="I139" s="191">
        <v>45139</v>
      </c>
      <c r="J139" s="191">
        <v>46234</v>
      </c>
      <c r="K139" s="187">
        <f>INDEX('Revenue by Customer'!K:K,MATCH('Full Customer List'!$B139,'Revenue by Customer'!$A:$A,0))</f>
        <v>485</v>
      </c>
      <c r="L139" s="187">
        <f>INDEX('Revenue by Customer'!L:L,MATCH('Full Customer List'!$B139,'Revenue by Customer'!$A:$A,0))</f>
        <v>470</v>
      </c>
      <c r="M139" s="187">
        <f>INDEX('Revenue by Customer'!M:M,MATCH('Full Customer List'!$B139,'Revenue by Customer'!$A:$A,0))</f>
        <v>470</v>
      </c>
      <c r="N139" s="187">
        <f>INDEX('Revenue by Customer'!N:N,MATCH('Full Customer List'!$B139,'Revenue by Customer'!$A:$A,0))</f>
        <v>470</v>
      </c>
      <c r="O139" s="187">
        <f>INDEX('Revenue by Customer'!O:O,MATCH('Full Customer List'!$B139,'Revenue by Customer'!$A:$A,0))</f>
        <v>470</v>
      </c>
      <c r="P139" s="187">
        <f>INDEX('Revenue by Customer'!P:P,MATCH('Full Customer List'!$B139,'Revenue by Customer'!$A:$A,0))</f>
        <v>470</v>
      </c>
      <c r="Q139" s="187">
        <f>INDEX('Revenue by Customer'!Q:Q,MATCH('Full Customer List'!$B139,'Revenue by Customer'!$A:$A,0))</f>
        <v>470</v>
      </c>
      <c r="R139" s="187">
        <f>INDEX('Revenue by Customer'!R:R,MATCH('Full Customer List'!$B139,'Revenue by Customer'!$A:$A,0))</f>
        <v>485</v>
      </c>
      <c r="S139" s="187">
        <f>INDEX('Revenue by Customer'!S:S,MATCH('Full Customer List'!$B139,'Revenue by Customer'!$A:$A,0))</f>
        <v>485</v>
      </c>
      <c r="T139" s="187">
        <f>INDEX('Revenue by Customer'!T:T,MATCH('Full Customer List'!$B139,'Revenue by Customer'!$A:$A,0))</f>
        <v>485</v>
      </c>
      <c r="U139" s="187">
        <f>INDEX('Revenue by Customer'!U:U,MATCH('Full Customer List'!$B139,'Revenue by Customer'!$A:$A,0))</f>
        <v>485</v>
      </c>
      <c r="V139" s="187">
        <f>INDEX('Revenue by Customer'!V:V,MATCH('Full Customer List'!$B139,'Revenue by Customer'!$A:$A,0))</f>
        <v>485</v>
      </c>
      <c r="W139" s="187">
        <f>INDEX('Revenue by Customer'!W:W,MATCH('Full Customer List'!$B139,'Revenue by Customer'!$A:$A,0))</f>
        <v>485</v>
      </c>
      <c r="X139" s="187">
        <f>INDEX('Revenue by Customer'!X:X,MATCH('Full Customer List'!$B139,'Revenue by Customer'!$A:$A,0))</f>
        <v>485</v>
      </c>
      <c r="Y139" s="187">
        <f>INDEX('Revenue by Customer'!Y:Y,MATCH('Full Customer List'!$B139,'Revenue by Customer'!$A:$A,0))</f>
        <v>485</v>
      </c>
      <c r="Z139" s="187">
        <f>INDEX('Revenue by Customer'!Z:Z,MATCH('Full Customer List'!$B139,'Revenue by Customer'!$A:$A,0))</f>
        <v>485</v>
      </c>
      <c r="AA139" s="187">
        <f>INDEX('Revenue by Customer'!AA:AA,MATCH('Full Customer List'!$B139,'Revenue by Customer'!$A:$A,0))</f>
        <v>485</v>
      </c>
      <c r="AB139" s="187">
        <f>INDEX('Revenue by Customer'!AB:AB,MATCH('Full Customer List'!$B139,'Revenue by Customer'!$A:$A,0))</f>
        <v>485</v>
      </c>
      <c r="AC139" s="187">
        <f>INDEX('Revenue by Customer'!AC:AC,MATCH('Full Customer List'!$B139,'Revenue by Customer'!$A:$A,0))</f>
        <v>485</v>
      </c>
    </row>
    <row r="140" spans="2:29" ht="12" customHeight="1">
      <c r="B140" s="171" t="s">
        <v>760</v>
      </c>
      <c r="C140" s="171" t="str">
        <f>INDEX('Customer List w Software'!$B:$B,MATCH('Full Customer List'!$B140,'Customer List w Software'!$A:$A,0))</f>
        <v>Active</v>
      </c>
      <c r="D140" s="171" t="str">
        <f>INDEX('Customer List w Software'!$C:$C,MATCH('Full Customer List'!$B140,'Customer List w Software'!$A:$A,0))</f>
        <v>STR owner</v>
      </c>
      <c r="E140" s="171" t="str">
        <f>INDEX('Customer List Mapping'!$C:$C,MATCH('Full Customer List'!D140,'Customer List Mapping'!$B:$B,0))</f>
        <v>STR Owner</v>
      </c>
      <c r="F140" s="187" t="str">
        <f>INDEX('Customer List w Software'!$K:$K,MATCH('Full Customer List'!$B140,'Customer List w Software'!$A:$A,0))</f>
        <v/>
      </c>
      <c r="G140" s="187">
        <f>INDEX('Revenue by Customer'!$I:$I,MATCH('Full Customer List'!$B140,'Revenue by Customer'!$A:$A,0))</f>
        <v>495</v>
      </c>
      <c r="H140" s="250" t="str">
        <f>IFERROR(IF(C140="Active","",INDEX('Client Departures'!$G:$G,MATCH('Full Customer List'!$B140,'Client Departures'!$A:$A,0))),"Unclassified")</f>
        <v/>
      </c>
      <c r="I140" s="191">
        <v>45778</v>
      </c>
      <c r="J140" s="191"/>
      <c r="K140" s="187" t="str">
        <f>INDEX('Revenue by Customer'!K:K,MATCH('Full Customer List'!$B140,'Revenue by Customer'!$A:$A,0))</f>
        <v/>
      </c>
      <c r="L140" s="187" t="str">
        <f>INDEX('Revenue by Customer'!L:L,MATCH('Full Customer List'!$B140,'Revenue by Customer'!$A:$A,0))</f>
        <v/>
      </c>
      <c r="M140" s="187" t="str">
        <f>INDEX('Revenue by Customer'!M:M,MATCH('Full Customer List'!$B140,'Revenue by Customer'!$A:$A,0))</f>
        <v/>
      </c>
      <c r="N140" s="187" t="str">
        <f>INDEX('Revenue by Customer'!N:N,MATCH('Full Customer List'!$B140,'Revenue by Customer'!$A:$A,0))</f>
        <v/>
      </c>
      <c r="O140" s="187">
        <f>INDEX('Revenue by Customer'!O:O,MATCH('Full Customer List'!$B140,'Revenue by Customer'!$A:$A,0))</f>
        <v>640</v>
      </c>
      <c r="P140" s="187">
        <f>INDEX('Revenue by Customer'!P:P,MATCH('Full Customer List'!$B140,'Revenue by Customer'!$A:$A,0))</f>
        <v>403.75</v>
      </c>
      <c r="Q140" s="187">
        <f>INDEX('Revenue by Customer'!Q:Q,MATCH('Full Customer List'!$B140,'Revenue by Customer'!$A:$A,0))</f>
        <v>403.75</v>
      </c>
      <c r="R140" s="187">
        <f>INDEX('Revenue by Customer'!R:R,MATCH('Full Customer List'!$B140,'Revenue by Customer'!$A:$A,0))</f>
        <v>475</v>
      </c>
      <c r="S140" s="187">
        <f>INDEX('Revenue by Customer'!S:S,MATCH('Full Customer List'!$B140,'Revenue by Customer'!$A:$A,0))</f>
        <v>475</v>
      </c>
      <c r="T140" s="187">
        <f>INDEX('Revenue by Customer'!T:T,MATCH('Full Customer List'!$B140,'Revenue by Customer'!$A:$A,0))</f>
        <v>475</v>
      </c>
      <c r="U140" s="187">
        <f>INDEX('Revenue by Customer'!U:U,MATCH('Full Customer List'!$B140,'Revenue by Customer'!$A:$A,0))</f>
        <v>475</v>
      </c>
      <c r="V140" s="187">
        <f>INDEX('Revenue by Customer'!V:V,MATCH('Full Customer List'!$B140,'Revenue by Customer'!$A:$A,0))</f>
        <v>475</v>
      </c>
      <c r="W140" s="187">
        <f>INDEX('Revenue by Customer'!W:W,MATCH('Full Customer List'!$B140,'Revenue by Customer'!$A:$A,0))</f>
        <v>475</v>
      </c>
      <c r="X140" s="187">
        <f>INDEX('Revenue by Customer'!X:X,MATCH('Full Customer List'!$B140,'Revenue by Customer'!$A:$A,0))</f>
        <v>475</v>
      </c>
      <c r="Y140" s="187">
        <f>INDEX('Revenue by Customer'!Y:Y,MATCH('Full Customer List'!$B140,'Revenue by Customer'!$A:$A,0))</f>
        <v>475</v>
      </c>
      <c r="Z140" s="187">
        <f>INDEX('Revenue by Customer'!Z:Z,MATCH('Full Customer List'!$B140,'Revenue by Customer'!$A:$A,0))</f>
        <v>475</v>
      </c>
      <c r="AA140" s="187">
        <f>INDEX('Revenue by Customer'!AA:AA,MATCH('Full Customer List'!$B140,'Revenue by Customer'!$A:$A,0))</f>
        <v>495</v>
      </c>
      <c r="AB140" s="187">
        <f>INDEX('Revenue by Customer'!AB:AB,MATCH('Full Customer List'!$B140,'Revenue by Customer'!$A:$A,0))</f>
        <v>495</v>
      </c>
      <c r="AC140" s="187">
        <f>INDEX('Revenue by Customer'!AC:AC,MATCH('Full Customer List'!$B140,'Revenue by Customer'!$A:$A,0))</f>
        <v>495</v>
      </c>
    </row>
    <row r="141" spans="2:29" ht="12" customHeight="1">
      <c r="B141" s="171" t="s">
        <v>761</v>
      </c>
      <c r="C141" s="171" t="str">
        <f>INDEX('Customer List w Software'!$B:$B,MATCH('Full Customer List'!$B141,'Customer List w Software'!$A:$A,0))</f>
        <v>Active</v>
      </c>
      <c r="D141" s="171" t="str">
        <f>INDEX('Customer List w Software'!$C:$C,MATCH('Full Customer List'!$B141,'Customer List w Software'!$A:$A,0))</f>
        <v>STR owner</v>
      </c>
      <c r="E141" s="171" t="str">
        <f>INDEX('Customer List Mapping'!$C:$C,MATCH('Full Customer List'!D141,'Customer List Mapping'!$B:$B,0))</f>
        <v>STR Owner</v>
      </c>
      <c r="F141" s="187" t="str">
        <f>INDEX('Customer List w Software'!$K:$K,MATCH('Full Customer List'!$B141,'Customer List w Software'!$A:$A,0))</f>
        <v/>
      </c>
      <c r="G141" s="187">
        <f>INDEX('Revenue by Customer'!$I:$I,MATCH('Full Customer List'!$B141,'Revenue by Customer'!$A:$A,0))</f>
        <v>406</v>
      </c>
      <c r="H141" s="250" t="str">
        <f>IFERROR(IF(C141="Active","",INDEX('Client Departures'!$G:$G,MATCH('Full Customer List'!$B141,'Client Departures'!$A:$A,0))),"Unclassified")</f>
        <v/>
      </c>
      <c r="I141" s="191">
        <v>45474</v>
      </c>
      <c r="J141" s="191"/>
      <c r="K141" s="187">
        <f>INDEX('Revenue by Customer'!K:K,MATCH('Full Customer List'!$B141,'Revenue by Customer'!$A:$A,0))</f>
        <v>395</v>
      </c>
      <c r="L141" s="187">
        <f>INDEX('Revenue by Customer'!L:L,MATCH('Full Customer List'!$B141,'Revenue by Customer'!$A:$A,0))</f>
        <v>395</v>
      </c>
      <c r="M141" s="187">
        <f>INDEX('Revenue by Customer'!M:M,MATCH('Full Customer List'!$B141,'Revenue by Customer'!$A:$A,0))</f>
        <v>395</v>
      </c>
      <c r="N141" s="187">
        <f>INDEX('Revenue by Customer'!N:N,MATCH('Full Customer List'!$B141,'Revenue by Customer'!$A:$A,0))</f>
        <v>395</v>
      </c>
      <c r="O141" s="187">
        <f>INDEX('Revenue by Customer'!O:O,MATCH('Full Customer List'!$B141,'Revenue by Customer'!$A:$A,0))</f>
        <v>395</v>
      </c>
      <c r="P141" s="187">
        <f>INDEX('Revenue by Customer'!P:P,MATCH('Full Customer List'!$B141,'Revenue by Customer'!$A:$A,0))</f>
        <v>395</v>
      </c>
      <c r="Q141" s="187">
        <f>INDEX('Revenue by Customer'!Q:Q,MATCH('Full Customer List'!$B141,'Revenue by Customer'!$A:$A,0))</f>
        <v>400</v>
      </c>
      <c r="R141" s="187">
        <f>INDEX('Revenue by Customer'!R:R,MATCH('Full Customer List'!$B141,'Revenue by Customer'!$A:$A,0))</f>
        <v>400</v>
      </c>
      <c r="S141" s="187">
        <f>INDEX('Revenue by Customer'!S:S,MATCH('Full Customer List'!$B141,'Revenue by Customer'!$A:$A,0))</f>
        <v>400</v>
      </c>
      <c r="T141" s="187">
        <f>INDEX('Revenue by Customer'!T:T,MATCH('Full Customer List'!$B141,'Revenue by Customer'!$A:$A,0))</f>
        <v>1225</v>
      </c>
      <c r="U141" s="187">
        <f>INDEX('Revenue by Customer'!U:U,MATCH('Full Customer List'!$B141,'Revenue by Customer'!$A:$A,0))</f>
        <v>400</v>
      </c>
      <c r="V141" s="187">
        <f>INDEX('Revenue by Customer'!V:V,MATCH('Full Customer List'!$B141,'Revenue by Customer'!$A:$A,0))</f>
        <v>400</v>
      </c>
      <c r="W141" s="187">
        <f>INDEX('Revenue by Customer'!W:W,MATCH('Full Customer List'!$B141,'Revenue by Customer'!$A:$A,0))</f>
        <v>400</v>
      </c>
      <c r="X141" s="187">
        <f>INDEX('Revenue by Customer'!X:X,MATCH('Full Customer List'!$B141,'Revenue by Customer'!$A:$A,0))</f>
        <v>400</v>
      </c>
      <c r="Y141" s="187">
        <f>INDEX('Revenue by Customer'!Y:Y,MATCH('Full Customer List'!$B141,'Revenue by Customer'!$A:$A,0))</f>
        <v>400</v>
      </c>
      <c r="Z141" s="187">
        <f>INDEX('Revenue by Customer'!Z:Z,MATCH('Full Customer List'!$B141,'Revenue by Customer'!$A:$A,0))</f>
        <v>400</v>
      </c>
      <c r="AA141" s="187">
        <f>INDEX('Revenue by Customer'!AA:AA,MATCH('Full Customer List'!$B141,'Revenue by Customer'!$A:$A,0))</f>
        <v>400</v>
      </c>
      <c r="AB141" s="187">
        <f>INDEX('Revenue by Customer'!AB:AB,MATCH('Full Customer List'!$B141,'Revenue by Customer'!$A:$A,0))</f>
        <v>400</v>
      </c>
      <c r="AC141" s="187">
        <f>INDEX('Revenue by Customer'!AC:AC,MATCH('Full Customer List'!$B141,'Revenue by Customer'!$A:$A,0))</f>
        <v>418</v>
      </c>
    </row>
    <row r="142" spans="2:29" ht="12" customHeight="1">
      <c r="B142" s="171" t="s">
        <v>762</v>
      </c>
      <c r="C142" s="171" t="str">
        <f>INDEX('Customer List w Software'!$B:$B,MATCH('Full Customer List'!$B142,'Customer List w Software'!$A:$A,0))</f>
        <v>Former client</v>
      </c>
      <c r="D142" s="171" t="str">
        <f>INDEX('Customer List w Software'!$C:$C,MATCH('Full Customer List'!$B142,'Customer List w Software'!$A:$A,0))</f>
        <v>Small business</v>
      </c>
      <c r="E142" s="171" t="str">
        <f>INDEX('Customer List Mapping'!$C:$C,MATCH('Full Customer List'!D142,'Customer List Mapping'!$B:$B,0))</f>
        <v>Small Business</v>
      </c>
      <c r="F142" s="187" t="str">
        <f>INDEX('Customer List w Software'!$K:$K,MATCH('Full Customer List'!$B142,'Customer List w Software'!$A:$A,0))</f>
        <v/>
      </c>
      <c r="G142" s="187">
        <f>INDEX('Revenue by Customer'!$I:$I,MATCH('Full Customer List'!$B142,'Revenue by Customer'!$A:$A,0))</f>
        <v>460</v>
      </c>
      <c r="H142" s="250" t="str">
        <f>IFERROR(IF(C142="Active","",INDEX('Client Departures'!$G:$G,MATCH('Full Customer List'!$B142,'Client Departures'!$A:$A,0))),"Unclassified")</f>
        <v>No</v>
      </c>
      <c r="I142" s="191">
        <v>44652</v>
      </c>
      <c r="J142" s="191">
        <v>46234</v>
      </c>
      <c r="K142" s="187">
        <f>INDEX('Revenue by Customer'!K:K,MATCH('Full Customer List'!$B142,'Revenue by Customer'!$A:$A,0))</f>
        <v>500</v>
      </c>
      <c r="L142" s="187">
        <f>INDEX('Revenue by Customer'!L:L,MATCH('Full Customer List'!$B142,'Revenue by Customer'!$A:$A,0))</f>
        <v>440</v>
      </c>
      <c r="M142" s="187">
        <f>INDEX('Revenue by Customer'!M:M,MATCH('Full Customer List'!$B142,'Revenue by Customer'!$A:$A,0))</f>
        <v>440</v>
      </c>
      <c r="N142" s="187">
        <f>INDEX('Revenue by Customer'!N:N,MATCH('Full Customer List'!$B142,'Revenue by Customer'!$A:$A,0))</f>
        <v>440</v>
      </c>
      <c r="O142" s="187">
        <f>INDEX('Revenue by Customer'!O:O,MATCH('Full Customer List'!$B142,'Revenue by Customer'!$A:$A,0))</f>
        <v>440</v>
      </c>
      <c r="P142" s="187">
        <f>INDEX('Revenue by Customer'!P:P,MATCH('Full Customer List'!$B142,'Revenue by Customer'!$A:$A,0))</f>
        <v>440</v>
      </c>
      <c r="Q142" s="187">
        <f>INDEX('Revenue by Customer'!Q:Q,MATCH('Full Customer List'!$B142,'Revenue by Customer'!$A:$A,0))</f>
        <v>460</v>
      </c>
      <c r="R142" s="187">
        <f>INDEX('Revenue by Customer'!R:R,MATCH('Full Customer List'!$B142,'Revenue by Customer'!$A:$A,0))</f>
        <v>460</v>
      </c>
      <c r="S142" s="187">
        <f>INDEX('Revenue by Customer'!S:S,MATCH('Full Customer List'!$B142,'Revenue by Customer'!$A:$A,0))</f>
        <v>460</v>
      </c>
      <c r="T142" s="187">
        <f>INDEX('Revenue by Customer'!T:T,MATCH('Full Customer List'!$B142,'Revenue by Customer'!$A:$A,0))</f>
        <v>460</v>
      </c>
      <c r="U142" s="187">
        <f>INDEX('Revenue by Customer'!U:U,MATCH('Full Customer List'!$B142,'Revenue by Customer'!$A:$A,0))</f>
        <v>460</v>
      </c>
      <c r="V142" s="187">
        <f>INDEX('Revenue by Customer'!V:V,MATCH('Full Customer List'!$B142,'Revenue by Customer'!$A:$A,0))</f>
        <v>460</v>
      </c>
      <c r="W142" s="187">
        <f>INDEX('Revenue by Customer'!W:W,MATCH('Full Customer List'!$B142,'Revenue by Customer'!$A:$A,0))</f>
        <v>460</v>
      </c>
      <c r="X142" s="187">
        <f>INDEX('Revenue by Customer'!X:X,MATCH('Full Customer List'!$B142,'Revenue by Customer'!$A:$A,0))</f>
        <v>520</v>
      </c>
      <c r="Y142" s="187">
        <f>INDEX('Revenue by Customer'!Y:Y,MATCH('Full Customer List'!$B142,'Revenue by Customer'!$A:$A,0))</f>
        <v>460</v>
      </c>
      <c r="Z142" s="187">
        <f>INDEX('Revenue by Customer'!Z:Z,MATCH('Full Customer List'!$B142,'Revenue by Customer'!$A:$A,0))</f>
        <v>460</v>
      </c>
      <c r="AA142" s="187">
        <f>INDEX('Revenue by Customer'!AA:AA,MATCH('Full Customer List'!$B142,'Revenue by Customer'!$A:$A,0))</f>
        <v>460</v>
      </c>
      <c r="AB142" s="187">
        <f>INDEX('Revenue by Customer'!AB:AB,MATCH('Full Customer List'!$B142,'Revenue by Customer'!$A:$A,0))</f>
        <v>460</v>
      </c>
      <c r="AC142" s="187">
        <f>INDEX('Revenue by Customer'!AC:AC,MATCH('Full Customer List'!$B142,'Revenue by Customer'!$A:$A,0))</f>
        <v>460</v>
      </c>
    </row>
    <row r="143" spans="2:29" ht="12" customHeight="1">
      <c r="B143" s="171" t="s">
        <v>763</v>
      </c>
      <c r="C143" s="171" t="str">
        <f>INDEX('Customer List w Software'!$B:$B,MATCH('Full Customer List'!$B143,'Customer List w Software'!$A:$A,0))</f>
        <v>Former client</v>
      </c>
      <c r="D143" s="171" t="str">
        <f>INDEX('Customer List w Software'!$C:$C,MATCH('Full Customer List'!$B143,'Customer List w Software'!$A:$A,0))</f>
        <v>Property manager</v>
      </c>
      <c r="E143" s="171" t="str">
        <f>INDEX('Customer List Mapping'!$C:$C,MATCH('Full Customer List'!D143,'Customer List Mapping'!$B:$B,0))</f>
        <v>Property Manager</v>
      </c>
      <c r="F143" s="187">
        <f>INDEX('Customer List w Software'!$K:$K,MATCH('Full Customer List'!$B143,'Customer List w Software'!$A:$A,0))</f>
        <v>0</v>
      </c>
      <c r="G143" s="187">
        <f>INDEX('Revenue by Customer'!$I:$I,MATCH('Full Customer List'!$B143,'Revenue by Customer'!$A:$A,0))</f>
        <v>486.33333333333331</v>
      </c>
      <c r="H143" s="250" t="str">
        <f>IFERROR(IF(C143="Active","",INDEX('Client Departures'!$G:$G,MATCH('Full Customer List'!$B143,'Client Departures'!$A:$A,0))),"Unclassified")</f>
        <v>Yes</v>
      </c>
      <c r="I143" s="191">
        <v>45444</v>
      </c>
      <c r="J143" s="191">
        <v>46173</v>
      </c>
      <c r="K143" s="187">
        <f>INDEX('Revenue by Customer'!K:K,MATCH('Full Customer List'!$B143,'Revenue by Customer'!$A:$A,0))</f>
        <v>560</v>
      </c>
      <c r="L143" s="187">
        <f>INDEX('Revenue by Customer'!L:L,MATCH('Full Customer List'!$B143,'Revenue by Customer'!$A:$A,0))</f>
        <v>680</v>
      </c>
      <c r="M143" s="187">
        <f>INDEX('Revenue by Customer'!M:M,MATCH('Full Customer List'!$B143,'Revenue by Customer'!$A:$A,0))</f>
        <v>560</v>
      </c>
      <c r="N143" s="187">
        <f>INDEX('Revenue by Customer'!N:N,MATCH('Full Customer List'!$B143,'Revenue by Customer'!$A:$A,0))</f>
        <v>560</v>
      </c>
      <c r="O143" s="187">
        <f>INDEX('Revenue by Customer'!O:O,MATCH('Full Customer List'!$B143,'Revenue by Customer'!$A:$A,0))</f>
        <v>560</v>
      </c>
      <c r="P143" s="187">
        <f>INDEX('Revenue by Customer'!P:P,MATCH('Full Customer List'!$B143,'Revenue by Customer'!$A:$A,0))</f>
        <v>588</v>
      </c>
      <c r="Q143" s="187">
        <f>INDEX('Revenue by Customer'!Q:Q,MATCH('Full Customer List'!$B143,'Revenue by Customer'!$A:$A,0))</f>
        <v>588</v>
      </c>
      <c r="R143" s="187">
        <f>INDEX('Revenue by Customer'!R:R,MATCH('Full Customer List'!$B143,'Revenue by Customer'!$A:$A,0))</f>
        <v>588</v>
      </c>
      <c r="S143" s="187">
        <f>INDEX('Revenue by Customer'!S:S,MATCH('Full Customer List'!$B143,'Revenue by Customer'!$A:$A,0))</f>
        <v>588</v>
      </c>
      <c r="T143" s="187">
        <f>INDEX('Revenue by Customer'!T:T,MATCH('Full Customer List'!$B143,'Revenue by Customer'!$A:$A,0))</f>
        <v>588</v>
      </c>
      <c r="U143" s="187">
        <f>INDEX('Revenue by Customer'!U:U,MATCH('Full Customer List'!$B143,'Revenue by Customer'!$A:$A,0))</f>
        <v>588</v>
      </c>
      <c r="V143" s="187">
        <f>INDEX('Revenue by Customer'!V:V,MATCH('Full Customer List'!$B143,'Revenue by Customer'!$A:$A,0))</f>
        <v>588</v>
      </c>
      <c r="W143" s="187">
        <f>INDEX('Revenue by Customer'!W:W,MATCH('Full Customer List'!$B143,'Revenue by Customer'!$A:$A,0))</f>
        <v>588</v>
      </c>
      <c r="X143" s="187">
        <f>INDEX('Revenue by Customer'!X:X,MATCH('Full Customer List'!$B143,'Revenue by Customer'!$A:$A,0))</f>
        <v>588</v>
      </c>
      <c r="Y143" s="187">
        <f>INDEX('Revenue by Customer'!Y:Y,MATCH('Full Customer List'!$B143,'Revenue by Customer'!$A:$A,0))</f>
        <v>649</v>
      </c>
      <c r="Z143" s="187">
        <f>INDEX('Revenue by Customer'!Z:Z,MATCH('Full Customer List'!$B143,'Revenue by Customer'!$A:$A,0))</f>
        <v>344</v>
      </c>
      <c r="AA143" s="187">
        <f>INDEX('Revenue by Customer'!AA:AA,MATCH('Full Customer List'!$B143,'Revenue by Customer'!$A:$A,0))</f>
        <v>466</v>
      </c>
      <c r="AB143" s="187" t="str">
        <f>INDEX('Revenue by Customer'!AB:AB,MATCH('Full Customer List'!$B143,'Revenue by Customer'!$A:$A,0))</f>
        <v/>
      </c>
      <c r="AC143" s="187" t="str">
        <f>INDEX('Revenue by Customer'!AC:AC,MATCH('Full Customer List'!$B143,'Revenue by Customer'!$A:$A,0))</f>
        <v/>
      </c>
    </row>
    <row r="144" spans="2:29" ht="12" customHeight="1">
      <c r="B144" s="171" t="s">
        <v>765</v>
      </c>
      <c r="C144" s="171" t="str">
        <f>INDEX('Customer List w Software'!$B:$B,MATCH('Full Customer List'!$B144,'Customer List w Software'!$A:$A,0))</f>
        <v>Active</v>
      </c>
      <c r="D144" s="171" t="str">
        <f>INDEX('Customer List w Software'!$C:$C,MATCH('Full Customer List'!$B144,'Customer List w Software'!$A:$A,0))</f>
        <v>STR owner</v>
      </c>
      <c r="E144" s="171" t="str">
        <f>INDEX('Customer List Mapping'!$C:$C,MATCH('Full Customer List'!D144,'Customer List Mapping'!$B:$B,0))</f>
        <v>STR Owner</v>
      </c>
      <c r="F144" s="187" t="str">
        <f>INDEX('Customer List w Software'!$K:$K,MATCH('Full Customer List'!$B144,'Customer List w Software'!$A:$A,0))</f>
        <v/>
      </c>
      <c r="G144" s="187">
        <f>INDEX('Revenue by Customer'!$I:$I,MATCH('Full Customer List'!$B144,'Revenue by Customer'!$A:$A,0))</f>
        <v>358.33333333333331</v>
      </c>
      <c r="H144" s="250" t="str">
        <f>IFERROR(IF(C144="Active","",INDEX('Client Departures'!$G:$G,MATCH('Full Customer List'!$B144,'Client Departures'!$A:$A,0))),"Unclassified")</f>
        <v/>
      </c>
      <c r="I144" s="191">
        <v>45444</v>
      </c>
      <c r="J144" s="191"/>
      <c r="K144" s="187">
        <f>INDEX('Revenue by Customer'!K:K,MATCH('Full Customer List'!$B144,'Revenue by Customer'!$A:$A,0))</f>
        <v>330</v>
      </c>
      <c r="L144" s="187">
        <f>INDEX('Revenue by Customer'!L:L,MATCH('Full Customer List'!$B144,'Revenue by Customer'!$A:$A,0))</f>
        <v>300</v>
      </c>
      <c r="M144" s="187">
        <f>INDEX('Revenue by Customer'!M:M,MATCH('Full Customer List'!$B144,'Revenue by Customer'!$A:$A,0))</f>
        <v>300</v>
      </c>
      <c r="N144" s="187">
        <f>INDEX('Revenue by Customer'!N:N,MATCH('Full Customer List'!$B144,'Revenue by Customer'!$A:$A,0))</f>
        <v>300</v>
      </c>
      <c r="O144" s="187">
        <f>INDEX('Revenue by Customer'!O:O,MATCH('Full Customer List'!$B144,'Revenue by Customer'!$A:$A,0))</f>
        <v>300</v>
      </c>
      <c r="P144" s="187">
        <f>INDEX('Revenue by Customer'!P:P,MATCH('Full Customer List'!$B144,'Revenue by Customer'!$A:$A,0))</f>
        <v>325</v>
      </c>
      <c r="Q144" s="187">
        <f>INDEX('Revenue by Customer'!Q:Q,MATCH('Full Customer List'!$B144,'Revenue by Customer'!$A:$A,0))</f>
        <v>325</v>
      </c>
      <c r="R144" s="187">
        <f>INDEX('Revenue by Customer'!R:R,MATCH('Full Customer List'!$B144,'Revenue by Customer'!$A:$A,0))</f>
        <v>325</v>
      </c>
      <c r="S144" s="187">
        <f>INDEX('Revenue by Customer'!S:S,MATCH('Full Customer List'!$B144,'Revenue by Customer'!$A:$A,0))</f>
        <v>325</v>
      </c>
      <c r="T144" s="187">
        <f>INDEX('Revenue by Customer'!T:T,MATCH('Full Customer List'!$B144,'Revenue by Customer'!$A:$A,0))</f>
        <v>1090</v>
      </c>
      <c r="U144" s="187">
        <f>INDEX('Revenue by Customer'!U:U,MATCH('Full Customer List'!$B144,'Revenue by Customer'!$A:$A,0))</f>
        <v>325</v>
      </c>
      <c r="V144" s="187">
        <f>INDEX('Revenue by Customer'!V:V,MATCH('Full Customer List'!$B144,'Revenue by Customer'!$A:$A,0))</f>
        <v>325</v>
      </c>
      <c r="W144" s="187">
        <f>INDEX('Revenue by Customer'!W:W,MATCH('Full Customer List'!$B144,'Revenue by Customer'!$A:$A,0))</f>
        <v>325</v>
      </c>
      <c r="X144" s="187">
        <f>INDEX('Revenue by Customer'!X:X,MATCH('Full Customer List'!$B144,'Revenue by Customer'!$A:$A,0))</f>
        <v>355</v>
      </c>
      <c r="Y144" s="187">
        <f>INDEX('Revenue by Customer'!Y:Y,MATCH('Full Customer List'!$B144,'Revenue by Customer'!$A:$A,0))</f>
        <v>1090</v>
      </c>
      <c r="Z144" s="187">
        <f>INDEX('Revenue by Customer'!Z:Z,MATCH('Full Customer List'!$B144,'Revenue by Customer'!$A:$A,0))</f>
        <v>325</v>
      </c>
      <c r="AA144" s="187">
        <f>INDEX('Revenue by Customer'!AA:AA,MATCH('Full Customer List'!$B144,'Revenue by Customer'!$A:$A,0))</f>
        <v>325</v>
      </c>
      <c r="AB144" s="187">
        <f>INDEX('Revenue by Customer'!AB:AB,MATCH('Full Customer List'!$B144,'Revenue by Customer'!$A:$A,0))</f>
        <v>375</v>
      </c>
      <c r="AC144" s="187">
        <f>INDEX('Revenue by Customer'!AC:AC,MATCH('Full Customer List'!$B144,'Revenue by Customer'!$A:$A,0))</f>
        <v>375</v>
      </c>
    </row>
    <row r="145" spans="2:29" ht="12" customHeight="1">
      <c r="B145" s="171" t="s">
        <v>767</v>
      </c>
      <c r="C145" s="171" t="str">
        <f>INDEX('Customer List w Software'!$B:$B,MATCH('Full Customer List'!$B145,'Customer List w Software'!$A:$A,0))</f>
        <v>Active</v>
      </c>
      <c r="D145" s="171" t="str">
        <f>INDEX('Customer List w Software'!$C:$C,MATCH('Full Customer List'!$B145,'Customer List w Software'!$A:$A,0))</f>
        <v>STR owner</v>
      </c>
      <c r="E145" s="171" t="str">
        <f>INDEX('Customer List Mapping'!$C:$C,MATCH('Full Customer List'!D145,'Customer List Mapping'!$B:$B,0))</f>
        <v>STR Owner</v>
      </c>
      <c r="F145" s="187" t="str">
        <f>INDEX('Customer List w Software'!$K:$K,MATCH('Full Customer List'!$B145,'Customer List w Software'!$A:$A,0))</f>
        <v/>
      </c>
      <c r="G145" s="187">
        <f>INDEX('Revenue by Customer'!$I:$I,MATCH('Full Customer List'!$B145,'Revenue by Customer'!$A:$A,0))</f>
        <v>725</v>
      </c>
      <c r="H145" s="250" t="str">
        <f>IFERROR(IF(C145="Active","",INDEX('Client Departures'!$G:$G,MATCH('Full Customer List'!$B145,'Client Departures'!$A:$A,0))),"Unclassified")</f>
        <v/>
      </c>
      <c r="I145" s="191">
        <v>45992</v>
      </c>
      <c r="J145" s="191"/>
      <c r="K145" s="187" t="str">
        <f>INDEX('Revenue by Customer'!K:K,MATCH('Full Customer List'!$B145,'Revenue by Customer'!$A:$A,0))</f>
        <v/>
      </c>
      <c r="L145" s="187" t="str">
        <f>INDEX('Revenue by Customer'!L:L,MATCH('Full Customer List'!$B145,'Revenue by Customer'!$A:$A,0))</f>
        <v/>
      </c>
      <c r="M145" s="187" t="str">
        <f>INDEX('Revenue by Customer'!M:M,MATCH('Full Customer List'!$B145,'Revenue by Customer'!$A:$A,0))</f>
        <v/>
      </c>
      <c r="N145" s="187" t="str">
        <f>INDEX('Revenue by Customer'!N:N,MATCH('Full Customer List'!$B145,'Revenue by Customer'!$A:$A,0))</f>
        <v/>
      </c>
      <c r="O145" s="187" t="str">
        <f>INDEX('Revenue by Customer'!O:O,MATCH('Full Customer List'!$B145,'Revenue by Customer'!$A:$A,0))</f>
        <v/>
      </c>
      <c r="P145" s="187" t="str">
        <f>INDEX('Revenue by Customer'!P:P,MATCH('Full Customer List'!$B145,'Revenue by Customer'!$A:$A,0))</f>
        <v/>
      </c>
      <c r="Q145" s="187" t="str">
        <f>INDEX('Revenue by Customer'!Q:Q,MATCH('Full Customer List'!$B145,'Revenue by Customer'!$A:$A,0))</f>
        <v/>
      </c>
      <c r="R145" s="187" t="str">
        <f>INDEX('Revenue by Customer'!R:R,MATCH('Full Customer List'!$B145,'Revenue by Customer'!$A:$A,0))</f>
        <v/>
      </c>
      <c r="S145" s="187" t="str">
        <f>INDEX('Revenue by Customer'!S:S,MATCH('Full Customer List'!$B145,'Revenue by Customer'!$A:$A,0))</f>
        <v/>
      </c>
      <c r="T145" s="187" t="str">
        <f>INDEX('Revenue by Customer'!T:T,MATCH('Full Customer List'!$B145,'Revenue by Customer'!$A:$A,0))</f>
        <v/>
      </c>
      <c r="U145" s="187" t="str">
        <f>INDEX('Revenue by Customer'!U:U,MATCH('Full Customer List'!$B145,'Revenue by Customer'!$A:$A,0))</f>
        <v/>
      </c>
      <c r="V145" s="187">
        <f>INDEX('Revenue by Customer'!V:V,MATCH('Full Customer List'!$B145,'Revenue by Customer'!$A:$A,0))</f>
        <v>695</v>
      </c>
      <c r="W145" s="187">
        <f>INDEX('Revenue by Customer'!W:W,MATCH('Full Customer List'!$B145,'Revenue by Customer'!$A:$A,0))</f>
        <v>616.25</v>
      </c>
      <c r="X145" s="187">
        <f>INDEX('Revenue by Customer'!X:X,MATCH('Full Customer List'!$B145,'Revenue by Customer'!$A:$A,0))</f>
        <v>616.25</v>
      </c>
      <c r="Y145" s="187">
        <f>INDEX('Revenue by Customer'!Y:Y,MATCH('Full Customer List'!$B145,'Revenue by Customer'!$A:$A,0))</f>
        <v>725</v>
      </c>
      <c r="Z145" s="187">
        <f>INDEX('Revenue by Customer'!Z:Z,MATCH('Full Customer List'!$B145,'Revenue by Customer'!$A:$A,0))</f>
        <v>725</v>
      </c>
      <c r="AA145" s="187">
        <f>INDEX('Revenue by Customer'!AA:AA,MATCH('Full Customer List'!$B145,'Revenue by Customer'!$A:$A,0))</f>
        <v>725</v>
      </c>
      <c r="AB145" s="187">
        <f>INDEX('Revenue by Customer'!AB:AB,MATCH('Full Customer List'!$B145,'Revenue by Customer'!$A:$A,0))</f>
        <v>725</v>
      </c>
      <c r="AC145" s="187">
        <f>INDEX('Revenue by Customer'!AC:AC,MATCH('Full Customer List'!$B145,'Revenue by Customer'!$A:$A,0))</f>
        <v>725</v>
      </c>
    </row>
    <row r="146" spans="2:29" ht="12" customHeight="1">
      <c r="B146" s="171" t="s">
        <v>768</v>
      </c>
      <c r="C146" s="171" t="str">
        <f>INDEX('Customer List w Software'!$B:$B,MATCH('Full Customer List'!$B146,'Customer List w Software'!$A:$A,0))</f>
        <v>Former client</v>
      </c>
      <c r="D146" s="171" t="str">
        <f>INDEX('Customer List w Software'!$C:$C,MATCH('Full Customer List'!$B146,'Customer List w Software'!$A:$A,0))</f>
        <v>Property manager</v>
      </c>
      <c r="E146" s="171" t="str">
        <f>INDEX('Customer List Mapping'!$C:$C,MATCH('Full Customer List'!D146,'Customer List Mapping'!$B:$B,0))</f>
        <v>Property Manager</v>
      </c>
      <c r="F146" s="187">
        <f>INDEX('Customer List w Software'!$K:$K,MATCH('Full Customer List'!$B146,'Customer List w Software'!$A:$A,0))</f>
        <v>4</v>
      </c>
      <c r="G146" s="187">
        <f>INDEX('Revenue by Customer'!$I:$I,MATCH('Full Customer List'!$B146,'Revenue by Customer'!$A:$A,0))</f>
        <v>350</v>
      </c>
      <c r="H146" s="250" t="str">
        <f>IFERROR(IF(C146="Active","",INDEX('Client Departures'!$G:$G,MATCH('Full Customer List'!$B146,'Client Departures'!$A:$A,0))),"Unclassified")</f>
        <v>Yes</v>
      </c>
      <c r="I146" s="191">
        <v>45505</v>
      </c>
      <c r="J146" s="191">
        <v>46234</v>
      </c>
      <c r="K146" s="187">
        <f>INDEX('Revenue by Customer'!K:K,MATCH('Full Customer List'!$B146,'Revenue by Customer'!$A:$A,0))</f>
        <v>553</v>
      </c>
      <c r="L146" s="187">
        <f>INDEX('Revenue by Customer'!L:L,MATCH('Full Customer List'!$B146,'Revenue by Customer'!$A:$A,0))</f>
        <v>568</v>
      </c>
      <c r="M146" s="187">
        <f>INDEX('Revenue by Customer'!M:M,MATCH('Full Customer List'!$B146,'Revenue by Customer'!$A:$A,0))</f>
        <v>553</v>
      </c>
      <c r="N146" s="187">
        <f>INDEX('Revenue by Customer'!N:N,MATCH('Full Customer List'!$B146,'Revenue by Customer'!$A:$A,0))</f>
        <v>553</v>
      </c>
      <c r="O146" s="187">
        <f>INDEX('Revenue by Customer'!O:O,MATCH('Full Customer List'!$B146,'Revenue by Customer'!$A:$A,0))</f>
        <v>553</v>
      </c>
      <c r="P146" s="187">
        <f>INDEX('Revenue by Customer'!P:P,MATCH('Full Customer List'!$B146,'Revenue by Customer'!$A:$A,0))</f>
        <v>553</v>
      </c>
      <c r="Q146" s="187">
        <f>INDEX('Revenue by Customer'!Q:Q,MATCH('Full Customer List'!$B146,'Revenue by Customer'!$A:$A,0))</f>
        <v>553</v>
      </c>
      <c r="R146" s="187">
        <f>INDEX('Revenue by Customer'!R:R,MATCH('Full Customer List'!$B146,'Revenue by Customer'!$A:$A,0))</f>
        <v>575</v>
      </c>
      <c r="S146" s="187">
        <f>INDEX('Revenue by Customer'!S:S,MATCH('Full Customer List'!$B146,'Revenue by Customer'!$A:$A,0))</f>
        <v>575</v>
      </c>
      <c r="T146" s="187">
        <f>INDEX('Revenue by Customer'!T:T,MATCH('Full Customer List'!$B146,'Revenue by Customer'!$A:$A,0))</f>
        <v>575</v>
      </c>
      <c r="U146" s="187">
        <f>INDEX('Revenue by Customer'!U:U,MATCH('Full Customer List'!$B146,'Revenue by Customer'!$A:$A,0))</f>
        <v>575</v>
      </c>
      <c r="V146" s="187">
        <f>INDEX('Revenue by Customer'!V:V,MATCH('Full Customer List'!$B146,'Revenue by Customer'!$A:$A,0))</f>
        <v>575</v>
      </c>
      <c r="W146" s="187">
        <f>INDEX('Revenue by Customer'!W:W,MATCH('Full Customer List'!$B146,'Revenue by Customer'!$A:$A,0))</f>
        <v>575</v>
      </c>
      <c r="X146" s="187">
        <f>INDEX('Revenue by Customer'!X:X,MATCH('Full Customer List'!$B146,'Revenue by Customer'!$A:$A,0))</f>
        <v>350</v>
      </c>
      <c r="Y146" s="187">
        <f>INDEX('Revenue by Customer'!Y:Y,MATCH('Full Customer List'!$B146,'Revenue by Customer'!$A:$A,0))</f>
        <v>350</v>
      </c>
      <c r="Z146" s="187">
        <f>INDEX('Revenue by Customer'!Z:Z,MATCH('Full Customer List'!$B146,'Revenue by Customer'!$A:$A,0))</f>
        <v>350</v>
      </c>
      <c r="AA146" s="187">
        <f>INDEX('Revenue by Customer'!AA:AA,MATCH('Full Customer List'!$B146,'Revenue by Customer'!$A:$A,0))</f>
        <v>350</v>
      </c>
      <c r="AB146" s="187">
        <f>INDEX('Revenue by Customer'!AB:AB,MATCH('Full Customer List'!$B146,'Revenue by Customer'!$A:$A,0))</f>
        <v>350</v>
      </c>
      <c r="AC146" s="187">
        <f>INDEX('Revenue by Customer'!AC:AC,MATCH('Full Customer List'!$B146,'Revenue by Customer'!$A:$A,0))</f>
        <v>350</v>
      </c>
    </row>
    <row r="147" spans="2:29" ht="12" customHeight="1">
      <c r="B147" s="171" t="s">
        <v>770</v>
      </c>
      <c r="C147" s="171" t="str">
        <f>INDEX('Customer List w Software'!$B:$B,MATCH('Full Customer List'!$B147,'Customer List w Software'!$A:$A,0))</f>
        <v>Former client</v>
      </c>
      <c r="D147" s="171" t="str">
        <f>INDEX('Customer List w Software'!$C:$C,MATCH('Full Customer List'!$B147,'Customer List w Software'!$A:$A,0))</f>
        <v>STR owner</v>
      </c>
      <c r="E147" s="171" t="str">
        <f>INDEX('Customer List Mapping'!$C:$C,MATCH('Full Customer List'!D147,'Customer List Mapping'!$B:$B,0))</f>
        <v>STR Owner</v>
      </c>
      <c r="F147" s="187" t="str">
        <f>INDEX('Customer List w Software'!$K:$K,MATCH('Full Customer List'!$B147,'Customer List w Software'!$A:$A,0))</f>
        <v/>
      </c>
      <c r="G147" s="187">
        <f>INDEX('Revenue by Customer'!$I:$I,MATCH('Full Customer List'!$B147,'Revenue by Customer'!$A:$A,0))</f>
        <v>500</v>
      </c>
      <c r="H147" s="250" t="str">
        <f>IFERROR(IF(C147="Active","",INDEX('Client Departures'!$G:$G,MATCH('Full Customer List'!$B147,'Client Departures'!$A:$A,0))),"Unclassified")</f>
        <v>Yes</v>
      </c>
      <c r="I147" s="191">
        <v>45597</v>
      </c>
      <c r="J147" s="191">
        <v>46173</v>
      </c>
      <c r="K147" s="187">
        <f>INDEX('Revenue by Customer'!K:K,MATCH('Full Customer List'!$B147,'Revenue by Customer'!$A:$A,0))</f>
        <v>550</v>
      </c>
      <c r="L147" s="187">
        <f>INDEX('Revenue by Customer'!L:L,MATCH('Full Customer List'!$B147,'Revenue by Customer'!$A:$A,0))</f>
        <v>450</v>
      </c>
      <c r="M147" s="187">
        <f>INDEX('Revenue by Customer'!M:M,MATCH('Full Customer List'!$B147,'Revenue by Customer'!$A:$A,0))</f>
        <v>450</v>
      </c>
      <c r="N147" s="187">
        <f>INDEX('Revenue by Customer'!N:N,MATCH('Full Customer List'!$B147,'Revenue by Customer'!$A:$A,0))</f>
        <v>450</v>
      </c>
      <c r="O147" s="187">
        <f>INDEX('Revenue by Customer'!O:O,MATCH('Full Customer List'!$B147,'Revenue by Customer'!$A:$A,0))</f>
        <v>450</v>
      </c>
      <c r="P147" s="187">
        <f>INDEX('Revenue by Customer'!P:P,MATCH('Full Customer List'!$B147,'Revenue by Customer'!$A:$A,0))</f>
        <v>450</v>
      </c>
      <c r="Q147" s="187">
        <f>INDEX('Revenue by Customer'!Q:Q,MATCH('Full Customer List'!$B147,'Revenue by Customer'!$A:$A,0))</f>
        <v>450</v>
      </c>
      <c r="R147" s="187">
        <f>INDEX('Revenue by Customer'!R:R,MATCH('Full Customer List'!$B147,'Revenue by Customer'!$A:$A,0))</f>
        <v>450</v>
      </c>
      <c r="S147" s="187">
        <f>INDEX('Revenue by Customer'!S:S,MATCH('Full Customer List'!$B147,'Revenue by Customer'!$A:$A,0))</f>
        <v>500</v>
      </c>
      <c r="T147" s="187">
        <f>INDEX('Revenue by Customer'!T:T,MATCH('Full Customer List'!$B147,'Revenue by Customer'!$A:$A,0))</f>
        <v>600</v>
      </c>
      <c r="U147" s="187">
        <f>INDEX('Revenue by Customer'!U:U,MATCH('Full Customer List'!$B147,'Revenue by Customer'!$A:$A,0))</f>
        <v>600</v>
      </c>
      <c r="V147" s="187">
        <f>INDEX('Revenue by Customer'!V:V,MATCH('Full Customer List'!$B147,'Revenue by Customer'!$A:$A,0))</f>
        <v>600</v>
      </c>
      <c r="W147" s="187">
        <f>INDEX('Revenue by Customer'!W:W,MATCH('Full Customer List'!$B147,'Revenue by Customer'!$A:$A,0))</f>
        <v>645</v>
      </c>
      <c r="X147" s="187">
        <f>INDEX('Revenue by Customer'!X:X,MATCH('Full Customer List'!$B147,'Revenue by Customer'!$A:$A,0))</f>
        <v>600</v>
      </c>
      <c r="Y147" s="187">
        <f>INDEX('Revenue by Customer'!Y:Y,MATCH('Full Customer List'!$B147,'Revenue by Customer'!$A:$A,0))</f>
        <v>500</v>
      </c>
      <c r="Z147" s="187">
        <f>INDEX('Revenue by Customer'!Z:Z,MATCH('Full Customer List'!$B147,'Revenue by Customer'!$A:$A,0))</f>
        <v>500</v>
      </c>
      <c r="AA147" s="187">
        <f>INDEX('Revenue by Customer'!AA:AA,MATCH('Full Customer List'!$B147,'Revenue by Customer'!$A:$A,0))</f>
        <v>500</v>
      </c>
      <c r="AB147" s="187" t="str">
        <f>INDEX('Revenue by Customer'!AB:AB,MATCH('Full Customer List'!$B147,'Revenue by Customer'!$A:$A,0))</f>
        <v/>
      </c>
      <c r="AC147" s="187" t="str">
        <f>INDEX('Revenue by Customer'!AC:AC,MATCH('Full Customer List'!$B147,'Revenue by Customer'!$A:$A,0))</f>
        <v/>
      </c>
    </row>
    <row r="148" spans="2:29" ht="12" customHeight="1">
      <c r="B148" s="171" t="s">
        <v>771</v>
      </c>
      <c r="C148" s="171" t="str">
        <f>INDEX('Customer List w Software'!$B:$B,MATCH('Full Customer List'!$B148,'Customer List w Software'!$A:$A,0))</f>
        <v>Active</v>
      </c>
      <c r="D148" s="171" t="str">
        <f>INDEX('Customer List w Software'!$C:$C,MATCH('Full Customer List'!$B148,'Customer List w Software'!$A:$A,0))</f>
        <v>Property manager</v>
      </c>
      <c r="E148" s="171" t="str">
        <f>INDEX('Customer List Mapping'!$C:$C,MATCH('Full Customer List'!D148,'Customer List Mapping'!$B:$B,0))</f>
        <v>Property Manager</v>
      </c>
      <c r="F148" s="187">
        <f>INDEX('Customer List w Software'!$K:$K,MATCH('Full Customer List'!$B148,'Customer List w Software'!$A:$A,0))</f>
        <v>17</v>
      </c>
      <c r="G148" s="187">
        <f>INDEX('Revenue by Customer'!$I:$I,MATCH('Full Customer List'!$B148,'Revenue by Customer'!$A:$A,0))</f>
        <v>1119.4666666666667</v>
      </c>
      <c r="H148" s="250" t="str">
        <f>IFERROR(IF(C148="Active","",INDEX('Client Departures'!$G:$G,MATCH('Full Customer List'!$B148,'Client Departures'!$A:$A,0))),"Unclassified")</f>
        <v/>
      </c>
      <c r="I148" s="191">
        <v>46082</v>
      </c>
      <c r="J148" s="191"/>
      <c r="K148" s="187" t="str">
        <f>INDEX('Revenue by Customer'!K:K,MATCH('Full Customer List'!$B148,'Revenue by Customer'!$A:$A,0))</f>
        <v/>
      </c>
      <c r="L148" s="187" t="str">
        <f>INDEX('Revenue by Customer'!L:L,MATCH('Full Customer List'!$B148,'Revenue by Customer'!$A:$A,0))</f>
        <v/>
      </c>
      <c r="M148" s="187" t="str">
        <f>INDEX('Revenue by Customer'!M:M,MATCH('Full Customer List'!$B148,'Revenue by Customer'!$A:$A,0))</f>
        <v/>
      </c>
      <c r="N148" s="187" t="str">
        <f>INDEX('Revenue by Customer'!N:N,MATCH('Full Customer List'!$B148,'Revenue by Customer'!$A:$A,0))</f>
        <v/>
      </c>
      <c r="O148" s="187" t="str">
        <f>INDEX('Revenue by Customer'!O:O,MATCH('Full Customer List'!$B148,'Revenue by Customer'!$A:$A,0))</f>
        <v/>
      </c>
      <c r="P148" s="187" t="str">
        <f>INDEX('Revenue by Customer'!P:P,MATCH('Full Customer List'!$B148,'Revenue by Customer'!$A:$A,0))</f>
        <v/>
      </c>
      <c r="Q148" s="187" t="str">
        <f>INDEX('Revenue by Customer'!Q:Q,MATCH('Full Customer List'!$B148,'Revenue by Customer'!$A:$A,0))</f>
        <v/>
      </c>
      <c r="R148" s="187" t="str">
        <f>INDEX('Revenue by Customer'!R:R,MATCH('Full Customer List'!$B148,'Revenue by Customer'!$A:$A,0))</f>
        <v/>
      </c>
      <c r="S148" s="187" t="str">
        <f>INDEX('Revenue by Customer'!S:S,MATCH('Full Customer List'!$B148,'Revenue by Customer'!$A:$A,0))</f>
        <v/>
      </c>
      <c r="T148" s="187" t="str">
        <f>INDEX('Revenue by Customer'!T:T,MATCH('Full Customer List'!$B148,'Revenue by Customer'!$A:$A,0))</f>
        <v/>
      </c>
      <c r="U148" s="187" t="str">
        <f>INDEX('Revenue by Customer'!U:U,MATCH('Full Customer List'!$B148,'Revenue by Customer'!$A:$A,0))</f>
        <v/>
      </c>
      <c r="V148" s="187" t="str">
        <f>INDEX('Revenue by Customer'!V:V,MATCH('Full Customer List'!$B148,'Revenue by Customer'!$A:$A,0))</f>
        <v/>
      </c>
      <c r="W148" s="187" t="str">
        <f>INDEX('Revenue by Customer'!W:W,MATCH('Full Customer List'!$B148,'Revenue by Customer'!$A:$A,0))</f>
        <v/>
      </c>
      <c r="X148" s="187" t="str">
        <f>INDEX('Revenue by Customer'!X:X,MATCH('Full Customer List'!$B148,'Revenue by Customer'!$A:$A,0))</f>
        <v/>
      </c>
      <c r="Y148" s="187">
        <f>INDEX('Revenue by Customer'!Y:Y,MATCH('Full Customer List'!$B148,'Revenue by Customer'!$A:$A,0))</f>
        <v>1425</v>
      </c>
      <c r="Z148" s="187">
        <f>INDEX('Revenue by Customer'!Z:Z,MATCH('Full Customer List'!$B148,'Revenue by Customer'!$A:$A,0))</f>
        <v>705</v>
      </c>
      <c r="AA148" s="187">
        <f>INDEX('Revenue by Customer'!AA:AA,MATCH('Full Customer List'!$B148,'Revenue by Customer'!$A:$A,0))</f>
        <v>947.4</v>
      </c>
      <c r="AB148" s="187">
        <f>INDEX('Revenue by Customer'!AB:AB,MATCH('Full Customer List'!$B148,'Revenue by Customer'!$A:$A,0))</f>
        <v>1094</v>
      </c>
      <c r="AC148" s="187">
        <f>INDEX('Revenue by Customer'!AC:AC,MATCH('Full Customer List'!$B148,'Revenue by Customer'!$A:$A,0))</f>
        <v>1317</v>
      </c>
    </row>
    <row r="149" spans="2:29" ht="12" customHeight="1">
      <c r="B149" s="171" t="s">
        <v>772</v>
      </c>
      <c r="C149" s="171" t="str">
        <f>INDEX('Customer List w Software'!$B:$B,MATCH('Full Customer List'!$B149,'Customer List w Software'!$A:$A,0))</f>
        <v>Active</v>
      </c>
      <c r="D149" s="171" t="str">
        <f>INDEX('Customer List w Software'!$C:$C,MATCH('Full Customer List'!$B149,'Customer List w Software'!$A:$A,0))</f>
        <v>Property manager</v>
      </c>
      <c r="E149" s="171" t="str">
        <f>INDEX('Customer List Mapping'!$C:$C,MATCH('Full Customer List'!D149,'Customer List Mapping'!$B:$B,0))</f>
        <v>Property Manager</v>
      </c>
      <c r="F149" s="187">
        <f>INDEX('Customer List w Software'!$K:$K,MATCH('Full Customer List'!$B149,'Customer List w Software'!$A:$A,0))</f>
        <v>4</v>
      </c>
      <c r="G149" s="187">
        <f>INDEX('Revenue by Customer'!$I:$I,MATCH('Full Customer List'!$B149,'Revenue by Customer'!$A:$A,0))</f>
        <v>495</v>
      </c>
      <c r="H149" s="250" t="str">
        <f>IFERROR(IF(C149="Active","",INDEX('Client Departures'!$G:$G,MATCH('Full Customer List'!$B149,'Client Departures'!$A:$A,0))),"Unclassified")</f>
        <v/>
      </c>
      <c r="I149" s="191">
        <v>45748</v>
      </c>
      <c r="J149" s="191"/>
      <c r="K149" s="187" t="str">
        <f>INDEX('Revenue by Customer'!K:K,MATCH('Full Customer List'!$B149,'Revenue by Customer'!$A:$A,0))</f>
        <v/>
      </c>
      <c r="L149" s="187" t="str">
        <f>INDEX('Revenue by Customer'!L:L,MATCH('Full Customer List'!$B149,'Revenue by Customer'!$A:$A,0))</f>
        <v/>
      </c>
      <c r="M149" s="187" t="str">
        <f>INDEX('Revenue by Customer'!M:M,MATCH('Full Customer List'!$B149,'Revenue by Customer'!$A:$A,0))</f>
        <v/>
      </c>
      <c r="N149" s="187">
        <f>INDEX('Revenue by Customer'!N:N,MATCH('Full Customer List'!$B149,'Revenue by Customer'!$A:$A,0))</f>
        <v>640</v>
      </c>
      <c r="O149" s="187">
        <f>INDEX('Revenue by Customer'!O:O,MATCH('Full Customer List'!$B149,'Revenue by Customer'!$A:$A,0))</f>
        <v>340</v>
      </c>
      <c r="P149" s="187">
        <f>INDEX('Revenue by Customer'!P:P,MATCH('Full Customer List'!$B149,'Revenue by Customer'!$A:$A,0))</f>
        <v>340</v>
      </c>
      <c r="Q149" s="187">
        <f>INDEX('Revenue by Customer'!Q:Q,MATCH('Full Customer List'!$B149,'Revenue by Customer'!$A:$A,0))</f>
        <v>400</v>
      </c>
      <c r="R149" s="187">
        <f>INDEX('Revenue by Customer'!R:R,MATCH('Full Customer List'!$B149,'Revenue by Customer'!$A:$A,0))</f>
        <v>400</v>
      </c>
      <c r="S149" s="187">
        <f>INDEX('Revenue by Customer'!S:S,MATCH('Full Customer List'!$B149,'Revenue by Customer'!$A:$A,0))</f>
        <v>400</v>
      </c>
      <c r="T149" s="187">
        <f>INDEX('Revenue by Customer'!T:T,MATCH('Full Customer List'!$B149,'Revenue by Customer'!$A:$A,0))</f>
        <v>400</v>
      </c>
      <c r="U149" s="187">
        <f>INDEX('Revenue by Customer'!U:U,MATCH('Full Customer List'!$B149,'Revenue by Customer'!$A:$A,0))</f>
        <v>400</v>
      </c>
      <c r="V149" s="187">
        <f>INDEX('Revenue by Customer'!V:V,MATCH('Full Customer List'!$B149,'Revenue by Customer'!$A:$A,0))</f>
        <v>400</v>
      </c>
      <c r="W149" s="187">
        <f>INDEX('Revenue by Customer'!W:W,MATCH('Full Customer List'!$B149,'Revenue by Customer'!$A:$A,0))</f>
        <v>400</v>
      </c>
      <c r="X149" s="187">
        <f>INDEX('Revenue by Customer'!X:X,MATCH('Full Customer List'!$B149,'Revenue by Customer'!$A:$A,0))</f>
        <v>550</v>
      </c>
      <c r="Y149" s="187">
        <f>INDEX('Revenue by Customer'!Y:Y,MATCH('Full Customer List'!$B149,'Revenue by Customer'!$A:$A,0))</f>
        <v>475</v>
      </c>
      <c r="Z149" s="187">
        <f>INDEX('Revenue by Customer'!Z:Z,MATCH('Full Customer List'!$B149,'Revenue by Customer'!$A:$A,0))</f>
        <v>495</v>
      </c>
      <c r="AA149" s="187">
        <f>INDEX('Revenue by Customer'!AA:AA,MATCH('Full Customer List'!$B149,'Revenue by Customer'!$A:$A,0))</f>
        <v>495</v>
      </c>
      <c r="AB149" s="187">
        <f>INDEX('Revenue by Customer'!AB:AB,MATCH('Full Customer List'!$B149,'Revenue by Customer'!$A:$A,0))</f>
        <v>495</v>
      </c>
      <c r="AC149" s="187">
        <f>INDEX('Revenue by Customer'!AC:AC,MATCH('Full Customer List'!$B149,'Revenue by Customer'!$A:$A,0))</f>
        <v>495</v>
      </c>
    </row>
    <row r="150" spans="2:29" ht="12" customHeight="1">
      <c r="B150" s="171" t="s">
        <v>773</v>
      </c>
      <c r="C150" s="171" t="str">
        <f>INDEX('Customer List w Software'!$B:$B,MATCH('Full Customer List'!$B150,'Customer List w Software'!$A:$A,0))</f>
        <v>Former client</v>
      </c>
      <c r="D150" s="171" t="str">
        <f>INDEX('Customer List w Software'!$C:$C,MATCH('Full Customer List'!$B150,'Customer List w Software'!$A:$A,0))</f>
        <v>Small business</v>
      </c>
      <c r="E150" s="171" t="str">
        <f>INDEX('Customer List Mapping'!$C:$C,MATCH('Full Customer List'!D150,'Customer List Mapping'!$B:$B,0))</f>
        <v>Small Business</v>
      </c>
      <c r="F150" s="187" t="str">
        <f>INDEX('Customer List w Software'!$K:$K,MATCH('Full Customer List'!$B150,'Customer List w Software'!$A:$A,0))</f>
        <v/>
      </c>
      <c r="G150" s="187">
        <f>INDEX('Revenue by Customer'!$I:$I,MATCH('Full Customer List'!$B150,'Revenue by Customer'!$A:$A,0))</f>
        <v>455</v>
      </c>
      <c r="H150" s="250" t="str">
        <f>IFERROR(IF(C150="Active","",INDEX('Client Departures'!$G:$G,MATCH('Full Customer List'!$B150,'Client Departures'!$A:$A,0))),"Unclassified")</f>
        <v>Unclassified</v>
      </c>
      <c r="I150" s="191">
        <v>44317</v>
      </c>
      <c r="J150" s="191">
        <v>46234</v>
      </c>
      <c r="K150" s="187">
        <f>INDEX('Revenue by Customer'!K:K,MATCH('Full Customer List'!$B150,'Revenue by Customer'!$A:$A,0))</f>
        <v>495</v>
      </c>
      <c r="L150" s="187">
        <f>INDEX('Revenue by Customer'!L:L,MATCH('Full Customer List'!$B150,'Revenue by Customer'!$A:$A,0))</f>
        <v>435</v>
      </c>
      <c r="M150" s="187">
        <f>INDEX('Revenue by Customer'!M:M,MATCH('Full Customer List'!$B150,'Revenue by Customer'!$A:$A,0))</f>
        <v>435</v>
      </c>
      <c r="N150" s="187">
        <f>INDEX('Revenue by Customer'!N:N,MATCH('Full Customer List'!$B150,'Revenue by Customer'!$A:$A,0))</f>
        <v>435</v>
      </c>
      <c r="O150" s="187">
        <f>INDEX('Revenue by Customer'!O:O,MATCH('Full Customer List'!$B150,'Revenue by Customer'!$A:$A,0))</f>
        <v>435</v>
      </c>
      <c r="P150" s="187">
        <f>INDEX('Revenue by Customer'!P:P,MATCH('Full Customer List'!$B150,'Revenue by Customer'!$A:$A,0))</f>
        <v>435</v>
      </c>
      <c r="Q150" s="187">
        <f>INDEX('Revenue by Customer'!Q:Q,MATCH('Full Customer List'!$B150,'Revenue by Customer'!$A:$A,0))</f>
        <v>435</v>
      </c>
      <c r="R150" s="187">
        <f>INDEX('Revenue by Customer'!R:R,MATCH('Full Customer List'!$B150,'Revenue by Customer'!$A:$A,0))</f>
        <v>435</v>
      </c>
      <c r="S150" s="187">
        <f>INDEX('Revenue by Customer'!S:S,MATCH('Full Customer List'!$B150,'Revenue by Customer'!$A:$A,0))</f>
        <v>435</v>
      </c>
      <c r="T150" s="187">
        <f>INDEX('Revenue by Customer'!T:T,MATCH('Full Customer List'!$B150,'Revenue by Customer'!$A:$A,0))</f>
        <v>435</v>
      </c>
      <c r="U150" s="187">
        <f>INDEX('Revenue by Customer'!U:U,MATCH('Full Customer List'!$B150,'Revenue by Customer'!$A:$A,0))</f>
        <v>455</v>
      </c>
      <c r="V150" s="187">
        <f>INDEX('Revenue by Customer'!V:V,MATCH('Full Customer List'!$B150,'Revenue by Customer'!$A:$A,0))</f>
        <v>455</v>
      </c>
      <c r="W150" s="187">
        <f>INDEX('Revenue by Customer'!W:W,MATCH('Full Customer List'!$B150,'Revenue by Customer'!$A:$A,0))</f>
        <v>455</v>
      </c>
      <c r="X150" s="187">
        <f>INDEX('Revenue by Customer'!X:X,MATCH('Full Customer List'!$B150,'Revenue by Customer'!$A:$A,0))</f>
        <v>455</v>
      </c>
      <c r="Y150" s="187">
        <f>INDEX('Revenue by Customer'!Y:Y,MATCH('Full Customer List'!$B150,'Revenue by Customer'!$A:$A,0))</f>
        <v>455</v>
      </c>
      <c r="Z150" s="187">
        <f>INDEX('Revenue by Customer'!Z:Z,MATCH('Full Customer List'!$B150,'Revenue by Customer'!$A:$A,0))</f>
        <v>455</v>
      </c>
      <c r="AA150" s="187">
        <f>INDEX('Revenue by Customer'!AA:AA,MATCH('Full Customer List'!$B150,'Revenue by Customer'!$A:$A,0))</f>
        <v>455</v>
      </c>
      <c r="AB150" s="187">
        <f>INDEX('Revenue by Customer'!AB:AB,MATCH('Full Customer List'!$B150,'Revenue by Customer'!$A:$A,0))</f>
        <v>455</v>
      </c>
      <c r="AC150" s="187">
        <f>INDEX('Revenue by Customer'!AC:AC,MATCH('Full Customer List'!$B150,'Revenue by Customer'!$A:$A,0))</f>
        <v>455</v>
      </c>
    </row>
    <row r="151" spans="2:29" ht="12" customHeight="1">
      <c r="B151" s="171" t="s">
        <v>775</v>
      </c>
      <c r="C151" s="171" t="str">
        <f>INDEX('Customer List w Software'!$B:$B,MATCH('Full Customer List'!$B151,'Customer List w Software'!$A:$A,0))</f>
        <v>Former client</v>
      </c>
      <c r="D151" s="171" t="str">
        <f>INDEX('Customer List w Software'!$C:$C,MATCH('Full Customer List'!$B151,'Customer List w Software'!$A:$A,0))</f>
        <v>Small business</v>
      </c>
      <c r="E151" s="171" t="str">
        <f>INDEX('Customer List Mapping'!$C:$C,MATCH('Full Customer List'!D151,'Customer List Mapping'!$B:$B,0))</f>
        <v>Small Business</v>
      </c>
      <c r="F151" s="187" t="str">
        <f>INDEX('Customer List w Software'!$K:$K,MATCH('Full Customer List'!$B151,'Customer List w Software'!$A:$A,0))</f>
        <v/>
      </c>
      <c r="G151" s="187">
        <f>INDEX('Revenue by Customer'!$I:$I,MATCH('Full Customer List'!$B151,'Revenue by Customer'!$A:$A,0))</f>
        <v>455</v>
      </c>
      <c r="H151" s="250" t="str">
        <f>IFERROR(IF(C151="Active","",INDEX('Client Departures'!$G:$G,MATCH('Full Customer List'!$B151,'Client Departures'!$A:$A,0))),"Unclassified")</f>
        <v>No</v>
      </c>
      <c r="I151" s="191">
        <v>44927</v>
      </c>
      <c r="J151" s="191">
        <v>46234</v>
      </c>
      <c r="K151" s="187">
        <f>INDEX('Revenue by Customer'!K:K,MATCH('Full Customer List'!$B151,'Revenue by Customer'!$A:$A,0))</f>
        <v>440</v>
      </c>
      <c r="L151" s="187">
        <f>INDEX('Revenue by Customer'!L:L,MATCH('Full Customer List'!$B151,'Revenue by Customer'!$A:$A,0))</f>
        <v>455</v>
      </c>
      <c r="M151" s="187">
        <f>INDEX('Revenue by Customer'!M:M,MATCH('Full Customer List'!$B151,'Revenue by Customer'!$A:$A,0))</f>
        <v>440</v>
      </c>
      <c r="N151" s="187">
        <f>INDEX('Revenue by Customer'!N:N,MATCH('Full Customer List'!$B151,'Revenue by Customer'!$A:$A,0))</f>
        <v>440</v>
      </c>
      <c r="O151" s="187">
        <f>INDEX('Revenue by Customer'!O:O,MATCH('Full Customer List'!$B151,'Revenue by Customer'!$A:$A,0))</f>
        <v>440</v>
      </c>
      <c r="P151" s="187">
        <f>INDEX('Revenue by Customer'!P:P,MATCH('Full Customer List'!$B151,'Revenue by Customer'!$A:$A,0))</f>
        <v>440</v>
      </c>
      <c r="Q151" s="187">
        <f>INDEX('Revenue by Customer'!Q:Q,MATCH('Full Customer List'!$B151,'Revenue by Customer'!$A:$A,0))</f>
        <v>440</v>
      </c>
      <c r="R151" s="187">
        <f>INDEX('Revenue by Customer'!R:R,MATCH('Full Customer List'!$B151,'Revenue by Customer'!$A:$A,0))</f>
        <v>440</v>
      </c>
      <c r="S151" s="187">
        <f>INDEX('Revenue by Customer'!S:S,MATCH('Full Customer List'!$B151,'Revenue by Customer'!$A:$A,0))</f>
        <v>440</v>
      </c>
      <c r="T151" s="187">
        <f>INDEX('Revenue by Customer'!T:T,MATCH('Full Customer List'!$B151,'Revenue by Customer'!$A:$A,0))</f>
        <v>440</v>
      </c>
      <c r="U151" s="187">
        <f>INDEX('Revenue by Customer'!U:U,MATCH('Full Customer List'!$B151,'Revenue by Customer'!$A:$A,0))</f>
        <v>440</v>
      </c>
      <c r="V151" s="187">
        <f>INDEX('Revenue by Customer'!V:V,MATCH('Full Customer List'!$B151,'Revenue by Customer'!$A:$A,0))</f>
        <v>440</v>
      </c>
      <c r="W151" s="187">
        <f>INDEX('Revenue by Customer'!W:W,MATCH('Full Customer List'!$B151,'Revenue by Customer'!$A:$A,0))</f>
        <v>455</v>
      </c>
      <c r="X151" s="187">
        <f>INDEX('Revenue by Customer'!X:X,MATCH('Full Customer List'!$B151,'Revenue by Customer'!$A:$A,0))</f>
        <v>455</v>
      </c>
      <c r="Y151" s="187">
        <f>INDEX('Revenue by Customer'!Y:Y,MATCH('Full Customer List'!$B151,'Revenue by Customer'!$A:$A,0))</f>
        <v>455</v>
      </c>
      <c r="Z151" s="187">
        <f>INDEX('Revenue by Customer'!Z:Z,MATCH('Full Customer List'!$B151,'Revenue by Customer'!$A:$A,0))</f>
        <v>455</v>
      </c>
      <c r="AA151" s="187">
        <f>INDEX('Revenue by Customer'!AA:AA,MATCH('Full Customer List'!$B151,'Revenue by Customer'!$A:$A,0))</f>
        <v>455</v>
      </c>
      <c r="AB151" s="187">
        <f>INDEX('Revenue by Customer'!AB:AB,MATCH('Full Customer List'!$B151,'Revenue by Customer'!$A:$A,0))</f>
        <v>455</v>
      </c>
      <c r="AC151" s="187">
        <f>INDEX('Revenue by Customer'!AC:AC,MATCH('Full Customer List'!$B151,'Revenue by Customer'!$A:$A,0))</f>
        <v>455</v>
      </c>
    </row>
    <row r="152" spans="2:29" ht="12" customHeight="1">
      <c r="B152" s="171" t="s">
        <v>778</v>
      </c>
      <c r="C152" s="171" t="str">
        <f>INDEX('Customer List w Software'!$B:$B,MATCH('Full Customer List'!$B152,'Customer List w Software'!$A:$A,0))</f>
        <v>Active</v>
      </c>
      <c r="D152" s="171" t="str">
        <f>INDEX('Customer List w Software'!$C:$C,MATCH('Full Customer List'!$B152,'Customer List w Software'!$A:$A,0))</f>
        <v>STR owner</v>
      </c>
      <c r="E152" s="171" t="str">
        <f>INDEX('Customer List Mapping'!$C:$C,MATCH('Full Customer List'!D152,'Customer List Mapping'!$B:$B,0))</f>
        <v>STR Owner</v>
      </c>
      <c r="F152" s="187" t="str">
        <f>INDEX('Customer List w Software'!$K:$K,MATCH('Full Customer List'!$B152,'Customer List w Software'!$A:$A,0))</f>
        <v/>
      </c>
      <c r="G152" s="187">
        <f>INDEX('Revenue by Customer'!$I:$I,MATCH('Full Customer List'!$B152,'Revenue by Customer'!$A:$A,0))</f>
        <v>425</v>
      </c>
      <c r="H152" s="250" t="str">
        <f>IFERROR(IF(C152="Active","",INDEX('Client Departures'!$G:$G,MATCH('Full Customer List'!$B152,'Client Departures'!$A:$A,0))),"Unclassified")</f>
        <v/>
      </c>
      <c r="I152" s="191">
        <v>45566</v>
      </c>
      <c r="J152" s="191"/>
      <c r="K152" s="187">
        <f>INDEX('Revenue by Customer'!K:K,MATCH('Full Customer List'!$B152,'Revenue by Customer'!$A:$A,0))</f>
        <v>395</v>
      </c>
      <c r="L152" s="187">
        <f>INDEX('Revenue by Customer'!L:L,MATCH('Full Customer List'!$B152,'Revenue by Customer'!$A:$A,0))</f>
        <v>785</v>
      </c>
      <c r="M152" s="187">
        <f>INDEX('Revenue by Customer'!M:M,MATCH('Full Customer List'!$B152,'Revenue by Customer'!$A:$A,0))</f>
        <v>395</v>
      </c>
      <c r="N152" s="187">
        <f>INDEX('Revenue by Customer'!N:N,MATCH('Full Customer List'!$B152,'Revenue by Customer'!$A:$A,0))</f>
        <v>395</v>
      </c>
      <c r="O152" s="187">
        <f>INDEX('Revenue by Customer'!O:O,MATCH('Full Customer List'!$B152,'Revenue by Customer'!$A:$A,0))</f>
        <v>395</v>
      </c>
      <c r="P152" s="187">
        <f>INDEX('Revenue by Customer'!P:P,MATCH('Full Customer List'!$B152,'Revenue by Customer'!$A:$A,0))</f>
        <v>395</v>
      </c>
      <c r="Q152" s="187">
        <f>INDEX('Revenue by Customer'!Q:Q,MATCH('Full Customer List'!$B152,'Revenue by Customer'!$A:$A,0))</f>
        <v>395</v>
      </c>
      <c r="R152" s="187">
        <f>INDEX('Revenue by Customer'!R:R,MATCH('Full Customer List'!$B152,'Revenue by Customer'!$A:$A,0))</f>
        <v>395</v>
      </c>
      <c r="S152" s="187">
        <f>INDEX('Revenue by Customer'!S:S,MATCH('Full Customer List'!$B152,'Revenue by Customer'!$A:$A,0))</f>
        <v>395</v>
      </c>
      <c r="T152" s="187">
        <f>INDEX('Revenue by Customer'!T:T,MATCH('Full Customer List'!$B152,'Revenue by Customer'!$A:$A,0))</f>
        <v>425</v>
      </c>
      <c r="U152" s="187">
        <f>INDEX('Revenue by Customer'!U:U,MATCH('Full Customer List'!$B152,'Revenue by Customer'!$A:$A,0))</f>
        <v>425</v>
      </c>
      <c r="V152" s="187">
        <f>INDEX('Revenue by Customer'!V:V,MATCH('Full Customer List'!$B152,'Revenue by Customer'!$A:$A,0))</f>
        <v>425</v>
      </c>
      <c r="W152" s="187">
        <f>INDEX('Revenue by Customer'!W:W,MATCH('Full Customer List'!$B152,'Revenue by Customer'!$A:$A,0))</f>
        <v>425</v>
      </c>
      <c r="X152" s="187">
        <f>INDEX('Revenue by Customer'!X:X,MATCH('Full Customer List'!$B152,'Revenue by Customer'!$A:$A,0))</f>
        <v>665</v>
      </c>
      <c r="Y152" s="187">
        <f>INDEX('Revenue by Customer'!Y:Y,MATCH('Full Customer List'!$B152,'Revenue by Customer'!$A:$A,0))</f>
        <v>425</v>
      </c>
      <c r="Z152" s="187">
        <f>INDEX('Revenue by Customer'!Z:Z,MATCH('Full Customer List'!$B152,'Revenue by Customer'!$A:$A,0))</f>
        <v>425</v>
      </c>
      <c r="AA152" s="187">
        <f>INDEX('Revenue by Customer'!AA:AA,MATCH('Full Customer List'!$B152,'Revenue by Customer'!$A:$A,0))</f>
        <v>425</v>
      </c>
      <c r="AB152" s="187">
        <f>INDEX('Revenue by Customer'!AB:AB,MATCH('Full Customer List'!$B152,'Revenue by Customer'!$A:$A,0))</f>
        <v>425</v>
      </c>
      <c r="AC152" s="187">
        <f>INDEX('Revenue by Customer'!AC:AC,MATCH('Full Customer List'!$B152,'Revenue by Customer'!$A:$A,0))</f>
        <v>425</v>
      </c>
    </row>
    <row r="153" spans="2:29" ht="12" customHeight="1">
      <c r="B153" s="171" t="s">
        <v>779</v>
      </c>
      <c r="C153" s="171" t="str">
        <f>INDEX('Customer List w Software'!$B:$B,MATCH('Full Customer List'!$B153,'Customer List w Software'!$A:$A,0))</f>
        <v>Active</v>
      </c>
      <c r="D153" s="171" t="str">
        <f>INDEX('Customer List w Software'!$C:$C,MATCH('Full Customer List'!$B153,'Customer List w Software'!$A:$A,0))</f>
        <v>STR owner</v>
      </c>
      <c r="E153" s="171" t="str">
        <f>INDEX('Customer List Mapping'!$C:$C,MATCH('Full Customer List'!D153,'Customer List Mapping'!$B:$B,0))</f>
        <v>STR Owner</v>
      </c>
      <c r="F153" s="187" t="str">
        <f>INDEX('Customer List w Software'!$K:$K,MATCH('Full Customer List'!$B153,'Customer List w Software'!$A:$A,0))</f>
        <v/>
      </c>
      <c r="G153" s="187">
        <f>INDEX('Revenue by Customer'!$I:$I,MATCH('Full Customer List'!$B153,'Revenue by Customer'!$A:$A,0))</f>
        <v>406.66666666666669</v>
      </c>
      <c r="H153" s="250" t="str">
        <f>IFERROR(IF(C153="Active","",INDEX('Client Departures'!$G:$G,MATCH('Full Customer List'!$B153,'Client Departures'!$A:$A,0))),"Unclassified")</f>
        <v/>
      </c>
      <c r="I153" s="191">
        <v>45658</v>
      </c>
      <c r="J153" s="191"/>
      <c r="K153" s="187">
        <f>INDEX('Revenue by Customer'!K:K,MATCH('Full Customer List'!$B153,'Revenue by Customer'!$A:$A,0))</f>
        <v>474</v>
      </c>
      <c r="L153" s="187">
        <f>INDEX('Revenue by Customer'!L:L,MATCH('Full Customer List'!$B153,'Revenue by Customer'!$A:$A,0))</f>
        <v>568</v>
      </c>
      <c r="M153" s="187">
        <f>INDEX('Revenue by Customer'!M:M,MATCH('Full Customer List'!$B153,'Revenue by Customer'!$A:$A,0))</f>
        <v>553</v>
      </c>
      <c r="N153" s="187">
        <f>INDEX('Revenue by Customer'!N:N,MATCH('Full Customer List'!$B153,'Revenue by Customer'!$A:$A,0))</f>
        <v>553</v>
      </c>
      <c r="O153" s="187">
        <f>INDEX('Revenue by Customer'!O:O,MATCH('Full Customer List'!$B153,'Revenue by Customer'!$A:$A,0))</f>
        <v>237</v>
      </c>
      <c r="P153" s="187">
        <f>INDEX('Revenue by Customer'!P:P,MATCH('Full Customer List'!$B153,'Revenue by Customer'!$A:$A,0))</f>
        <v>400</v>
      </c>
      <c r="Q153" s="187">
        <f>INDEX('Revenue by Customer'!Q:Q,MATCH('Full Customer List'!$B153,'Revenue by Customer'!$A:$A,0))</f>
        <v>450</v>
      </c>
      <c r="R153" s="187">
        <f>INDEX('Revenue by Customer'!R:R,MATCH('Full Customer List'!$B153,'Revenue by Customer'!$A:$A,0))</f>
        <v>450</v>
      </c>
      <c r="S153" s="187">
        <f>INDEX('Revenue by Customer'!S:S,MATCH('Full Customer List'!$B153,'Revenue by Customer'!$A:$A,0))</f>
        <v>450</v>
      </c>
      <c r="T153" s="187">
        <f>INDEX('Revenue by Customer'!T:T,MATCH('Full Customer List'!$B153,'Revenue by Customer'!$A:$A,0))</f>
        <v>500</v>
      </c>
      <c r="U153" s="187">
        <f>INDEX('Revenue by Customer'!U:U,MATCH('Full Customer List'!$B153,'Revenue by Customer'!$A:$A,0))</f>
        <v>450</v>
      </c>
      <c r="V153" s="187">
        <f>INDEX('Revenue by Customer'!V:V,MATCH('Full Customer List'!$B153,'Revenue by Customer'!$A:$A,0))</f>
        <v>450</v>
      </c>
      <c r="W153" s="187">
        <f>INDEX('Revenue by Customer'!W:W,MATCH('Full Customer List'!$B153,'Revenue by Customer'!$A:$A,0))</f>
        <v>450</v>
      </c>
      <c r="X153" s="187">
        <f>INDEX('Revenue by Customer'!X:X,MATCH('Full Customer List'!$B153,'Revenue by Customer'!$A:$A,0))</f>
        <v>400</v>
      </c>
      <c r="Y153" s="187">
        <f>INDEX('Revenue by Customer'!Y:Y,MATCH('Full Customer List'!$B153,'Revenue by Customer'!$A:$A,0))</f>
        <v>400</v>
      </c>
      <c r="Z153" s="187">
        <f>INDEX('Revenue by Customer'!Z:Z,MATCH('Full Customer List'!$B153,'Revenue by Customer'!$A:$A,0))</f>
        <v>400</v>
      </c>
      <c r="AA153" s="187">
        <f>INDEX('Revenue by Customer'!AA:AA,MATCH('Full Customer List'!$B153,'Revenue by Customer'!$A:$A,0))</f>
        <v>400</v>
      </c>
      <c r="AB153" s="187">
        <f>INDEX('Revenue by Customer'!AB:AB,MATCH('Full Customer List'!$B153,'Revenue by Customer'!$A:$A,0))</f>
        <v>410</v>
      </c>
      <c r="AC153" s="187">
        <f>INDEX('Revenue by Customer'!AC:AC,MATCH('Full Customer List'!$B153,'Revenue by Customer'!$A:$A,0))</f>
        <v>410</v>
      </c>
    </row>
    <row r="154" spans="2:29" ht="12" customHeight="1">
      <c r="B154" s="171" t="s">
        <v>780</v>
      </c>
      <c r="C154" s="171" t="str">
        <f>INDEX('Customer List w Software'!$B:$B,MATCH('Full Customer List'!$B154,'Customer List w Software'!$A:$A,0))</f>
        <v>Active</v>
      </c>
      <c r="D154" s="171" t="str">
        <f>INDEX('Customer List w Software'!$C:$C,MATCH('Full Customer List'!$B154,'Customer List w Software'!$A:$A,0))</f>
        <v>Property manager</v>
      </c>
      <c r="E154" s="171" t="str">
        <f>INDEX('Customer List Mapping'!$C:$C,MATCH('Full Customer List'!D154,'Customer List Mapping'!$B:$B,0))</f>
        <v>Property Manager</v>
      </c>
      <c r="F154" s="187">
        <f>INDEX('Customer List w Software'!$K:$K,MATCH('Full Customer List'!$B154,'Customer List w Software'!$A:$A,0))</f>
        <v>13</v>
      </c>
      <c r="G154" s="187">
        <f>INDEX('Revenue by Customer'!$I:$I,MATCH('Full Customer List'!$B154,'Revenue by Customer'!$A:$A,0))</f>
        <v>1265</v>
      </c>
      <c r="H154" s="250" t="str">
        <f>IFERROR(IF(C154="Active","",INDEX('Client Departures'!$G:$G,MATCH('Full Customer List'!$B154,'Client Departures'!$A:$A,0))),"Unclassified")</f>
        <v/>
      </c>
      <c r="I154" s="191">
        <v>46113</v>
      </c>
      <c r="J154" s="191"/>
      <c r="K154" s="187" t="str">
        <f>INDEX('Revenue by Customer'!K:K,MATCH('Full Customer List'!$B154,'Revenue by Customer'!$A:$A,0))</f>
        <v/>
      </c>
      <c r="L154" s="187" t="str">
        <f>INDEX('Revenue by Customer'!L:L,MATCH('Full Customer List'!$B154,'Revenue by Customer'!$A:$A,0))</f>
        <v/>
      </c>
      <c r="M154" s="187" t="str">
        <f>INDEX('Revenue by Customer'!M:M,MATCH('Full Customer List'!$B154,'Revenue by Customer'!$A:$A,0))</f>
        <v/>
      </c>
      <c r="N154" s="187" t="str">
        <f>INDEX('Revenue by Customer'!N:N,MATCH('Full Customer List'!$B154,'Revenue by Customer'!$A:$A,0))</f>
        <v/>
      </c>
      <c r="O154" s="187" t="str">
        <f>INDEX('Revenue by Customer'!O:O,MATCH('Full Customer List'!$B154,'Revenue by Customer'!$A:$A,0))</f>
        <v/>
      </c>
      <c r="P154" s="187" t="str">
        <f>INDEX('Revenue by Customer'!P:P,MATCH('Full Customer List'!$B154,'Revenue by Customer'!$A:$A,0))</f>
        <v/>
      </c>
      <c r="Q154" s="187" t="str">
        <f>INDEX('Revenue by Customer'!Q:Q,MATCH('Full Customer List'!$B154,'Revenue by Customer'!$A:$A,0))</f>
        <v/>
      </c>
      <c r="R154" s="187" t="str">
        <f>INDEX('Revenue by Customer'!R:R,MATCH('Full Customer List'!$B154,'Revenue by Customer'!$A:$A,0))</f>
        <v/>
      </c>
      <c r="S154" s="187" t="str">
        <f>INDEX('Revenue by Customer'!S:S,MATCH('Full Customer List'!$B154,'Revenue by Customer'!$A:$A,0))</f>
        <v/>
      </c>
      <c r="T154" s="187" t="str">
        <f>INDEX('Revenue by Customer'!T:T,MATCH('Full Customer List'!$B154,'Revenue by Customer'!$A:$A,0))</f>
        <v/>
      </c>
      <c r="U154" s="187" t="str">
        <f>INDEX('Revenue by Customer'!U:U,MATCH('Full Customer List'!$B154,'Revenue by Customer'!$A:$A,0))</f>
        <v/>
      </c>
      <c r="V154" s="187" t="str">
        <f>INDEX('Revenue by Customer'!V:V,MATCH('Full Customer List'!$B154,'Revenue by Customer'!$A:$A,0))</f>
        <v/>
      </c>
      <c r="W154" s="187" t="str">
        <f>INDEX('Revenue by Customer'!W:W,MATCH('Full Customer List'!$B154,'Revenue by Customer'!$A:$A,0))</f>
        <v/>
      </c>
      <c r="X154" s="187" t="str">
        <f>INDEX('Revenue by Customer'!X:X,MATCH('Full Customer List'!$B154,'Revenue by Customer'!$A:$A,0))</f>
        <v/>
      </c>
      <c r="Y154" s="187" t="str">
        <f>INDEX('Revenue by Customer'!Y:Y,MATCH('Full Customer List'!$B154,'Revenue by Customer'!$A:$A,0))</f>
        <v/>
      </c>
      <c r="Z154" s="187">
        <f>INDEX('Revenue by Customer'!Z:Z,MATCH('Full Customer List'!$B154,'Revenue by Customer'!$A:$A,0))</f>
        <v>1360</v>
      </c>
      <c r="AA154" s="187">
        <f>INDEX('Revenue by Customer'!AA:AA,MATCH('Full Customer List'!$B154,'Revenue by Customer'!$A:$A,0))</f>
        <v>1430</v>
      </c>
      <c r="AB154" s="187">
        <f>INDEX('Revenue by Customer'!AB:AB,MATCH('Full Customer List'!$B154,'Revenue by Customer'!$A:$A,0))</f>
        <v>1430</v>
      </c>
      <c r="AC154" s="187">
        <f>INDEX('Revenue by Customer'!AC:AC,MATCH('Full Customer List'!$B154,'Revenue by Customer'!$A:$A,0))</f>
        <v>935</v>
      </c>
    </row>
    <row r="155" spans="2:29" ht="12" customHeight="1">
      <c r="B155" s="171" t="s">
        <v>782</v>
      </c>
      <c r="C155" s="171" t="str">
        <f>INDEX('Customer List w Software'!$B:$B,MATCH('Full Customer List'!$B155,'Customer List w Software'!$A:$A,0))</f>
        <v>Active</v>
      </c>
      <c r="D155" s="171" t="str">
        <f>INDEX('Customer List w Software'!$C:$C,MATCH('Full Customer List'!$B155,'Customer List w Software'!$A:$A,0))</f>
        <v>Property manager</v>
      </c>
      <c r="E155" s="171" t="str">
        <f>INDEX('Customer List Mapping'!$C:$C,MATCH('Full Customer List'!D155,'Customer List Mapping'!$B:$B,0))</f>
        <v>Property Manager</v>
      </c>
      <c r="F155" s="187">
        <f>INDEX('Customer List w Software'!$K:$K,MATCH('Full Customer List'!$B155,'Customer List w Software'!$A:$A,0))</f>
        <v>5</v>
      </c>
      <c r="G155" s="187">
        <f>INDEX('Revenue by Customer'!$I:$I,MATCH('Full Customer List'!$B155,'Revenue by Customer'!$A:$A,0))</f>
        <v>596.62</v>
      </c>
      <c r="H155" s="250" t="str">
        <f>IFERROR(IF(C155="Active","",INDEX('Client Departures'!$G:$G,MATCH('Full Customer List'!$B155,'Client Departures'!$A:$A,0))),"Unclassified")</f>
        <v/>
      </c>
      <c r="I155" s="191">
        <v>45870</v>
      </c>
      <c r="J155" s="191"/>
      <c r="K155" s="187" t="str">
        <f>INDEX('Revenue by Customer'!K:K,MATCH('Full Customer List'!$B155,'Revenue by Customer'!$A:$A,0))</f>
        <v/>
      </c>
      <c r="L155" s="187" t="str">
        <f>INDEX('Revenue by Customer'!L:L,MATCH('Full Customer List'!$B155,'Revenue by Customer'!$A:$A,0))</f>
        <v/>
      </c>
      <c r="M155" s="187" t="str">
        <f>INDEX('Revenue by Customer'!M:M,MATCH('Full Customer List'!$B155,'Revenue by Customer'!$A:$A,0))</f>
        <v/>
      </c>
      <c r="N155" s="187" t="str">
        <f>INDEX('Revenue by Customer'!N:N,MATCH('Full Customer List'!$B155,'Revenue by Customer'!$A:$A,0))</f>
        <v/>
      </c>
      <c r="O155" s="187" t="str">
        <f>INDEX('Revenue by Customer'!O:O,MATCH('Full Customer List'!$B155,'Revenue by Customer'!$A:$A,0))</f>
        <v/>
      </c>
      <c r="P155" s="187" t="str">
        <f>INDEX('Revenue by Customer'!P:P,MATCH('Full Customer List'!$B155,'Revenue by Customer'!$A:$A,0))</f>
        <v/>
      </c>
      <c r="Q155" s="187" t="str">
        <f>INDEX('Revenue by Customer'!Q:Q,MATCH('Full Customer List'!$B155,'Revenue by Customer'!$A:$A,0))</f>
        <v/>
      </c>
      <c r="R155" s="187" t="str">
        <f>INDEX('Revenue by Customer'!R:R,MATCH('Full Customer List'!$B155,'Revenue by Customer'!$A:$A,0))</f>
        <v/>
      </c>
      <c r="S155" s="187" t="str">
        <f>INDEX('Revenue by Customer'!S:S,MATCH('Full Customer List'!$B155,'Revenue by Customer'!$A:$A,0))</f>
        <v/>
      </c>
      <c r="T155" s="187" t="str">
        <f>INDEX('Revenue by Customer'!T:T,MATCH('Full Customer List'!$B155,'Revenue by Customer'!$A:$A,0))</f>
        <v/>
      </c>
      <c r="U155" s="187">
        <f>INDEX('Revenue by Customer'!U:U,MATCH('Full Customer List'!$B155,'Revenue by Customer'!$A:$A,0))</f>
        <v>715</v>
      </c>
      <c r="V155" s="187">
        <f>INDEX('Revenue by Customer'!V:V,MATCH('Full Customer List'!$B155,'Revenue by Customer'!$A:$A,0))</f>
        <v>490</v>
      </c>
      <c r="W155" s="187">
        <f>INDEX('Revenue by Customer'!W:W,MATCH('Full Customer List'!$B155,'Revenue by Customer'!$A:$A,0))</f>
        <v>490</v>
      </c>
      <c r="X155" s="187">
        <f>INDEX('Revenue by Customer'!X:X,MATCH('Full Customer List'!$B155,'Revenue by Customer'!$A:$A,0))</f>
        <v>520</v>
      </c>
      <c r="Y155" s="187">
        <f>INDEX('Revenue by Customer'!Y:Y,MATCH('Full Customer List'!$B155,'Revenue by Customer'!$A:$A,0))</f>
        <v>520</v>
      </c>
      <c r="Z155" s="187">
        <f>INDEX('Revenue by Customer'!Z:Z,MATCH('Full Customer List'!$B155,'Revenue by Customer'!$A:$A,0))</f>
        <v>625</v>
      </c>
      <c r="AA155" s="187">
        <f>INDEX('Revenue by Customer'!AA:AA,MATCH('Full Customer List'!$B155,'Revenue by Customer'!$A:$A,0))</f>
        <v>625</v>
      </c>
      <c r="AB155" s="187">
        <f>INDEX('Revenue by Customer'!AB:AB,MATCH('Full Customer List'!$B155,'Revenue by Customer'!$A:$A,0))</f>
        <v>539.86</v>
      </c>
      <c r="AC155" s="187">
        <f>INDEX('Revenue by Customer'!AC:AC,MATCH('Full Customer List'!$B155,'Revenue by Customer'!$A:$A,0))</f>
        <v>625</v>
      </c>
    </row>
    <row r="156" spans="2:29" ht="12" customHeight="1">
      <c r="B156" s="171" t="s">
        <v>783</v>
      </c>
      <c r="C156" s="171" t="str">
        <f>INDEX('Customer List w Software'!$B:$B,MATCH('Full Customer List'!$B156,'Customer List w Software'!$A:$A,0))</f>
        <v>Active</v>
      </c>
      <c r="D156" s="171" t="str">
        <f>INDEX('Customer List w Software'!$C:$C,MATCH('Full Customer List'!$B156,'Customer List w Software'!$A:$A,0))</f>
        <v>STR owner</v>
      </c>
      <c r="E156" s="171" t="str">
        <f>INDEX('Customer List Mapping'!$C:$C,MATCH('Full Customer List'!D156,'Customer List Mapping'!$B:$B,0))</f>
        <v>STR Owner</v>
      </c>
      <c r="F156" s="187" t="str">
        <f>INDEX('Customer List w Software'!$K:$K,MATCH('Full Customer List'!$B156,'Customer List w Software'!$A:$A,0))</f>
        <v/>
      </c>
      <c r="G156" s="187">
        <f>INDEX('Revenue by Customer'!$I:$I,MATCH('Full Customer List'!$B156,'Revenue by Customer'!$A:$A,0))</f>
        <v>410</v>
      </c>
      <c r="H156" s="250" t="str">
        <f>IFERROR(IF(C156="Active","",INDEX('Client Departures'!$G:$G,MATCH('Full Customer List'!$B156,'Client Departures'!$A:$A,0))),"Unclassified")</f>
        <v/>
      </c>
      <c r="I156" s="191">
        <v>45870</v>
      </c>
      <c r="J156" s="191"/>
      <c r="K156" s="187" t="str">
        <f>INDEX('Revenue by Customer'!K:K,MATCH('Full Customer List'!$B156,'Revenue by Customer'!$A:$A,0))</f>
        <v/>
      </c>
      <c r="L156" s="187" t="str">
        <f>INDEX('Revenue by Customer'!L:L,MATCH('Full Customer List'!$B156,'Revenue by Customer'!$A:$A,0))</f>
        <v/>
      </c>
      <c r="M156" s="187" t="str">
        <f>INDEX('Revenue by Customer'!M:M,MATCH('Full Customer List'!$B156,'Revenue by Customer'!$A:$A,0))</f>
        <v/>
      </c>
      <c r="N156" s="187" t="str">
        <f>INDEX('Revenue by Customer'!N:N,MATCH('Full Customer List'!$B156,'Revenue by Customer'!$A:$A,0))</f>
        <v/>
      </c>
      <c r="O156" s="187" t="str">
        <f>INDEX('Revenue by Customer'!O:O,MATCH('Full Customer List'!$B156,'Revenue by Customer'!$A:$A,0))</f>
        <v/>
      </c>
      <c r="P156" s="187" t="str">
        <f>INDEX('Revenue by Customer'!P:P,MATCH('Full Customer List'!$B156,'Revenue by Customer'!$A:$A,0))</f>
        <v/>
      </c>
      <c r="Q156" s="187" t="str">
        <f>INDEX('Revenue by Customer'!Q:Q,MATCH('Full Customer List'!$B156,'Revenue by Customer'!$A:$A,0))</f>
        <v/>
      </c>
      <c r="R156" s="187">
        <f>INDEX('Revenue by Customer'!R:R,MATCH('Full Customer List'!$B156,'Revenue by Customer'!$A:$A,0))</f>
        <v>425</v>
      </c>
      <c r="S156" s="187">
        <f>INDEX('Revenue by Customer'!S:S,MATCH('Full Customer List'!$B156,'Revenue by Customer'!$A:$A,0))</f>
        <v>350</v>
      </c>
      <c r="T156" s="187">
        <f>INDEX('Revenue by Customer'!T:T,MATCH('Full Customer List'!$B156,'Revenue by Customer'!$A:$A,0))</f>
        <v>350</v>
      </c>
      <c r="U156" s="187">
        <f>INDEX('Revenue by Customer'!U:U,MATCH('Full Customer List'!$B156,'Revenue by Customer'!$A:$A,0))</f>
        <v>410</v>
      </c>
      <c r="V156" s="187">
        <f>INDEX('Revenue by Customer'!V:V,MATCH('Full Customer List'!$B156,'Revenue by Customer'!$A:$A,0))</f>
        <v>410</v>
      </c>
      <c r="W156" s="187">
        <f>INDEX('Revenue by Customer'!W:W,MATCH('Full Customer List'!$B156,'Revenue by Customer'!$A:$A,0))</f>
        <v>622.5</v>
      </c>
      <c r="X156" s="187">
        <f>INDEX('Revenue by Customer'!X:X,MATCH('Full Customer List'!$B156,'Revenue by Customer'!$A:$A,0))</f>
        <v>500</v>
      </c>
      <c r="Y156" s="187">
        <f>INDEX('Revenue by Customer'!Y:Y,MATCH('Full Customer List'!$B156,'Revenue by Customer'!$A:$A,0))</f>
        <v>410</v>
      </c>
      <c r="Z156" s="187">
        <f>INDEX('Revenue by Customer'!Z:Z,MATCH('Full Customer List'!$B156,'Revenue by Customer'!$A:$A,0))</f>
        <v>410</v>
      </c>
      <c r="AA156" s="187">
        <f>INDEX('Revenue by Customer'!AA:AA,MATCH('Full Customer List'!$B156,'Revenue by Customer'!$A:$A,0))</f>
        <v>410</v>
      </c>
      <c r="AB156" s="187">
        <f>INDEX('Revenue by Customer'!AB:AB,MATCH('Full Customer List'!$B156,'Revenue by Customer'!$A:$A,0))</f>
        <v>410</v>
      </c>
      <c r="AC156" s="187">
        <f>INDEX('Revenue by Customer'!AC:AC,MATCH('Full Customer List'!$B156,'Revenue by Customer'!$A:$A,0))</f>
        <v>410</v>
      </c>
    </row>
    <row r="157" spans="2:29" ht="12" customHeight="1">
      <c r="B157" s="171" t="s">
        <v>784</v>
      </c>
      <c r="C157" s="171" t="str">
        <f>INDEX('Customer List w Software'!$B:$B,MATCH('Full Customer List'!$B157,'Customer List w Software'!$A:$A,0))</f>
        <v>Former client</v>
      </c>
      <c r="D157" s="171" t="str">
        <f>INDEX('Customer List w Software'!$C:$C,MATCH('Full Customer List'!$B157,'Customer List w Software'!$A:$A,0))</f>
        <v>Property manager</v>
      </c>
      <c r="E157" s="171" t="str">
        <f>INDEX('Customer List Mapping'!$C:$C,MATCH('Full Customer List'!D157,'Customer List Mapping'!$B:$B,0))</f>
        <v>Property Manager</v>
      </c>
      <c r="F157" s="187">
        <f>INDEX('Customer List w Software'!$K:$K,MATCH('Full Customer List'!$B157,'Customer List w Software'!$A:$A,0))</f>
        <v>14</v>
      </c>
      <c r="G157" s="187">
        <f>INDEX('Revenue by Customer'!$I:$I,MATCH('Full Customer List'!$B157,'Revenue by Customer'!$A:$A,0))</f>
        <v>666.66666666666663</v>
      </c>
      <c r="H157" s="250" t="str">
        <f>IFERROR(IF(C157="Active","",INDEX('Client Departures'!$G:$G,MATCH('Full Customer List'!$B157,'Client Departures'!$A:$A,0))),"Unclassified")</f>
        <v>Unclassified</v>
      </c>
      <c r="I157" s="191">
        <v>44896</v>
      </c>
      <c r="J157" s="191">
        <v>46112</v>
      </c>
      <c r="K157" s="187">
        <f>INDEX('Revenue by Customer'!K:K,MATCH('Full Customer List'!$B157,'Revenue by Customer'!$A:$A,0))</f>
        <v>755</v>
      </c>
      <c r="L157" s="187">
        <f>INDEX('Revenue by Customer'!L:L,MATCH('Full Customer List'!$B157,'Revenue by Customer'!$A:$A,0))</f>
        <v>560</v>
      </c>
      <c r="M157" s="187">
        <f>INDEX('Revenue by Customer'!M:M,MATCH('Full Customer List'!$B157,'Revenue by Customer'!$A:$A,0))</f>
        <v>475</v>
      </c>
      <c r="N157" s="187">
        <f>INDEX('Revenue by Customer'!N:N,MATCH('Full Customer List'!$B157,'Revenue by Customer'!$A:$A,0))</f>
        <v>475</v>
      </c>
      <c r="O157" s="187">
        <f>INDEX('Revenue by Customer'!O:O,MATCH('Full Customer List'!$B157,'Revenue by Customer'!$A:$A,0))</f>
        <v>475</v>
      </c>
      <c r="P157" s="187">
        <f>INDEX('Revenue by Customer'!P:P,MATCH('Full Customer List'!$B157,'Revenue by Customer'!$A:$A,0))</f>
        <v>475</v>
      </c>
      <c r="Q157" s="187">
        <f>INDEX('Revenue by Customer'!Q:Q,MATCH('Full Customer List'!$B157,'Revenue by Customer'!$A:$A,0))</f>
        <v>475</v>
      </c>
      <c r="R157" s="187">
        <f>INDEX('Revenue by Customer'!R:R,MATCH('Full Customer List'!$B157,'Revenue by Customer'!$A:$A,0))</f>
        <v>560</v>
      </c>
      <c r="S157" s="187">
        <f>INDEX('Revenue by Customer'!S:S,MATCH('Full Customer List'!$B157,'Revenue by Customer'!$A:$A,0))</f>
        <v>560</v>
      </c>
      <c r="T157" s="187">
        <f>INDEX('Revenue by Customer'!T:T,MATCH('Full Customer List'!$B157,'Revenue by Customer'!$A:$A,0))</f>
        <v>815</v>
      </c>
      <c r="U157" s="187">
        <f>INDEX('Revenue by Customer'!U:U,MATCH('Full Customer List'!$B157,'Revenue by Customer'!$A:$A,0))</f>
        <v>560</v>
      </c>
      <c r="V157" s="187">
        <f>INDEX('Revenue by Customer'!V:V,MATCH('Full Customer List'!$B157,'Revenue by Customer'!$A:$A,0))</f>
        <v>585</v>
      </c>
      <c r="W157" s="187">
        <f>INDEX('Revenue by Customer'!W:W,MATCH('Full Customer List'!$B157,'Revenue by Customer'!$A:$A,0))</f>
        <v>670</v>
      </c>
      <c r="X157" s="187">
        <f>INDEX('Revenue by Customer'!X:X,MATCH('Full Customer List'!$B157,'Revenue by Customer'!$A:$A,0))</f>
        <v>1045</v>
      </c>
      <c r="Y157" s="187">
        <f>INDEX('Revenue by Customer'!Y:Y,MATCH('Full Customer List'!$B157,'Revenue by Customer'!$A:$A,0))</f>
        <v>285</v>
      </c>
      <c r="Z157" s="187" t="str">
        <f>INDEX('Revenue by Customer'!Z:Z,MATCH('Full Customer List'!$B157,'Revenue by Customer'!$A:$A,0))</f>
        <v/>
      </c>
      <c r="AA157" s="187" t="str">
        <f>INDEX('Revenue by Customer'!AA:AA,MATCH('Full Customer List'!$B157,'Revenue by Customer'!$A:$A,0))</f>
        <v/>
      </c>
      <c r="AB157" s="187" t="str">
        <f>INDEX('Revenue by Customer'!AB:AB,MATCH('Full Customer List'!$B157,'Revenue by Customer'!$A:$A,0))</f>
        <v/>
      </c>
      <c r="AC157" s="187" t="str">
        <f>INDEX('Revenue by Customer'!AC:AC,MATCH('Full Customer List'!$B157,'Revenue by Customer'!$A:$A,0))</f>
        <v/>
      </c>
    </row>
    <row r="158" spans="2:29" ht="12" customHeight="1">
      <c r="B158" s="171" t="s">
        <v>786</v>
      </c>
      <c r="C158" s="171" t="str">
        <f>INDEX('Customer List w Software'!$B:$B,MATCH('Full Customer List'!$B158,'Customer List w Software'!$A:$A,0))</f>
        <v>Active</v>
      </c>
      <c r="D158" s="171" t="str">
        <f>INDEX('Customer List w Software'!$C:$C,MATCH('Full Customer List'!$B158,'Customer List w Software'!$A:$A,0))</f>
        <v>STR owner</v>
      </c>
      <c r="E158" s="171" t="str">
        <f>INDEX('Customer List Mapping'!$C:$C,MATCH('Full Customer List'!D158,'Customer List Mapping'!$B:$B,0))</f>
        <v>STR Owner</v>
      </c>
      <c r="F158" s="187">
        <f>INDEX('Customer List w Software'!$K:$K,MATCH('Full Customer List'!$B158,'Customer List w Software'!$A:$A,0))</f>
        <v>0</v>
      </c>
      <c r="G158" s="187">
        <f>INDEX('Revenue by Customer'!$I:$I,MATCH('Full Customer List'!$B158,'Revenue by Customer'!$A:$A,0))</f>
        <v>425</v>
      </c>
      <c r="H158" s="250" t="str">
        <f>IFERROR(IF(C158="Active","",INDEX('Client Departures'!$G:$G,MATCH('Full Customer List'!$B158,'Client Departures'!$A:$A,0))),"Unclassified")</f>
        <v/>
      </c>
      <c r="I158" s="191">
        <v>44866</v>
      </c>
      <c r="J158" s="191"/>
      <c r="K158" s="187">
        <f>INDEX('Revenue by Customer'!K:K,MATCH('Full Customer List'!$B158,'Revenue by Customer'!$A:$A,0))</f>
        <v>400</v>
      </c>
      <c r="L158" s="187">
        <f>INDEX('Revenue by Customer'!L:L,MATCH('Full Customer List'!$B158,'Revenue by Customer'!$A:$A,0))</f>
        <v>400</v>
      </c>
      <c r="M158" s="187">
        <f>INDEX('Revenue by Customer'!M:M,MATCH('Full Customer List'!$B158,'Revenue by Customer'!$A:$A,0))</f>
        <v>470</v>
      </c>
      <c r="N158" s="187">
        <f>INDEX('Revenue by Customer'!N:N,MATCH('Full Customer List'!$B158,'Revenue by Customer'!$A:$A,0))</f>
        <v>330</v>
      </c>
      <c r="O158" s="187">
        <f>INDEX('Revenue by Customer'!O:O,MATCH('Full Customer List'!$B158,'Revenue by Customer'!$A:$A,0))</f>
        <v>400</v>
      </c>
      <c r="P158" s="187">
        <f>INDEX('Revenue by Customer'!P:P,MATCH('Full Customer List'!$B158,'Revenue by Customer'!$A:$A,0))</f>
        <v>400</v>
      </c>
      <c r="Q158" s="187">
        <f>INDEX('Revenue by Customer'!Q:Q,MATCH('Full Customer List'!$B158,'Revenue by Customer'!$A:$A,0))</f>
        <v>400</v>
      </c>
      <c r="R158" s="187">
        <f>INDEX('Revenue by Customer'!R:R,MATCH('Full Customer List'!$B158,'Revenue by Customer'!$A:$A,0))</f>
        <v>400</v>
      </c>
      <c r="S158" s="187">
        <f>INDEX('Revenue by Customer'!S:S,MATCH('Full Customer List'!$B158,'Revenue by Customer'!$A:$A,0))</f>
        <v>400</v>
      </c>
      <c r="T158" s="187">
        <f>INDEX('Revenue by Customer'!T:T,MATCH('Full Customer List'!$B158,'Revenue by Customer'!$A:$A,0))</f>
        <v>400</v>
      </c>
      <c r="U158" s="187">
        <f>INDEX('Revenue by Customer'!U:U,MATCH('Full Customer List'!$B158,'Revenue by Customer'!$A:$A,0))</f>
        <v>425</v>
      </c>
      <c r="V158" s="187">
        <f>INDEX('Revenue by Customer'!V:V,MATCH('Full Customer List'!$B158,'Revenue by Customer'!$A:$A,0))</f>
        <v>425</v>
      </c>
      <c r="W158" s="187">
        <f>INDEX('Revenue by Customer'!W:W,MATCH('Full Customer List'!$B158,'Revenue by Customer'!$A:$A,0))</f>
        <v>425</v>
      </c>
      <c r="X158" s="187">
        <f>INDEX('Revenue by Customer'!X:X,MATCH('Full Customer List'!$B158,'Revenue by Customer'!$A:$A,0))</f>
        <v>425</v>
      </c>
      <c r="Y158" s="187">
        <f>INDEX('Revenue by Customer'!Y:Y,MATCH('Full Customer List'!$B158,'Revenue by Customer'!$A:$A,0))</f>
        <v>425</v>
      </c>
      <c r="Z158" s="187">
        <f>INDEX('Revenue by Customer'!Z:Z,MATCH('Full Customer List'!$B158,'Revenue by Customer'!$A:$A,0))</f>
        <v>425</v>
      </c>
      <c r="AA158" s="187">
        <f>INDEX('Revenue by Customer'!AA:AA,MATCH('Full Customer List'!$B158,'Revenue by Customer'!$A:$A,0))</f>
        <v>425</v>
      </c>
      <c r="AB158" s="187">
        <f>INDEX('Revenue by Customer'!AB:AB,MATCH('Full Customer List'!$B158,'Revenue by Customer'!$A:$A,0))</f>
        <v>425</v>
      </c>
      <c r="AC158" s="187">
        <f>INDEX('Revenue by Customer'!AC:AC,MATCH('Full Customer List'!$B158,'Revenue by Customer'!$A:$A,0))</f>
        <v>425</v>
      </c>
    </row>
    <row r="159" spans="2:29" ht="12" customHeight="1">
      <c r="B159" s="171" t="s">
        <v>787</v>
      </c>
      <c r="C159" s="171" t="str">
        <f>INDEX('Customer List w Software'!$B:$B,MATCH('Full Customer List'!$B159,'Customer List w Software'!$A:$A,0))</f>
        <v>Active</v>
      </c>
      <c r="D159" s="171" t="str">
        <f>INDEX('Customer List w Software'!$C:$C,MATCH('Full Customer List'!$B159,'Customer List w Software'!$A:$A,0))</f>
        <v>STR owner</v>
      </c>
      <c r="E159" s="171" t="str">
        <f>INDEX('Customer List Mapping'!$C:$C,MATCH('Full Customer List'!D159,'Customer List Mapping'!$B:$B,0))</f>
        <v>STR Owner</v>
      </c>
      <c r="F159" s="187">
        <f>INDEX('Customer List w Software'!$K:$K,MATCH('Full Customer List'!$B159,'Customer List w Software'!$A:$A,0))</f>
        <v>11</v>
      </c>
      <c r="G159" s="187">
        <f>INDEX('Revenue by Customer'!$I:$I,MATCH('Full Customer List'!$B159,'Revenue by Customer'!$A:$A,0))</f>
        <v>425</v>
      </c>
      <c r="H159" s="250" t="str">
        <f>IFERROR(IF(C159="Active","",INDEX('Client Departures'!$G:$G,MATCH('Full Customer List'!$B159,'Client Departures'!$A:$A,0))),"Unclassified")</f>
        <v/>
      </c>
      <c r="I159" s="191">
        <v>45231</v>
      </c>
      <c r="J159" s="191"/>
      <c r="K159" s="187">
        <f>INDEX('Revenue by Customer'!K:K,MATCH('Full Customer List'!$B159,'Revenue by Customer'!$A:$A,0))</f>
        <v>400</v>
      </c>
      <c r="L159" s="187">
        <f>INDEX('Revenue by Customer'!L:L,MATCH('Full Customer List'!$B159,'Revenue by Customer'!$A:$A,0))</f>
        <v>400</v>
      </c>
      <c r="M159" s="187">
        <f>INDEX('Revenue by Customer'!M:M,MATCH('Full Customer List'!$B159,'Revenue by Customer'!$A:$A,0))</f>
        <v>400</v>
      </c>
      <c r="N159" s="187">
        <f>INDEX('Revenue by Customer'!N:N,MATCH('Full Customer List'!$B159,'Revenue by Customer'!$A:$A,0))</f>
        <v>400</v>
      </c>
      <c r="O159" s="187">
        <f>INDEX('Revenue by Customer'!O:O,MATCH('Full Customer List'!$B159,'Revenue by Customer'!$A:$A,0))</f>
        <v>400</v>
      </c>
      <c r="P159" s="187">
        <f>INDEX('Revenue by Customer'!P:P,MATCH('Full Customer List'!$B159,'Revenue by Customer'!$A:$A,0))</f>
        <v>400</v>
      </c>
      <c r="Q159" s="187">
        <f>INDEX('Revenue by Customer'!Q:Q,MATCH('Full Customer List'!$B159,'Revenue by Customer'!$A:$A,0))</f>
        <v>400</v>
      </c>
      <c r="R159" s="187">
        <f>INDEX('Revenue by Customer'!R:R,MATCH('Full Customer List'!$B159,'Revenue by Customer'!$A:$A,0))</f>
        <v>400</v>
      </c>
      <c r="S159" s="187">
        <f>INDEX('Revenue by Customer'!S:S,MATCH('Full Customer List'!$B159,'Revenue by Customer'!$A:$A,0))</f>
        <v>400</v>
      </c>
      <c r="T159" s="187">
        <f>INDEX('Revenue by Customer'!T:T,MATCH('Full Customer List'!$B159,'Revenue by Customer'!$A:$A,0))</f>
        <v>400</v>
      </c>
      <c r="U159" s="187">
        <f>INDEX('Revenue by Customer'!U:U,MATCH('Full Customer List'!$B159,'Revenue by Customer'!$A:$A,0))</f>
        <v>425</v>
      </c>
      <c r="V159" s="187">
        <f>INDEX('Revenue by Customer'!V:V,MATCH('Full Customer List'!$B159,'Revenue by Customer'!$A:$A,0))</f>
        <v>425</v>
      </c>
      <c r="W159" s="187">
        <f>INDEX('Revenue by Customer'!W:W,MATCH('Full Customer List'!$B159,'Revenue by Customer'!$A:$A,0))</f>
        <v>425</v>
      </c>
      <c r="X159" s="187">
        <f>INDEX('Revenue by Customer'!X:X,MATCH('Full Customer List'!$B159,'Revenue by Customer'!$A:$A,0))</f>
        <v>425</v>
      </c>
      <c r="Y159" s="187">
        <f>INDEX('Revenue by Customer'!Y:Y,MATCH('Full Customer List'!$B159,'Revenue by Customer'!$A:$A,0))</f>
        <v>425</v>
      </c>
      <c r="Z159" s="187">
        <f>INDEX('Revenue by Customer'!Z:Z,MATCH('Full Customer List'!$B159,'Revenue by Customer'!$A:$A,0))</f>
        <v>425</v>
      </c>
      <c r="AA159" s="187">
        <f>INDEX('Revenue by Customer'!AA:AA,MATCH('Full Customer List'!$B159,'Revenue by Customer'!$A:$A,0))</f>
        <v>425</v>
      </c>
      <c r="AB159" s="187">
        <f>INDEX('Revenue by Customer'!AB:AB,MATCH('Full Customer List'!$B159,'Revenue by Customer'!$A:$A,0))</f>
        <v>425</v>
      </c>
      <c r="AC159" s="187">
        <f>INDEX('Revenue by Customer'!AC:AC,MATCH('Full Customer List'!$B159,'Revenue by Customer'!$A:$A,0))</f>
        <v>425</v>
      </c>
    </row>
    <row r="160" spans="2:29" ht="12" customHeight="1">
      <c r="B160" s="171" t="s">
        <v>788</v>
      </c>
      <c r="C160" s="171" t="str">
        <f>INDEX('Customer List w Software'!$B:$B,MATCH('Full Customer List'!$B160,'Customer List w Software'!$A:$A,0))</f>
        <v>Active</v>
      </c>
      <c r="D160" s="171" t="str">
        <f>INDEX('Customer List w Software'!$C:$C,MATCH('Full Customer List'!$B160,'Customer List w Software'!$A:$A,0))</f>
        <v>Property manager</v>
      </c>
      <c r="E160" s="171" t="str">
        <f>INDEX('Customer List Mapping'!$C:$C,MATCH('Full Customer List'!D160,'Customer List Mapping'!$B:$B,0))</f>
        <v>Property Manager</v>
      </c>
      <c r="F160" s="187">
        <f>INDEX('Customer List w Software'!$K:$K,MATCH('Full Customer List'!$B160,'Customer List w Software'!$A:$A,0))</f>
        <v>2</v>
      </c>
      <c r="G160" s="187">
        <f>INDEX('Revenue by Customer'!$I:$I,MATCH('Full Customer List'!$B160,'Revenue by Customer'!$A:$A,0))</f>
        <v>452</v>
      </c>
      <c r="H160" s="250" t="str">
        <f>IFERROR(IF(C160="Active","",INDEX('Client Departures'!$G:$G,MATCH('Full Customer List'!$B160,'Client Departures'!$A:$A,0))),"Unclassified")</f>
        <v/>
      </c>
      <c r="I160" s="191">
        <v>45444</v>
      </c>
      <c r="J160" s="191"/>
      <c r="K160" s="187">
        <f>INDEX('Revenue by Customer'!K:K,MATCH('Full Customer List'!$B160,'Revenue by Customer'!$A:$A,0))</f>
        <v>395</v>
      </c>
      <c r="L160" s="187">
        <f>INDEX('Revenue by Customer'!L:L,MATCH('Full Customer List'!$B160,'Revenue by Customer'!$A:$A,0))</f>
        <v>395</v>
      </c>
      <c r="M160" s="187">
        <f>INDEX('Revenue by Customer'!M:M,MATCH('Full Customer List'!$B160,'Revenue by Customer'!$A:$A,0))</f>
        <v>395</v>
      </c>
      <c r="N160" s="187">
        <f>INDEX('Revenue by Customer'!N:N,MATCH('Full Customer List'!$B160,'Revenue by Customer'!$A:$A,0))</f>
        <v>395</v>
      </c>
      <c r="O160" s="187">
        <f>INDEX('Revenue by Customer'!O:O,MATCH('Full Customer List'!$B160,'Revenue by Customer'!$A:$A,0))</f>
        <v>395</v>
      </c>
      <c r="P160" s="187">
        <f>INDEX('Revenue by Customer'!P:P,MATCH('Full Customer List'!$B160,'Revenue by Customer'!$A:$A,0))</f>
        <v>400</v>
      </c>
      <c r="Q160" s="187">
        <f>INDEX('Revenue by Customer'!Q:Q,MATCH('Full Customer List'!$B160,'Revenue by Customer'!$A:$A,0))</f>
        <v>400</v>
      </c>
      <c r="R160" s="187">
        <f>INDEX('Revenue by Customer'!R:R,MATCH('Full Customer List'!$B160,'Revenue by Customer'!$A:$A,0))</f>
        <v>400</v>
      </c>
      <c r="S160" s="187">
        <f>INDEX('Revenue by Customer'!S:S,MATCH('Full Customer List'!$B160,'Revenue by Customer'!$A:$A,0))</f>
        <v>400</v>
      </c>
      <c r="T160" s="187">
        <f>INDEX('Revenue by Customer'!T:T,MATCH('Full Customer List'!$B160,'Revenue by Customer'!$A:$A,0))</f>
        <v>400</v>
      </c>
      <c r="U160" s="187">
        <f>INDEX('Revenue by Customer'!U:U,MATCH('Full Customer List'!$B160,'Revenue by Customer'!$A:$A,0))</f>
        <v>400</v>
      </c>
      <c r="V160" s="187">
        <f>INDEX('Revenue by Customer'!V:V,MATCH('Full Customer List'!$B160,'Revenue by Customer'!$A:$A,0))</f>
        <v>400</v>
      </c>
      <c r="W160" s="187">
        <f>INDEX('Revenue by Customer'!W:W,MATCH('Full Customer List'!$B160,'Revenue by Customer'!$A:$A,0))</f>
        <v>445</v>
      </c>
      <c r="X160" s="187">
        <f>INDEX('Revenue by Customer'!X:X,MATCH('Full Customer List'!$B160,'Revenue by Customer'!$A:$A,0))</f>
        <v>400</v>
      </c>
      <c r="Y160" s="187">
        <f>INDEX('Revenue by Customer'!Y:Y,MATCH('Full Customer List'!$B160,'Revenue by Customer'!$A:$A,0))</f>
        <v>400</v>
      </c>
      <c r="Z160" s="187">
        <f>INDEX('Revenue by Customer'!Z:Z,MATCH('Full Customer List'!$B160,'Revenue by Customer'!$A:$A,0))</f>
        <v>400</v>
      </c>
      <c r="AA160" s="187">
        <f>INDEX('Revenue by Customer'!AA:AA,MATCH('Full Customer List'!$B160,'Revenue by Customer'!$A:$A,0))</f>
        <v>400</v>
      </c>
      <c r="AB160" s="187">
        <f>INDEX('Revenue by Customer'!AB:AB,MATCH('Full Customer List'!$B160,'Revenue by Customer'!$A:$A,0))</f>
        <v>478</v>
      </c>
      <c r="AC160" s="187">
        <f>INDEX('Revenue by Customer'!AC:AC,MATCH('Full Customer List'!$B160,'Revenue by Customer'!$A:$A,0))</f>
        <v>478</v>
      </c>
    </row>
    <row r="161" spans="2:29" ht="12" customHeight="1">
      <c r="B161" s="171" t="s">
        <v>789</v>
      </c>
      <c r="C161" s="171" t="str">
        <f>INDEX('Customer List w Software'!$B:$B,MATCH('Full Customer List'!$B161,'Customer List w Software'!$A:$A,0))</f>
        <v>Active</v>
      </c>
      <c r="D161" s="171" t="str">
        <f>INDEX('Customer List w Software'!$C:$C,MATCH('Full Customer List'!$B161,'Customer List w Software'!$A:$A,0))</f>
        <v>STR owner</v>
      </c>
      <c r="E161" s="171" t="str">
        <f>INDEX('Customer List Mapping'!$C:$C,MATCH('Full Customer List'!D161,'Customer List Mapping'!$B:$B,0))</f>
        <v>STR Owner</v>
      </c>
      <c r="F161" s="187" t="str">
        <f>INDEX('Customer List w Software'!$K:$K,MATCH('Full Customer List'!$B161,'Customer List w Software'!$A:$A,0))</f>
        <v/>
      </c>
      <c r="G161" s="187">
        <f>INDEX('Revenue by Customer'!$I:$I,MATCH('Full Customer List'!$B161,'Revenue by Customer'!$A:$A,0))</f>
        <v>406</v>
      </c>
      <c r="H161" s="250" t="str">
        <f>IFERROR(IF(C161="Active","",INDEX('Client Departures'!$G:$G,MATCH('Full Customer List'!$B161,'Client Departures'!$A:$A,0))),"Unclassified")</f>
        <v/>
      </c>
      <c r="I161" s="191">
        <v>45839</v>
      </c>
      <c r="J161" s="191"/>
      <c r="K161" s="187" t="str">
        <f>INDEX('Revenue by Customer'!K:K,MATCH('Full Customer List'!$B161,'Revenue by Customer'!$A:$A,0))</f>
        <v/>
      </c>
      <c r="L161" s="187" t="str">
        <f>INDEX('Revenue by Customer'!L:L,MATCH('Full Customer List'!$B161,'Revenue by Customer'!$A:$A,0))</f>
        <v/>
      </c>
      <c r="M161" s="187" t="str">
        <f>INDEX('Revenue by Customer'!M:M,MATCH('Full Customer List'!$B161,'Revenue by Customer'!$A:$A,0))</f>
        <v/>
      </c>
      <c r="N161" s="187" t="str">
        <f>INDEX('Revenue by Customer'!N:N,MATCH('Full Customer List'!$B161,'Revenue by Customer'!$A:$A,0))</f>
        <v/>
      </c>
      <c r="O161" s="187" t="str">
        <f>INDEX('Revenue by Customer'!O:O,MATCH('Full Customer List'!$B161,'Revenue by Customer'!$A:$A,0))</f>
        <v/>
      </c>
      <c r="P161" s="187" t="str">
        <f>INDEX('Revenue by Customer'!P:P,MATCH('Full Customer List'!$B161,'Revenue by Customer'!$A:$A,0))</f>
        <v/>
      </c>
      <c r="Q161" s="187">
        <f>INDEX('Revenue by Customer'!Q:Q,MATCH('Full Customer List'!$B161,'Revenue by Customer'!$A:$A,0))</f>
        <v>640</v>
      </c>
      <c r="R161" s="187">
        <f>INDEX('Revenue by Customer'!R:R,MATCH('Full Customer List'!$B161,'Revenue by Customer'!$A:$A,0))</f>
        <v>595</v>
      </c>
      <c r="S161" s="187">
        <f>INDEX('Revenue by Customer'!S:S,MATCH('Full Customer List'!$B161,'Revenue by Customer'!$A:$A,0))</f>
        <v>340</v>
      </c>
      <c r="T161" s="187">
        <f>INDEX('Revenue by Customer'!T:T,MATCH('Full Customer List'!$B161,'Revenue by Customer'!$A:$A,0))</f>
        <v>400</v>
      </c>
      <c r="U161" s="187">
        <f>INDEX('Revenue by Customer'!U:U,MATCH('Full Customer List'!$B161,'Revenue by Customer'!$A:$A,0))</f>
        <v>400</v>
      </c>
      <c r="V161" s="187">
        <f>INDEX('Revenue by Customer'!V:V,MATCH('Full Customer List'!$B161,'Revenue by Customer'!$A:$A,0))</f>
        <v>400</v>
      </c>
      <c r="W161" s="187">
        <f>INDEX('Revenue by Customer'!W:W,MATCH('Full Customer List'!$B161,'Revenue by Customer'!$A:$A,0))</f>
        <v>400</v>
      </c>
      <c r="X161" s="187">
        <f>INDEX('Revenue by Customer'!X:X,MATCH('Full Customer List'!$B161,'Revenue by Customer'!$A:$A,0))</f>
        <v>430</v>
      </c>
      <c r="Y161" s="187">
        <f>INDEX('Revenue by Customer'!Y:Y,MATCH('Full Customer List'!$B161,'Revenue by Customer'!$A:$A,0))</f>
        <v>400</v>
      </c>
      <c r="Z161" s="187">
        <f>INDEX('Revenue by Customer'!Z:Z,MATCH('Full Customer List'!$B161,'Revenue by Customer'!$A:$A,0))</f>
        <v>400</v>
      </c>
      <c r="AA161" s="187">
        <f>INDEX('Revenue by Customer'!AA:AA,MATCH('Full Customer List'!$B161,'Revenue by Customer'!$A:$A,0))</f>
        <v>400</v>
      </c>
      <c r="AB161" s="187">
        <f>INDEX('Revenue by Customer'!AB:AB,MATCH('Full Customer List'!$B161,'Revenue by Customer'!$A:$A,0))</f>
        <v>400</v>
      </c>
      <c r="AC161" s="187">
        <f>INDEX('Revenue by Customer'!AC:AC,MATCH('Full Customer List'!$B161,'Revenue by Customer'!$A:$A,0))</f>
        <v>418</v>
      </c>
    </row>
    <row r="162" spans="2:29" ht="12" customHeight="1">
      <c r="B162" s="171" t="s">
        <v>790</v>
      </c>
      <c r="C162" s="171" t="str">
        <f>INDEX('Customer List w Software'!$B:$B,MATCH('Full Customer List'!$B162,'Customer List w Software'!$A:$A,0))</f>
        <v>Former client</v>
      </c>
      <c r="D162" s="171" t="str">
        <f>INDEX('Customer List w Software'!$C:$C,MATCH('Full Customer List'!$B162,'Customer List w Software'!$A:$A,0))</f>
        <v>Small business</v>
      </c>
      <c r="E162" s="171" t="str">
        <f>INDEX('Customer List Mapping'!$C:$C,MATCH('Full Customer List'!D162,'Customer List Mapping'!$B:$B,0))</f>
        <v>Small Business</v>
      </c>
      <c r="F162" s="187" t="str">
        <f>INDEX('Customer List w Software'!$K:$K,MATCH('Full Customer List'!$B162,'Customer List w Software'!$A:$A,0))</f>
        <v/>
      </c>
      <c r="G162" s="187">
        <f>INDEX('Revenue by Customer'!$I:$I,MATCH('Full Customer List'!$B162,'Revenue by Customer'!$A:$A,0))</f>
        <v>410</v>
      </c>
      <c r="H162" s="250" t="str">
        <f>IFERROR(IF(C162="Active","",INDEX('Client Departures'!$G:$G,MATCH('Full Customer List'!$B162,'Client Departures'!$A:$A,0))),"Unclassified")</f>
        <v>No</v>
      </c>
      <c r="I162" s="191">
        <v>45292</v>
      </c>
      <c r="J162" s="191">
        <v>46234</v>
      </c>
      <c r="K162" s="187">
        <f>INDEX('Revenue by Customer'!K:K,MATCH('Full Customer List'!$B162,'Revenue by Customer'!$A:$A,0))</f>
        <v>395</v>
      </c>
      <c r="L162" s="187">
        <f>INDEX('Revenue by Customer'!L:L,MATCH('Full Customer List'!$B162,'Revenue by Customer'!$A:$A,0))</f>
        <v>395</v>
      </c>
      <c r="M162" s="187">
        <f>INDEX('Revenue by Customer'!M:M,MATCH('Full Customer List'!$B162,'Revenue by Customer'!$A:$A,0))</f>
        <v>395</v>
      </c>
      <c r="N162" s="187">
        <f>INDEX('Revenue by Customer'!N:N,MATCH('Full Customer List'!$B162,'Revenue by Customer'!$A:$A,0))</f>
        <v>395</v>
      </c>
      <c r="O162" s="187">
        <f>INDEX('Revenue by Customer'!O:O,MATCH('Full Customer List'!$B162,'Revenue by Customer'!$A:$A,0))</f>
        <v>395</v>
      </c>
      <c r="P162" s="187">
        <f>INDEX('Revenue by Customer'!P:P,MATCH('Full Customer List'!$B162,'Revenue by Customer'!$A:$A,0))</f>
        <v>395</v>
      </c>
      <c r="Q162" s="187">
        <f>INDEX('Revenue by Customer'!Q:Q,MATCH('Full Customer List'!$B162,'Revenue by Customer'!$A:$A,0))</f>
        <v>395</v>
      </c>
      <c r="R162" s="187">
        <f>INDEX('Revenue by Customer'!R:R,MATCH('Full Customer List'!$B162,'Revenue by Customer'!$A:$A,0))</f>
        <v>410</v>
      </c>
      <c r="S162" s="187">
        <f>INDEX('Revenue by Customer'!S:S,MATCH('Full Customer List'!$B162,'Revenue by Customer'!$A:$A,0))</f>
        <v>410</v>
      </c>
      <c r="T162" s="187">
        <f>INDEX('Revenue by Customer'!T:T,MATCH('Full Customer List'!$B162,'Revenue by Customer'!$A:$A,0))</f>
        <v>410</v>
      </c>
      <c r="U162" s="187">
        <f>INDEX('Revenue by Customer'!U:U,MATCH('Full Customer List'!$B162,'Revenue by Customer'!$A:$A,0))</f>
        <v>410</v>
      </c>
      <c r="V162" s="187">
        <f>INDEX('Revenue by Customer'!V:V,MATCH('Full Customer List'!$B162,'Revenue by Customer'!$A:$A,0))</f>
        <v>410</v>
      </c>
      <c r="W162" s="187">
        <f>INDEX('Revenue by Customer'!W:W,MATCH('Full Customer List'!$B162,'Revenue by Customer'!$A:$A,0))</f>
        <v>410</v>
      </c>
      <c r="X162" s="187">
        <f>INDEX('Revenue by Customer'!X:X,MATCH('Full Customer List'!$B162,'Revenue by Customer'!$A:$A,0))</f>
        <v>410</v>
      </c>
      <c r="Y162" s="187">
        <f>INDEX('Revenue by Customer'!Y:Y,MATCH('Full Customer List'!$B162,'Revenue by Customer'!$A:$A,0))</f>
        <v>410</v>
      </c>
      <c r="Z162" s="187">
        <f>INDEX('Revenue by Customer'!Z:Z,MATCH('Full Customer List'!$B162,'Revenue by Customer'!$A:$A,0))</f>
        <v>410</v>
      </c>
      <c r="AA162" s="187">
        <f>INDEX('Revenue by Customer'!AA:AA,MATCH('Full Customer List'!$B162,'Revenue by Customer'!$A:$A,0))</f>
        <v>410</v>
      </c>
      <c r="AB162" s="187">
        <f>INDEX('Revenue by Customer'!AB:AB,MATCH('Full Customer List'!$B162,'Revenue by Customer'!$A:$A,0))</f>
        <v>410</v>
      </c>
      <c r="AC162" s="187">
        <f>INDEX('Revenue by Customer'!AC:AC,MATCH('Full Customer List'!$B162,'Revenue by Customer'!$A:$A,0))</f>
        <v>410</v>
      </c>
    </row>
    <row r="163" spans="2:29" ht="12" customHeight="1">
      <c r="B163" s="171" t="s">
        <v>792</v>
      </c>
      <c r="C163" s="171" t="str">
        <f>INDEX('Customer List w Software'!$B:$B,MATCH('Full Customer List'!$B163,'Customer List w Software'!$A:$A,0))</f>
        <v>Active</v>
      </c>
      <c r="D163" s="171" t="str">
        <f>INDEX('Customer List w Software'!$C:$C,MATCH('Full Customer List'!$B163,'Customer List w Software'!$A:$A,0))</f>
        <v>Property manager</v>
      </c>
      <c r="E163" s="171" t="str">
        <f>INDEX('Customer List Mapping'!$C:$C,MATCH('Full Customer List'!D163,'Customer List Mapping'!$B:$B,0))</f>
        <v>Property Manager</v>
      </c>
      <c r="F163" s="187">
        <f>INDEX('Customer List w Software'!$K:$K,MATCH('Full Customer List'!$B163,'Customer List w Software'!$A:$A,0))</f>
        <v>4</v>
      </c>
      <c r="G163" s="187">
        <f>INDEX('Revenue by Customer'!$I:$I,MATCH('Full Customer List'!$B163,'Revenue by Customer'!$A:$A,0))</f>
        <v>418</v>
      </c>
      <c r="H163" s="250" t="str">
        <f>IFERROR(IF(C163="Active","",INDEX('Client Departures'!$G:$G,MATCH('Full Customer List'!$B163,'Client Departures'!$A:$A,0))),"Unclassified")</f>
        <v/>
      </c>
      <c r="I163" s="191">
        <v>45748</v>
      </c>
      <c r="J163" s="191"/>
      <c r="K163" s="187" t="str">
        <f>INDEX('Revenue by Customer'!K:K,MATCH('Full Customer List'!$B163,'Revenue by Customer'!$A:$A,0))</f>
        <v/>
      </c>
      <c r="L163" s="187" t="str">
        <f>INDEX('Revenue by Customer'!L:L,MATCH('Full Customer List'!$B163,'Revenue by Customer'!$A:$A,0))</f>
        <v/>
      </c>
      <c r="M163" s="187" t="str">
        <f>INDEX('Revenue by Customer'!M:M,MATCH('Full Customer List'!$B163,'Revenue by Customer'!$A:$A,0))</f>
        <v/>
      </c>
      <c r="N163" s="187">
        <f>INDEX('Revenue by Customer'!N:N,MATCH('Full Customer List'!$B163,'Revenue by Customer'!$A:$A,0))</f>
        <v>640</v>
      </c>
      <c r="O163" s="187">
        <f>INDEX('Revenue by Customer'!O:O,MATCH('Full Customer List'!$B163,'Revenue by Customer'!$A:$A,0))</f>
        <v>340</v>
      </c>
      <c r="P163" s="187">
        <f>INDEX('Revenue by Customer'!P:P,MATCH('Full Customer List'!$B163,'Revenue by Customer'!$A:$A,0))</f>
        <v>340</v>
      </c>
      <c r="Q163" s="187">
        <f>INDEX('Revenue by Customer'!Q:Q,MATCH('Full Customer List'!$B163,'Revenue by Customer'!$A:$A,0))</f>
        <v>400</v>
      </c>
      <c r="R163" s="187">
        <f>INDEX('Revenue by Customer'!R:R,MATCH('Full Customer List'!$B163,'Revenue by Customer'!$A:$A,0))</f>
        <v>400</v>
      </c>
      <c r="S163" s="187">
        <f>INDEX('Revenue by Customer'!S:S,MATCH('Full Customer List'!$B163,'Revenue by Customer'!$A:$A,0))</f>
        <v>400</v>
      </c>
      <c r="T163" s="187">
        <f>INDEX('Revenue by Customer'!T:T,MATCH('Full Customer List'!$B163,'Revenue by Customer'!$A:$A,0))</f>
        <v>400</v>
      </c>
      <c r="U163" s="187">
        <f>INDEX('Revenue by Customer'!U:U,MATCH('Full Customer List'!$B163,'Revenue by Customer'!$A:$A,0))</f>
        <v>400</v>
      </c>
      <c r="V163" s="187">
        <f>INDEX('Revenue by Customer'!V:V,MATCH('Full Customer List'!$B163,'Revenue by Customer'!$A:$A,0))</f>
        <v>400</v>
      </c>
      <c r="W163" s="187">
        <f>INDEX('Revenue by Customer'!W:W,MATCH('Full Customer List'!$B163,'Revenue by Customer'!$A:$A,0))</f>
        <v>400</v>
      </c>
      <c r="X163" s="187">
        <f>INDEX('Revenue by Customer'!X:X,MATCH('Full Customer List'!$B163,'Revenue by Customer'!$A:$A,0))</f>
        <v>400</v>
      </c>
      <c r="Y163" s="187">
        <f>INDEX('Revenue by Customer'!Y:Y,MATCH('Full Customer List'!$B163,'Revenue by Customer'!$A:$A,0))</f>
        <v>445</v>
      </c>
      <c r="Z163" s="187">
        <f>INDEX('Revenue by Customer'!Z:Z,MATCH('Full Customer List'!$B163,'Revenue by Customer'!$A:$A,0))</f>
        <v>418</v>
      </c>
      <c r="AA163" s="187">
        <f>INDEX('Revenue by Customer'!AA:AA,MATCH('Full Customer List'!$B163,'Revenue by Customer'!$A:$A,0))</f>
        <v>418</v>
      </c>
      <c r="AB163" s="187">
        <f>INDEX('Revenue by Customer'!AB:AB,MATCH('Full Customer List'!$B163,'Revenue by Customer'!$A:$A,0))</f>
        <v>418</v>
      </c>
      <c r="AC163" s="187">
        <f>INDEX('Revenue by Customer'!AC:AC,MATCH('Full Customer List'!$B163,'Revenue by Customer'!$A:$A,0))</f>
        <v>418</v>
      </c>
    </row>
    <row r="164" spans="2:29" ht="12" customHeight="1">
      <c r="B164" s="171" t="s">
        <v>793</v>
      </c>
      <c r="C164" s="171" t="str">
        <f>INDEX('Customer List w Software'!$B:$B,MATCH('Full Customer List'!$B164,'Customer List w Software'!$A:$A,0))</f>
        <v>Active</v>
      </c>
      <c r="D164" s="171" t="str">
        <f>INDEX('Customer List w Software'!$C:$C,MATCH('Full Customer List'!$B164,'Customer List w Software'!$A:$A,0))</f>
        <v>STR owner</v>
      </c>
      <c r="E164" s="171" t="str">
        <f>INDEX('Customer List Mapping'!$C:$C,MATCH('Full Customer List'!D164,'Customer List Mapping'!$B:$B,0))</f>
        <v>STR Owner</v>
      </c>
      <c r="F164" s="187" t="str">
        <f>INDEX('Customer List w Software'!$K:$K,MATCH('Full Customer List'!$B164,'Customer List w Software'!$A:$A,0))</f>
        <v/>
      </c>
      <c r="G164" s="187">
        <f>INDEX('Revenue by Customer'!$I:$I,MATCH('Full Customer List'!$B164,'Revenue by Customer'!$A:$A,0))</f>
        <v>400</v>
      </c>
      <c r="H164" s="250" t="str">
        <f>IFERROR(IF(C164="Active","",INDEX('Client Departures'!$G:$G,MATCH('Full Customer List'!$B164,'Client Departures'!$A:$A,0))),"Unclassified")</f>
        <v/>
      </c>
      <c r="I164" s="191">
        <v>44774</v>
      </c>
      <c r="J164" s="191"/>
      <c r="K164" s="187">
        <f>INDEX('Revenue by Customer'!K:K,MATCH('Full Customer List'!$B164,'Revenue by Customer'!$A:$A,0))</f>
        <v>395</v>
      </c>
      <c r="L164" s="187">
        <f>INDEX('Revenue by Customer'!L:L,MATCH('Full Customer List'!$B164,'Revenue by Customer'!$A:$A,0))</f>
        <v>455</v>
      </c>
      <c r="M164" s="187">
        <f>INDEX('Revenue by Customer'!M:M,MATCH('Full Customer List'!$B164,'Revenue by Customer'!$A:$A,0))</f>
        <v>395</v>
      </c>
      <c r="N164" s="187">
        <f>INDEX('Revenue by Customer'!N:N,MATCH('Full Customer List'!$B164,'Revenue by Customer'!$A:$A,0))</f>
        <v>395</v>
      </c>
      <c r="O164" s="187">
        <f>INDEX('Revenue by Customer'!O:O,MATCH('Full Customer List'!$B164,'Revenue by Customer'!$A:$A,0))</f>
        <v>395</v>
      </c>
      <c r="P164" s="187">
        <f>INDEX('Revenue by Customer'!P:P,MATCH('Full Customer List'!$B164,'Revenue by Customer'!$A:$A,0))</f>
        <v>395</v>
      </c>
      <c r="Q164" s="187">
        <f>INDEX('Revenue by Customer'!Q:Q,MATCH('Full Customer List'!$B164,'Revenue by Customer'!$A:$A,0))</f>
        <v>395</v>
      </c>
      <c r="R164" s="187">
        <f>INDEX('Revenue by Customer'!R:R,MATCH('Full Customer List'!$B164,'Revenue by Customer'!$A:$A,0))</f>
        <v>400</v>
      </c>
      <c r="S164" s="187">
        <f>INDEX('Revenue by Customer'!S:S,MATCH('Full Customer List'!$B164,'Revenue by Customer'!$A:$A,0))</f>
        <v>400</v>
      </c>
      <c r="T164" s="187">
        <f>INDEX('Revenue by Customer'!T:T,MATCH('Full Customer List'!$B164,'Revenue by Customer'!$A:$A,0))</f>
        <v>400</v>
      </c>
      <c r="U164" s="187">
        <f>INDEX('Revenue by Customer'!U:U,MATCH('Full Customer List'!$B164,'Revenue by Customer'!$A:$A,0))</f>
        <v>400</v>
      </c>
      <c r="V164" s="187">
        <f>INDEX('Revenue by Customer'!V:V,MATCH('Full Customer List'!$B164,'Revenue by Customer'!$A:$A,0))</f>
        <v>400</v>
      </c>
      <c r="W164" s="187">
        <f>INDEX('Revenue by Customer'!W:W,MATCH('Full Customer List'!$B164,'Revenue by Customer'!$A:$A,0))</f>
        <v>400</v>
      </c>
      <c r="X164" s="187">
        <f>INDEX('Revenue by Customer'!X:X,MATCH('Full Customer List'!$B164,'Revenue by Customer'!$A:$A,0))</f>
        <v>400</v>
      </c>
      <c r="Y164" s="187">
        <f>INDEX('Revenue by Customer'!Y:Y,MATCH('Full Customer List'!$B164,'Revenue by Customer'!$A:$A,0))</f>
        <v>400</v>
      </c>
      <c r="Z164" s="187">
        <f>INDEX('Revenue by Customer'!Z:Z,MATCH('Full Customer List'!$B164,'Revenue by Customer'!$A:$A,0))</f>
        <v>475</v>
      </c>
      <c r="AA164" s="187">
        <f>INDEX('Revenue by Customer'!AA:AA,MATCH('Full Customer List'!$B164,'Revenue by Customer'!$A:$A,0))</f>
        <v>400</v>
      </c>
      <c r="AB164" s="187">
        <f>INDEX('Revenue by Customer'!AB:AB,MATCH('Full Customer List'!$B164,'Revenue by Customer'!$A:$A,0))</f>
        <v>400</v>
      </c>
      <c r="AC164" s="187">
        <f>INDEX('Revenue by Customer'!AC:AC,MATCH('Full Customer List'!$B164,'Revenue by Customer'!$A:$A,0))</f>
        <v>400</v>
      </c>
    </row>
    <row r="165" spans="2:29" ht="12" customHeight="1">
      <c r="B165" s="171" t="s">
        <v>795</v>
      </c>
      <c r="C165" s="171" t="str">
        <f>INDEX('Customer List w Software'!$B:$B,MATCH('Full Customer List'!$B165,'Customer List w Software'!$A:$A,0))</f>
        <v>Active</v>
      </c>
      <c r="D165" s="171" t="str">
        <f>INDEX('Customer List w Software'!$C:$C,MATCH('Full Customer List'!$B165,'Customer List w Software'!$A:$A,0))</f>
        <v>STR owner</v>
      </c>
      <c r="E165" s="171" t="str">
        <f>INDEX('Customer List Mapping'!$C:$C,MATCH('Full Customer List'!D165,'Customer List Mapping'!$B:$B,0))</f>
        <v>STR Owner</v>
      </c>
      <c r="F165" s="187">
        <f>INDEX('Customer List w Software'!$K:$K,MATCH('Full Customer List'!$B165,'Customer List w Software'!$A:$A,0))</f>
        <v>12</v>
      </c>
      <c r="G165" s="187">
        <f>INDEX('Revenue by Customer'!$I:$I,MATCH('Full Customer List'!$B165,'Revenue by Customer'!$A:$A,0))</f>
        <v>412</v>
      </c>
      <c r="H165" s="250" t="str">
        <f>IFERROR(IF(C165="Active","",INDEX('Client Departures'!$G:$G,MATCH('Full Customer List'!$B165,'Client Departures'!$A:$A,0))),"Unclassified")</f>
        <v/>
      </c>
      <c r="I165" s="191">
        <v>45809</v>
      </c>
      <c r="J165" s="191"/>
      <c r="K165" s="187" t="str">
        <f>INDEX('Revenue by Customer'!K:K,MATCH('Full Customer List'!$B165,'Revenue by Customer'!$A:$A,0))</f>
        <v/>
      </c>
      <c r="L165" s="187" t="str">
        <f>INDEX('Revenue by Customer'!L:L,MATCH('Full Customer List'!$B165,'Revenue by Customer'!$A:$A,0))</f>
        <v/>
      </c>
      <c r="M165" s="187" t="str">
        <f>INDEX('Revenue by Customer'!M:M,MATCH('Full Customer List'!$B165,'Revenue by Customer'!$A:$A,0))</f>
        <v/>
      </c>
      <c r="N165" s="187" t="str">
        <f>INDEX('Revenue by Customer'!N:N,MATCH('Full Customer List'!$B165,'Revenue by Customer'!$A:$A,0))</f>
        <v/>
      </c>
      <c r="O165" s="187" t="str">
        <f>INDEX('Revenue by Customer'!O:O,MATCH('Full Customer List'!$B165,'Revenue by Customer'!$A:$A,0))</f>
        <v/>
      </c>
      <c r="P165" s="187">
        <f>INDEX('Revenue by Customer'!P:P,MATCH('Full Customer List'!$B165,'Revenue by Customer'!$A:$A,0))</f>
        <v>400</v>
      </c>
      <c r="Q165" s="187">
        <f>INDEX('Revenue by Customer'!Q:Q,MATCH('Full Customer List'!$B165,'Revenue by Customer'!$A:$A,0))</f>
        <v>400</v>
      </c>
      <c r="R165" s="187">
        <f>INDEX('Revenue by Customer'!R:R,MATCH('Full Customer List'!$B165,'Revenue by Customer'!$A:$A,0))</f>
        <v>400</v>
      </c>
      <c r="S165" s="187">
        <f>INDEX('Revenue by Customer'!S:S,MATCH('Full Customer List'!$B165,'Revenue by Customer'!$A:$A,0))</f>
        <v>400</v>
      </c>
      <c r="T165" s="187">
        <f>INDEX('Revenue by Customer'!T:T,MATCH('Full Customer List'!$B165,'Revenue by Customer'!$A:$A,0))</f>
        <v>400</v>
      </c>
      <c r="U165" s="187">
        <f>INDEX('Revenue by Customer'!U:U,MATCH('Full Customer List'!$B165,'Revenue by Customer'!$A:$A,0))</f>
        <v>400</v>
      </c>
      <c r="V165" s="187">
        <f>INDEX('Revenue by Customer'!V:V,MATCH('Full Customer List'!$B165,'Revenue by Customer'!$A:$A,0))</f>
        <v>400</v>
      </c>
      <c r="W165" s="187">
        <f>INDEX('Revenue by Customer'!W:W,MATCH('Full Customer List'!$B165,'Revenue by Customer'!$A:$A,0))</f>
        <v>400</v>
      </c>
      <c r="X165" s="187">
        <f>INDEX('Revenue by Customer'!X:X,MATCH('Full Customer List'!$B165,'Revenue by Customer'!$A:$A,0))</f>
        <v>430</v>
      </c>
      <c r="Y165" s="187">
        <f>INDEX('Revenue by Customer'!Y:Y,MATCH('Full Customer List'!$B165,'Revenue by Customer'!$A:$A,0))</f>
        <v>400</v>
      </c>
      <c r="Z165" s="187">
        <f>INDEX('Revenue by Customer'!Z:Z,MATCH('Full Customer List'!$B165,'Revenue by Customer'!$A:$A,0))</f>
        <v>400</v>
      </c>
      <c r="AA165" s="187">
        <f>INDEX('Revenue by Customer'!AA:AA,MATCH('Full Customer List'!$B165,'Revenue by Customer'!$A:$A,0))</f>
        <v>400</v>
      </c>
      <c r="AB165" s="187">
        <f>INDEX('Revenue by Customer'!AB:AB,MATCH('Full Customer List'!$B165,'Revenue by Customer'!$A:$A,0))</f>
        <v>418</v>
      </c>
      <c r="AC165" s="187">
        <f>INDEX('Revenue by Customer'!AC:AC,MATCH('Full Customer List'!$B165,'Revenue by Customer'!$A:$A,0))</f>
        <v>418</v>
      </c>
    </row>
    <row r="166" spans="2:29" ht="12" customHeight="1">
      <c r="B166" s="171" t="s">
        <v>796</v>
      </c>
      <c r="C166" s="171" t="str">
        <f>INDEX('Customer List w Software'!$B:$B,MATCH('Full Customer List'!$B166,'Customer List w Software'!$A:$A,0))</f>
        <v>Former client</v>
      </c>
      <c r="D166" s="171" t="str">
        <f>INDEX('Customer List w Software'!$C:$C,MATCH('Full Customer List'!$B166,'Customer List w Software'!$A:$A,0))</f>
        <v>Small business</v>
      </c>
      <c r="E166" s="171" t="str">
        <f>INDEX('Customer List Mapping'!$C:$C,MATCH('Full Customer List'!D166,'Customer List Mapping'!$B:$B,0))</f>
        <v>Small Business</v>
      </c>
      <c r="F166" s="187" t="str">
        <f>INDEX('Customer List w Software'!$K:$K,MATCH('Full Customer List'!$B166,'Customer List w Software'!$A:$A,0))</f>
        <v/>
      </c>
      <c r="G166" s="187">
        <f>INDEX('Revenue by Customer'!$I:$I,MATCH('Full Customer List'!$B166,'Revenue by Customer'!$A:$A,0))</f>
        <v>405</v>
      </c>
      <c r="H166" s="250" t="str">
        <f>IFERROR(IF(C166="Active","",INDEX('Client Departures'!$G:$G,MATCH('Full Customer List'!$B166,'Client Departures'!$A:$A,0))),"Unclassified")</f>
        <v>No</v>
      </c>
      <c r="I166" s="191">
        <v>44805</v>
      </c>
      <c r="J166" s="191">
        <v>46234</v>
      </c>
      <c r="K166" s="187">
        <f>INDEX('Revenue by Customer'!K:K,MATCH('Full Customer List'!$B166,'Revenue by Customer'!$A:$A,0))</f>
        <v>395</v>
      </c>
      <c r="L166" s="187">
        <f>INDEX('Revenue by Customer'!L:L,MATCH('Full Customer List'!$B166,'Revenue by Customer'!$A:$A,0))</f>
        <v>425</v>
      </c>
      <c r="M166" s="187">
        <f>INDEX('Revenue by Customer'!M:M,MATCH('Full Customer List'!$B166,'Revenue by Customer'!$A:$A,0))</f>
        <v>395</v>
      </c>
      <c r="N166" s="187">
        <f>INDEX('Revenue by Customer'!N:N,MATCH('Full Customer List'!$B166,'Revenue by Customer'!$A:$A,0))</f>
        <v>395</v>
      </c>
      <c r="O166" s="187">
        <f>INDEX('Revenue by Customer'!O:O,MATCH('Full Customer List'!$B166,'Revenue by Customer'!$A:$A,0))</f>
        <v>395</v>
      </c>
      <c r="P166" s="187">
        <f>INDEX('Revenue by Customer'!P:P,MATCH('Full Customer List'!$B166,'Revenue by Customer'!$A:$A,0))</f>
        <v>395</v>
      </c>
      <c r="Q166" s="187">
        <f>INDEX('Revenue by Customer'!Q:Q,MATCH('Full Customer List'!$B166,'Revenue by Customer'!$A:$A,0))</f>
        <v>395</v>
      </c>
      <c r="R166" s="187">
        <f>INDEX('Revenue by Customer'!R:R,MATCH('Full Customer List'!$B166,'Revenue by Customer'!$A:$A,0))</f>
        <v>395</v>
      </c>
      <c r="S166" s="187">
        <f>INDEX('Revenue by Customer'!S:S,MATCH('Full Customer List'!$B166,'Revenue by Customer'!$A:$A,0))</f>
        <v>405</v>
      </c>
      <c r="T166" s="187">
        <f>INDEX('Revenue by Customer'!T:T,MATCH('Full Customer List'!$B166,'Revenue by Customer'!$A:$A,0))</f>
        <v>405</v>
      </c>
      <c r="U166" s="187">
        <f>INDEX('Revenue by Customer'!U:U,MATCH('Full Customer List'!$B166,'Revenue by Customer'!$A:$A,0))</f>
        <v>405</v>
      </c>
      <c r="V166" s="187">
        <f>INDEX('Revenue by Customer'!V:V,MATCH('Full Customer List'!$B166,'Revenue by Customer'!$A:$A,0))</f>
        <v>405</v>
      </c>
      <c r="W166" s="187">
        <f>INDEX('Revenue by Customer'!W:W,MATCH('Full Customer List'!$B166,'Revenue by Customer'!$A:$A,0))</f>
        <v>405</v>
      </c>
      <c r="X166" s="187">
        <f>INDEX('Revenue by Customer'!X:X,MATCH('Full Customer List'!$B166,'Revenue by Customer'!$A:$A,0))</f>
        <v>420</v>
      </c>
      <c r="Y166" s="187">
        <f>INDEX('Revenue by Customer'!Y:Y,MATCH('Full Customer List'!$B166,'Revenue by Customer'!$A:$A,0))</f>
        <v>405</v>
      </c>
      <c r="Z166" s="187">
        <f>INDEX('Revenue by Customer'!Z:Z,MATCH('Full Customer List'!$B166,'Revenue by Customer'!$A:$A,0))</f>
        <v>405</v>
      </c>
      <c r="AA166" s="187">
        <f>INDEX('Revenue by Customer'!AA:AA,MATCH('Full Customer List'!$B166,'Revenue by Customer'!$A:$A,0))</f>
        <v>405</v>
      </c>
      <c r="AB166" s="187">
        <f>INDEX('Revenue by Customer'!AB:AB,MATCH('Full Customer List'!$B166,'Revenue by Customer'!$A:$A,0))</f>
        <v>405</v>
      </c>
      <c r="AC166" s="187">
        <f>INDEX('Revenue by Customer'!AC:AC,MATCH('Full Customer List'!$B166,'Revenue by Customer'!$A:$A,0))</f>
        <v>405</v>
      </c>
    </row>
    <row r="167" spans="2:29" ht="12" customHeight="1">
      <c r="B167" s="171" t="s">
        <v>797</v>
      </c>
      <c r="C167" s="171" t="str">
        <f>INDEX('Customer List w Software'!$B:$B,MATCH('Full Customer List'!$B167,'Customer List w Software'!$A:$A,0))</f>
        <v>Active</v>
      </c>
      <c r="D167" s="171" t="str">
        <f>INDEX('Customer List w Software'!$C:$C,MATCH('Full Customer List'!$B167,'Customer List w Software'!$A:$A,0))</f>
        <v>STR owner</v>
      </c>
      <c r="E167" s="171" t="str">
        <f>INDEX('Customer List Mapping'!$C:$C,MATCH('Full Customer List'!D167,'Customer List Mapping'!$B:$B,0))</f>
        <v>STR Owner</v>
      </c>
      <c r="F167" s="187" t="str">
        <f>INDEX('Customer List w Software'!$K:$K,MATCH('Full Customer List'!$B167,'Customer List w Software'!$A:$A,0))</f>
        <v/>
      </c>
      <c r="G167" s="187">
        <f>INDEX('Revenue by Customer'!$I:$I,MATCH('Full Customer List'!$B167,'Revenue by Customer'!$A:$A,0))</f>
        <v>418</v>
      </c>
      <c r="H167" s="250" t="str">
        <f>IFERROR(IF(C167="Active","",INDEX('Client Departures'!$G:$G,MATCH('Full Customer List'!$B167,'Client Departures'!$A:$A,0))),"Unclassified")</f>
        <v/>
      </c>
      <c r="I167" s="191">
        <v>45778</v>
      </c>
      <c r="J167" s="191"/>
      <c r="K167" s="187" t="str">
        <f>INDEX('Revenue by Customer'!K:K,MATCH('Full Customer List'!$B167,'Revenue by Customer'!$A:$A,0))</f>
        <v/>
      </c>
      <c r="L167" s="187" t="str">
        <f>INDEX('Revenue by Customer'!L:L,MATCH('Full Customer List'!$B167,'Revenue by Customer'!$A:$A,0))</f>
        <v/>
      </c>
      <c r="M167" s="187" t="str">
        <f>INDEX('Revenue by Customer'!M:M,MATCH('Full Customer List'!$B167,'Revenue by Customer'!$A:$A,0))</f>
        <v/>
      </c>
      <c r="N167" s="187" t="str">
        <f>INDEX('Revenue by Customer'!N:N,MATCH('Full Customer List'!$B167,'Revenue by Customer'!$A:$A,0))</f>
        <v/>
      </c>
      <c r="O167" s="187">
        <f>INDEX('Revenue by Customer'!O:O,MATCH('Full Customer List'!$B167,'Revenue by Customer'!$A:$A,0))</f>
        <v>340</v>
      </c>
      <c r="P167" s="187">
        <f>INDEX('Revenue by Customer'!P:P,MATCH('Full Customer List'!$B167,'Revenue by Customer'!$A:$A,0))</f>
        <v>340</v>
      </c>
      <c r="Q167" s="187">
        <f>INDEX('Revenue by Customer'!Q:Q,MATCH('Full Customer List'!$B167,'Revenue by Customer'!$A:$A,0))</f>
        <v>340</v>
      </c>
      <c r="R167" s="187">
        <f>INDEX('Revenue by Customer'!R:R,MATCH('Full Customer List'!$B167,'Revenue by Customer'!$A:$A,0))</f>
        <v>400</v>
      </c>
      <c r="S167" s="187">
        <f>INDEX('Revenue by Customer'!S:S,MATCH('Full Customer List'!$B167,'Revenue by Customer'!$A:$A,0))</f>
        <v>400</v>
      </c>
      <c r="T167" s="187">
        <f>INDEX('Revenue by Customer'!T:T,MATCH('Full Customer List'!$B167,'Revenue by Customer'!$A:$A,0))</f>
        <v>400</v>
      </c>
      <c r="U167" s="187">
        <f>INDEX('Revenue by Customer'!U:U,MATCH('Full Customer List'!$B167,'Revenue by Customer'!$A:$A,0))</f>
        <v>400</v>
      </c>
      <c r="V167" s="187">
        <f>INDEX('Revenue by Customer'!V:V,MATCH('Full Customer List'!$B167,'Revenue by Customer'!$A:$A,0))</f>
        <v>400</v>
      </c>
      <c r="W167" s="187">
        <f>INDEX('Revenue by Customer'!W:W,MATCH('Full Customer List'!$B167,'Revenue by Customer'!$A:$A,0))</f>
        <v>400</v>
      </c>
      <c r="X167" s="187">
        <f>INDEX('Revenue by Customer'!X:X,MATCH('Full Customer List'!$B167,'Revenue by Customer'!$A:$A,0))</f>
        <v>400</v>
      </c>
      <c r="Y167" s="187">
        <f>INDEX('Revenue by Customer'!Y:Y,MATCH('Full Customer List'!$B167,'Revenue by Customer'!$A:$A,0))</f>
        <v>400</v>
      </c>
      <c r="Z167" s="187">
        <f>INDEX('Revenue by Customer'!Z:Z,MATCH('Full Customer List'!$B167,'Revenue by Customer'!$A:$A,0))</f>
        <v>400</v>
      </c>
      <c r="AA167" s="187">
        <f>INDEX('Revenue by Customer'!AA:AA,MATCH('Full Customer List'!$B167,'Revenue by Customer'!$A:$A,0))</f>
        <v>418</v>
      </c>
      <c r="AB167" s="187">
        <f>INDEX('Revenue by Customer'!AB:AB,MATCH('Full Customer List'!$B167,'Revenue by Customer'!$A:$A,0))</f>
        <v>418</v>
      </c>
      <c r="AC167" s="187">
        <f>INDEX('Revenue by Customer'!AC:AC,MATCH('Full Customer List'!$B167,'Revenue by Customer'!$A:$A,0))</f>
        <v>418</v>
      </c>
    </row>
    <row r="168" spans="2:29" ht="12" customHeight="1">
      <c r="B168" s="171" t="s">
        <v>798</v>
      </c>
      <c r="C168" s="171" t="str">
        <f>INDEX('Customer List w Software'!$B:$B,MATCH('Full Customer List'!$B168,'Customer List w Software'!$A:$A,0))</f>
        <v>Active</v>
      </c>
      <c r="D168" s="171" t="str">
        <f>INDEX('Customer List w Software'!$C:$C,MATCH('Full Customer List'!$B168,'Customer List w Software'!$A:$A,0))</f>
        <v>STR owner</v>
      </c>
      <c r="E168" s="171" t="str">
        <f>INDEX('Customer List Mapping'!$C:$C,MATCH('Full Customer List'!D168,'Customer List Mapping'!$B:$B,0))</f>
        <v>STR Owner</v>
      </c>
      <c r="F168" s="187" t="str">
        <f>INDEX('Customer List w Software'!$K:$K,MATCH('Full Customer List'!$B168,'Customer List w Software'!$A:$A,0))</f>
        <v/>
      </c>
      <c r="G168" s="187">
        <f>INDEX('Revenue by Customer'!$I:$I,MATCH('Full Customer List'!$B168,'Revenue by Customer'!$A:$A,0))</f>
        <v>400</v>
      </c>
      <c r="H168" s="250" t="str">
        <f>IFERROR(IF(C168="Active","",INDEX('Client Departures'!$G:$G,MATCH('Full Customer List'!$B168,'Client Departures'!$A:$A,0))),"Unclassified")</f>
        <v/>
      </c>
      <c r="I168" s="191">
        <v>45261</v>
      </c>
      <c r="J168" s="191"/>
      <c r="K168" s="187">
        <f>INDEX('Revenue by Customer'!K:K,MATCH('Full Customer List'!$B168,'Revenue by Customer'!$A:$A,0))</f>
        <v>415</v>
      </c>
      <c r="L168" s="187">
        <f>INDEX('Revenue by Customer'!L:L,MATCH('Full Customer List'!$B168,'Revenue by Customer'!$A:$A,0))</f>
        <v>400</v>
      </c>
      <c r="M168" s="187">
        <f>INDEX('Revenue by Customer'!M:M,MATCH('Full Customer List'!$B168,'Revenue by Customer'!$A:$A,0))</f>
        <v>400</v>
      </c>
      <c r="N168" s="187">
        <f>INDEX('Revenue by Customer'!N:N,MATCH('Full Customer List'!$B168,'Revenue by Customer'!$A:$A,0))</f>
        <v>400</v>
      </c>
      <c r="O168" s="187">
        <f>INDEX('Revenue by Customer'!O:O,MATCH('Full Customer List'!$B168,'Revenue by Customer'!$A:$A,0))</f>
        <v>400</v>
      </c>
      <c r="P168" s="187">
        <f>INDEX('Revenue by Customer'!P:P,MATCH('Full Customer List'!$B168,'Revenue by Customer'!$A:$A,0))</f>
        <v>400</v>
      </c>
      <c r="Q168" s="187">
        <f>INDEX('Revenue by Customer'!Q:Q,MATCH('Full Customer List'!$B168,'Revenue by Customer'!$A:$A,0))</f>
        <v>400</v>
      </c>
      <c r="R168" s="187">
        <f>INDEX('Revenue by Customer'!R:R,MATCH('Full Customer List'!$B168,'Revenue by Customer'!$A:$A,0))</f>
        <v>400</v>
      </c>
      <c r="S168" s="187">
        <f>INDEX('Revenue by Customer'!S:S,MATCH('Full Customer List'!$B168,'Revenue by Customer'!$A:$A,0))</f>
        <v>400</v>
      </c>
      <c r="T168" s="187">
        <f>INDEX('Revenue by Customer'!T:T,MATCH('Full Customer List'!$B168,'Revenue by Customer'!$A:$A,0))</f>
        <v>400</v>
      </c>
      <c r="U168" s="187">
        <f>INDEX('Revenue by Customer'!U:U,MATCH('Full Customer List'!$B168,'Revenue by Customer'!$A:$A,0))</f>
        <v>400</v>
      </c>
      <c r="V168" s="187">
        <f>INDEX('Revenue by Customer'!V:V,MATCH('Full Customer List'!$B168,'Revenue by Customer'!$A:$A,0))</f>
        <v>400</v>
      </c>
      <c r="W168" s="187">
        <f>INDEX('Revenue by Customer'!W:W,MATCH('Full Customer List'!$B168,'Revenue by Customer'!$A:$A,0))</f>
        <v>400</v>
      </c>
      <c r="X168" s="187">
        <f>INDEX('Revenue by Customer'!X:X,MATCH('Full Customer List'!$B168,'Revenue by Customer'!$A:$A,0))</f>
        <v>430</v>
      </c>
      <c r="Y168" s="187">
        <f>INDEX('Revenue by Customer'!Y:Y,MATCH('Full Customer List'!$B168,'Revenue by Customer'!$A:$A,0))</f>
        <v>400</v>
      </c>
      <c r="Z168" s="187">
        <f>INDEX('Revenue by Customer'!Z:Z,MATCH('Full Customer List'!$B168,'Revenue by Customer'!$A:$A,0))</f>
        <v>400</v>
      </c>
      <c r="AA168" s="187">
        <f>INDEX('Revenue by Customer'!AA:AA,MATCH('Full Customer List'!$B168,'Revenue by Customer'!$A:$A,0))</f>
        <v>400</v>
      </c>
      <c r="AB168" s="187">
        <f>INDEX('Revenue by Customer'!AB:AB,MATCH('Full Customer List'!$B168,'Revenue by Customer'!$A:$A,0))</f>
        <v>400</v>
      </c>
      <c r="AC168" s="187">
        <f>INDEX('Revenue by Customer'!AC:AC,MATCH('Full Customer List'!$B168,'Revenue by Customer'!$A:$A,0))</f>
        <v>400</v>
      </c>
    </row>
    <row r="169" spans="2:29" ht="12" customHeight="1">
      <c r="B169" s="171" t="s">
        <v>799</v>
      </c>
      <c r="C169" s="171" t="str">
        <f>INDEX('Customer List w Software'!$B:$B,MATCH('Full Customer List'!$B169,'Customer List w Software'!$A:$A,0))</f>
        <v>Former client</v>
      </c>
      <c r="D169" s="171" t="str">
        <f>INDEX('Customer List w Software'!$C:$C,MATCH('Full Customer List'!$B169,'Customer List w Software'!$A:$A,0))</f>
        <v>STR owner</v>
      </c>
      <c r="E169" s="171" t="str">
        <f>INDEX('Customer List Mapping'!$C:$C,MATCH('Full Customer List'!D169,'Customer List Mapping'!$B:$B,0))</f>
        <v>STR Owner</v>
      </c>
      <c r="F169" s="187" t="str">
        <f>INDEX('Customer List w Software'!$K:$K,MATCH('Full Customer List'!$B169,'Customer List w Software'!$A:$A,0))</f>
        <v/>
      </c>
      <c r="G169" s="187">
        <f>INDEX('Revenue by Customer'!$I:$I,MATCH('Full Customer List'!$B169,'Revenue by Customer'!$A:$A,0))</f>
        <v>648.33333333333337</v>
      </c>
      <c r="H169" s="250" t="str">
        <f>IFERROR(IF(C169="Active","",INDEX('Client Departures'!$G:$G,MATCH('Full Customer List'!$B169,'Client Departures'!$A:$A,0))),"Unclassified")</f>
        <v>Unclassified</v>
      </c>
      <c r="I169" s="191">
        <v>45748</v>
      </c>
      <c r="J169" s="191">
        <v>46112</v>
      </c>
      <c r="K169" s="187" t="str">
        <f>INDEX('Revenue by Customer'!K:K,MATCH('Full Customer List'!$B169,'Revenue by Customer'!$A:$A,0))</f>
        <v/>
      </c>
      <c r="L169" s="187" t="str">
        <f>INDEX('Revenue by Customer'!L:L,MATCH('Full Customer List'!$B169,'Revenue by Customer'!$A:$A,0))</f>
        <v/>
      </c>
      <c r="M169" s="187" t="str">
        <f>INDEX('Revenue by Customer'!M:M,MATCH('Full Customer List'!$B169,'Revenue by Customer'!$A:$A,0))</f>
        <v/>
      </c>
      <c r="N169" s="187">
        <f>INDEX('Revenue by Customer'!N:N,MATCH('Full Customer List'!$B169,'Revenue by Customer'!$A:$A,0))</f>
        <v>878.75</v>
      </c>
      <c r="O169" s="187">
        <f>INDEX('Revenue by Customer'!O:O,MATCH('Full Customer List'!$B169,'Revenue by Customer'!$A:$A,0))</f>
        <v>503.75</v>
      </c>
      <c r="P169" s="187">
        <f>INDEX('Revenue by Customer'!P:P,MATCH('Full Customer List'!$B169,'Revenue by Customer'!$A:$A,0))</f>
        <v>503.75</v>
      </c>
      <c r="Q169" s="187">
        <f>INDEX('Revenue by Customer'!Q:Q,MATCH('Full Customer List'!$B169,'Revenue by Customer'!$A:$A,0))</f>
        <v>575</v>
      </c>
      <c r="R169" s="187">
        <f>INDEX('Revenue by Customer'!R:R,MATCH('Full Customer List'!$B169,'Revenue by Customer'!$A:$A,0))</f>
        <v>575</v>
      </c>
      <c r="S169" s="187">
        <f>INDEX('Revenue by Customer'!S:S,MATCH('Full Customer List'!$B169,'Revenue by Customer'!$A:$A,0))</f>
        <v>575</v>
      </c>
      <c r="T169" s="187">
        <f>INDEX('Revenue by Customer'!T:T,MATCH('Full Customer List'!$B169,'Revenue by Customer'!$A:$A,0))</f>
        <v>575</v>
      </c>
      <c r="U169" s="187">
        <f>INDEX('Revenue by Customer'!U:U,MATCH('Full Customer List'!$B169,'Revenue by Customer'!$A:$A,0))</f>
        <v>575</v>
      </c>
      <c r="V169" s="187">
        <f>INDEX('Revenue by Customer'!V:V,MATCH('Full Customer List'!$B169,'Revenue by Customer'!$A:$A,0))</f>
        <v>575</v>
      </c>
      <c r="W169" s="187">
        <f>INDEX('Revenue by Customer'!W:W,MATCH('Full Customer List'!$B169,'Revenue by Customer'!$A:$A,0))</f>
        <v>575</v>
      </c>
      <c r="X169" s="187">
        <f>INDEX('Revenue by Customer'!X:X,MATCH('Full Customer List'!$B169,'Revenue by Customer'!$A:$A,0))</f>
        <v>795</v>
      </c>
      <c r="Y169" s="187">
        <f>INDEX('Revenue by Customer'!Y:Y,MATCH('Full Customer List'!$B169,'Revenue by Customer'!$A:$A,0))</f>
        <v>575</v>
      </c>
      <c r="Z169" s="187" t="str">
        <f>INDEX('Revenue by Customer'!Z:Z,MATCH('Full Customer List'!$B169,'Revenue by Customer'!$A:$A,0))</f>
        <v/>
      </c>
      <c r="AA169" s="187" t="str">
        <f>INDEX('Revenue by Customer'!AA:AA,MATCH('Full Customer List'!$B169,'Revenue by Customer'!$A:$A,0))</f>
        <v/>
      </c>
      <c r="AB169" s="187" t="str">
        <f>INDEX('Revenue by Customer'!AB:AB,MATCH('Full Customer List'!$B169,'Revenue by Customer'!$A:$A,0))</f>
        <v/>
      </c>
      <c r="AC169" s="187" t="str">
        <f>INDEX('Revenue by Customer'!AC:AC,MATCH('Full Customer List'!$B169,'Revenue by Customer'!$A:$A,0))</f>
        <v/>
      </c>
    </row>
    <row r="170" spans="2:29" ht="12" customHeight="1">
      <c r="B170" s="171" t="s">
        <v>800</v>
      </c>
      <c r="C170" s="171" t="str">
        <f>INDEX('Customer List w Software'!$B:$B,MATCH('Full Customer List'!$B170,'Customer List w Software'!$A:$A,0))</f>
        <v>Active</v>
      </c>
      <c r="D170" s="171" t="str">
        <f>INDEX('Customer List w Software'!$C:$C,MATCH('Full Customer List'!$B170,'Customer List w Software'!$A:$A,0))</f>
        <v>Property manager</v>
      </c>
      <c r="E170" s="171" t="str">
        <f>INDEX('Customer List Mapping'!$C:$C,MATCH('Full Customer List'!D170,'Customer List Mapping'!$B:$B,0))</f>
        <v>Property Manager</v>
      </c>
      <c r="F170" s="187">
        <f>INDEX('Customer List w Software'!$K:$K,MATCH('Full Customer List'!$B170,'Customer List w Software'!$A:$A,0))</f>
        <v>15</v>
      </c>
      <c r="G170" s="187">
        <f>INDEX('Revenue by Customer'!$I:$I,MATCH('Full Customer List'!$B170,'Revenue by Customer'!$A:$A,0))</f>
        <v>1592.6666666666667</v>
      </c>
      <c r="H170" s="250" t="str">
        <f>IFERROR(IF(C170="Active","",INDEX('Client Departures'!$G:$G,MATCH('Full Customer List'!$B170,'Client Departures'!$A:$A,0))),"Unclassified")</f>
        <v/>
      </c>
      <c r="I170" s="191">
        <v>46143</v>
      </c>
      <c r="J170" s="191"/>
      <c r="K170" s="187" t="str">
        <f>INDEX('Revenue by Customer'!K:K,MATCH('Full Customer List'!$B170,'Revenue by Customer'!$A:$A,0))</f>
        <v/>
      </c>
      <c r="L170" s="187" t="str">
        <f>INDEX('Revenue by Customer'!L:L,MATCH('Full Customer List'!$B170,'Revenue by Customer'!$A:$A,0))</f>
        <v/>
      </c>
      <c r="M170" s="187" t="str">
        <f>INDEX('Revenue by Customer'!M:M,MATCH('Full Customer List'!$B170,'Revenue by Customer'!$A:$A,0))</f>
        <v/>
      </c>
      <c r="N170" s="187" t="str">
        <f>INDEX('Revenue by Customer'!N:N,MATCH('Full Customer List'!$B170,'Revenue by Customer'!$A:$A,0))</f>
        <v/>
      </c>
      <c r="O170" s="187" t="str">
        <f>INDEX('Revenue by Customer'!O:O,MATCH('Full Customer List'!$B170,'Revenue by Customer'!$A:$A,0))</f>
        <v/>
      </c>
      <c r="P170" s="187" t="str">
        <f>INDEX('Revenue by Customer'!P:P,MATCH('Full Customer List'!$B170,'Revenue by Customer'!$A:$A,0))</f>
        <v/>
      </c>
      <c r="Q170" s="187" t="str">
        <f>INDEX('Revenue by Customer'!Q:Q,MATCH('Full Customer List'!$B170,'Revenue by Customer'!$A:$A,0))</f>
        <v/>
      </c>
      <c r="R170" s="187" t="str">
        <f>INDEX('Revenue by Customer'!R:R,MATCH('Full Customer List'!$B170,'Revenue by Customer'!$A:$A,0))</f>
        <v/>
      </c>
      <c r="S170" s="187" t="str">
        <f>INDEX('Revenue by Customer'!S:S,MATCH('Full Customer List'!$B170,'Revenue by Customer'!$A:$A,0))</f>
        <v/>
      </c>
      <c r="T170" s="187" t="str">
        <f>INDEX('Revenue by Customer'!T:T,MATCH('Full Customer List'!$B170,'Revenue by Customer'!$A:$A,0))</f>
        <v/>
      </c>
      <c r="U170" s="187" t="str">
        <f>INDEX('Revenue by Customer'!U:U,MATCH('Full Customer List'!$B170,'Revenue by Customer'!$A:$A,0))</f>
        <v/>
      </c>
      <c r="V170" s="187" t="str">
        <f>INDEX('Revenue by Customer'!V:V,MATCH('Full Customer List'!$B170,'Revenue by Customer'!$A:$A,0))</f>
        <v/>
      </c>
      <c r="W170" s="187" t="str">
        <f>INDEX('Revenue by Customer'!W:W,MATCH('Full Customer List'!$B170,'Revenue by Customer'!$A:$A,0))</f>
        <v/>
      </c>
      <c r="X170" s="187" t="str">
        <f>INDEX('Revenue by Customer'!X:X,MATCH('Full Customer List'!$B170,'Revenue by Customer'!$A:$A,0))</f>
        <v/>
      </c>
      <c r="Y170" s="187" t="str">
        <f>INDEX('Revenue by Customer'!Y:Y,MATCH('Full Customer List'!$B170,'Revenue by Customer'!$A:$A,0))</f>
        <v/>
      </c>
      <c r="Z170" s="187" t="str">
        <f>INDEX('Revenue by Customer'!Z:Z,MATCH('Full Customer List'!$B170,'Revenue by Customer'!$A:$A,0))</f>
        <v/>
      </c>
      <c r="AA170" s="187">
        <f>INDEX('Revenue by Customer'!AA:AA,MATCH('Full Customer List'!$B170,'Revenue by Customer'!$A:$A,0))</f>
        <v>2696</v>
      </c>
      <c r="AB170" s="187">
        <f>INDEX('Revenue by Customer'!AB:AB,MATCH('Full Customer List'!$B170,'Revenue by Customer'!$A:$A,0))</f>
        <v>974</v>
      </c>
      <c r="AC170" s="187">
        <f>INDEX('Revenue by Customer'!AC:AC,MATCH('Full Customer List'!$B170,'Revenue by Customer'!$A:$A,0))</f>
        <v>1108</v>
      </c>
    </row>
    <row r="171" spans="2:29" ht="12" customHeight="1">
      <c r="B171" s="171" t="s">
        <v>801</v>
      </c>
      <c r="C171" s="171" t="str">
        <f>INDEX('Customer List w Software'!$B:$B,MATCH('Full Customer List'!$B171,'Customer List w Software'!$A:$A,0))</f>
        <v>Former client</v>
      </c>
      <c r="D171" s="171" t="str">
        <f>INDEX('Customer List w Software'!$C:$C,MATCH('Full Customer List'!$B171,'Customer List w Software'!$A:$A,0))</f>
        <v>Small business</v>
      </c>
      <c r="E171" s="171" t="str">
        <f>INDEX('Customer List Mapping'!$C:$C,MATCH('Full Customer List'!D171,'Customer List Mapping'!$B:$B,0))</f>
        <v>Small Business</v>
      </c>
      <c r="F171" s="187" t="str">
        <f>INDEX('Customer List w Software'!$K:$K,MATCH('Full Customer List'!$B171,'Customer List w Software'!$A:$A,0))</f>
        <v/>
      </c>
      <c r="G171" s="187">
        <f>INDEX('Revenue by Customer'!$I:$I,MATCH('Full Customer List'!$B171,'Revenue by Customer'!$A:$A,0))</f>
        <v>400</v>
      </c>
      <c r="H171" s="250" t="str">
        <f>IFERROR(IF(C171="Active","",INDEX('Client Departures'!$G:$G,MATCH('Full Customer List'!$B171,'Client Departures'!$A:$A,0))),"Unclassified")</f>
        <v>No</v>
      </c>
      <c r="I171" s="191">
        <v>44317</v>
      </c>
      <c r="J171" s="191">
        <v>46234</v>
      </c>
      <c r="K171" s="187">
        <f>INDEX('Revenue by Customer'!K:K,MATCH('Full Customer List'!$B171,'Revenue by Customer'!$A:$A,0))</f>
        <v>385</v>
      </c>
      <c r="L171" s="187">
        <f>INDEX('Revenue by Customer'!L:L,MATCH('Full Customer List'!$B171,'Revenue by Customer'!$A:$A,0))</f>
        <v>385</v>
      </c>
      <c r="M171" s="187">
        <f>INDEX('Revenue by Customer'!M:M,MATCH('Full Customer List'!$B171,'Revenue by Customer'!$A:$A,0))</f>
        <v>385</v>
      </c>
      <c r="N171" s="187">
        <f>INDEX('Revenue by Customer'!N:N,MATCH('Full Customer List'!$B171,'Revenue by Customer'!$A:$A,0))</f>
        <v>385</v>
      </c>
      <c r="O171" s="187">
        <f>INDEX('Revenue by Customer'!O:O,MATCH('Full Customer List'!$B171,'Revenue by Customer'!$A:$A,0))</f>
        <v>385</v>
      </c>
      <c r="P171" s="187">
        <f>INDEX('Revenue by Customer'!P:P,MATCH('Full Customer List'!$B171,'Revenue by Customer'!$A:$A,0))</f>
        <v>385</v>
      </c>
      <c r="Q171" s="187">
        <f>INDEX('Revenue by Customer'!Q:Q,MATCH('Full Customer List'!$B171,'Revenue by Customer'!$A:$A,0))</f>
        <v>385</v>
      </c>
      <c r="R171" s="187">
        <f>INDEX('Revenue by Customer'!R:R,MATCH('Full Customer List'!$B171,'Revenue by Customer'!$A:$A,0))</f>
        <v>385</v>
      </c>
      <c r="S171" s="187">
        <f>INDEX('Revenue by Customer'!S:S,MATCH('Full Customer List'!$B171,'Revenue by Customer'!$A:$A,0))</f>
        <v>385</v>
      </c>
      <c r="T171" s="187">
        <f>INDEX('Revenue by Customer'!T:T,MATCH('Full Customer List'!$B171,'Revenue by Customer'!$A:$A,0))</f>
        <v>385</v>
      </c>
      <c r="U171" s="187">
        <f>INDEX('Revenue by Customer'!U:U,MATCH('Full Customer List'!$B171,'Revenue by Customer'!$A:$A,0))</f>
        <v>385</v>
      </c>
      <c r="V171" s="187">
        <f>INDEX('Revenue by Customer'!V:V,MATCH('Full Customer List'!$B171,'Revenue by Customer'!$A:$A,0))</f>
        <v>385</v>
      </c>
      <c r="W171" s="187">
        <f>INDEX('Revenue by Customer'!W:W,MATCH('Full Customer List'!$B171,'Revenue by Customer'!$A:$A,0))</f>
        <v>400</v>
      </c>
      <c r="X171" s="187">
        <f>INDEX('Revenue by Customer'!X:X,MATCH('Full Customer List'!$B171,'Revenue by Customer'!$A:$A,0))</f>
        <v>400</v>
      </c>
      <c r="Y171" s="187">
        <f>INDEX('Revenue by Customer'!Y:Y,MATCH('Full Customer List'!$B171,'Revenue by Customer'!$A:$A,0))</f>
        <v>400</v>
      </c>
      <c r="Z171" s="187">
        <f>INDEX('Revenue by Customer'!Z:Z,MATCH('Full Customer List'!$B171,'Revenue by Customer'!$A:$A,0))</f>
        <v>400</v>
      </c>
      <c r="AA171" s="187">
        <f>INDEX('Revenue by Customer'!AA:AA,MATCH('Full Customer List'!$B171,'Revenue by Customer'!$A:$A,0))</f>
        <v>400</v>
      </c>
      <c r="AB171" s="187">
        <f>INDEX('Revenue by Customer'!AB:AB,MATCH('Full Customer List'!$B171,'Revenue by Customer'!$A:$A,0))</f>
        <v>400</v>
      </c>
      <c r="AC171" s="187">
        <f>INDEX('Revenue by Customer'!AC:AC,MATCH('Full Customer List'!$B171,'Revenue by Customer'!$A:$A,0))</f>
        <v>400</v>
      </c>
    </row>
    <row r="172" spans="2:29" ht="12" customHeight="1">
      <c r="B172" s="171" t="s">
        <v>803</v>
      </c>
      <c r="C172" s="171" t="str">
        <f>INDEX('Customer List w Software'!$B:$B,MATCH('Full Customer List'!$B172,'Customer List w Software'!$A:$A,0))</f>
        <v>Active</v>
      </c>
      <c r="D172" s="171" t="str">
        <f>INDEX('Customer List w Software'!$C:$C,MATCH('Full Customer List'!$B172,'Customer List w Software'!$A:$A,0))</f>
        <v>Property manager</v>
      </c>
      <c r="E172" s="171" t="str">
        <f>INDEX('Customer List Mapping'!$C:$C,MATCH('Full Customer List'!D172,'Customer List Mapping'!$B:$B,0))</f>
        <v>Property Manager</v>
      </c>
      <c r="F172" s="187">
        <f>INDEX('Customer List w Software'!$K:$K,MATCH('Full Customer List'!$B172,'Customer List w Software'!$A:$A,0))</f>
        <v>10</v>
      </c>
      <c r="G172" s="187">
        <f>INDEX('Revenue by Customer'!$I:$I,MATCH('Full Customer List'!$B172,'Revenue by Customer'!$A:$A,0))</f>
        <v>363.3</v>
      </c>
      <c r="H172" s="250" t="str">
        <f>IFERROR(IF(C172="Active","",INDEX('Client Departures'!$G:$G,MATCH('Full Customer List'!$B172,'Client Departures'!$A:$A,0))),"Unclassified")</f>
        <v/>
      </c>
      <c r="I172" s="191">
        <v>45809</v>
      </c>
      <c r="J172" s="191"/>
      <c r="K172" s="187" t="str">
        <f>INDEX('Revenue by Customer'!K:K,MATCH('Full Customer List'!$B172,'Revenue by Customer'!$A:$A,0))</f>
        <v/>
      </c>
      <c r="L172" s="187" t="str">
        <f>INDEX('Revenue by Customer'!L:L,MATCH('Full Customer List'!$B172,'Revenue by Customer'!$A:$A,0))</f>
        <v/>
      </c>
      <c r="M172" s="187" t="str">
        <f>INDEX('Revenue by Customer'!M:M,MATCH('Full Customer List'!$B172,'Revenue by Customer'!$A:$A,0))</f>
        <v/>
      </c>
      <c r="N172" s="187" t="str">
        <f>INDEX('Revenue by Customer'!N:N,MATCH('Full Customer List'!$B172,'Revenue by Customer'!$A:$A,0))</f>
        <v/>
      </c>
      <c r="O172" s="187" t="str">
        <f>INDEX('Revenue by Customer'!O:O,MATCH('Full Customer List'!$B172,'Revenue by Customer'!$A:$A,0))</f>
        <v/>
      </c>
      <c r="P172" s="187">
        <f>INDEX('Revenue by Customer'!P:P,MATCH('Full Customer List'!$B172,'Revenue by Customer'!$A:$A,0))</f>
        <v>350</v>
      </c>
      <c r="Q172" s="187">
        <f>INDEX('Revenue by Customer'!Q:Q,MATCH('Full Customer List'!$B172,'Revenue by Customer'!$A:$A,0))</f>
        <v>360</v>
      </c>
      <c r="R172" s="187">
        <f>INDEX('Revenue by Customer'!R:R,MATCH('Full Customer List'!$B172,'Revenue by Customer'!$A:$A,0))</f>
        <v>400</v>
      </c>
      <c r="S172" s="187">
        <f>INDEX('Revenue by Customer'!S:S,MATCH('Full Customer List'!$B172,'Revenue by Customer'!$A:$A,0))</f>
        <v>400</v>
      </c>
      <c r="T172" s="187">
        <f>INDEX('Revenue by Customer'!T:T,MATCH('Full Customer List'!$B172,'Revenue by Customer'!$A:$A,0))</f>
        <v>420</v>
      </c>
      <c r="U172" s="187">
        <f>INDEX('Revenue by Customer'!U:U,MATCH('Full Customer List'!$B172,'Revenue by Customer'!$A:$A,0))</f>
        <v>530</v>
      </c>
      <c r="V172" s="187">
        <f>INDEX('Revenue by Customer'!V:V,MATCH('Full Customer List'!$B172,'Revenue by Customer'!$A:$A,0))</f>
        <v>625</v>
      </c>
      <c r="W172" s="187">
        <f>INDEX('Revenue by Customer'!W:W,MATCH('Full Customer List'!$B172,'Revenue by Customer'!$A:$A,0))</f>
        <v>345</v>
      </c>
      <c r="X172" s="187">
        <f>INDEX('Revenue by Customer'!X:X,MATCH('Full Customer List'!$B172,'Revenue by Customer'!$A:$A,0))</f>
        <v>300</v>
      </c>
      <c r="Y172" s="187">
        <f>INDEX('Revenue by Customer'!Y:Y,MATCH('Full Customer List'!$B172,'Revenue by Customer'!$A:$A,0))</f>
        <v>300</v>
      </c>
      <c r="Z172" s="187">
        <f>INDEX('Revenue by Customer'!Z:Z,MATCH('Full Customer List'!$B172,'Revenue by Customer'!$A:$A,0))</f>
        <v>300</v>
      </c>
      <c r="AA172" s="187">
        <f>INDEX('Revenue by Customer'!AA:AA,MATCH('Full Customer List'!$B172,'Revenue by Customer'!$A:$A,0))</f>
        <v>360</v>
      </c>
      <c r="AB172" s="187">
        <f>INDEX('Revenue by Customer'!AB:AB,MATCH('Full Customer List'!$B172,'Revenue by Customer'!$A:$A,0))</f>
        <v>360</v>
      </c>
      <c r="AC172" s="187">
        <f>INDEX('Revenue by Customer'!AC:AC,MATCH('Full Customer List'!$B172,'Revenue by Customer'!$A:$A,0))</f>
        <v>369.9</v>
      </c>
    </row>
    <row r="173" spans="2:29" ht="12" customHeight="1">
      <c r="B173" s="171" t="s">
        <v>804</v>
      </c>
      <c r="C173" s="171" t="str">
        <f>INDEX('Customer List w Software'!$B:$B,MATCH('Full Customer List'!$B173,'Customer List w Software'!$A:$A,0))</f>
        <v>Active</v>
      </c>
      <c r="D173" s="171" t="str">
        <f>INDEX('Customer List w Software'!$C:$C,MATCH('Full Customer List'!$B173,'Customer List w Software'!$A:$A,0))</f>
        <v>Property manager</v>
      </c>
      <c r="E173" s="171" t="str">
        <f>INDEX('Customer List Mapping'!$C:$C,MATCH('Full Customer List'!D173,'Customer List Mapping'!$B:$B,0))</f>
        <v>Property Manager</v>
      </c>
      <c r="F173" s="187">
        <f>INDEX('Customer List w Software'!$K:$K,MATCH('Full Customer List'!$B173,'Customer List w Software'!$A:$A,0))</f>
        <v>2</v>
      </c>
      <c r="G173" s="187">
        <f>INDEX('Revenue by Customer'!$I:$I,MATCH('Full Customer List'!$B173,'Revenue by Customer'!$A:$A,0))</f>
        <v>386</v>
      </c>
      <c r="H173" s="250" t="str">
        <f>IFERROR(IF(C173="Active","",INDEX('Client Departures'!$G:$G,MATCH('Full Customer List'!$B173,'Client Departures'!$A:$A,0))),"Unclassified")</f>
        <v/>
      </c>
      <c r="I173" s="191">
        <v>45839</v>
      </c>
      <c r="J173" s="191"/>
      <c r="K173" s="187" t="str">
        <f>INDEX('Revenue by Customer'!K:K,MATCH('Full Customer List'!$B173,'Revenue by Customer'!$A:$A,0))</f>
        <v/>
      </c>
      <c r="L173" s="187" t="str">
        <f>INDEX('Revenue by Customer'!L:L,MATCH('Full Customer List'!$B173,'Revenue by Customer'!$A:$A,0))</f>
        <v/>
      </c>
      <c r="M173" s="187" t="str">
        <f>INDEX('Revenue by Customer'!M:M,MATCH('Full Customer List'!$B173,'Revenue by Customer'!$A:$A,0))</f>
        <v/>
      </c>
      <c r="N173" s="187" t="str">
        <f>INDEX('Revenue by Customer'!N:N,MATCH('Full Customer List'!$B173,'Revenue by Customer'!$A:$A,0))</f>
        <v/>
      </c>
      <c r="O173" s="187" t="str">
        <f>INDEX('Revenue by Customer'!O:O,MATCH('Full Customer List'!$B173,'Revenue by Customer'!$A:$A,0))</f>
        <v/>
      </c>
      <c r="P173" s="187" t="str">
        <f>INDEX('Revenue by Customer'!P:P,MATCH('Full Customer List'!$B173,'Revenue by Customer'!$A:$A,0))</f>
        <v/>
      </c>
      <c r="Q173" s="187">
        <f>INDEX('Revenue by Customer'!Q:Q,MATCH('Full Customer List'!$B173,'Revenue by Customer'!$A:$A,0))</f>
        <v>340</v>
      </c>
      <c r="R173" s="187">
        <f>INDEX('Revenue by Customer'!R:R,MATCH('Full Customer List'!$B173,'Revenue by Customer'!$A:$A,0))</f>
        <v>340</v>
      </c>
      <c r="S173" s="187">
        <f>INDEX('Revenue by Customer'!S:S,MATCH('Full Customer List'!$B173,'Revenue by Customer'!$A:$A,0))</f>
        <v>340</v>
      </c>
      <c r="T173" s="187">
        <f>INDEX('Revenue by Customer'!T:T,MATCH('Full Customer List'!$B173,'Revenue by Customer'!$A:$A,0))</f>
        <v>400</v>
      </c>
      <c r="U173" s="187">
        <f>INDEX('Revenue by Customer'!U:U,MATCH('Full Customer List'!$B173,'Revenue by Customer'!$A:$A,0))</f>
        <v>400</v>
      </c>
      <c r="V173" s="187">
        <f>INDEX('Revenue by Customer'!V:V,MATCH('Full Customer List'!$B173,'Revenue by Customer'!$A:$A,0))</f>
        <v>400</v>
      </c>
      <c r="W173" s="187">
        <f>INDEX('Revenue by Customer'!W:W,MATCH('Full Customer List'!$B173,'Revenue by Customer'!$A:$A,0))</f>
        <v>430</v>
      </c>
      <c r="X173" s="187">
        <f>INDEX('Revenue by Customer'!X:X,MATCH('Full Customer List'!$B173,'Revenue by Customer'!$A:$A,0))</f>
        <v>400</v>
      </c>
      <c r="Y173" s="187">
        <f>INDEX('Revenue by Customer'!Y:Y,MATCH('Full Customer List'!$B173,'Revenue by Customer'!$A:$A,0))</f>
        <v>400</v>
      </c>
      <c r="Z173" s="187">
        <f>INDEX('Revenue by Customer'!Z:Z,MATCH('Full Customer List'!$B173,'Revenue by Customer'!$A:$A,0))</f>
        <v>400</v>
      </c>
      <c r="AA173" s="187">
        <f>INDEX('Revenue by Customer'!AA:AA,MATCH('Full Customer List'!$B173,'Revenue by Customer'!$A:$A,0))</f>
        <v>400</v>
      </c>
      <c r="AB173" s="187">
        <f>INDEX('Revenue by Customer'!AB:AB,MATCH('Full Customer List'!$B173,'Revenue by Customer'!$A:$A,0))</f>
        <v>400</v>
      </c>
      <c r="AC173" s="187">
        <f>INDEX('Revenue by Customer'!AC:AC,MATCH('Full Customer List'!$B173,'Revenue by Customer'!$A:$A,0))</f>
        <v>358</v>
      </c>
    </row>
    <row r="174" spans="2:29" ht="12" customHeight="1">
      <c r="B174" s="171" t="s">
        <v>806</v>
      </c>
      <c r="C174" s="171" t="str">
        <f>INDEX('Customer List w Software'!$B:$B,MATCH('Full Customer List'!$B174,'Customer List w Software'!$A:$A,0))</f>
        <v>Former client</v>
      </c>
      <c r="D174" s="171" t="str">
        <f>INDEX('Customer List w Software'!$C:$C,MATCH('Full Customer List'!$B174,'Customer List w Software'!$A:$A,0))</f>
        <v>Small business</v>
      </c>
      <c r="E174" s="171" t="str">
        <f>INDEX('Customer List Mapping'!$C:$C,MATCH('Full Customer List'!D174,'Customer List Mapping'!$B:$B,0))</f>
        <v>Small Business</v>
      </c>
      <c r="F174" s="187" t="str">
        <f>INDEX('Customer List w Software'!$K:$K,MATCH('Full Customer List'!$B174,'Customer List w Software'!$A:$A,0))</f>
        <v/>
      </c>
      <c r="G174" s="187">
        <f>INDEX('Revenue by Customer'!$I:$I,MATCH('Full Customer List'!$B174,'Revenue by Customer'!$A:$A,0))</f>
        <v>385</v>
      </c>
      <c r="H174" s="250" t="str">
        <f>IFERROR(IF(C174="Active","",INDEX('Client Departures'!$G:$G,MATCH('Full Customer List'!$B174,'Client Departures'!$A:$A,0))),"Unclassified")</f>
        <v>No</v>
      </c>
      <c r="I174" s="191">
        <v>44470</v>
      </c>
      <c r="J174" s="191">
        <v>46234</v>
      </c>
      <c r="K174" s="187">
        <f>INDEX('Revenue by Customer'!K:K,MATCH('Full Customer List'!$B174,'Revenue by Customer'!$A:$A,0))</f>
        <v>480</v>
      </c>
      <c r="L174" s="187">
        <f>INDEX('Revenue by Customer'!L:L,MATCH('Full Customer List'!$B174,'Revenue by Customer'!$A:$A,0))</f>
        <v>375</v>
      </c>
      <c r="M174" s="187">
        <f>INDEX('Revenue by Customer'!M:M,MATCH('Full Customer List'!$B174,'Revenue by Customer'!$A:$A,0))</f>
        <v>375</v>
      </c>
      <c r="N174" s="187">
        <f>INDEX('Revenue by Customer'!N:N,MATCH('Full Customer List'!$B174,'Revenue by Customer'!$A:$A,0))</f>
        <v>375</v>
      </c>
      <c r="O174" s="187">
        <f>INDEX('Revenue by Customer'!O:O,MATCH('Full Customer List'!$B174,'Revenue by Customer'!$A:$A,0))</f>
        <v>375</v>
      </c>
      <c r="P174" s="187">
        <f>INDEX('Revenue by Customer'!P:P,MATCH('Full Customer List'!$B174,'Revenue by Customer'!$A:$A,0))</f>
        <v>375</v>
      </c>
      <c r="Q174" s="187">
        <f>INDEX('Revenue by Customer'!Q:Q,MATCH('Full Customer List'!$B174,'Revenue by Customer'!$A:$A,0))</f>
        <v>375</v>
      </c>
      <c r="R174" s="187">
        <f>INDEX('Revenue by Customer'!R:R,MATCH('Full Customer List'!$B174,'Revenue by Customer'!$A:$A,0))</f>
        <v>375</v>
      </c>
      <c r="S174" s="187">
        <f>INDEX('Revenue by Customer'!S:S,MATCH('Full Customer List'!$B174,'Revenue by Customer'!$A:$A,0))</f>
        <v>375</v>
      </c>
      <c r="T174" s="187">
        <f>INDEX('Revenue by Customer'!T:T,MATCH('Full Customer List'!$B174,'Revenue by Customer'!$A:$A,0))</f>
        <v>385</v>
      </c>
      <c r="U174" s="187">
        <f>INDEX('Revenue by Customer'!U:U,MATCH('Full Customer List'!$B174,'Revenue by Customer'!$A:$A,0))</f>
        <v>385</v>
      </c>
      <c r="V174" s="187">
        <f>INDEX('Revenue by Customer'!V:V,MATCH('Full Customer List'!$B174,'Revenue by Customer'!$A:$A,0))</f>
        <v>385</v>
      </c>
      <c r="W174" s="187">
        <f>INDEX('Revenue by Customer'!W:W,MATCH('Full Customer List'!$B174,'Revenue by Customer'!$A:$A,0))</f>
        <v>385</v>
      </c>
      <c r="X174" s="187">
        <f>INDEX('Revenue by Customer'!X:X,MATCH('Full Customer List'!$B174,'Revenue by Customer'!$A:$A,0))</f>
        <v>445</v>
      </c>
      <c r="Y174" s="187">
        <f>INDEX('Revenue by Customer'!Y:Y,MATCH('Full Customer List'!$B174,'Revenue by Customer'!$A:$A,0))</f>
        <v>385</v>
      </c>
      <c r="Z174" s="187">
        <f>INDEX('Revenue by Customer'!Z:Z,MATCH('Full Customer List'!$B174,'Revenue by Customer'!$A:$A,0))</f>
        <v>385</v>
      </c>
      <c r="AA174" s="187">
        <f>INDEX('Revenue by Customer'!AA:AA,MATCH('Full Customer List'!$B174,'Revenue by Customer'!$A:$A,0))</f>
        <v>385</v>
      </c>
      <c r="AB174" s="187">
        <f>INDEX('Revenue by Customer'!AB:AB,MATCH('Full Customer List'!$B174,'Revenue by Customer'!$A:$A,0))</f>
        <v>385</v>
      </c>
      <c r="AC174" s="187">
        <f>INDEX('Revenue by Customer'!AC:AC,MATCH('Full Customer List'!$B174,'Revenue by Customer'!$A:$A,0))</f>
        <v>385</v>
      </c>
    </row>
    <row r="175" spans="2:29" ht="12" customHeight="1">
      <c r="B175" s="171" t="s">
        <v>809</v>
      </c>
      <c r="C175" s="171" t="str">
        <f>INDEX('Customer List w Software'!$B:$B,MATCH('Full Customer List'!$B175,'Customer List w Software'!$A:$A,0))</f>
        <v>Former client</v>
      </c>
      <c r="D175" s="171" t="str">
        <f>INDEX('Customer List w Software'!$C:$C,MATCH('Full Customer List'!$B175,'Customer List w Software'!$A:$A,0))</f>
        <v>Property manager</v>
      </c>
      <c r="E175" s="171" t="str">
        <f>INDEX('Customer List Mapping'!$C:$C,MATCH('Full Customer List'!D175,'Customer List Mapping'!$B:$B,0))</f>
        <v>Property Manager</v>
      </c>
      <c r="F175" s="187">
        <f>INDEX('Customer List w Software'!$K:$K,MATCH('Full Customer List'!$B175,'Customer List w Software'!$A:$A,0))</f>
        <v>0</v>
      </c>
      <c r="G175" s="187">
        <f>INDEX('Revenue by Customer'!$I:$I,MATCH('Full Customer List'!$B175,'Revenue by Customer'!$A:$A,0))</f>
        <v>540</v>
      </c>
      <c r="H175" s="250" t="str">
        <f>IFERROR(IF(C175="Active","",INDEX('Client Departures'!$G:$G,MATCH('Full Customer List'!$B175,'Client Departures'!$A:$A,0))),"Unclassified")</f>
        <v>No</v>
      </c>
      <c r="I175" s="191">
        <v>45778</v>
      </c>
      <c r="J175" s="191">
        <v>46142</v>
      </c>
      <c r="K175" s="187" t="str">
        <f>INDEX('Revenue by Customer'!K:K,MATCH('Full Customer List'!$B175,'Revenue by Customer'!$A:$A,0))</f>
        <v/>
      </c>
      <c r="L175" s="187" t="str">
        <f>INDEX('Revenue by Customer'!L:L,MATCH('Full Customer List'!$B175,'Revenue by Customer'!$A:$A,0))</f>
        <v/>
      </c>
      <c r="M175" s="187" t="str">
        <f>INDEX('Revenue by Customer'!M:M,MATCH('Full Customer List'!$B175,'Revenue by Customer'!$A:$A,0))</f>
        <v/>
      </c>
      <c r="N175" s="187" t="str">
        <f>INDEX('Revenue by Customer'!N:N,MATCH('Full Customer List'!$B175,'Revenue by Customer'!$A:$A,0))</f>
        <v/>
      </c>
      <c r="O175" s="187">
        <f>INDEX('Revenue by Customer'!O:O,MATCH('Full Customer List'!$B175,'Revenue by Customer'!$A:$A,0))</f>
        <v>820</v>
      </c>
      <c r="P175" s="187">
        <f>INDEX('Revenue by Customer'!P:P,MATCH('Full Customer List'!$B175,'Revenue by Customer'!$A:$A,0))</f>
        <v>520</v>
      </c>
      <c r="Q175" s="187">
        <f>INDEX('Revenue by Customer'!Q:Q,MATCH('Full Customer List'!$B175,'Revenue by Customer'!$A:$A,0))</f>
        <v>520</v>
      </c>
      <c r="R175" s="187">
        <f>INDEX('Revenue by Customer'!R:R,MATCH('Full Customer List'!$B175,'Revenue by Customer'!$A:$A,0))</f>
        <v>500</v>
      </c>
      <c r="S175" s="187">
        <f>INDEX('Revenue by Customer'!S:S,MATCH('Full Customer List'!$B175,'Revenue by Customer'!$A:$A,0))</f>
        <v>500</v>
      </c>
      <c r="T175" s="187">
        <f>INDEX('Revenue by Customer'!T:T,MATCH('Full Customer List'!$B175,'Revenue by Customer'!$A:$A,0))</f>
        <v>490</v>
      </c>
      <c r="U175" s="187">
        <f>INDEX('Revenue by Customer'!U:U,MATCH('Full Customer List'!$B175,'Revenue by Customer'!$A:$A,0))</f>
        <v>490</v>
      </c>
      <c r="V175" s="187">
        <f>INDEX('Revenue by Customer'!V:V,MATCH('Full Customer List'!$B175,'Revenue by Customer'!$A:$A,0))</f>
        <v>520</v>
      </c>
      <c r="W175" s="187">
        <f>INDEX('Revenue by Customer'!W:W,MATCH('Full Customer List'!$B175,'Revenue by Customer'!$A:$A,0))</f>
        <v>520</v>
      </c>
      <c r="X175" s="187">
        <f>INDEX('Revenue by Customer'!X:X,MATCH('Full Customer List'!$B175,'Revenue by Customer'!$A:$A,0))</f>
        <v>580</v>
      </c>
      <c r="Y175" s="187">
        <f>INDEX('Revenue by Customer'!Y:Y,MATCH('Full Customer List'!$B175,'Revenue by Customer'!$A:$A,0))</f>
        <v>520</v>
      </c>
      <c r="Z175" s="187">
        <f>INDEX('Revenue by Customer'!Z:Z,MATCH('Full Customer List'!$B175,'Revenue by Customer'!$A:$A,0))</f>
        <v>520</v>
      </c>
      <c r="AA175" s="187" t="str">
        <f>INDEX('Revenue by Customer'!AA:AA,MATCH('Full Customer List'!$B175,'Revenue by Customer'!$A:$A,0))</f>
        <v/>
      </c>
      <c r="AB175" s="187" t="str">
        <f>INDEX('Revenue by Customer'!AB:AB,MATCH('Full Customer List'!$B175,'Revenue by Customer'!$A:$A,0))</f>
        <v/>
      </c>
      <c r="AC175" s="187" t="str">
        <f>INDEX('Revenue by Customer'!AC:AC,MATCH('Full Customer List'!$B175,'Revenue by Customer'!$A:$A,0))</f>
        <v/>
      </c>
    </row>
    <row r="176" spans="2:29" ht="12" customHeight="1">
      <c r="B176" s="171" t="s">
        <v>810</v>
      </c>
      <c r="C176" s="171" t="str">
        <f>INDEX('Customer List w Software'!$B:$B,MATCH('Full Customer List'!$B176,'Customer List w Software'!$A:$A,0))</f>
        <v>Former client</v>
      </c>
      <c r="D176" s="171" t="str">
        <f>INDEX('Customer List w Software'!$C:$C,MATCH('Full Customer List'!$B176,'Customer List w Software'!$A:$A,0))</f>
        <v>Property manager</v>
      </c>
      <c r="E176" s="171" t="str">
        <f>INDEX('Customer List Mapping'!$C:$C,MATCH('Full Customer List'!D176,'Customer List Mapping'!$B:$B,0))</f>
        <v>Property Manager</v>
      </c>
      <c r="F176" s="187">
        <f>INDEX('Customer List w Software'!$K:$K,MATCH('Full Customer List'!$B176,'Customer List w Software'!$A:$A,0))</f>
        <v>0</v>
      </c>
      <c r="G176" s="187">
        <f>INDEX('Revenue by Customer'!$I:$I,MATCH('Full Customer List'!$B176,'Revenue by Customer'!$A:$A,0))</f>
        <v>358</v>
      </c>
      <c r="H176" s="250" t="str">
        <f>IFERROR(IF(C176="Active","",INDEX('Client Departures'!$G:$G,MATCH('Full Customer List'!$B176,'Client Departures'!$A:$A,0))),"Unclassified")</f>
        <v>Yes</v>
      </c>
      <c r="I176" s="191">
        <v>45323</v>
      </c>
      <c r="J176" s="191">
        <v>46203</v>
      </c>
      <c r="K176" s="187">
        <f>INDEX('Revenue by Customer'!K:K,MATCH('Full Customer List'!$B176,'Revenue by Customer'!$A:$A,0))</f>
        <v>585</v>
      </c>
      <c r="L176" s="187">
        <f>INDEX('Revenue by Customer'!L:L,MATCH('Full Customer List'!$B176,'Revenue by Customer'!$A:$A,0))</f>
        <v>475</v>
      </c>
      <c r="M176" s="187">
        <f>INDEX('Revenue by Customer'!M:M,MATCH('Full Customer List'!$B176,'Revenue by Customer'!$A:$A,0))</f>
        <v>550</v>
      </c>
      <c r="N176" s="187">
        <f>INDEX('Revenue by Customer'!N:N,MATCH('Full Customer List'!$B176,'Revenue by Customer'!$A:$A,0))</f>
        <v>550</v>
      </c>
      <c r="O176" s="187">
        <f>INDEX('Revenue by Customer'!O:O,MATCH('Full Customer List'!$B176,'Revenue by Customer'!$A:$A,0))</f>
        <v>550</v>
      </c>
      <c r="P176" s="187">
        <f>INDEX('Revenue by Customer'!P:P,MATCH('Full Customer List'!$B176,'Revenue by Customer'!$A:$A,0))</f>
        <v>550</v>
      </c>
      <c r="Q176" s="187">
        <f>INDEX('Revenue by Customer'!Q:Q,MATCH('Full Customer List'!$B176,'Revenue by Customer'!$A:$A,0))</f>
        <v>550</v>
      </c>
      <c r="R176" s="187">
        <f>INDEX('Revenue by Customer'!R:R,MATCH('Full Customer List'!$B176,'Revenue by Customer'!$A:$A,0))</f>
        <v>550</v>
      </c>
      <c r="S176" s="187">
        <f>INDEX('Revenue by Customer'!S:S,MATCH('Full Customer List'!$B176,'Revenue by Customer'!$A:$A,0))</f>
        <v>400</v>
      </c>
      <c r="T176" s="187">
        <f>INDEX('Revenue by Customer'!T:T,MATCH('Full Customer List'!$B176,'Revenue by Customer'!$A:$A,0))</f>
        <v>400</v>
      </c>
      <c r="U176" s="187">
        <f>INDEX('Revenue by Customer'!U:U,MATCH('Full Customer List'!$B176,'Revenue by Customer'!$A:$A,0))</f>
        <v>400</v>
      </c>
      <c r="V176" s="187">
        <f>INDEX('Revenue by Customer'!V:V,MATCH('Full Customer List'!$B176,'Revenue by Customer'!$A:$A,0))</f>
        <v>400</v>
      </c>
      <c r="W176" s="187">
        <f>INDEX('Revenue by Customer'!W:W,MATCH('Full Customer List'!$B176,'Revenue by Customer'!$A:$A,0))</f>
        <v>685</v>
      </c>
      <c r="X176" s="187">
        <f>INDEX('Revenue by Customer'!X:X,MATCH('Full Customer List'!$B176,'Revenue by Customer'!$A:$A,0))</f>
        <v>358</v>
      </c>
      <c r="Y176" s="187">
        <f>INDEX('Revenue by Customer'!Y:Y,MATCH('Full Customer List'!$B176,'Revenue by Customer'!$A:$A,0))</f>
        <v>358</v>
      </c>
      <c r="Z176" s="187">
        <f>INDEX('Revenue by Customer'!Z:Z,MATCH('Full Customer List'!$B176,'Revenue by Customer'!$A:$A,0))</f>
        <v>358</v>
      </c>
      <c r="AA176" s="187">
        <f>INDEX('Revenue by Customer'!AA:AA,MATCH('Full Customer List'!$B176,'Revenue by Customer'!$A:$A,0))</f>
        <v>358</v>
      </c>
      <c r="AB176" s="187">
        <f>INDEX('Revenue by Customer'!AB:AB,MATCH('Full Customer List'!$B176,'Revenue by Customer'!$A:$A,0))</f>
        <v>358</v>
      </c>
      <c r="AC176" s="187" t="str">
        <f>INDEX('Revenue by Customer'!AC:AC,MATCH('Full Customer List'!$B176,'Revenue by Customer'!$A:$A,0))</f>
        <v/>
      </c>
    </row>
    <row r="177" spans="2:29" ht="12" customHeight="1">
      <c r="B177" s="171" t="s">
        <v>811</v>
      </c>
      <c r="C177" s="171" t="str">
        <f>INDEX('Customer List w Software'!$B:$B,MATCH('Full Customer List'!$B177,'Customer List w Software'!$A:$A,0))</f>
        <v>Former client</v>
      </c>
      <c r="D177" s="171" t="str">
        <f>INDEX('Customer List w Software'!$C:$C,MATCH('Full Customer List'!$B177,'Customer List w Software'!$A:$A,0))</f>
        <v>Small business</v>
      </c>
      <c r="E177" s="171" t="str">
        <f>INDEX('Customer List Mapping'!$C:$C,MATCH('Full Customer List'!D177,'Customer List Mapping'!$B:$B,0))</f>
        <v>Small Business</v>
      </c>
      <c r="F177" s="187" t="str">
        <f>INDEX('Customer List w Software'!$K:$K,MATCH('Full Customer List'!$B177,'Customer List w Software'!$A:$A,0))</f>
        <v/>
      </c>
      <c r="G177" s="187">
        <f>INDEX('Revenue by Customer'!$I:$I,MATCH('Full Customer List'!$B177,'Revenue by Customer'!$A:$A,0))</f>
        <v>385</v>
      </c>
      <c r="H177" s="250" t="str">
        <f>IFERROR(IF(C177="Active","",INDEX('Client Departures'!$G:$G,MATCH('Full Customer List'!$B177,'Client Departures'!$A:$A,0))),"Unclassified")</f>
        <v>No</v>
      </c>
      <c r="I177" s="191">
        <v>45170</v>
      </c>
      <c r="J177" s="191">
        <v>46234</v>
      </c>
      <c r="K177" s="187">
        <f>INDEX('Revenue by Customer'!K:K,MATCH('Full Customer List'!$B177,'Revenue by Customer'!$A:$A,0))</f>
        <v>375</v>
      </c>
      <c r="L177" s="187">
        <f>INDEX('Revenue by Customer'!L:L,MATCH('Full Customer List'!$B177,'Revenue by Customer'!$A:$A,0))</f>
        <v>375</v>
      </c>
      <c r="M177" s="187">
        <f>INDEX('Revenue by Customer'!M:M,MATCH('Full Customer List'!$B177,'Revenue by Customer'!$A:$A,0))</f>
        <v>375</v>
      </c>
      <c r="N177" s="187">
        <f>INDEX('Revenue by Customer'!N:N,MATCH('Full Customer List'!$B177,'Revenue by Customer'!$A:$A,0))</f>
        <v>375</v>
      </c>
      <c r="O177" s="187">
        <f>INDEX('Revenue by Customer'!O:O,MATCH('Full Customer List'!$B177,'Revenue by Customer'!$A:$A,0))</f>
        <v>375</v>
      </c>
      <c r="P177" s="187">
        <f>INDEX('Revenue by Customer'!P:P,MATCH('Full Customer List'!$B177,'Revenue by Customer'!$A:$A,0))</f>
        <v>375</v>
      </c>
      <c r="Q177" s="187">
        <f>INDEX('Revenue by Customer'!Q:Q,MATCH('Full Customer List'!$B177,'Revenue by Customer'!$A:$A,0))</f>
        <v>375</v>
      </c>
      <c r="R177" s="187">
        <f>INDEX('Revenue by Customer'!R:R,MATCH('Full Customer List'!$B177,'Revenue by Customer'!$A:$A,0))</f>
        <v>375</v>
      </c>
      <c r="S177" s="187">
        <f>INDEX('Revenue by Customer'!S:S,MATCH('Full Customer List'!$B177,'Revenue by Customer'!$A:$A,0))</f>
        <v>375</v>
      </c>
      <c r="T177" s="187">
        <f>INDEX('Revenue by Customer'!T:T,MATCH('Full Customer List'!$B177,'Revenue by Customer'!$A:$A,0))</f>
        <v>385</v>
      </c>
      <c r="U177" s="187">
        <f>INDEX('Revenue by Customer'!U:U,MATCH('Full Customer List'!$B177,'Revenue by Customer'!$A:$A,0))</f>
        <v>385</v>
      </c>
      <c r="V177" s="187">
        <f>INDEX('Revenue by Customer'!V:V,MATCH('Full Customer List'!$B177,'Revenue by Customer'!$A:$A,0))</f>
        <v>385</v>
      </c>
      <c r="W177" s="187">
        <f>INDEX('Revenue by Customer'!W:W,MATCH('Full Customer List'!$B177,'Revenue by Customer'!$A:$A,0))</f>
        <v>385</v>
      </c>
      <c r="X177" s="187">
        <f>INDEX('Revenue by Customer'!X:X,MATCH('Full Customer List'!$B177,'Revenue by Customer'!$A:$A,0))</f>
        <v>385</v>
      </c>
      <c r="Y177" s="187">
        <f>INDEX('Revenue by Customer'!Y:Y,MATCH('Full Customer List'!$B177,'Revenue by Customer'!$A:$A,0))</f>
        <v>385</v>
      </c>
      <c r="Z177" s="187">
        <f>INDEX('Revenue by Customer'!Z:Z,MATCH('Full Customer List'!$B177,'Revenue by Customer'!$A:$A,0))</f>
        <v>385</v>
      </c>
      <c r="AA177" s="187">
        <f>INDEX('Revenue by Customer'!AA:AA,MATCH('Full Customer List'!$B177,'Revenue by Customer'!$A:$A,0))</f>
        <v>385</v>
      </c>
      <c r="AB177" s="187">
        <f>INDEX('Revenue by Customer'!AB:AB,MATCH('Full Customer List'!$B177,'Revenue by Customer'!$A:$A,0))</f>
        <v>385</v>
      </c>
      <c r="AC177" s="187">
        <f>INDEX('Revenue by Customer'!AC:AC,MATCH('Full Customer List'!$B177,'Revenue by Customer'!$A:$A,0))</f>
        <v>385</v>
      </c>
    </row>
    <row r="178" spans="2:29" ht="12" customHeight="1">
      <c r="B178" s="171" t="s">
        <v>813</v>
      </c>
      <c r="C178" s="171" t="str">
        <f>INDEX('Customer List w Software'!$B:$B,MATCH('Full Customer List'!$B178,'Customer List w Software'!$A:$A,0))</f>
        <v>Active</v>
      </c>
      <c r="D178" s="171" t="str">
        <f>INDEX('Customer List w Software'!$C:$C,MATCH('Full Customer List'!$B178,'Customer List w Software'!$A:$A,0))</f>
        <v>Property manager</v>
      </c>
      <c r="E178" s="171" t="str">
        <f>INDEX('Customer List Mapping'!$C:$C,MATCH('Full Customer List'!D178,'Customer List Mapping'!$B:$B,0))</f>
        <v>Property Manager</v>
      </c>
      <c r="F178" s="187">
        <f>INDEX('Customer List w Software'!$K:$K,MATCH('Full Customer List'!$B178,'Customer List w Software'!$A:$A,0))</f>
        <v>3</v>
      </c>
      <c r="G178" s="187">
        <f>INDEX('Revenue by Customer'!$I:$I,MATCH('Full Customer List'!$B178,'Revenue by Customer'!$A:$A,0))</f>
        <v>389.33333333333331</v>
      </c>
      <c r="H178" s="250" t="str">
        <f>IFERROR(IF(C178="Active","",INDEX('Client Departures'!$G:$G,MATCH('Full Customer List'!$B178,'Client Departures'!$A:$A,0))),"Unclassified")</f>
        <v/>
      </c>
      <c r="I178" s="191">
        <v>45413</v>
      </c>
      <c r="J178" s="191"/>
      <c r="K178" s="187">
        <f>INDEX('Revenue by Customer'!K:K,MATCH('Full Customer List'!$B178,'Revenue by Customer'!$A:$A,0))</f>
        <v>400</v>
      </c>
      <c r="L178" s="187">
        <f>INDEX('Revenue by Customer'!L:L,MATCH('Full Customer List'!$B178,'Revenue by Customer'!$A:$A,0))</f>
        <v>325</v>
      </c>
      <c r="M178" s="187">
        <f>INDEX('Revenue by Customer'!M:M,MATCH('Full Customer List'!$B178,'Revenue by Customer'!$A:$A,0))</f>
        <v>325</v>
      </c>
      <c r="N178" s="187">
        <f>INDEX('Revenue by Customer'!N:N,MATCH('Full Customer List'!$B178,'Revenue by Customer'!$A:$A,0))</f>
        <v>575</v>
      </c>
      <c r="O178" s="187">
        <f>INDEX('Revenue by Customer'!O:O,MATCH('Full Customer List'!$B178,'Revenue by Customer'!$A:$A,0))</f>
        <v>325</v>
      </c>
      <c r="P178" s="187">
        <f>INDEX('Revenue by Customer'!P:P,MATCH('Full Customer List'!$B178,'Revenue by Customer'!$A:$A,0))</f>
        <v>325</v>
      </c>
      <c r="Q178" s="187">
        <f>INDEX('Revenue by Customer'!Q:Q,MATCH('Full Customer List'!$B178,'Revenue by Customer'!$A:$A,0))</f>
        <v>430</v>
      </c>
      <c r="R178" s="187">
        <f>INDEX('Revenue by Customer'!R:R,MATCH('Full Customer List'!$B178,'Revenue by Customer'!$A:$A,0))</f>
        <v>360</v>
      </c>
      <c r="S178" s="187">
        <f>INDEX('Revenue by Customer'!S:S,MATCH('Full Customer List'!$B178,'Revenue by Customer'!$A:$A,0))</f>
        <v>360</v>
      </c>
      <c r="T178" s="187">
        <f>INDEX('Revenue by Customer'!T:T,MATCH('Full Customer List'!$B178,'Revenue by Customer'!$A:$A,0))</f>
        <v>360</v>
      </c>
      <c r="U178" s="187">
        <f>INDEX('Revenue by Customer'!U:U,MATCH('Full Customer List'!$B178,'Revenue by Customer'!$A:$A,0))</f>
        <v>375</v>
      </c>
      <c r="V178" s="187">
        <f>INDEX('Revenue by Customer'!V:V,MATCH('Full Customer List'!$B178,'Revenue by Customer'!$A:$A,0))</f>
        <v>375</v>
      </c>
      <c r="W178" s="187">
        <f>INDEX('Revenue by Customer'!W:W,MATCH('Full Customer List'!$B178,'Revenue by Customer'!$A:$A,0))</f>
        <v>465</v>
      </c>
      <c r="X178" s="187">
        <f>INDEX('Revenue by Customer'!X:X,MATCH('Full Customer List'!$B178,'Revenue by Customer'!$A:$A,0))</f>
        <v>375</v>
      </c>
      <c r="Y178" s="187">
        <f>INDEX('Revenue by Customer'!Y:Y,MATCH('Full Customer List'!$B178,'Revenue by Customer'!$A:$A,0))</f>
        <v>375</v>
      </c>
      <c r="Z178" s="187">
        <f>INDEX('Revenue by Customer'!Z:Z,MATCH('Full Customer List'!$B178,'Revenue by Customer'!$A:$A,0))</f>
        <v>375</v>
      </c>
      <c r="AA178" s="187">
        <f>INDEX('Revenue by Customer'!AA:AA,MATCH('Full Customer List'!$B178,'Revenue by Customer'!$A:$A,0))</f>
        <v>375</v>
      </c>
      <c r="AB178" s="187">
        <f>INDEX('Revenue by Customer'!AB:AB,MATCH('Full Customer List'!$B178,'Revenue by Customer'!$A:$A,0))</f>
        <v>375</v>
      </c>
      <c r="AC178" s="187">
        <f>INDEX('Revenue by Customer'!AC:AC,MATCH('Full Customer List'!$B178,'Revenue by Customer'!$A:$A,0))</f>
        <v>418</v>
      </c>
    </row>
    <row r="179" spans="2:29" ht="12" customHeight="1">
      <c r="B179" s="171" t="s">
        <v>814</v>
      </c>
      <c r="C179" s="171" t="str">
        <f>INDEX('Customer List w Software'!$B:$B,MATCH('Full Customer List'!$B179,'Customer List w Software'!$A:$A,0))</f>
        <v>Active</v>
      </c>
      <c r="D179" s="171" t="str">
        <f>INDEX('Customer List w Software'!$C:$C,MATCH('Full Customer List'!$B179,'Customer List w Software'!$A:$A,0))</f>
        <v>STR owner</v>
      </c>
      <c r="E179" s="171" t="str">
        <f>INDEX('Customer List Mapping'!$C:$C,MATCH('Full Customer List'!D179,'Customer List Mapping'!$B:$B,0))</f>
        <v>STR Owner</v>
      </c>
      <c r="F179" s="187">
        <f>INDEX('Customer List w Software'!$K:$K,MATCH('Full Customer List'!$B179,'Customer List w Software'!$A:$A,0))</f>
        <v>0</v>
      </c>
      <c r="G179" s="187">
        <f>INDEX('Revenue by Customer'!$I:$I,MATCH('Full Customer List'!$B179,'Revenue by Customer'!$A:$A,0))</f>
        <v>410</v>
      </c>
      <c r="H179" s="250" t="str">
        <f>IFERROR(IF(C179="Active","",INDEX('Client Departures'!$G:$G,MATCH('Full Customer List'!$B179,'Client Departures'!$A:$A,0))),"Unclassified")</f>
        <v/>
      </c>
      <c r="I179" s="191">
        <v>44958</v>
      </c>
      <c r="J179" s="191"/>
      <c r="K179" s="187">
        <f>INDEX('Revenue by Customer'!K:K,MATCH('Full Customer List'!$B179,'Revenue by Customer'!$A:$A,0))</f>
        <v>500</v>
      </c>
      <c r="L179" s="187">
        <f>INDEX('Revenue by Customer'!L:L,MATCH('Full Customer List'!$B179,'Revenue by Customer'!$A:$A,0))</f>
        <v>425</v>
      </c>
      <c r="M179" s="187">
        <f>INDEX('Revenue by Customer'!M:M,MATCH('Full Customer List'!$B179,'Revenue by Customer'!$A:$A,0))</f>
        <v>300</v>
      </c>
      <c r="N179" s="187">
        <f>INDEX('Revenue by Customer'!N:N,MATCH('Full Customer List'!$B179,'Revenue by Customer'!$A:$A,0))</f>
        <v>300</v>
      </c>
      <c r="O179" s="187">
        <f>INDEX('Revenue by Customer'!O:O,MATCH('Full Customer List'!$B179,'Revenue by Customer'!$A:$A,0))</f>
        <v>400</v>
      </c>
      <c r="P179" s="187">
        <f>INDEX('Revenue by Customer'!P:P,MATCH('Full Customer List'!$B179,'Revenue by Customer'!$A:$A,0))</f>
        <v>400</v>
      </c>
      <c r="Q179" s="187">
        <f>INDEX('Revenue by Customer'!Q:Q,MATCH('Full Customer List'!$B179,'Revenue by Customer'!$A:$A,0))</f>
        <v>400</v>
      </c>
      <c r="R179" s="187">
        <f>INDEX('Revenue by Customer'!R:R,MATCH('Full Customer List'!$B179,'Revenue by Customer'!$A:$A,0))</f>
        <v>400</v>
      </c>
      <c r="S179" s="187">
        <f>INDEX('Revenue by Customer'!S:S,MATCH('Full Customer List'!$B179,'Revenue by Customer'!$A:$A,0))</f>
        <v>200</v>
      </c>
      <c r="T179" s="187">
        <f>INDEX('Revenue by Customer'!T:T,MATCH('Full Customer List'!$B179,'Revenue by Customer'!$A:$A,0))</f>
        <v>350</v>
      </c>
      <c r="U179" s="187">
        <f>INDEX('Revenue by Customer'!U:U,MATCH('Full Customer List'!$B179,'Revenue by Customer'!$A:$A,0))</f>
        <v>350</v>
      </c>
      <c r="V179" s="187">
        <f>INDEX('Revenue by Customer'!V:V,MATCH('Full Customer List'!$B179,'Revenue by Customer'!$A:$A,0))</f>
        <v>350</v>
      </c>
      <c r="W179" s="187">
        <f>INDEX('Revenue by Customer'!W:W,MATCH('Full Customer List'!$B179,'Revenue by Customer'!$A:$A,0))</f>
        <v>350</v>
      </c>
      <c r="X179" s="187">
        <f>INDEX('Revenue by Customer'!X:X,MATCH('Full Customer List'!$B179,'Revenue by Customer'!$A:$A,0))</f>
        <v>485</v>
      </c>
      <c r="Y179" s="187">
        <f>INDEX('Revenue by Customer'!Y:Y,MATCH('Full Customer List'!$B179,'Revenue by Customer'!$A:$A,0))</f>
        <v>410</v>
      </c>
      <c r="Z179" s="187">
        <f>INDEX('Revenue by Customer'!Z:Z,MATCH('Full Customer List'!$B179,'Revenue by Customer'!$A:$A,0))</f>
        <v>410</v>
      </c>
      <c r="AA179" s="187">
        <f>INDEX('Revenue by Customer'!AA:AA,MATCH('Full Customer List'!$B179,'Revenue by Customer'!$A:$A,0))</f>
        <v>410</v>
      </c>
      <c r="AB179" s="187">
        <f>INDEX('Revenue by Customer'!AB:AB,MATCH('Full Customer List'!$B179,'Revenue by Customer'!$A:$A,0))</f>
        <v>410</v>
      </c>
      <c r="AC179" s="187">
        <f>INDEX('Revenue by Customer'!AC:AC,MATCH('Full Customer List'!$B179,'Revenue by Customer'!$A:$A,0))</f>
        <v>410</v>
      </c>
    </row>
    <row r="180" spans="2:29" ht="12" customHeight="1">
      <c r="B180" s="171" t="s">
        <v>815</v>
      </c>
      <c r="C180" s="171" t="str">
        <f>INDEX('Customer List w Software'!$B:$B,MATCH('Full Customer List'!$B180,'Customer List w Software'!$A:$A,0))</f>
        <v>Active</v>
      </c>
      <c r="D180" s="171" t="str">
        <f>INDEX('Customer List w Software'!$C:$C,MATCH('Full Customer List'!$B180,'Customer List w Software'!$A:$A,0))</f>
        <v>STR owner</v>
      </c>
      <c r="E180" s="171" t="str">
        <f>INDEX('Customer List Mapping'!$C:$C,MATCH('Full Customer List'!D180,'Customer List Mapping'!$B:$B,0))</f>
        <v>STR Owner</v>
      </c>
      <c r="F180" s="187">
        <f>INDEX('Customer List w Software'!$K:$K,MATCH('Full Customer List'!$B180,'Customer List w Software'!$A:$A,0))</f>
        <v>2</v>
      </c>
      <c r="G180" s="187">
        <f>INDEX('Revenue by Customer'!$I:$I,MATCH('Full Customer List'!$B180,'Revenue by Customer'!$A:$A,0))</f>
        <v>420</v>
      </c>
      <c r="H180" s="250" t="str">
        <f>IFERROR(IF(C180="Active","",INDEX('Client Departures'!$G:$G,MATCH('Full Customer List'!$B180,'Client Departures'!$A:$A,0))),"Unclassified")</f>
        <v/>
      </c>
      <c r="I180" s="191">
        <v>45931</v>
      </c>
      <c r="J180" s="191"/>
      <c r="K180" s="187" t="str">
        <f>INDEX('Revenue by Customer'!K:K,MATCH('Full Customer List'!$B180,'Revenue by Customer'!$A:$A,0))</f>
        <v/>
      </c>
      <c r="L180" s="187" t="str">
        <f>INDEX('Revenue by Customer'!L:L,MATCH('Full Customer List'!$B180,'Revenue by Customer'!$A:$A,0))</f>
        <v/>
      </c>
      <c r="M180" s="187" t="str">
        <f>INDEX('Revenue by Customer'!M:M,MATCH('Full Customer List'!$B180,'Revenue by Customer'!$A:$A,0))</f>
        <v/>
      </c>
      <c r="N180" s="187" t="str">
        <f>INDEX('Revenue by Customer'!N:N,MATCH('Full Customer List'!$B180,'Revenue by Customer'!$A:$A,0))</f>
        <v/>
      </c>
      <c r="O180" s="187" t="str">
        <f>INDEX('Revenue by Customer'!O:O,MATCH('Full Customer List'!$B180,'Revenue by Customer'!$A:$A,0))</f>
        <v/>
      </c>
      <c r="P180" s="187" t="str">
        <f>INDEX('Revenue by Customer'!P:P,MATCH('Full Customer List'!$B180,'Revenue by Customer'!$A:$A,0))</f>
        <v/>
      </c>
      <c r="Q180" s="187" t="str">
        <f>INDEX('Revenue by Customer'!Q:Q,MATCH('Full Customer List'!$B180,'Revenue by Customer'!$A:$A,0))</f>
        <v/>
      </c>
      <c r="R180" s="187" t="str">
        <f>INDEX('Revenue by Customer'!R:R,MATCH('Full Customer List'!$B180,'Revenue by Customer'!$A:$A,0))</f>
        <v/>
      </c>
      <c r="S180" s="187" t="str">
        <f>INDEX('Revenue by Customer'!S:S,MATCH('Full Customer List'!$B180,'Revenue by Customer'!$A:$A,0))</f>
        <v/>
      </c>
      <c r="T180" s="187">
        <f>INDEX('Revenue by Customer'!T:T,MATCH('Full Customer List'!$B180,'Revenue by Customer'!$A:$A,0))</f>
        <v>700</v>
      </c>
      <c r="U180" s="187">
        <f>INDEX('Revenue by Customer'!U:U,MATCH('Full Customer List'!$B180,'Revenue by Customer'!$A:$A,0))</f>
        <v>400</v>
      </c>
      <c r="V180" s="187">
        <f>INDEX('Revenue by Customer'!V:V,MATCH('Full Customer List'!$B180,'Revenue by Customer'!$A:$A,0))</f>
        <v>420</v>
      </c>
      <c r="W180" s="187">
        <f>INDEX('Revenue by Customer'!W:W,MATCH('Full Customer List'!$B180,'Revenue by Customer'!$A:$A,0))</f>
        <v>270</v>
      </c>
      <c r="X180" s="187">
        <f>INDEX('Revenue by Customer'!X:X,MATCH('Full Customer List'!$B180,'Revenue by Customer'!$A:$A,0))</f>
        <v>525</v>
      </c>
      <c r="Y180" s="187">
        <f>INDEX('Revenue by Customer'!Y:Y,MATCH('Full Customer List'!$B180,'Revenue by Customer'!$A:$A,0))</f>
        <v>420</v>
      </c>
      <c r="Z180" s="187">
        <f>INDEX('Revenue by Customer'!Z:Z,MATCH('Full Customer List'!$B180,'Revenue by Customer'!$A:$A,0))</f>
        <v>420</v>
      </c>
      <c r="AA180" s="187">
        <f>INDEX('Revenue by Customer'!AA:AA,MATCH('Full Customer List'!$B180,'Revenue by Customer'!$A:$A,0))</f>
        <v>420</v>
      </c>
      <c r="AB180" s="187">
        <f>INDEX('Revenue by Customer'!AB:AB,MATCH('Full Customer List'!$B180,'Revenue by Customer'!$A:$A,0))</f>
        <v>420</v>
      </c>
      <c r="AC180" s="187">
        <f>INDEX('Revenue by Customer'!AC:AC,MATCH('Full Customer List'!$B180,'Revenue by Customer'!$A:$A,0))</f>
        <v>420</v>
      </c>
    </row>
    <row r="181" spans="2:29" ht="12" customHeight="1">
      <c r="B181" s="171" t="s">
        <v>816</v>
      </c>
      <c r="C181" s="171" t="str">
        <f>INDEX('Customer List w Software'!$B:$B,MATCH('Full Customer List'!$B181,'Customer List w Software'!$A:$A,0))</f>
        <v>Former client</v>
      </c>
      <c r="D181" s="171" t="str">
        <f>INDEX('Customer List w Software'!$C:$C,MATCH('Full Customer List'!$B181,'Customer List w Software'!$A:$A,0))</f>
        <v>STR owner</v>
      </c>
      <c r="E181" s="171" t="str">
        <f>INDEX('Customer List Mapping'!$C:$C,MATCH('Full Customer List'!D181,'Customer List Mapping'!$B:$B,0))</f>
        <v>STR Owner</v>
      </c>
      <c r="F181" s="187" t="str">
        <f>INDEX('Customer List w Software'!$K:$K,MATCH('Full Customer List'!$B181,'Customer List w Software'!$A:$A,0))</f>
        <v/>
      </c>
      <c r="G181" s="187">
        <f>INDEX('Revenue by Customer'!$I:$I,MATCH('Full Customer List'!$B181,'Revenue by Customer'!$A:$A,0))</f>
        <v>306.66666666666669</v>
      </c>
      <c r="H181" s="250" t="str">
        <f>IFERROR(IF(C181="Active","",INDEX('Client Departures'!$G:$G,MATCH('Full Customer List'!$B181,'Client Departures'!$A:$A,0))),"Unclassified")</f>
        <v>Yes</v>
      </c>
      <c r="I181" s="191">
        <v>45809</v>
      </c>
      <c r="J181" s="191">
        <v>46173</v>
      </c>
      <c r="K181" s="187" t="str">
        <f>INDEX('Revenue by Customer'!K:K,MATCH('Full Customer List'!$B181,'Revenue by Customer'!$A:$A,0))</f>
        <v/>
      </c>
      <c r="L181" s="187" t="str">
        <f>INDEX('Revenue by Customer'!L:L,MATCH('Full Customer List'!$B181,'Revenue by Customer'!$A:$A,0))</f>
        <v/>
      </c>
      <c r="M181" s="187" t="str">
        <f>INDEX('Revenue by Customer'!M:M,MATCH('Full Customer List'!$B181,'Revenue by Customer'!$A:$A,0))</f>
        <v/>
      </c>
      <c r="N181" s="187" t="str">
        <f>INDEX('Revenue by Customer'!N:N,MATCH('Full Customer List'!$B181,'Revenue by Customer'!$A:$A,0))</f>
        <v/>
      </c>
      <c r="O181" s="187" t="str">
        <f>INDEX('Revenue by Customer'!O:O,MATCH('Full Customer List'!$B181,'Revenue by Customer'!$A:$A,0))</f>
        <v/>
      </c>
      <c r="P181" s="187">
        <f>INDEX('Revenue by Customer'!P:P,MATCH('Full Customer List'!$B181,'Revenue by Customer'!$A:$A,0))</f>
        <v>660</v>
      </c>
      <c r="Q181" s="187">
        <f>INDEX('Revenue by Customer'!Q:Q,MATCH('Full Customer List'!$B181,'Revenue by Customer'!$A:$A,0))</f>
        <v>619.25</v>
      </c>
      <c r="R181" s="187">
        <f>INDEX('Revenue by Customer'!R:R,MATCH('Full Customer List'!$B181,'Revenue by Customer'!$A:$A,0))</f>
        <v>360</v>
      </c>
      <c r="S181" s="187">
        <f>INDEX('Revenue by Customer'!S:S,MATCH('Full Customer List'!$B181,'Revenue by Customer'!$A:$A,0))</f>
        <v>420</v>
      </c>
      <c r="T181" s="187">
        <f>INDEX('Revenue by Customer'!T:T,MATCH('Full Customer List'!$B181,'Revenue by Customer'!$A:$A,0))</f>
        <v>440</v>
      </c>
      <c r="U181" s="187">
        <f>INDEX('Revenue by Customer'!U:U,MATCH('Full Customer List'!$B181,'Revenue by Customer'!$A:$A,0))</f>
        <v>440</v>
      </c>
      <c r="V181" s="187">
        <f>INDEX('Revenue by Customer'!V:V,MATCH('Full Customer List'!$B181,'Revenue by Customer'!$A:$A,0))</f>
        <v>440</v>
      </c>
      <c r="W181" s="187">
        <f>INDEX('Revenue by Customer'!W:W,MATCH('Full Customer List'!$B181,'Revenue by Customer'!$A:$A,0))</f>
        <v>440</v>
      </c>
      <c r="X181" s="187">
        <f>INDEX('Revenue by Customer'!X:X,MATCH('Full Customer List'!$B181,'Revenue by Customer'!$A:$A,0))</f>
        <v>500</v>
      </c>
      <c r="Y181" s="187">
        <f>INDEX('Revenue by Customer'!Y:Y,MATCH('Full Customer List'!$B181,'Revenue by Customer'!$A:$A,0))</f>
        <v>440</v>
      </c>
      <c r="Z181" s="187">
        <f>INDEX('Revenue by Customer'!Z:Z,MATCH('Full Customer List'!$B181,'Revenue by Customer'!$A:$A,0))</f>
        <v>440</v>
      </c>
      <c r="AA181" s="187">
        <f>INDEX('Revenue by Customer'!AA:AA,MATCH('Full Customer List'!$B181,'Revenue by Customer'!$A:$A,0))</f>
        <v>440</v>
      </c>
      <c r="AB181" s="187">
        <f>INDEX('Revenue by Customer'!AB:AB,MATCH('Full Customer List'!$B181,'Revenue by Customer'!$A:$A,0))</f>
        <v>40</v>
      </c>
      <c r="AC181" s="187" t="str">
        <f>INDEX('Revenue by Customer'!AC:AC,MATCH('Full Customer List'!$B181,'Revenue by Customer'!$A:$A,0))</f>
        <v/>
      </c>
    </row>
    <row r="182" spans="2:29" ht="12" customHeight="1">
      <c r="B182" s="171" t="s">
        <v>817</v>
      </c>
      <c r="C182" s="171" t="str">
        <f>INDEX('Customer List w Software'!$B:$B,MATCH('Full Customer List'!$B182,'Customer List w Software'!$A:$A,0))</f>
        <v>Former client</v>
      </c>
      <c r="D182" s="171" t="str">
        <f>INDEX('Customer List w Software'!$C:$C,MATCH('Full Customer List'!$B182,'Customer List w Software'!$A:$A,0))</f>
        <v>STR owner</v>
      </c>
      <c r="E182" s="171" t="str">
        <f>INDEX('Customer List Mapping'!$C:$C,MATCH('Full Customer List'!D182,'Customer List Mapping'!$B:$B,0))</f>
        <v>STR Owner</v>
      </c>
      <c r="F182" s="187">
        <f>INDEX('Customer List w Software'!$K:$K,MATCH('Full Customer List'!$B182,'Customer List w Software'!$A:$A,0))</f>
        <v>25</v>
      </c>
      <c r="G182" s="187">
        <f>INDEX('Revenue by Customer'!$I:$I,MATCH('Full Customer List'!$B182,'Revenue by Customer'!$A:$A,0))</f>
        <v>400</v>
      </c>
      <c r="H182" s="250" t="str">
        <f>IFERROR(IF(C182="Active","",INDEX('Client Departures'!$G:$G,MATCH('Full Customer List'!$B182,'Client Departures'!$A:$A,0))),"Unclassified")</f>
        <v>Yes</v>
      </c>
      <c r="I182" s="191">
        <v>45566</v>
      </c>
      <c r="J182" s="191">
        <v>46203</v>
      </c>
      <c r="K182" s="187">
        <f>INDEX('Revenue by Customer'!K:K,MATCH('Full Customer List'!$B182,'Revenue by Customer'!$A:$A,0))</f>
        <v>395</v>
      </c>
      <c r="L182" s="187">
        <f>INDEX('Revenue by Customer'!L:L,MATCH('Full Customer List'!$B182,'Revenue by Customer'!$A:$A,0))</f>
        <v>395</v>
      </c>
      <c r="M182" s="187">
        <f>INDEX('Revenue by Customer'!M:M,MATCH('Full Customer List'!$B182,'Revenue by Customer'!$A:$A,0))</f>
        <v>395</v>
      </c>
      <c r="N182" s="187">
        <f>INDEX('Revenue by Customer'!N:N,MATCH('Full Customer List'!$B182,'Revenue by Customer'!$A:$A,0))</f>
        <v>395</v>
      </c>
      <c r="O182" s="187">
        <f>INDEX('Revenue by Customer'!O:O,MATCH('Full Customer List'!$B182,'Revenue by Customer'!$A:$A,0))</f>
        <v>395</v>
      </c>
      <c r="P182" s="187">
        <f>INDEX('Revenue by Customer'!P:P,MATCH('Full Customer List'!$B182,'Revenue by Customer'!$A:$A,0))</f>
        <v>395</v>
      </c>
      <c r="Q182" s="187">
        <f>INDEX('Revenue by Customer'!Q:Q,MATCH('Full Customer List'!$B182,'Revenue by Customer'!$A:$A,0))</f>
        <v>395</v>
      </c>
      <c r="R182" s="187">
        <f>INDEX('Revenue by Customer'!R:R,MATCH('Full Customer List'!$B182,'Revenue by Customer'!$A:$A,0))</f>
        <v>395</v>
      </c>
      <c r="S182" s="187">
        <f>INDEX('Revenue by Customer'!S:S,MATCH('Full Customer List'!$B182,'Revenue by Customer'!$A:$A,0))</f>
        <v>395</v>
      </c>
      <c r="T182" s="187">
        <f>INDEX('Revenue by Customer'!T:T,MATCH('Full Customer List'!$B182,'Revenue by Customer'!$A:$A,0))</f>
        <v>400</v>
      </c>
      <c r="U182" s="187">
        <f>INDEX('Revenue by Customer'!U:U,MATCH('Full Customer List'!$B182,'Revenue by Customer'!$A:$A,0))</f>
        <v>400</v>
      </c>
      <c r="V182" s="187">
        <f>INDEX('Revenue by Customer'!V:V,MATCH('Full Customer List'!$B182,'Revenue by Customer'!$A:$A,0))</f>
        <v>400</v>
      </c>
      <c r="W182" s="187">
        <f>INDEX('Revenue by Customer'!W:W,MATCH('Full Customer List'!$B182,'Revenue by Customer'!$A:$A,0))</f>
        <v>400</v>
      </c>
      <c r="X182" s="187">
        <f>INDEX('Revenue by Customer'!X:X,MATCH('Full Customer List'!$B182,'Revenue by Customer'!$A:$A,0))</f>
        <v>400</v>
      </c>
      <c r="Y182" s="187">
        <f>INDEX('Revenue by Customer'!Y:Y,MATCH('Full Customer List'!$B182,'Revenue by Customer'!$A:$A,0))</f>
        <v>400</v>
      </c>
      <c r="Z182" s="187">
        <f>INDEX('Revenue by Customer'!Z:Z,MATCH('Full Customer List'!$B182,'Revenue by Customer'!$A:$A,0))</f>
        <v>400</v>
      </c>
      <c r="AA182" s="187">
        <f>INDEX('Revenue by Customer'!AA:AA,MATCH('Full Customer List'!$B182,'Revenue by Customer'!$A:$A,0))</f>
        <v>400</v>
      </c>
      <c r="AB182" s="187">
        <f>INDEX('Revenue by Customer'!AB:AB,MATCH('Full Customer List'!$B182,'Revenue by Customer'!$A:$A,0))</f>
        <v>400</v>
      </c>
      <c r="AC182" s="187" t="str">
        <f>INDEX('Revenue by Customer'!AC:AC,MATCH('Full Customer List'!$B182,'Revenue by Customer'!$A:$A,0))</f>
        <v/>
      </c>
    </row>
    <row r="183" spans="2:29" ht="12" customHeight="1">
      <c r="B183" s="171" t="s">
        <v>818</v>
      </c>
      <c r="C183" s="171" t="str">
        <f>INDEX('Customer List w Software'!$B:$B,MATCH('Full Customer List'!$B183,'Customer List w Software'!$A:$A,0))</f>
        <v>Former client</v>
      </c>
      <c r="D183" s="171" t="str">
        <f>INDEX('Customer List w Software'!$C:$C,MATCH('Full Customer List'!$B183,'Customer List w Software'!$A:$A,0))</f>
        <v>Property manager</v>
      </c>
      <c r="E183" s="171" t="str">
        <f>INDEX('Customer List Mapping'!$C:$C,MATCH('Full Customer List'!D183,'Customer List Mapping'!$B:$B,0))</f>
        <v>Property Manager</v>
      </c>
      <c r="F183" s="187">
        <f>INDEX('Customer List w Software'!$K:$K,MATCH('Full Customer List'!$B183,'Customer List w Software'!$A:$A,0))</f>
        <v>4</v>
      </c>
      <c r="G183" s="187">
        <f>INDEX('Revenue by Customer'!$I:$I,MATCH('Full Customer List'!$B183,'Revenue by Customer'!$A:$A,0))</f>
        <v>400</v>
      </c>
      <c r="H183" s="250" t="str">
        <f>IFERROR(IF(C183="Active","",INDEX('Client Departures'!$G:$G,MATCH('Full Customer List'!$B183,'Client Departures'!$A:$A,0))),"Unclassified")</f>
        <v>Yes</v>
      </c>
      <c r="I183" s="191">
        <v>45839</v>
      </c>
      <c r="J183" s="191">
        <v>46203</v>
      </c>
      <c r="K183" s="187" t="str">
        <f>INDEX('Revenue by Customer'!K:K,MATCH('Full Customer List'!$B183,'Revenue by Customer'!$A:$A,0))</f>
        <v/>
      </c>
      <c r="L183" s="187" t="str">
        <f>INDEX('Revenue by Customer'!L:L,MATCH('Full Customer List'!$B183,'Revenue by Customer'!$A:$A,0))</f>
        <v/>
      </c>
      <c r="M183" s="187" t="str">
        <f>INDEX('Revenue by Customer'!M:M,MATCH('Full Customer List'!$B183,'Revenue by Customer'!$A:$A,0))</f>
        <v/>
      </c>
      <c r="N183" s="187" t="str">
        <f>INDEX('Revenue by Customer'!N:N,MATCH('Full Customer List'!$B183,'Revenue by Customer'!$A:$A,0))</f>
        <v/>
      </c>
      <c r="O183" s="187" t="str">
        <f>INDEX('Revenue by Customer'!O:O,MATCH('Full Customer List'!$B183,'Revenue by Customer'!$A:$A,0))</f>
        <v/>
      </c>
      <c r="P183" s="187" t="str">
        <f>INDEX('Revenue by Customer'!P:P,MATCH('Full Customer List'!$B183,'Revenue by Customer'!$A:$A,0))</f>
        <v/>
      </c>
      <c r="Q183" s="187" t="str">
        <f>INDEX('Revenue by Customer'!Q:Q,MATCH('Full Customer List'!$B183,'Revenue by Customer'!$A:$A,0))</f>
        <v/>
      </c>
      <c r="R183" s="187">
        <f>INDEX('Revenue by Customer'!R:R,MATCH('Full Customer List'!$B183,'Revenue by Customer'!$A:$A,0))</f>
        <v>490</v>
      </c>
      <c r="S183" s="187">
        <f>INDEX('Revenue by Customer'!S:S,MATCH('Full Customer List'!$B183,'Revenue by Customer'!$A:$A,0))</f>
        <v>340</v>
      </c>
      <c r="T183" s="187">
        <f>INDEX('Revenue by Customer'!T:T,MATCH('Full Customer List'!$B183,'Revenue by Customer'!$A:$A,0))</f>
        <v>340</v>
      </c>
      <c r="U183" s="187">
        <f>INDEX('Revenue by Customer'!U:U,MATCH('Full Customer List'!$B183,'Revenue by Customer'!$A:$A,0))</f>
        <v>400</v>
      </c>
      <c r="V183" s="187">
        <f>INDEX('Revenue by Customer'!V:V,MATCH('Full Customer List'!$B183,'Revenue by Customer'!$A:$A,0))</f>
        <v>400</v>
      </c>
      <c r="W183" s="187">
        <f>INDEX('Revenue by Customer'!W:W,MATCH('Full Customer List'!$B183,'Revenue by Customer'!$A:$A,0))</f>
        <v>400</v>
      </c>
      <c r="X183" s="187">
        <f>INDEX('Revenue by Customer'!X:X,MATCH('Full Customer List'!$B183,'Revenue by Customer'!$A:$A,0))</f>
        <v>400</v>
      </c>
      <c r="Y183" s="187">
        <f>INDEX('Revenue by Customer'!Y:Y,MATCH('Full Customer List'!$B183,'Revenue by Customer'!$A:$A,0))</f>
        <v>400</v>
      </c>
      <c r="Z183" s="187">
        <f>INDEX('Revenue by Customer'!Z:Z,MATCH('Full Customer List'!$B183,'Revenue by Customer'!$A:$A,0))</f>
        <v>400</v>
      </c>
      <c r="AA183" s="187">
        <f>INDEX('Revenue by Customer'!AA:AA,MATCH('Full Customer List'!$B183,'Revenue by Customer'!$A:$A,0))</f>
        <v>400</v>
      </c>
      <c r="AB183" s="187">
        <f>INDEX('Revenue by Customer'!AB:AB,MATCH('Full Customer List'!$B183,'Revenue by Customer'!$A:$A,0))</f>
        <v>400</v>
      </c>
      <c r="AC183" s="187" t="str">
        <f>INDEX('Revenue by Customer'!AC:AC,MATCH('Full Customer List'!$B183,'Revenue by Customer'!$A:$A,0))</f>
        <v/>
      </c>
    </row>
    <row r="184" spans="2:29" ht="12" customHeight="1">
      <c r="B184" s="171" t="s">
        <v>819</v>
      </c>
      <c r="C184" s="171" t="str">
        <f>INDEX('Customer List w Software'!$B:$B,MATCH('Full Customer List'!$B184,'Customer List w Software'!$A:$A,0))</f>
        <v>Former client</v>
      </c>
      <c r="D184" s="171" t="str">
        <f>INDEX('Customer List w Software'!$C:$C,MATCH('Full Customer List'!$B184,'Customer List w Software'!$A:$A,0))</f>
        <v>Small business</v>
      </c>
      <c r="E184" s="171" t="str">
        <f>INDEX('Customer List Mapping'!$C:$C,MATCH('Full Customer List'!D184,'Customer List Mapping'!$B:$B,0))</f>
        <v>Small Business</v>
      </c>
      <c r="F184" s="187" t="str">
        <f>INDEX('Customer List w Software'!$K:$K,MATCH('Full Customer List'!$B184,'Customer List w Software'!$A:$A,0))</f>
        <v/>
      </c>
      <c r="G184" s="187">
        <f>INDEX('Revenue by Customer'!$I:$I,MATCH('Full Customer List'!$B184,'Revenue by Customer'!$A:$A,0))</f>
        <v>340</v>
      </c>
      <c r="H184" s="250" t="str">
        <f>IFERROR(IF(C184="Active","",INDEX('Client Departures'!$G:$G,MATCH('Full Customer List'!$B184,'Client Departures'!$A:$A,0))),"Unclassified")</f>
        <v>Yes</v>
      </c>
      <c r="I184" s="191">
        <v>45809</v>
      </c>
      <c r="J184" s="191">
        <v>46173</v>
      </c>
      <c r="K184" s="187" t="str">
        <f>INDEX('Revenue by Customer'!K:K,MATCH('Full Customer List'!$B184,'Revenue by Customer'!$A:$A,0))</f>
        <v/>
      </c>
      <c r="L184" s="187" t="str">
        <f>INDEX('Revenue by Customer'!L:L,MATCH('Full Customer List'!$B184,'Revenue by Customer'!$A:$A,0))</f>
        <v/>
      </c>
      <c r="M184" s="187" t="str">
        <f>INDEX('Revenue by Customer'!M:M,MATCH('Full Customer List'!$B184,'Revenue by Customer'!$A:$A,0))</f>
        <v/>
      </c>
      <c r="N184" s="187" t="str">
        <f>INDEX('Revenue by Customer'!N:N,MATCH('Full Customer List'!$B184,'Revenue by Customer'!$A:$A,0))</f>
        <v/>
      </c>
      <c r="O184" s="187" t="str">
        <f>INDEX('Revenue by Customer'!O:O,MATCH('Full Customer List'!$B184,'Revenue by Customer'!$A:$A,0))</f>
        <v/>
      </c>
      <c r="P184" s="187">
        <f>INDEX('Revenue by Customer'!P:P,MATCH('Full Customer List'!$B184,'Revenue by Customer'!$A:$A,0))</f>
        <v>340</v>
      </c>
      <c r="Q184" s="187">
        <f>INDEX('Revenue by Customer'!Q:Q,MATCH('Full Customer List'!$B184,'Revenue by Customer'!$A:$A,0))</f>
        <v>340</v>
      </c>
      <c r="R184" s="187">
        <f>INDEX('Revenue by Customer'!R:R,MATCH('Full Customer List'!$B184,'Revenue by Customer'!$A:$A,0))</f>
        <v>340</v>
      </c>
      <c r="S184" s="187">
        <f>INDEX('Revenue by Customer'!S:S,MATCH('Full Customer List'!$B184,'Revenue by Customer'!$A:$A,0))</f>
        <v>1285</v>
      </c>
      <c r="T184" s="187">
        <f>INDEX('Revenue by Customer'!T:T,MATCH('Full Customer List'!$B184,'Revenue by Customer'!$A:$A,0))</f>
        <v>340</v>
      </c>
      <c r="U184" s="187">
        <f>INDEX('Revenue by Customer'!U:U,MATCH('Full Customer List'!$B184,'Revenue by Customer'!$A:$A,0))</f>
        <v>340</v>
      </c>
      <c r="V184" s="187">
        <f>INDEX('Revenue by Customer'!V:V,MATCH('Full Customer List'!$B184,'Revenue by Customer'!$A:$A,0))</f>
        <v>340</v>
      </c>
      <c r="W184" s="187">
        <f>INDEX('Revenue by Customer'!W:W,MATCH('Full Customer List'!$B184,'Revenue by Customer'!$A:$A,0))</f>
        <v>340</v>
      </c>
      <c r="X184" s="187">
        <f>INDEX('Revenue by Customer'!X:X,MATCH('Full Customer List'!$B184,'Revenue by Customer'!$A:$A,0))</f>
        <v>340</v>
      </c>
      <c r="Y184" s="187">
        <f>INDEX('Revenue by Customer'!Y:Y,MATCH('Full Customer List'!$B184,'Revenue by Customer'!$A:$A,0))</f>
        <v>340</v>
      </c>
      <c r="Z184" s="187">
        <f>INDEX('Revenue by Customer'!Z:Z,MATCH('Full Customer List'!$B184,'Revenue by Customer'!$A:$A,0))</f>
        <v>340</v>
      </c>
      <c r="AA184" s="187">
        <f>INDEX('Revenue by Customer'!AA:AA,MATCH('Full Customer List'!$B184,'Revenue by Customer'!$A:$A,0))</f>
        <v>340</v>
      </c>
      <c r="AB184" s="187" t="str">
        <f>INDEX('Revenue by Customer'!AB:AB,MATCH('Full Customer List'!$B184,'Revenue by Customer'!$A:$A,0))</f>
        <v/>
      </c>
      <c r="AC184" s="187" t="str">
        <f>INDEX('Revenue by Customer'!AC:AC,MATCH('Full Customer List'!$B184,'Revenue by Customer'!$A:$A,0))</f>
        <v/>
      </c>
    </row>
    <row r="185" spans="2:29" ht="12" customHeight="1">
      <c r="B185" s="171" t="s">
        <v>820</v>
      </c>
      <c r="C185" s="171" t="str">
        <f>INDEX('Customer List w Software'!$B:$B,MATCH('Full Customer List'!$B185,'Customer List w Software'!$A:$A,0))</f>
        <v>Former client</v>
      </c>
      <c r="D185" s="171" t="str">
        <f>INDEX('Customer List w Software'!$C:$C,MATCH('Full Customer List'!$B185,'Customer List w Software'!$A:$A,0))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87" t="str">
        <f>INDEX('Customer List w Software'!$K:$K,MATCH('Full Customer List'!$B185,'Customer List w Software'!$A:$A,0))</f>
        <v/>
      </c>
      <c r="G185" s="187">
        <f>INDEX('Revenue by Customer'!$I:$I,MATCH('Full Customer List'!$B185,'Revenue by Customer'!$A:$A,0))</f>
        <v>851.66666666666663</v>
      </c>
      <c r="H185" s="250" t="str">
        <f>IFERROR(IF(C185="Active","",INDEX('Client Departures'!$G:$G,MATCH('Full Customer List'!$B185,'Client Departures'!$A:$A,0))),"Unclassified")</f>
        <v>Yes</v>
      </c>
      <c r="I185" s="191">
        <v>45505</v>
      </c>
      <c r="J185" s="191">
        <v>46022</v>
      </c>
      <c r="K185" s="187">
        <f>INDEX('Revenue by Customer'!K:K,MATCH('Full Customer List'!$B185,'Revenue by Customer'!$A:$A,0))</f>
        <v>515</v>
      </c>
      <c r="L185" s="187">
        <f>INDEX('Revenue by Customer'!L:L,MATCH('Full Customer List'!$B185,'Revenue by Customer'!$A:$A,0))</f>
        <v>395</v>
      </c>
      <c r="M185" s="187">
        <f>INDEX('Revenue by Customer'!M:M,MATCH('Full Customer List'!$B185,'Revenue by Customer'!$A:$A,0))</f>
        <v>395</v>
      </c>
      <c r="N185" s="187">
        <f>INDEX('Revenue by Customer'!N:N,MATCH('Full Customer List'!$B185,'Revenue by Customer'!$A:$A,0))</f>
        <v>395</v>
      </c>
      <c r="O185" s="187">
        <f>INDEX('Revenue by Customer'!O:O,MATCH('Full Customer List'!$B185,'Revenue by Customer'!$A:$A,0))</f>
        <v>395</v>
      </c>
      <c r="P185" s="187">
        <f>INDEX('Revenue by Customer'!P:P,MATCH('Full Customer List'!$B185,'Revenue by Customer'!$A:$A,0))</f>
        <v>395</v>
      </c>
      <c r="Q185" s="187">
        <f>INDEX('Revenue by Customer'!Q:Q,MATCH('Full Customer List'!$B185,'Revenue by Customer'!$A:$A,0))</f>
        <v>395</v>
      </c>
      <c r="R185" s="187">
        <f>INDEX('Revenue by Customer'!R:R,MATCH('Full Customer List'!$B185,'Revenue by Customer'!$A:$A,0))</f>
        <v>440</v>
      </c>
      <c r="S185" s="187">
        <f>INDEX('Revenue by Customer'!S:S,MATCH('Full Customer List'!$B185,'Revenue by Customer'!$A:$A,0))</f>
        <v>440</v>
      </c>
      <c r="T185" s="187">
        <f>INDEX('Revenue by Customer'!T:T,MATCH('Full Customer List'!$B185,'Revenue by Customer'!$A:$A,0))</f>
        <v>440</v>
      </c>
      <c r="U185" s="187">
        <f>INDEX('Revenue by Customer'!U:U,MATCH('Full Customer List'!$B185,'Revenue by Customer'!$A:$A,0))</f>
        <v>440</v>
      </c>
      <c r="V185" s="187">
        <f>INDEX('Revenue by Customer'!V:V,MATCH('Full Customer List'!$B185,'Revenue by Customer'!$A:$A,0))</f>
        <v>440</v>
      </c>
      <c r="W185" s="187">
        <f>INDEX('Revenue by Customer'!W:W,MATCH('Full Customer List'!$B185,'Revenue by Customer'!$A:$A,0))</f>
        <v>2025</v>
      </c>
      <c r="X185" s="187">
        <f>INDEX('Revenue by Customer'!X:X,MATCH('Full Customer List'!$B185,'Revenue by Customer'!$A:$A,0))</f>
        <v>90</v>
      </c>
      <c r="Y185" s="187" t="str">
        <f>INDEX('Revenue by Customer'!Y:Y,MATCH('Full Customer List'!$B185,'Revenue by Customer'!$A:$A,0))</f>
        <v/>
      </c>
      <c r="Z185" s="187" t="str">
        <f>INDEX('Revenue by Customer'!Z:Z,MATCH('Full Customer List'!$B185,'Revenue by Customer'!$A:$A,0))</f>
        <v/>
      </c>
      <c r="AA185" s="187" t="str">
        <f>INDEX('Revenue by Customer'!AA:AA,MATCH('Full Customer List'!$B185,'Revenue by Customer'!$A:$A,0))</f>
        <v/>
      </c>
      <c r="AB185" s="187" t="str">
        <f>INDEX('Revenue by Customer'!AB:AB,MATCH('Full Customer List'!$B185,'Revenue by Customer'!$A:$A,0))</f>
        <v/>
      </c>
      <c r="AC185" s="187" t="str">
        <f>INDEX('Revenue by Customer'!AC:AC,MATCH('Full Customer List'!$B185,'Revenue by Customer'!$A:$A,0))</f>
        <v/>
      </c>
    </row>
    <row r="186" spans="2:29" ht="12" customHeight="1">
      <c r="B186" s="171" t="s">
        <v>821</v>
      </c>
      <c r="C186" s="171" t="str">
        <f>INDEX('Customer List w Software'!$B:$B,MATCH('Full Customer List'!$B186,'Customer List w Software'!$A:$A,0))</f>
        <v>Active</v>
      </c>
      <c r="D186" s="171" t="str">
        <f>INDEX('Customer List w Software'!$C:$C,MATCH('Full Customer List'!$B186,'Customer List w Software'!$A:$A,0))</f>
        <v>Property manager</v>
      </c>
      <c r="E186" s="171" t="str">
        <f>INDEX('Customer List Mapping'!$C:$C,MATCH('Full Customer List'!D186,'Customer List Mapping'!$B:$B,0))</f>
        <v>Property Manager</v>
      </c>
      <c r="F186" s="187">
        <f>INDEX('Customer List w Software'!$K:$K,MATCH('Full Customer List'!$B186,'Customer List w Software'!$A:$A,0))</f>
        <v>8</v>
      </c>
      <c r="G186" s="187">
        <f>INDEX('Revenue by Customer'!$I:$I,MATCH('Full Customer List'!$B186,'Revenue by Customer'!$A:$A,0))</f>
        <v>719</v>
      </c>
      <c r="H186" s="250" t="str">
        <f>IFERROR(IF(C186="Active","",INDEX('Client Departures'!$G:$G,MATCH('Full Customer List'!$B186,'Client Departures'!$A:$A,0))),"Unclassified")</f>
        <v/>
      </c>
      <c r="I186" s="191">
        <v>46023</v>
      </c>
      <c r="J186" s="191"/>
      <c r="K186" s="187" t="str">
        <f>INDEX('Revenue by Customer'!K:K,MATCH('Full Customer List'!$B186,'Revenue by Customer'!$A:$A,0))</f>
        <v/>
      </c>
      <c r="L186" s="187" t="str">
        <f>INDEX('Revenue by Customer'!L:L,MATCH('Full Customer List'!$B186,'Revenue by Customer'!$A:$A,0))</f>
        <v/>
      </c>
      <c r="M186" s="187" t="str">
        <f>INDEX('Revenue by Customer'!M:M,MATCH('Full Customer List'!$B186,'Revenue by Customer'!$A:$A,0))</f>
        <v/>
      </c>
      <c r="N186" s="187" t="str">
        <f>INDEX('Revenue by Customer'!N:N,MATCH('Full Customer List'!$B186,'Revenue by Customer'!$A:$A,0))</f>
        <v/>
      </c>
      <c r="O186" s="187" t="str">
        <f>INDEX('Revenue by Customer'!O:O,MATCH('Full Customer List'!$B186,'Revenue by Customer'!$A:$A,0))</f>
        <v/>
      </c>
      <c r="P186" s="187" t="str">
        <f>INDEX('Revenue by Customer'!P:P,MATCH('Full Customer List'!$B186,'Revenue by Customer'!$A:$A,0))</f>
        <v/>
      </c>
      <c r="Q186" s="187" t="str">
        <f>INDEX('Revenue by Customer'!Q:Q,MATCH('Full Customer List'!$B186,'Revenue by Customer'!$A:$A,0))</f>
        <v/>
      </c>
      <c r="R186" s="187" t="str">
        <f>INDEX('Revenue by Customer'!R:R,MATCH('Full Customer List'!$B186,'Revenue by Customer'!$A:$A,0))</f>
        <v/>
      </c>
      <c r="S186" s="187" t="str">
        <f>INDEX('Revenue by Customer'!S:S,MATCH('Full Customer List'!$B186,'Revenue by Customer'!$A:$A,0))</f>
        <v/>
      </c>
      <c r="T186" s="187" t="str">
        <f>INDEX('Revenue by Customer'!T:T,MATCH('Full Customer List'!$B186,'Revenue by Customer'!$A:$A,0))</f>
        <v/>
      </c>
      <c r="U186" s="187" t="str">
        <f>INDEX('Revenue by Customer'!U:U,MATCH('Full Customer List'!$B186,'Revenue by Customer'!$A:$A,0))</f>
        <v/>
      </c>
      <c r="V186" s="187" t="str">
        <f>INDEX('Revenue by Customer'!V:V,MATCH('Full Customer List'!$B186,'Revenue by Customer'!$A:$A,0))</f>
        <v/>
      </c>
      <c r="W186" s="187">
        <f>INDEX('Revenue by Customer'!W:W,MATCH('Full Customer List'!$B186,'Revenue by Customer'!$A:$A,0))</f>
        <v>701</v>
      </c>
      <c r="X186" s="187">
        <f>INDEX('Revenue by Customer'!X:X,MATCH('Full Customer List'!$B186,'Revenue by Customer'!$A:$A,0))</f>
        <v>393</v>
      </c>
      <c r="Y186" s="187">
        <f>INDEX('Revenue by Customer'!Y:Y,MATCH('Full Customer List'!$B186,'Revenue by Customer'!$A:$A,0))</f>
        <v>393</v>
      </c>
      <c r="Z186" s="187">
        <f>INDEX('Revenue by Customer'!Z:Z,MATCH('Full Customer List'!$B186,'Revenue by Customer'!$A:$A,0))</f>
        <v>632</v>
      </c>
      <c r="AA186" s="187">
        <f>INDEX('Revenue by Customer'!AA:AA,MATCH('Full Customer List'!$B186,'Revenue by Customer'!$A:$A,0))</f>
        <v>719</v>
      </c>
      <c r="AB186" s="187">
        <f>INDEX('Revenue by Customer'!AB:AB,MATCH('Full Customer List'!$B186,'Revenue by Customer'!$A:$A,0))</f>
        <v>719</v>
      </c>
      <c r="AC186" s="187">
        <f>INDEX('Revenue by Customer'!AC:AC,MATCH('Full Customer List'!$B186,'Revenue by Customer'!$A:$A,0))</f>
        <v>719</v>
      </c>
    </row>
    <row r="187" spans="2:29" ht="12" customHeight="1">
      <c r="B187" s="171" t="s">
        <v>822</v>
      </c>
      <c r="C187" s="171" t="str">
        <f>INDEX('Customer List w Software'!$B:$B,MATCH('Full Customer List'!$B187,'Customer List w Software'!$A:$A,0))</f>
        <v>Active</v>
      </c>
      <c r="D187" s="171" t="str">
        <f>INDEX('Customer List w Software'!$C:$C,MATCH('Full Customer List'!$B187,'Customer List w Software'!$A:$A,0))</f>
        <v>Small business</v>
      </c>
      <c r="E187" s="171" t="str">
        <f>INDEX('Customer List Mapping'!$C:$C,MATCH('Full Customer List'!D187,'Customer List Mapping'!$B:$B,0))</f>
        <v>Small Business</v>
      </c>
      <c r="F187" s="187" t="str">
        <f>INDEX('Customer List w Software'!$K:$K,MATCH('Full Customer List'!$B187,'Customer List w Software'!$A:$A,0))</f>
        <v/>
      </c>
      <c r="G187" s="187">
        <f>INDEX('Revenue by Customer'!$I:$I,MATCH('Full Customer List'!$B187,'Revenue by Customer'!$A:$A,0))</f>
        <v>355</v>
      </c>
      <c r="H187" s="250" t="str">
        <f>IFERROR(IF(C187="Active","",INDEX('Client Departures'!$G:$G,MATCH('Full Customer List'!$B187,'Client Departures'!$A:$A,0))),"Unclassified")</f>
        <v/>
      </c>
      <c r="I187" s="191">
        <v>44317</v>
      </c>
      <c r="J187" s="191"/>
      <c r="K187" s="187">
        <f>INDEX('Revenue by Customer'!K:K,MATCH('Full Customer List'!$B187,'Revenue by Customer'!$A:$A,0))</f>
        <v>400</v>
      </c>
      <c r="L187" s="187">
        <f>INDEX('Revenue by Customer'!L:L,MATCH('Full Customer List'!$B187,'Revenue by Customer'!$A:$A,0))</f>
        <v>355</v>
      </c>
      <c r="M187" s="187">
        <f>INDEX('Revenue by Customer'!M:M,MATCH('Full Customer List'!$B187,'Revenue by Customer'!$A:$A,0))</f>
        <v>355</v>
      </c>
      <c r="N187" s="187">
        <f>INDEX('Revenue by Customer'!N:N,MATCH('Full Customer List'!$B187,'Revenue by Customer'!$A:$A,0))</f>
        <v>355</v>
      </c>
      <c r="O187" s="187">
        <f>INDEX('Revenue by Customer'!O:O,MATCH('Full Customer List'!$B187,'Revenue by Customer'!$A:$A,0))</f>
        <v>355</v>
      </c>
      <c r="P187" s="187">
        <f>INDEX('Revenue by Customer'!P:P,MATCH('Full Customer List'!$B187,'Revenue by Customer'!$A:$A,0))</f>
        <v>355</v>
      </c>
      <c r="Q187" s="187">
        <f>INDEX('Revenue by Customer'!Q:Q,MATCH('Full Customer List'!$B187,'Revenue by Customer'!$A:$A,0))</f>
        <v>355</v>
      </c>
      <c r="R187" s="187">
        <f>INDEX('Revenue by Customer'!R:R,MATCH('Full Customer List'!$B187,'Revenue by Customer'!$A:$A,0))</f>
        <v>355</v>
      </c>
      <c r="S187" s="187">
        <f>INDEX('Revenue by Customer'!S:S,MATCH('Full Customer List'!$B187,'Revenue by Customer'!$A:$A,0))</f>
        <v>370</v>
      </c>
      <c r="T187" s="187">
        <f>INDEX('Revenue by Customer'!T:T,MATCH('Full Customer List'!$B187,'Revenue by Customer'!$A:$A,0))</f>
        <v>370</v>
      </c>
      <c r="U187" s="187">
        <f>INDEX('Revenue by Customer'!U:U,MATCH('Full Customer List'!$B187,'Revenue by Customer'!$A:$A,0))</f>
        <v>325</v>
      </c>
      <c r="V187" s="187">
        <f>INDEX('Revenue by Customer'!V:V,MATCH('Full Customer List'!$B187,'Revenue by Customer'!$A:$A,0))</f>
        <v>355</v>
      </c>
      <c r="W187" s="187">
        <f>INDEX('Revenue by Customer'!W:W,MATCH('Full Customer List'!$B187,'Revenue by Customer'!$A:$A,0))</f>
        <v>355</v>
      </c>
      <c r="X187" s="187">
        <f>INDEX('Revenue by Customer'!X:X,MATCH('Full Customer List'!$B187,'Revenue by Customer'!$A:$A,0))</f>
        <v>370</v>
      </c>
      <c r="Y187" s="187">
        <f>INDEX('Revenue by Customer'!Y:Y,MATCH('Full Customer List'!$B187,'Revenue by Customer'!$A:$A,0))</f>
        <v>355</v>
      </c>
      <c r="Z187" s="187">
        <f>INDEX('Revenue by Customer'!Z:Z,MATCH('Full Customer List'!$B187,'Revenue by Customer'!$A:$A,0))</f>
        <v>355</v>
      </c>
      <c r="AA187" s="187">
        <f>INDEX('Revenue by Customer'!AA:AA,MATCH('Full Customer List'!$B187,'Revenue by Customer'!$A:$A,0))</f>
        <v>355</v>
      </c>
      <c r="AB187" s="187">
        <f>INDEX('Revenue by Customer'!AB:AB,MATCH('Full Customer List'!$B187,'Revenue by Customer'!$A:$A,0))</f>
        <v>355</v>
      </c>
      <c r="AC187" s="187">
        <f>INDEX('Revenue by Customer'!AC:AC,MATCH('Full Customer List'!$B187,'Revenue by Customer'!$A:$A,0))</f>
        <v>355</v>
      </c>
    </row>
    <row r="188" spans="2:29" ht="12" customHeight="1">
      <c r="B188" s="171" t="s">
        <v>824</v>
      </c>
      <c r="C188" s="171" t="str">
        <f>INDEX('Customer List w Software'!$B:$B,MATCH('Full Customer List'!$B188,'Customer List w Software'!$A:$A,0))</f>
        <v>Active</v>
      </c>
      <c r="D188" s="171" t="str">
        <f>INDEX('Customer List w Software'!$C:$C,MATCH('Full Customer List'!$B188,'Customer List w Software'!$A:$A,0))</f>
        <v>Property manager</v>
      </c>
      <c r="E188" s="171" t="str">
        <f>INDEX('Customer List Mapping'!$C:$C,MATCH('Full Customer List'!D188,'Customer List Mapping'!$B:$B,0))</f>
        <v>Property Manager</v>
      </c>
      <c r="F188" s="187">
        <f>INDEX('Customer List w Software'!$K:$K,MATCH('Full Customer List'!$B188,'Customer List w Software'!$A:$A,0))</f>
        <v>5</v>
      </c>
      <c r="G188" s="187">
        <f>INDEX('Revenue by Customer'!$I:$I,MATCH('Full Customer List'!$B188,'Revenue by Customer'!$A:$A,0))</f>
        <v>360</v>
      </c>
      <c r="H188" s="250" t="str">
        <f>IFERROR(IF(C188="Active","",INDEX('Client Departures'!$G:$G,MATCH('Full Customer List'!$B188,'Client Departures'!$A:$A,0))),"Unclassified")</f>
        <v/>
      </c>
      <c r="I188" s="191">
        <v>45809</v>
      </c>
      <c r="J188" s="191"/>
      <c r="K188" s="187" t="str">
        <f>INDEX('Revenue by Customer'!K:K,MATCH('Full Customer List'!$B188,'Revenue by Customer'!$A:$A,0))</f>
        <v/>
      </c>
      <c r="L188" s="187" t="str">
        <f>INDEX('Revenue by Customer'!L:L,MATCH('Full Customer List'!$B188,'Revenue by Customer'!$A:$A,0))</f>
        <v/>
      </c>
      <c r="M188" s="187" t="str">
        <f>INDEX('Revenue by Customer'!M:M,MATCH('Full Customer List'!$B188,'Revenue by Customer'!$A:$A,0))</f>
        <v/>
      </c>
      <c r="N188" s="187" t="str">
        <f>INDEX('Revenue by Customer'!N:N,MATCH('Full Customer List'!$B188,'Revenue by Customer'!$A:$A,0))</f>
        <v/>
      </c>
      <c r="O188" s="187" t="str">
        <f>INDEX('Revenue by Customer'!O:O,MATCH('Full Customer List'!$B188,'Revenue by Customer'!$A:$A,0))</f>
        <v/>
      </c>
      <c r="P188" s="187">
        <f>INDEX('Revenue by Customer'!P:P,MATCH('Full Customer List'!$B188,'Revenue by Customer'!$A:$A,0))</f>
        <v>350</v>
      </c>
      <c r="Q188" s="187">
        <f>INDEX('Revenue by Customer'!Q:Q,MATCH('Full Customer List'!$B188,'Revenue by Customer'!$A:$A,0))</f>
        <v>375</v>
      </c>
      <c r="R188" s="187">
        <f>INDEX('Revenue by Customer'!R:R,MATCH('Full Customer List'!$B188,'Revenue by Customer'!$A:$A,0))</f>
        <v>415</v>
      </c>
      <c r="S188" s="187">
        <f>INDEX('Revenue by Customer'!S:S,MATCH('Full Customer List'!$B188,'Revenue by Customer'!$A:$A,0))</f>
        <v>565</v>
      </c>
      <c r="T188" s="187">
        <f>INDEX('Revenue by Customer'!T:T,MATCH('Full Customer List'!$B188,'Revenue by Customer'!$A:$A,0))</f>
        <v>565</v>
      </c>
      <c r="U188" s="187">
        <f>INDEX('Revenue by Customer'!U:U,MATCH('Full Customer List'!$B188,'Revenue by Customer'!$A:$A,0))</f>
        <v>240</v>
      </c>
      <c r="V188" s="187">
        <f>INDEX('Revenue by Customer'!V:V,MATCH('Full Customer List'!$B188,'Revenue by Customer'!$A:$A,0))</f>
        <v>300</v>
      </c>
      <c r="W188" s="187">
        <f>INDEX('Revenue by Customer'!W:W,MATCH('Full Customer List'!$B188,'Revenue by Customer'!$A:$A,0))</f>
        <v>300</v>
      </c>
      <c r="X188" s="187">
        <f>INDEX('Revenue by Customer'!X:X,MATCH('Full Customer List'!$B188,'Revenue by Customer'!$A:$A,0))</f>
        <v>60</v>
      </c>
      <c r="Y188" s="187">
        <f>INDEX('Revenue by Customer'!Y:Y,MATCH('Full Customer List'!$B188,'Revenue by Customer'!$A:$A,0))</f>
        <v>360</v>
      </c>
      <c r="Z188" s="187">
        <f>INDEX('Revenue by Customer'!Z:Z,MATCH('Full Customer List'!$B188,'Revenue by Customer'!$A:$A,0))</f>
        <v>360</v>
      </c>
      <c r="AA188" s="187">
        <f>INDEX('Revenue by Customer'!AA:AA,MATCH('Full Customer List'!$B188,'Revenue by Customer'!$A:$A,0))</f>
        <v>360</v>
      </c>
      <c r="AB188" s="187">
        <f>INDEX('Revenue by Customer'!AB:AB,MATCH('Full Customer List'!$B188,'Revenue by Customer'!$A:$A,0))</f>
        <v>360</v>
      </c>
      <c r="AC188" s="187">
        <f>INDEX('Revenue by Customer'!AC:AC,MATCH('Full Customer List'!$B188,'Revenue by Customer'!$A:$A,0))</f>
        <v>360</v>
      </c>
    </row>
    <row r="189" spans="2:29" ht="12" customHeight="1">
      <c r="B189" s="171" t="s">
        <v>825</v>
      </c>
      <c r="C189" s="171" t="str">
        <f>INDEX('Customer List w Software'!$B:$B,MATCH('Full Customer List'!$B189,'Customer List w Software'!$A:$A,0))</f>
        <v>Active</v>
      </c>
      <c r="D189" s="171" t="str">
        <f>INDEX('Customer List w Software'!$C:$C,MATCH('Full Customer List'!$B189,'Customer List w Software'!$A:$A,0))</f>
        <v>Property manager</v>
      </c>
      <c r="E189" s="171" t="str">
        <f>INDEX('Customer List Mapping'!$C:$C,MATCH('Full Customer List'!D189,'Customer List Mapping'!$B:$B,0))</f>
        <v>Property Manager</v>
      </c>
      <c r="F189" s="187">
        <f>INDEX('Customer List w Software'!$K:$K,MATCH('Full Customer List'!$B189,'Customer List w Software'!$A:$A,0))</f>
        <v>8</v>
      </c>
      <c r="G189" s="187">
        <f>INDEX('Revenue by Customer'!$I:$I,MATCH('Full Customer List'!$B189,'Revenue by Customer'!$A:$A,0))</f>
        <v>899.33333333333337</v>
      </c>
      <c r="H189" s="250" t="str">
        <f>IFERROR(IF(C189="Active","",INDEX('Client Departures'!$G:$G,MATCH('Full Customer List'!$B189,'Client Departures'!$A:$A,0))),"Unclassified")</f>
        <v/>
      </c>
      <c r="I189" s="191">
        <v>46082</v>
      </c>
      <c r="J189" s="191"/>
      <c r="K189" s="187" t="str">
        <f>INDEX('Revenue by Customer'!K:K,MATCH('Full Customer List'!$B189,'Revenue by Customer'!$A:$A,0))</f>
        <v/>
      </c>
      <c r="L189" s="187" t="str">
        <f>INDEX('Revenue by Customer'!L:L,MATCH('Full Customer List'!$B189,'Revenue by Customer'!$A:$A,0))</f>
        <v/>
      </c>
      <c r="M189" s="187" t="str">
        <f>INDEX('Revenue by Customer'!M:M,MATCH('Full Customer List'!$B189,'Revenue by Customer'!$A:$A,0))</f>
        <v/>
      </c>
      <c r="N189" s="187" t="str">
        <f>INDEX('Revenue by Customer'!N:N,MATCH('Full Customer List'!$B189,'Revenue by Customer'!$A:$A,0))</f>
        <v/>
      </c>
      <c r="O189" s="187" t="str">
        <f>INDEX('Revenue by Customer'!O:O,MATCH('Full Customer List'!$B189,'Revenue by Customer'!$A:$A,0))</f>
        <v/>
      </c>
      <c r="P189" s="187" t="str">
        <f>INDEX('Revenue by Customer'!P:P,MATCH('Full Customer List'!$B189,'Revenue by Customer'!$A:$A,0))</f>
        <v/>
      </c>
      <c r="Q189" s="187" t="str">
        <f>INDEX('Revenue by Customer'!Q:Q,MATCH('Full Customer List'!$B189,'Revenue by Customer'!$A:$A,0))</f>
        <v/>
      </c>
      <c r="R189" s="187" t="str">
        <f>INDEX('Revenue by Customer'!R:R,MATCH('Full Customer List'!$B189,'Revenue by Customer'!$A:$A,0))</f>
        <v/>
      </c>
      <c r="S189" s="187" t="str">
        <f>INDEX('Revenue by Customer'!S:S,MATCH('Full Customer List'!$B189,'Revenue by Customer'!$A:$A,0))</f>
        <v/>
      </c>
      <c r="T189" s="187" t="str">
        <f>INDEX('Revenue by Customer'!T:T,MATCH('Full Customer List'!$B189,'Revenue by Customer'!$A:$A,0))</f>
        <v/>
      </c>
      <c r="U189" s="187" t="str">
        <f>INDEX('Revenue by Customer'!U:U,MATCH('Full Customer List'!$B189,'Revenue by Customer'!$A:$A,0))</f>
        <v/>
      </c>
      <c r="V189" s="187" t="str">
        <f>INDEX('Revenue by Customer'!V:V,MATCH('Full Customer List'!$B189,'Revenue by Customer'!$A:$A,0))</f>
        <v/>
      </c>
      <c r="W189" s="187" t="str">
        <f>INDEX('Revenue by Customer'!W:W,MATCH('Full Customer List'!$B189,'Revenue by Customer'!$A:$A,0))</f>
        <v/>
      </c>
      <c r="X189" s="187" t="str">
        <f>INDEX('Revenue by Customer'!X:X,MATCH('Full Customer List'!$B189,'Revenue by Customer'!$A:$A,0))</f>
        <v/>
      </c>
      <c r="Y189" s="187">
        <f>INDEX('Revenue by Customer'!Y:Y,MATCH('Full Customer List'!$B189,'Revenue by Customer'!$A:$A,0))</f>
        <v>854</v>
      </c>
      <c r="Z189" s="187">
        <f>INDEX('Revenue by Customer'!Z:Z,MATCH('Full Customer List'!$B189,'Revenue by Customer'!$A:$A,0))</f>
        <v>652</v>
      </c>
      <c r="AA189" s="187">
        <f>INDEX('Revenue by Customer'!AA:AA,MATCH('Full Customer List'!$B189,'Revenue by Customer'!$A:$A,0))</f>
        <v>886</v>
      </c>
      <c r="AB189" s="187">
        <f>INDEX('Revenue by Customer'!AB:AB,MATCH('Full Customer List'!$B189,'Revenue by Customer'!$A:$A,0))</f>
        <v>926</v>
      </c>
      <c r="AC189" s="187">
        <f>INDEX('Revenue by Customer'!AC:AC,MATCH('Full Customer List'!$B189,'Revenue by Customer'!$A:$A,0))</f>
        <v>886</v>
      </c>
    </row>
    <row r="190" spans="2:29" ht="12" customHeight="1">
      <c r="B190" s="171" t="s">
        <v>826</v>
      </c>
      <c r="C190" s="217" t="s">
        <v>497</v>
      </c>
      <c r="D190" s="171" t="str">
        <f>INDEX('Customer List w Software'!$C:$C,MATCH('Full Customer List'!$B190,'Customer List w Software'!$A:$A,0))</f>
        <v>Property manager</v>
      </c>
      <c r="E190" s="171" t="str">
        <f>INDEX('Customer List Mapping'!$C:$C,MATCH('Full Customer List'!D190,'Customer List Mapping'!$B:$B,0))</f>
        <v>Property Manager</v>
      </c>
      <c r="F190" s="187">
        <f>INDEX('Customer List w Software'!$K:$K,MATCH('Full Customer List'!$B190,'Customer List w Software'!$A:$A,0))</f>
        <v>21</v>
      </c>
      <c r="G190" s="187">
        <f>INDEX('Revenue by Customer'!$I:$I,MATCH('Full Customer List'!$B190,'Revenue by Customer'!$A:$A,0))</f>
        <v>1986</v>
      </c>
      <c r="H190" s="250" t="str">
        <f>IFERROR(IF(C190="Active","",INDEX('Client Departures'!$G:$G,MATCH('Full Customer List'!$B190,'Client Departures'!$A:$A,0))),"Unclassified")</f>
        <v/>
      </c>
      <c r="I190" s="191">
        <v>46174</v>
      </c>
      <c r="J190" s="191"/>
      <c r="K190" s="187" t="str">
        <f>INDEX('Revenue by Customer'!K:K,MATCH('Full Customer List'!$B190,'Revenue by Customer'!$A:$A,0))</f>
        <v/>
      </c>
      <c r="L190" s="187" t="str">
        <f>INDEX('Revenue by Customer'!L:L,MATCH('Full Customer List'!$B190,'Revenue by Customer'!$A:$A,0))</f>
        <v/>
      </c>
      <c r="M190" s="187" t="str">
        <f>INDEX('Revenue by Customer'!M:M,MATCH('Full Customer List'!$B190,'Revenue by Customer'!$A:$A,0))</f>
        <v/>
      </c>
      <c r="N190" s="187" t="str">
        <f>INDEX('Revenue by Customer'!N:N,MATCH('Full Customer List'!$B190,'Revenue by Customer'!$A:$A,0))</f>
        <v/>
      </c>
      <c r="O190" s="187" t="str">
        <f>INDEX('Revenue by Customer'!O:O,MATCH('Full Customer List'!$B190,'Revenue by Customer'!$A:$A,0))</f>
        <v/>
      </c>
      <c r="P190" s="187" t="str">
        <f>INDEX('Revenue by Customer'!P:P,MATCH('Full Customer List'!$B190,'Revenue by Customer'!$A:$A,0))</f>
        <v/>
      </c>
      <c r="Q190" s="187" t="str">
        <f>INDEX('Revenue by Customer'!Q:Q,MATCH('Full Customer List'!$B190,'Revenue by Customer'!$A:$A,0))</f>
        <v/>
      </c>
      <c r="R190" s="187" t="str">
        <f>INDEX('Revenue by Customer'!R:R,MATCH('Full Customer List'!$B190,'Revenue by Customer'!$A:$A,0))</f>
        <v/>
      </c>
      <c r="S190" s="187" t="str">
        <f>INDEX('Revenue by Customer'!S:S,MATCH('Full Customer List'!$B190,'Revenue by Customer'!$A:$A,0))</f>
        <v/>
      </c>
      <c r="T190" s="187" t="str">
        <f>INDEX('Revenue by Customer'!T:T,MATCH('Full Customer List'!$B190,'Revenue by Customer'!$A:$A,0))</f>
        <v/>
      </c>
      <c r="U190" s="187" t="str">
        <f>INDEX('Revenue by Customer'!U:U,MATCH('Full Customer List'!$B190,'Revenue by Customer'!$A:$A,0))</f>
        <v/>
      </c>
      <c r="V190" s="187" t="str">
        <f>INDEX('Revenue by Customer'!V:V,MATCH('Full Customer List'!$B190,'Revenue by Customer'!$A:$A,0))</f>
        <v/>
      </c>
      <c r="W190" s="187" t="str">
        <f>INDEX('Revenue by Customer'!W:W,MATCH('Full Customer List'!$B190,'Revenue by Customer'!$A:$A,0))</f>
        <v/>
      </c>
      <c r="X190" s="187" t="str">
        <f>INDEX('Revenue by Customer'!X:X,MATCH('Full Customer List'!$B190,'Revenue by Customer'!$A:$A,0))</f>
        <v/>
      </c>
      <c r="Y190" s="187" t="str">
        <f>INDEX('Revenue by Customer'!Y:Y,MATCH('Full Customer List'!$B190,'Revenue by Customer'!$A:$A,0))</f>
        <v/>
      </c>
      <c r="Z190" s="187" t="str">
        <f>INDEX('Revenue by Customer'!Z:Z,MATCH('Full Customer List'!$B190,'Revenue by Customer'!$A:$A,0))</f>
        <v/>
      </c>
      <c r="AA190" s="187" t="str">
        <f>INDEX('Revenue by Customer'!AA:AA,MATCH('Full Customer List'!$B190,'Revenue by Customer'!$A:$A,0))</f>
        <v/>
      </c>
      <c r="AB190" s="187">
        <f>INDEX('Revenue by Customer'!AB:AB,MATCH('Full Customer List'!$B190,'Revenue by Customer'!$A:$A,0))</f>
        <v>2656</v>
      </c>
      <c r="AC190" s="187">
        <f>INDEX('Revenue by Customer'!AC:AC,MATCH('Full Customer List'!$B190,'Revenue by Customer'!$A:$A,0))</f>
        <v>1316</v>
      </c>
    </row>
    <row r="191" spans="2:29" ht="12" customHeight="1">
      <c r="B191" s="171" t="s">
        <v>827</v>
      </c>
      <c r="C191" s="171" t="str">
        <f>INDEX('Customer List w Software'!$B:$B,MATCH('Full Customer List'!$B191,'Customer List w Software'!$A:$A,0))</f>
        <v>Former client</v>
      </c>
      <c r="D191" s="171" t="str">
        <f>INDEX('Customer List w Software'!$C:$C,MATCH('Full Customer List'!$B191,'Customer List w Software'!$A:$A,0))</f>
        <v>STR owner</v>
      </c>
      <c r="E191" s="171" t="str">
        <f>INDEX('Customer List Mapping'!$C:$C,MATCH('Full Customer List'!D191,'Customer List Mapping'!$B:$B,0))</f>
        <v>STR Owner</v>
      </c>
      <c r="F191" s="187" t="str">
        <f>INDEX('Customer List w Software'!$K:$K,MATCH('Full Customer List'!$B191,'Customer List w Software'!$A:$A,0))</f>
        <v/>
      </c>
      <c r="G191" s="187">
        <f>INDEX('Revenue by Customer'!$I:$I,MATCH('Full Customer List'!$B191,'Revenue by Customer'!$A:$A,0))</f>
        <v>400</v>
      </c>
      <c r="H191" s="250" t="str">
        <f>IFERROR(IF(C191="Active","",INDEX('Client Departures'!$G:$G,MATCH('Full Customer List'!$B191,'Client Departures'!$A:$A,0))),"Unclassified")</f>
        <v>Yes</v>
      </c>
      <c r="I191" s="191">
        <v>45870</v>
      </c>
      <c r="J191" s="191">
        <v>46142</v>
      </c>
      <c r="K191" s="187" t="str">
        <f>INDEX('Revenue by Customer'!K:K,MATCH('Full Customer List'!$B191,'Revenue by Customer'!$A:$A,0))</f>
        <v/>
      </c>
      <c r="L191" s="187" t="str">
        <f>INDEX('Revenue by Customer'!L:L,MATCH('Full Customer List'!$B191,'Revenue by Customer'!$A:$A,0))</f>
        <v/>
      </c>
      <c r="M191" s="187" t="str">
        <f>INDEX('Revenue by Customer'!M:M,MATCH('Full Customer List'!$B191,'Revenue by Customer'!$A:$A,0))</f>
        <v/>
      </c>
      <c r="N191" s="187" t="str">
        <f>INDEX('Revenue by Customer'!N:N,MATCH('Full Customer List'!$B191,'Revenue by Customer'!$A:$A,0))</f>
        <v/>
      </c>
      <c r="O191" s="187" t="str">
        <f>INDEX('Revenue by Customer'!O:O,MATCH('Full Customer List'!$B191,'Revenue by Customer'!$A:$A,0))</f>
        <v/>
      </c>
      <c r="P191" s="187" t="str">
        <f>INDEX('Revenue by Customer'!P:P,MATCH('Full Customer List'!$B191,'Revenue by Customer'!$A:$A,0))</f>
        <v/>
      </c>
      <c r="Q191" s="187" t="str">
        <f>INDEX('Revenue by Customer'!Q:Q,MATCH('Full Customer List'!$B191,'Revenue by Customer'!$A:$A,0))</f>
        <v/>
      </c>
      <c r="R191" s="187">
        <f>INDEX('Revenue by Customer'!R:R,MATCH('Full Customer List'!$B191,'Revenue by Customer'!$A:$A,0))</f>
        <v>350</v>
      </c>
      <c r="S191" s="187">
        <f>INDEX('Revenue by Customer'!S:S,MATCH('Full Customer List'!$B191,'Revenue by Customer'!$A:$A,0))</f>
        <v>690</v>
      </c>
      <c r="T191" s="187">
        <f>INDEX('Revenue by Customer'!T:T,MATCH('Full Customer List'!$B191,'Revenue by Customer'!$A:$A,0))</f>
        <v>350</v>
      </c>
      <c r="U191" s="187">
        <f>INDEX('Revenue by Customer'!U:U,MATCH('Full Customer List'!$B191,'Revenue by Customer'!$A:$A,0))</f>
        <v>400</v>
      </c>
      <c r="V191" s="187">
        <f>INDEX('Revenue by Customer'!V:V,MATCH('Full Customer List'!$B191,'Revenue by Customer'!$A:$A,0))</f>
        <v>400</v>
      </c>
      <c r="W191" s="187">
        <f>INDEX('Revenue by Customer'!W:W,MATCH('Full Customer List'!$B191,'Revenue by Customer'!$A:$A,0))</f>
        <v>550</v>
      </c>
      <c r="X191" s="187">
        <f>INDEX('Revenue by Customer'!X:X,MATCH('Full Customer List'!$B191,'Revenue by Customer'!$A:$A,0))</f>
        <v>400</v>
      </c>
      <c r="Y191" s="187">
        <f>INDEX('Revenue by Customer'!Y:Y,MATCH('Full Customer List'!$B191,'Revenue by Customer'!$A:$A,0))</f>
        <v>400</v>
      </c>
      <c r="Z191" s="187">
        <f>INDEX('Revenue by Customer'!Z:Z,MATCH('Full Customer List'!$B191,'Revenue by Customer'!$A:$A,0))</f>
        <v>400</v>
      </c>
      <c r="AA191" s="187">
        <f>INDEX('Revenue by Customer'!AA:AA,MATCH('Full Customer List'!$B191,'Revenue by Customer'!$A:$A,0))</f>
        <v>0</v>
      </c>
      <c r="AB191" s="187" t="str">
        <f>INDEX('Revenue by Customer'!AB:AB,MATCH('Full Customer List'!$B191,'Revenue by Customer'!$A:$A,0))</f>
        <v/>
      </c>
      <c r="AC191" s="187" t="str">
        <f>INDEX('Revenue by Customer'!AC:AC,MATCH('Full Customer List'!$B191,'Revenue by Customer'!$A:$A,0))</f>
        <v/>
      </c>
    </row>
    <row r="192" spans="2:29" ht="12" customHeight="1">
      <c r="B192" s="171" t="s">
        <v>828</v>
      </c>
      <c r="C192" s="171" t="str">
        <f>INDEX('Customer List w Software'!$B:$B,MATCH('Full Customer List'!$B192,'Customer List w Software'!$A:$A,0))</f>
        <v>Former client</v>
      </c>
      <c r="D192" s="171" t="str">
        <f>INDEX('Customer List w Software'!$C:$C,MATCH('Full Customer List'!$B192,'Customer List w Software'!$A:$A,0))</f>
        <v>Property manager</v>
      </c>
      <c r="E192" s="171" t="str">
        <f>INDEX('Customer List Mapping'!$C:$C,MATCH('Full Customer List'!D192,'Customer List Mapping'!$B:$B,0))</f>
        <v>Property Manager</v>
      </c>
      <c r="F192" s="187">
        <f>INDEX('Customer List w Software'!$K:$K,MATCH('Full Customer List'!$B192,'Customer List w Software'!$A:$A,0))</f>
        <v>4</v>
      </c>
      <c r="G192" s="187">
        <f>INDEX('Revenue by Customer'!$I:$I,MATCH('Full Customer List'!$B192,'Revenue by Customer'!$A:$A,0))</f>
        <v>523.33333333333337</v>
      </c>
      <c r="H192" s="250" t="str">
        <f>IFERROR(IF(C192="Active","",INDEX('Client Departures'!$G:$G,MATCH('Full Customer List'!$B192,'Client Departures'!$A:$A,0))),"Unclassified")</f>
        <v>Yes</v>
      </c>
      <c r="I192" s="191">
        <v>45748</v>
      </c>
      <c r="J192" s="191">
        <v>46112</v>
      </c>
      <c r="K192" s="187" t="str">
        <f>INDEX('Revenue by Customer'!K:K,MATCH('Full Customer List'!$B192,'Revenue by Customer'!$A:$A,0))</f>
        <v/>
      </c>
      <c r="L192" s="187" t="str">
        <f>INDEX('Revenue by Customer'!L:L,MATCH('Full Customer List'!$B192,'Revenue by Customer'!$A:$A,0))</f>
        <v/>
      </c>
      <c r="M192" s="187" t="str">
        <f>INDEX('Revenue by Customer'!M:M,MATCH('Full Customer List'!$B192,'Revenue by Customer'!$A:$A,0))</f>
        <v/>
      </c>
      <c r="N192" s="187">
        <f>INDEX('Revenue by Customer'!N:N,MATCH('Full Customer List'!$B192,'Revenue by Customer'!$A:$A,0))</f>
        <v>350</v>
      </c>
      <c r="O192" s="187" t="str">
        <f>INDEX('Revenue by Customer'!O:O,MATCH('Full Customer List'!$B192,'Revenue by Customer'!$A:$A,0))</f>
        <v/>
      </c>
      <c r="P192" s="187" t="str">
        <f>INDEX('Revenue by Customer'!P:P,MATCH('Full Customer List'!$B192,'Revenue by Customer'!$A:$A,0))</f>
        <v/>
      </c>
      <c r="Q192" s="187">
        <f>INDEX('Revenue by Customer'!Q:Q,MATCH('Full Customer List'!$B192,'Revenue by Customer'!$A:$A,0))</f>
        <v>360</v>
      </c>
      <c r="R192" s="187">
        <f>INDEX('Revenue by Customer'!R:R,MATCH('Full Customer List'!$B192,'Revenue by Customer'!$A:$A,0))</f>
        <v>420</v>
      </c>
      <c r="S192" s="187">
        <f>INDEX('Revenue by Customer'!S:S,MATCH('Full Customer List'!$B192,'Revenue by Customer'!$A:$A,0))</f>
        <v>420</v>
      </c>
      <c r="T192" s="187">
        <f>INDEX('Revenue by Customer'!T:T,MATCH('Full Customer List'!$B192,'Revenue by Customer'!$A:$A,0))</f>
        <v>420</v>
      </c>
      <c r="U192" s="187">
        <f>INDEX('Revenue by Customer'!U:U,MATCH('Full Customer List'!$B192,'Revenue by Customer'!$A:$A,0))</f>
        <v>380</v>
      </c>
      <c r="V192" s="187">
        <f>INDEX('Revenue by Customer'!V:V,MATCH('Full Customer List'!$B192,'Revenue by Customer'!$A:$A,0))</f>
        <v>590</v>
      </c>
      <c r="W192" s="187">
        <f>INDEX('Revenue by Customer'!W:W,MATCH('Full Customer List'!$B192,'Revenue by Customer'!$A:$A,0))</f>
        <v>610</v>
      </c>
      <c r="X192" s="187">
        <f>INDEX('Revenue by Customer'!X:X,MATCH('Full Customer List'!$B192,'Revenue by Customer'!$A:$A,0))</f>
        <v>560</v>
      </c>
      <c r="Y192" s="187">
        <f>INDEX('Revenue by Customer'!Y:Y,MATCH('Full Customer List'!$B192,'Revenue by Customer'!$A:$A,0))</f>
        <v>400</v>
      </c>
      <c r="Z192" s="187" t="str">
        <f>INDEX('Revenue by Customer'!Z:Z,MATCH('Full Customer List'!$B192,'Revenue by Customer'!$A:$A,0))</f>
        <v/>
      </c>
      <c r="AA192" s="187" t="str">
        <f>INDEX('Revenue by Customer'!AA:AA,MATCH('Full Customer List'!$B192,'Revenue by Customer'!$A:$A,0))</f>
        <v/>
      </c>
      <c r="AB192" s="187" t="str">
        <f>INDEX('Revenue by Customer'!AB:AB,MATCH('Full Customer List'!$B192,'Revenue by Customer'!$A:$A,0))</f>
        <v/>
      </c>
      <c r="AC192" s="187" t="str">
        <f>INDEX('Revenue by Customer'!AC:AC,MATCH('Full Customer List'!$B192,'Revenue by Customer'!$A:$A,0))</f>
        <v/>
      </c>
    </row>
    <row r="193" spans="2:29" ht="12" customHeight="1">
      <c r="B193" s="171" t="s">
        <v>829</v>
      </c>
      <c r="C193" s="171" t="str">
        <f>INDEX('Customer List w Software'!$B:$B,MATCH('Full Customer List'!$B193,'Customer List w Software'!$A:$A,0))</f>
        <v>Former client</v>
      </c>
      <c r="D193" s="171" t="str">
        <f>INDEX('Customer List w Software'!$C:$C,MATCH('Full Customer List'!$B193,'Customer List w Software'!$A:$A,0))</f>
        <v>Property manager</v>
      </c>
      <c r="E193" s="171" t="str">
        <f>INDEX('Customer List Mapping'!$C:$C,MATCH('Full Customer List'!D193,'Customer List Mapping'!$B:$B,0))</f>
        <v>Property Manager</v>
      </c>
      <c r="F193" s="187">
        <f>INDEX('Customer List w Software'!$K:$K,MATCH('Full Customer List'!$B193,'Customer List w Software'!$A:$A,0))</f>
        <v>2</v>
      </c>
      <c r="G193" s="187">
        <f>INDEX('Revenue by Customer'!$I:$I,MATCH('Full Customer List'!$B193,'Revenue by Customer'!$A:$A,0))</f>
        <v>584.66666666666663</v>
      </c>
      <c r="H193" s="250" t="str">
        <f>IFERROR(IF(C193="Active","",INDEX('Client Departures'!$G:$G,MATCH('Full Customer List'!$B193,'Client Departures'!$A:$A,0))),"Unclassified")</f>
        <v>Yes</v>
      </c>
      <c r="I193" s="191">
        <v>45323</v>
      </c>
      <c r="J193" s="191">
        <v>45869</v>
      </c>
      <c r="K193" s="187">
        <f>INDEX('Revenue by Customer'!K:K,MATCH('Full Customer List'!$B193,'Revenue by Customer'!$A:$A,0))</f>
        <v>570</v>
      </c>
      <c r="L193" s="187">
        <f>INDEX('Revenue by Customer'!L:L,MATCH('Full Customer List'!$B193,'Revenue by Customer'!$A:$A,0))</f>
        <v>420</v>
      </c>
      <c r="M193" s="187">
        <f>INDEX('Revenue by Customer'!M:M,MATCH('Full Customer List'!$B193,'Revenue by Customer'!$A:$A,0))</f>
        <v>420</v>
      </c>
      <c r="N193" s="187">
        <f>INDEX('Revenue by Customer'!N:N,MATCH('Full Customer List'!$B193,'Revenue by Customer'!$A:$A,0))</f>
        <v>420</v>
      </c>
      <c r="O193" s="187">
        <f>INDEX('Revenue by Customer'!O:O,MATCH('Full Customer List'!$B193,'Revenue by Customer'!$A:$A,0))</f>
        <v>420</v>
      </c>
      <c r="P193" s="187">
        <f>INDEX('Revenue by Customer'!P:P,MATCH('Full Customer List'!$B193,'Revenue by Customer'!$A:$A,0))</f>
        <v>420</v>
      </c>
      <c r="Q193" s="187">
        <f>INDEX('Revenue by Customer'!Q:Q,MATCH('Full Customer List'!$B193,'Revenue by Customer'!$A:$A,0))</f>
        <v>420</v>
      </c>
      <c r="R193" s="187" t="str">
        <f>INDEX('Revenue by Customer'!R:R,MATCH('Full Customer List'!$B193,'Revenue by Customer'!$A:$A,0))</f>
        <v/>
      </c>
      <c r="S193" s="187" t="str">
        <f>INDEX('Revenue by Customer'!S:S,MATCH('Full Customer List'!$B193,'Revenue by Customer'!$A:$A,0))</f>
        <v/>
      </c>
      <c r="T193" s="187" t="str">
        <f>INDEX('Revenue by Customer'!T:T,MATCH('Full Customer List'!$B193,'Revenue by Customer'!$A:$A,0))</f>
        <v/>
      </c>
      <c r="U193" s="187" t="str">
        <f>INDEX('Revenue by Customer'!U:U,MATCH('Full Customer List'!$B193,'Revenue by Customer'!$A:$A,0))</f>
        <v/>
      </c>
      <c r="V193" s="187" t="str">
        <f>INDEX('Revenue by Customer'!V:V,MATCH('Full Customer List'!$B193,'Revenue by Customer'!$A:$A,0))</f>
        <v/>
      </c>
      <c r="W193" s="187">
        <f>INDEX('Revenue by Customer'!W:W,MATCH('Full Customer List'!$B193,'Revenue by Customer'!$A:$A,0))</f>
        <v>726</v>
      </c>
      <c r="X193" s="187">
        <f>INDEX('Revenue by Customer'!X:X,MATCH('Full Customer List'!$B193,'Revenue by Customer'!$A:$A,0))</f>
        <v>438</v>
      </c>
      <c r="Y193" s="187">
        <f>INDEX('Revenue by Customer'!Y:Y,MATCH('Full Customer List'!$B193,'Revenue by Customer'!$A:$A,0))</f>
        <v>438</v>
      </c>
      <c r="Z193" s="187">
        <f>INDEX('Revenue by Customer'!Z:Z,MATCH('Full Customer List'!$B193,'Revenue by Customer'!$A:$A,0))</f>
        <v>418</v>
      </c>
      <c r="AA193" s="187">
        <f>INDEX('Revenue by Customer'!AA:AA,MATCH('Full Customer List'!$B193,'Revenue by Customer'!$A:$A,0))</f>
        <v>918</v>
      </c>
      <c r="AB193" s="187">
        <f>INDEX('Revenue by Customer'!AB:AB,MATCH('Full Customer List'!$B193,'Revenue by Customer'!$A:$A,0))</f>
        <v>418</v>
      </c>
      <c r="AC193" s="187">
        <f>INDEX('Revenue by Customer'!AC:AC,MATCH('Full Customer List'!$B193,'Revenue by Customer'!$A:$A,0))</f>
        <v>418</v>
      </c>
    </row>
    <row r="194" spans="2:29" ht="12" customHeight="1">
      <c r="B194" s="171" t="s">
        <v>830</v>
      </c>
      <c r="C194" s="171" t="str">
        <f>INDEX('Customer List w Software'!$B:$B,MATCH('Full Customer List'!$B194,'Customer List w Software'!$A:$A,0))</f>
        <v>Active</v>
      </c>
      <c r="D194" s="171" t="str">
        <f>INDEX('Customer List w Software'!$C:$C,MATCH('Full Customer List'!$B194,'Customer List w Software'!$A:$A,0))</f>
        <v>Property manager</v>
      </c>
      <c r="E194" s="171" t="str">
        <f>INDEX('Customer List Mapping'!$C:$C,MATCH('Full Customer List'!D194,'Customer List Mapping'!$B:$B,0))</f>
        <v>Property Manager</v>
      </c>
      <c r="F194" s="187">
        <f>INDEX('Customer List w Software'!$K:$K,MATCH('Full Customer List'!$B194,'Customer List w Software'!$A:$A,0))</f>
        <v>22</v>
      </c>
      <c r="G194" s="187">
        <f>INDEX('Revenue by Customer'!$I:$I,MATCH('Full Customer List'!$B194,'Revenue by Customer'!$A:$A,0))</f>
        <v>1256.3333333333333</v>
      </c>
      <c r="H194" s="250" t="str">
        <f>IFERROR(IF(C194="Active","",INDEX('Client Departures'!$G:$G,MATCH('Full Customer List'!$B194,'Client Departures'!$A:$A,0))),"Unclassified")</f>
        <v/>
      </c>
      <c r="I194" s="191">
        <v>46143</v>
      </c>
      <c r="J194" s="191"/>
      <c r="K194" s="187" t="str">
        <f>INDEX('Revenue by Customer'!K:K,MATCH('Full Customer List'!$B194,'Revenue by Customer'!$A:$A,0))</f>
        <v/>
      </c>
      <c r="L194" s="187" t="str">
        <f>INDEX('Revenue by Customer'!L:L,MATCH('Full Customer List'!$B194,'Revenue by Customer'!$A:$A,0))</f>
        <v/>
      </c>
      <c r="M194" s="187" t="str">
        <f>INDEX('Revenue by Customer'!M:M,MATCH('Full Customer List'!$B194,'Revenue by Customer'!$A:$A,0))</f>
        <v/>
      </c>
      <c r="N194" s="187" t="str">
        <f>INDEX('Revenue by Customer'!N:N,MATCH('Full Customer List'!$B194,'Revenue by Customer'!$A:$A,0))</f>
        <v/>
      </c>
      <c r="O194" s="187" t="str">
        <f>INDEX('Revenue by Customer'!O:O,MATCH('Full Customer List'!$B194,'Revenue by Customer'!$A:$A,0))</f>
        <v/>
      </c>
      <c r="P194" s="187" t="str">
        <f>INDEX('Revenue by Customer'!P:P,MATCH('Full Customer List'!$B194,'Revenue by Customer'!$A:$A,0))</f>
        <v/>
      </c>
      <c r="Q194" s="187" t="str">
        <f>INDEX('Revenue by Customer'!Q:Q,MATCH('Full Customer List'!$B194,'Revenue by Customer'!$A:$A,0))</f>
        <v/>
      </c>
      <c r="R194" s="187" t="str">
        <f>INDEX('Revenue by Customer'!R:R,MATCH('Full Customer List'!$B194,'Revenue by Customer'!$A:$A,0))</f>
        <v/>
      </c>
      <c r="S194" s="187" t="str">
        <f>INDEX('Revenue by Customer'!S:S,MATCH('Full Customer List'!$B194,'Revenue by Customer'!$A:$A,0))</f>
        <v/>
      </c>
      <c r="T194" s="187" t="str">
        <f>INDEX('Revenue by Customer'!T:T,MATCH('Full Customer List'!$B194,'Revenue by Customer'!$A:$A,0))</f>
        <v/>
      </c>
      <c r="U194" s="187" t="str">
        <f>INDEX('Revenue by Customer'!U:U,MATCH('Full Customer List'!$B194,'Revenue by Customer'!$A:$A,0))</f>
        <v/>
      </c>
      <c r="V194" s="187" t="str">
        <f>INDEX('Revenue by Customer'!V:V,MATCH('Full Customer List'!$B194,'Revenue by Customer'!$A:$A,0))</f>
        <v/>
      </c>
      <c r="W194" s="187" t="str">
        <f>INDEX('Revenue by Customer'!W:W,MATCH('Full Customer List'!$B194,'Revenue by Customer'!$A:$A,0))</f>
        <v/>
      </c>
      <c r="X194" s="187" t="str">
        <f>INDEX('Revenue by Customer'!X:X,MATCH('Full Customer List'!$B194,'Revenue by Customer'!$A:$A,0))</f>
        <v/>
      </c>
      <c r="Y194" s="187" t="str">
        <f>INDEX('Revenue by Customer'!Y:Y,MATCH('Full Customer List'!$B194,'Revenue by Customer'!$A:$A,0))</f>
        <v/>
      </c>
      <c r="Z194" s="187" t="str">
        <f>INDEX('Revenue by Customer'!Z:Z,MATCH('Full Customer List'!$B194,'Revenue by Customer'!$A:$A,0))</f>
        <v/>
      </c>
      <c r="AA194" s="187">
        <f>INDEX('Revenue by Customer'!AA:AA,MATCH('Full Customer List'!$B194,'Revenue by Customer'!$A:$A,0))</f>
        <v>2087</v>
      </c>
      <c r="AB194" s="187">
        <f>INDEX('Revenue by Customer'!AB:AB,MATCH('Full Customer List'!$B194,'Revenue by Customer'!$A:$A,0))</f>
        <v>797</v>
      </c>
      <c r="AC194" s="187">
        <f>INDEX('Revenue by Customer'!AC:AC,MATCH('Full Customer List'!$B194,'Revenue by Customer'!$A:$A,0))</f>
        <v>885</v>
      </c>
    </row>
    <row r="195" spans="2:29" ht="12" customHeight="1">
      <c r="B195" s="171" t="s">
        <v>831</v>
      </c>
      <c r="C195" s="171" t="str">
        <f>INDEX('Customer List w Software'!$B:$B,MATCH('Full Customer List'!$B195,'Customer List w Software'!$A:$A,0))</f>
        <v>Active</v>
      </c>
      <c r="D195" s="171" t="str">
        <f>INDEX('Customer List w Software'!$C:$C,MATCH('Full Customer List'!$B195,'Customer List w Software'!$A:$A,0))</f>
        <v>Property manager</v>
      </c>
      <c r="E195" s="171" t="str">
        <f>INDEX('Customer List Mapping'!$C:$C,MATCH('Full Customer List'!D195,'Customer List Mapping'!$B:$B,0))</f>
        <v>Property Manager</v>
      </c>
      <c r="F195" s="187">
        <f>INDEX('Customer List w Software'!$K:$K,MATCH('Full Customer List'!$B195,'Customer List w Software'!$A:$A,0))</f>
        <v>6</v>
      </c>
      <c r="G195" s="187">
        <f>INDEX('Revenue by Customer'!$I:$I,MATCH('Full Customer List'!$B195,'Revenue by Customer'!$A:$A,0))</f>
        <v>425</v>
      </c>
      <c r="H195" s="250" t="str">
        <f>IFERROR(IF(C195="Active","",INDEX('Client Departures'!$G:$G,MATCH('Full Customer List'!$B195,'Client Departures'!$A:$A,0))),"Unclassified")</f>
        <v/>
      </c>
      <c r="I195" s="191">
        <v>45992</v>
      </c>
      <c r="J195" s="191"/>
      <c r="K195" s="187" t="str">
        <f>INDEX('Revenue by Customer'!K:K,MATCH('Full Customer List'!$B195,'Revenue by Customer'!$A:$A,0))</f>
        <v/>
      </c>
      <c r="L195" s="187" t="str">
        <f>INDEX('Revenue by Customer'!L:L,MATCH('Full Customer List'!$B195,'Revenue by Customer'!$A:$A,0))</f>
        <v/>
      </c>
      <c r="M195" s="187" t="str">
        <f>INDEX('Revenue by Customer'!M:M,MATCH('Full Customer List'!$B195,'Revenue by Customer'!$A:$A,0))</f>
        <v/>
      </c>
      <c r="N195" s="187" t="str">
        <f>INDEX('Revenue by Customer'!N:N,MATCH('Full Customer List'!$B195,'Revenue by Customer'!$A:$A,0))</f>
        <v/>
      </c>
      <c r="O195" s="187" t="str">
        <f>INDEX('Revenue by Customer'!O:O,MATCH('Full Customer List'!$B195,'Revenue by Customer'!$A:$A,0))</f>
        <v/>
      </c>
      <c r="P195" s="187" t="str">
        <f>INDEX('Revenue by Customer'!P:P,MATCH('Full Customer List'!$B195,'Revenue by Customer'!$A:$A,0))</f>
        <v/>
      </c>
      <c r="Q195" s="187" t="str">
        <f>INDEX('Revenue by Customer'!Q:Q,MATCH('Full Customer List'!$B195,'Revenue by Customer'!$A:$A,0))</f>
        <v/>
      </c>
      <c r="R195" s="187" t="str">
        <f>INDEX('Revenue by Customer'!R:R,MATCH('Full Customer List'!$B195,'Revenue by Customer'!$A:$A,0))</f>
        <v/>
      </c>
      <c r="S195" s="187" t="str">
        <f>INDEX('Revenue by Customer'!S:S,MATCH('Full Customer List'!$B195,'Revenue by Customer'!$A:$A,0))</f>
        <v/>
      </c>
      <c r="T195" s="187" t="str">
        <f>INDEX('Revenue by Customer'!T:T,MATCH('Full Customer List'!$B195,'Revenue by Customer'!$A:$A,0))</f>
        <v/>
      </c>
      <c r="U195" s="187" t="str">
        <f>INDEX('Revenue by Customer'!U:U,MATCH('Full Customer List'!$B195,'Revenue by Customer'!$A:$A,0))</f>
        <v/>
      </c>
      <c r="V195" s="187">
        <f>INDEX('Revenue by Customer'!V:V,MATCH('Full Customer List'!$B195,'Revenue by Customer'!$A:$A,0))</f>
        <v>700</v>
      </c>
      <c r="W195" s="187">
        <f>INDEX('Revenue by Customer'!W:W,MATCH('Full Customer List'!$B195,'Revenue by Customer'!$A:$A,0))</f>
        <v>570</v>
      </c>
      <c r="X195" s="187">
        <f>INDEX('Revenue by Customer'!X:X,MATCH('Full Customer List'!$B195,'Revenue by Customer'!$A:$A,0))</f>
        <v>415</v>
      </c>
      <c r="Y195" s="187">
        <f>INDEX('Revenue by Customer'!Y:Y,MATCH('Full Customer List'!$B195,'Revenue by Customer'!$A:$A,0))</f>
        <v>400</v>
      </c>
      <c r="Z195" s="187">
        <f>INDEX('Revenue by Customer'!Z:Z,MATCH('Full Customer List'!$B195,'Revenue by Customer'!$A:$A,0))</f>
        <v>400</v>
      </c>
      <c r="AA195" s="187">
        <f>INDEX('Revenue by Customer'!AA:AA,MATCH('Full Customer List'!$B195,'Revenue by Customer'!$A:$A,0))</f>
        <v>400</v>
      </c>
      <c r="AB195" s="187">
        <f>INDEX('Revenue by Customer'!AB:AB,MATCH('Full Customer List'!$B195,'Revenue by Customer'!$A:$A,0))</f>
        <v>400</v>
      </c>
      <c r="AC195" s="187">
        <f>INDEX('Revenue by Customer'!AC:AC,MATCH('Full Customer List'!$B195,'Revenue by Customer'!$A:$A,0))</f>
        <v>475</v>
      </c>
    </row>
    <row r="196" spans="2:29" ht="12" customHeight="1">
      <c r="B196" s="171" t="s">
        <v>832</v>
      </c>
      <c r="C196" s="171" t="str">
        <f>INDEX('Customer List w Software'!$B:$B,MATCH('Full Customer List'!$B196,'Customer List w Software'!$A:$A,0))</f>
        <v>Former client</v>
      </c>
      <c r="D196" s="171" t="str">
        <f>INDEX('Customer List w Software'!$C:$C,MATCH('Full Customer List'!$B196,'Customer List w Software'!$A:$A,0))</f>
        <v>Property manager</v>
      </c>
      <c r="E196" s="171" t="str">
        <f>INDEX('Customer List Mapping'!$C:$C,MATCH('Full Customer List'!D196,'Customer List Mapping'!$B:$B,0))</f>
        <v>Property Manager</v>
      </c>
      <c r="F196" s="187">
        <f>INDEX('Customer List w Software'!$K:$K,MATCH('Full Customer List'!$B196,'Customer List w Software'!$A:$A,0))</f>
        <v>14</v>
      </c>
      <c r="G196" s="187">
        <f>INDEX('Revenue by Customer'!$I:$I,MATCH('Full Customer List'!$B196,'Revenue by Customer'!$A:$A,0))</f>
        <v>632.33333333333337</v>
      </c>
      <c r="H196" s="250" t="str">
        <f>IFERROR(IF(C196="Active","",INDEX('Client Departures'!$G:$G,MATCH('Full Customer List'!$B196,'Client Departures'!$A:$A,0))),"Unclassified")</f>
        <v>Yes</v>
      </c>
      <c r="I196" s="191">
        <v>46054</v>
      </c>
      <c r="J196" s="191">
        <v>46203</v>
      </c>
      <c r="K196" s="187" t="str">
        <f>INDEX('Revenue by Customer'!K:K,MATCH('Full Customer List'!$B196,'Revenue by Customer'!$A:$A,0))</f>
        <v/>
      </c>
      <c r="L196" s="187" t="str">
        <f>INDEX('Revenue by Customer'!L:L,MATCH('Full Customer List'!$B196,'Revenue by Customer'!$A:$A,0))</f>
        <v/>
      </c>
      <c r="M196" s="187" t="str">
        <f>INDEX('Revenue by Customer'!M:M,MATCH('Full Customer List'!$B196,'Revenue by Customer'!$A:$A,0))</f>
        <v/>
      </c>
      <c r="N196" s="187" t="str">
        <f>INDEX('Revenue by Customer'!N:N,MATCH('Full Customer List'!$B196,'Revenue by Customer'!$A:$A,0))</f>
        <v/>
      </c>
      <c r="O196" s="187" t="str">
        <f>INDEX('Revenue by Customer'!O:O,MATCH('Full Customer List'!$B196,'Revenue by Customer'!$A:$A,0))</f>
        <v/>
      </c>
      <c r="P196" s="187" t="str">
        <f>INDEX('Revenue by Customer'!P:P,MATCH('Full Customer List'!$B196,'Revenue by Customer'!$A:$A,0))</f>
        <v/>
      </c>
      <c r="Q196" s="187" t="str">
        <f>INDEX('Revenue by Customer'!Q:Q,MATCH('Full Customer List'!$B196,'Revenue by Customer'!$A:$A,0))</f>
        <v/>
      </c>
      <c r="R196" s="187" t="str">
        <f>INDEX('Revenue by Customer'!R:R,MATCH('Full Customer List'!$B196,'Revenue by Customer'!$A:$A,0))</f>
        <v/>
      </c>
      <c r="S196" s="187" t="str">
        <f>INDEX('Revenue by Customer'!S:S,MATCH('Full Customer List'!$B196,'Revenue by Customer'!$A:$A,0))</f>
        <v/>
      </c>
      <c r="T196" s="187" t="str">
        <f>INDEX('Revenue by Customer'!T:T,MATCH('Full Customer List'!$B196,'Revenue by Customer'!$A:$A,0))</f>
        <v/>
      </c>
      <c r="U196" s="187" t="str">
        <f>INDEX('Revenue by Customer'!U:U,MATCH('Full Customer List'!$B196,'Revenue by Customer'!$A:$A,0))</f>
        <v/>
      </c>
      <c r="V196" s="187" t="str">
        <f>INDEX('Revenue by Customer'!V:V,MATCH('Full Customer List'!$B196,'Revenue by Customer'!$A:$A,0))</f>
        <v/>
      </c>
      <c r="W196" s="187" t="str">
        <f>INDEX('Revenue by Customer'!W:W,MATCH('Full Customer List'!$B196,'Revenue by Customer'!$A:$A,0))</f>
        <v/>
      </c>
      <c r="X196" s="187">
        <f>INDEX('Revenue by Customer'!X:X,MATCH('Full Customer List'!$B196,'Revenue by Customer'!$A:$A,0))</f>
        <v>1053</v>
      </c>
      <c r="Y196" s="187">
        <f>INDEX('Revenue by Customer'!Y:Y,MATCH('Full Customer List'!$B196,'Revenue by Customer'!$A:$A,0))</f>
        <v>798</v>
      </c>
      <c r="Z196" s="187">
        <f>INDEX('Revenue by Customer'!Z:Z,MATCH('Full Customer List'!$B196,'Revenue by Customer'!$A:$A,0))</f>
        <v>623</v>
      </c>
      <c r="AA196" s="187">
        <f>INDEX('Revenue by Customer'!AA:AA,MATCH('Full Customer List'!$B196,'Revenue by Customer'!$A:$A,0))</f>
        <v>668</v>
      </c>
      <c r="AB196" s="187">
        <f>INDEX('Revenue by Customer'!AB:AB,MATCH('Full Customer List'!$B196,'Revenue by Customer'!$A:$A,0))</f>
        <v>606</v>
      </c>
      <c r="AC196" s="187" t="str">
        <f>INDEX('Revenue by Customer'!AC:AC,MATCH('Full Customer List'!$B196,'Revenue by Customer'!$A:$A,0))</f>
        <v/>
      </c>
    </row>
    <row r="197" spans="2:29" ht="12" customHeight="1">
      <c r="B197" s="171" t="s">
        <v>834</v>
      </c>
      <c r="C197" s="171" t="str">
        <f>INDEX('Customer List w Software'!$B:$B,MATCH('Full Customer List'!$B197,'Customer List w Software'!$A:$A,0))</f>
        <v>Active</v>
      </c>
      <c r="D197" s="171" t="str">
        <f>INDEX('Customer List w Software'!$C:$C,MATCH('Full Customer List'!$B197,'Customer List w Software'!$A:$A,0))</f>
        <v>Property manager</v>
      </c>
      <c r="E197" s="171" t="str">
        <f>INDEX('Customer List Mapping'!$C:$C,MATCH('Full Customer List'!D197,'Customer List Mapping'!$B:$B,0))</f>
        <v>Property Manager</v>
      </c>
      <c r="F197" s="187">
        <f>INDEX('Customer List w Software'!$K:$K,MATCH('Full Customer List'!$B197,'Customer List w Software'!$A:$A,0))</f>
        <v>25</v>
      </c>
      <c r="G197" s="187">
        <f>INDEX('Revenue by Customer'!$I:$I,MATCH('Full Customer List'!$B197,'Revenue by Customer'!$A:$A,0))</f>
        <v>760</v>
      </c>
      <c r="H197" s="250" t="str">
        <f>IFERROR(IF(C197="Active","",INDEX('Client Departures'!$G:$G,MATCH('Full Customer List'!$B197,'Client Departures'!$A:$A,0))),"Unclassified")</f>
        <v/>
      </c>
      <c r="I197" s="191">
        <v>46113</v>
      </c>
      <c r="J197" s="191"/>
      <c r="K197" s="187" t="str">
        <f>INDEX('Revenue by Customer'!K:K,MATCH('Full Customer List'!$B197,'Revenue by Customer'!$A:$A,0))</f>
        <v/>
      </c>
      <c r="L197" s="187" t="str">
        <f>INDEX('Revenue by Customer'!L:L,MATCH('Full Customer List'!$B197,'Revenue by Customer'!$A:$A,0))</f>
        <v/>
      </c>
      <c r="M197" s="187" t="str">
        <f>INDEX('Revenue by Customer'!M:M,MATCH('Full Customer List'!$B197,'Revenue by Customer'!$A:$A,0))</f>
        <v/>
      </c>
      <c r="N197" s="187" t="str">
        <f>INDEX('Revenue by Customer'!N:N,MATCH('Full Customer List'!$B197,'Revenue by Customer'!$A:$A,0))</f>
        <v/>
      </c>
      <c r="O197" s="187" t="str">
        <f>INDEX('Revenue by Customer'!O:O,MATCH('Full Customer List'!$B197,'Revenue by Customer'!$A:$A,0))</f>
        <v/>
      </c>
      <c r="P197" s="187" t="str">
        <f>INDEX('Revenue by Customer'!P:P,MATCH('Full Customer List'!$B197,'Revenue by Customer'!$A:$A,0))</f>
        <v/>
      </c>
      <c r="Q197" s="187" t="str">
        <f>INDEX('Revenue by Customer'!Q:Q,MATCH('Full Customer List'!$B197,'Revenue by Customer'!$A:$A,0))</f>
        <v/>
      </c>
      <c r="R197" s="187" t="str">
        <f>INDEX('Revenue by Customer'!R:R,MATCH('Full Customer List'!$B197,'Revenue by Customer'!$A:$A,0))</f>
        <v/>
      </c>
      <c r="S197" s="187" t="str">
        <f>INDEX('Revenue by Customer'!S:S,MATCH('Full Customer List'!$B197,'Revenue by Customer'!$A:$A,0))</f>
        <v/>
      </c>
      <c r="T197" s="187" t="str">
        <f>INDEX('Revenue by Customer'!T:T,MATCH('Full Customer List'!$B197,'Revenue by Customer'!$A:$A,0))</f>
        <v/>
      </c>
      <c r="U197" s="187" t="str">
        <f>INDEX('Revenue by Customer'!U:U,MATCH('Full Customer List'!$B197,'Revenue by Customer'!$A:$A,0))</f>
        <v/>
      </c>
      <c r="V197" s="187" t="str">
        <f>INDEX('Revenue by Customer'!V:V,MATCH('Full Customer List'!$B197,'Revenue by Customer'!$A:$A,0))</f>
        <v/>
      </c>
      <c r="W197" s="187" t="str">
        <f>INDEX('Revenue by Customer'!W:W,MATCH('Full Customer List'!$B197,'Revenue by Customer'!$A:$A,0))</f>
        <v/>
      </c>
      <c r="X197" s="187" t="str">
        <f>INDEX('Revenue by Customer'!X:X,MATCH('Full Customer List'!$B197,'Revenue by Customer'!$A:$A,0))</f>
        <v/>
      </c>
      <c r="Y197" s="187" t="str">
        <f>INDEX('Revenue by Customer'!Y:Y,MATCH('Full Customer List'!$B197,'Revenue by Customer'!$A:$A,0))</f>
        <v/>
      </c>
      <c r="Z197" s="187">
        <f>INDEX('Revenue by Customer'!Z:Z,MATCH('Full Customer List'!$B197,'Revenue by Customer'!$A:$A,0))</f>
        <v>1380</v>
      </c>
      <c r="AA197" s="187">
        <f>INDEX('Revenue by Customer'!AA:AA,MATCH('Full Customer List'!$B197,'Revenue by Customer'!$A:$A,0))</f>
        <v>780</v>
      </c>
      <c r="AB197" s="187">
        <f>INDEX('Revenue by Customer'!AB:AB,MATCH('Full Customer List'!$B197,'Revenue by Customer'!$A:$A,0))</f>
        <v>750</v>
      </c>
      <c r="AC197" s="187">
        <f>INDEX('Revenue by Customer'!AC:AC,MATCH('Full Customer List'!$B197,'Revenue by Customer'!$A:$A,0))</f>
        <v>750</v>
      </c>
    </row>
    <row r="198" spans="2:29" ht="12" customHeight="1">
      <c r="B198" s="171" t="s">
        <v>835</v>
      </c>
      <c r="C198" s="171" t="str">
        <f>INDEX('Customer List w Software'!$B:$B,MATCH('Full Customer List'!$B198,'Customer List w Software'!$A:$A,0))</f>
        <v>Active</v>
      </c>
      <c r="D198" s="171" t="str">
        <f>INDEX('Customer List w Software'!$C:$C,MATCH('Full Customer List'!$B198,'Customer List w Software'!$A:$A,0))</f>
        <v>STR owner</v>
      </c>
      <c r="E198" s="171" t="str">
        <f>INDEX('Customer List Mapping'!$C:$C,MATCH('Full Customer List'!D198,'Customer List Mapping'!$B:$B,0))</f>
        <v>STR Owner</v>
      </c>
      <c r="F198" s="187" t="str">
        <f>INDEX('Customer List w Software'!$K:$K,MATCH('Full Customer List'!$B198,'Customer List w Software'!$A:$A,0))</f>
        <v/>
      </c>
      <c r="G198" s="187">
        <f>INDEX('Revenue by Customer'!$I:$I,MATCH('Full Customer List'!$B198,'Revenue by Customer'!$A:$A,0))</f>
        <v>306.66666666666669</v>
      </c>
      <c r="H198" s="250" t="str">
        <f>IFERROR(IF(C198="Active","",INDEX('Client Departures'!$G:$G,MATCH('Full Customer List'!$B198,'Client Departures'!$A:$A,0))),"Unclassified")</f>
        <v/>
      </c>
      <c r="I198" s="191">
        <v>45383</v>
      </c>
      <c r="J198" s="191"/>
      <c r="K198" s="187">
        <f>INDEX('Revenue by Customer'!K:K,MATCH('Full Customer List'!$B198,'Revenue by Customer'!$A:$A,0))</f>
        <v>320</v>
      </c>
      <c r="L198" s="187">
        <f>INDEX('Revenue by Customer'!L:L,MATCH('Full Customer List'!$B198,'Revenue by Customer'!$A:$A,0))</f>
        <v>320</v>
      </c>
      <c r="M198" s="187">
        <f>INDEX('Revenue by Customer'!M:M,MATCH('Full Customer List'!$B198,'Revenue by Customer'!$A:$A,0))</f>
        <v>320</v>
      </c>
      <c r="N198" s="187">
        <f>INDEX('Revenue by Customer'!N:N,MATCH('Full Customer List'!$B198,'Revenue by Customer'!$A:$A,0))</f>
        <v>320</v>
      </c>
      <c r="O198" s="187">
        <f>INDEX('Revenue by Customer'!O:O,MATCH('Full Customer List'!$B198,'Revenue by Customer'!$A:$A,0))</f>
        <v>320</v>
      </c>
      <c r="P198" s="187">
        <f>INDEX('Revenue by Customer'!P:P,MATCH('Full Customer List'!$B198,'Revenue by Customer'!$A:$A,0))</f>
        <v>300</v>
      </c>
      <c r="Q198" s="187">
        <f>INDEX('Revenue by Customer'!Q:Q,MATCH('Full Customer List'!$B198,'Revenue by Customer'!$A:$A,0))</f>
        <v>300</v>
      </c>
      <c r="R198" s="187">
        <f>INDEX('Revenue by Customer'!R:R,MATCH('Full Customer List'!$B198,'Revenue by Customer'!$A:$A,0))</f>
        <v>300</v>
      </c>
      <c r="S198" s="187">
        <f>INDEX('Revenue by Customer'!S:S,MATCH('Full Customer List'!$B198,'Revenue by Customer'!$A:$A,0))</f>
        <v>300</v>
      </c>
      <c r="T198" s="187">
        <f>INDEX('Revenue by Customer'!T:T,MATCH('Full Customer List'!$B198,'Revenue by Customer'!$A:$A,0))</f>
        <v>300</v>
      </c>
      <c r="U198" s="187">
        <f>INDEX('Revenue by Customer'!U:U,MATCH('Full Customer List'!$B198,'Revenue by Customer'!$A:$A,0))</f>
        <v>300</v>
      </c>
      <c r="V198" s="187">
        <f>INDEX('Revenue by Customer'!V:V,MATCH('Full Customer List'!$B198,'Revenue by Customer'!$A:$A,0))</f>
        <v>300</v>
      </c>
      <c r="W198" s="187">
        <f>INDEX('Revenue by Customer'!W:W,MATCH('Full Customer List'!$B198,'Revenue by Customer'!$A:$A,0))</f>
        <v>300</v>
      </c>
      <c r="X198" s="187">
        <f>INDEX('Revenue by Customer'!X:X,MATCH('Full Customer List'!$B198,'Revenue by Customer'!$A:$A,0))</f>
        <v>300</v>
      </c>
      <c r="Y198" s="187">
        <f>INDEX('Revenue by Customer'!Y:Y,MATCH('Full Customer List'!$B198,'Revenue by Customer'!$A:$A,0))</f>
        <v>300</v>
      </c>
      <c r="Z198" s="187">
        <f>INDEX('Revenue by Customer'!Z:Z,MATCH('Full Customer List'!$B198,'Revenue by Customer'!$A:$A,0))</f>
        <v>300</v>
      </c>
      <c r="AA198" s="187">
        <f>INDEX('Revenue by Customer'!AA:AA,MATCH('Full Customer List'!$B198,'Revenue by Customer'!$A:$A,0))</f>
        <v>300</v>
      </c>
      <c r="AB198" s="187">
        <f>INDEX('Revenue by Customer'!AB:AB,MATCH('Full Customer List'!$B198,'Revenue by Customer'!$A:$A,0))</f>
        <v>310</v>
      </c>
      <c r="AC198" s="187">
        <f>INDEX('Revenue by Customer'!AC:AC,MATCH('Full Customer List'!$B198,'Revenue by Customer'!$A:$A,0))</f>
        <v>310</v>
      </c>
    </row>
    <row r="199" spans="2:29" ht="12" customHeight="1">
      <c r="B199" s="171" t="s">
        <v>836</v>
      </c>
      <c r="C199" s="171" t="str">
        <f>INDEX('Customer List w Software'!$B:$B,MATCH('Full Customer List'!$B199,'Customer List w Software'!$A:$A,0))</f>
        <v>Active</v>
      </c>
      <c r="D199" s="171" t="str">
        <f>INDEX('Customer List w Software'!$C:$C,MATCH('Full Customer List'!$B199,'Customer List w Software'!$A:$A,0))</f>
        <v>Property manager</v>
      </c>
      <c r="E199" s="171" t="str">
        <f>INDEX('Customer List Mapping'!$C:$C,MATCH('Full Customer List'!D199,'Customer List Mapping'!$B:$B,0))</f>
        <v>Property Manager</v>
      </c>
      <c r="F199" s="187">
        <f>INDEX('Customer List w Software'!$K:$K,MATCH('Full Customer List'!$B199,'Customer List w Software'!$A:$A,0))</f>
        <v>2</v>
      </c>
      <c r="G199" s="187">
        <f>INDEX('Revenue by Customer'!$I:$I,MATCH('Full Customer List'!$B199,'Revenue by Customer'!$A:$A,0))</f>
        <v>407.12333333333328</v>
      </c>
      <c r="H199" s="250" t="str">
        <f>IFERROR(IF(C199="Active","",INDEX('Client Departures'!$G:$G,MATCH('Full Customer List'!$B199,'Client Departures'!$A:$A,0))),"Unclassified")</f>
        <v/>
      </c>
      <c r="I199" s="191">
        <v>45901</v>
      </c>
      <c r="J199" s="191"/>
      <c r="K199" s="187" t="str">
        <f>INDEX('Revenue by Customer'!K:K,MATCH('Full Customer List'!$B199,'Revenue by Customer'!$A:$A,0))</f>
        <v/>
      </c>
      <c r="L199" s="187" t="str">
        <f>INDEX('Revenue by Customer'!L:L,MATCH('Full Customer List'!$B199,'Revenue by Customer'!$A:$A,0))</f>
        <v/>
      </c>
      <c r="M199" s="187" t="str">
        <f>INDEX('Revenue by Customer'!M:M,MATCH('Full Customer List'!$B199,'Revenue by Customer'!$A:$A,0))</f>
        <v/>
      </c>
      <c r="N199" s="187" t="str">
        <f>INDEX('Revenue by Customer'!N:N,MATCH('Full Customer List'!$B199,'Revenue by Customer'!$A:$A,0))</f>
        <v/>
      </c>
      <c r="O199" s="187" t="str">
        <f>INDEX('Revenue by Customer'!O:O,MATCH('Full Customer List'!$B199,'Revenue by Customer'!$A:$A,0))</f>
        <v/>
      </c>
      <c r="P199" s="187" t="str">
        <f>INDEX('Revenue by Customer'!P:P,MATCH('Full Customer List'!$B199,'Revenue by Customer'!$A:$A,0))</f>
        <v/>
      </c>
      <c r="Q199" s="187" t="str">
        <f>INDEX('Revenue by Customer'!Q:Q,MATCH('Full Customer List'!$B199,'Revenue by Customer'!$A:$A,0))</f>
        <v/>
      </c>
      <c r="R199" s="187" t="str">
        <f>INDEX('Revenue by Customer'!R:R,MATCH('Full Customer List'!$B199,'Revenue by Customer'!$A:$A,0))</f>
        <v/>
      </c>
      <c r="S199" s="187" t="str">
        <f>INDEX('Revenue by Customer'!S:S,MATCH('Full Customer List'!$B199,'Revenue by Customer'!$A:$A,0))</f>
        <v/>
      </c>
      <c r="T199" s="187">
        <f>INDEX('Revenue by Customer'!T:T,MATCH('Full Customer List'!$B199,'Revenue by Customer'!$A:$A,0))</f>
        <v>440</v>
      </c>
      <c r="U199" s="187">
        <f>INDEX('Revenue by Customer'!U:U,MATCH('Full Customer List'!$B199,'Revenue by Customer'!$A:$A,0))</f>
        <v>290</v>
      </c>
      <c r="V199" s="187">
        <f>INDEX('Revenue by Customer'!V:V,MATCH('Full Customer List'!$B199,'Revenue by Customer'!$A:$A,0))</f>
        <v>290</v>
      </c>
      <c r="W199" s="187">
        <f>INDEX('Revenue by Customer'!W:W,MATCH('Full Customer List'!$B199,'Revenue by Customer'!$A:$A,0))</f>
        <v>290</v>
      </c>
      <c r="X199" s="187">
        <f>INDEX('Revenue by Customer'!X:X,MATCH('Full Customer List'!$B199,'Revenue by Customer'!$A:$A,0))</f>
        <v>305</v>
      </c>
      <c r="Y199" s="187">
        <f>INDEX('Revenue by Customer'!Y:Y,MATCH('Full Customer List'!$B199,'Revenue by Customer'!$A:$A,0))</f>
        <v>290</v>
      </c>
      <c r="Z199" s="187">
        <f>INDEX('Revenue by Customer'!Z:Z,MATCH('Full Customer List'!$B199,'Revenue by Customer'!$A:$A,0))</f>
        <v>440</v>
      </c>
      <c r="AA199" s="187">
        <f>INDEX('Revenue by Customer'!AA:AA,MATCH('Full Customer List'!$B199,'Revenue by Customer'!$A:$A,0))</f>
        <v>440</v>
      </c>
      <c r="AB199" s="187">
        <f>INDEX('Revenue by Customer'!AB:AB,MATCH('Full Customer List'!$B199,'Revenue by Customer'!$A:$A,0))</f>
        <v>341.37</v>
      </c>
      <c r="AC199" s="187">
        <f>INDEX('Revenue by Customer'!AC:AC,MATCH('Full Customer List'!$B199,'Revenue by Customer'!$A:$A,0))</f>
        <v>440</v>
      </c>
    </row>
    <row r="200" spans="2:29" ht="12" customHeight="1">
      <c r="B200" s="171" t="s">
        <v>837</v>
      </c>
      <c r="C200" s="171" t="str">
        <f>INDEX('Customer List w Software'!$B:$B,MATCH('Full Customer List'!$B200,'Customer List w Software'!$A:$A,0))</f>
        <v>Active</v>
      </c>
      <c r="D200" s="171" t="str">
        <f>INDEX('Customer List w Software'!$C:$C,MATCH('Full Customer List'!$B200,'Customer List w Software'!$A:$A,0))</f>
        <v>STR owner</v>
      </c>
      <c r="E200" s="171" t="str">
        <f>INDEX('Customer List Mapping'!$C:$C,MATCH('Full Customer List'!D200,'Customer List Mapping'!$B:$B,0))</f>
        <v>STR Owner</v>
      </c>
      <c r="F200" s="187" t="str">
        <f>INDEX('Customer List w Software'!$K:$K,MATCH('Full Customer List'!$B200,'Customer List w Software'!$A:$A,0))</f>
        <v/>
      </c>
      <c r="G200" s="187">
        <f>INDEX('Revenue by Customer'!$I:$I,MATCH('Full Customer List'!$B200,'Revenue by Customer'!$A:$A,0))</f>
        <v>400</v>
      </c>
      <c r="H200" s="250" t="str">
        <f>IFERROR(IF(C200="Active","",INDEX('Client Departures'!$G:$G,MATCH('Full Customer List'!$B200,'Client Departures'!$A:$A,0))),"Unclassified")</f>
        <v/>
      </c>
      <c r="I200" s="191">
        <v>45962</v>
      </c>
      <c r="J200" s="191"/>
      <c r="K200" s="187" t="str">
        <f>INDEX('Revenue by Customer'!K:K,MATCH('Full Customer List'!$B200,'Revenue by Customer'!$A:$A,0))</f>
        <v/>
      </c>
      <c r="L200" s="187" t="str">
        <f>INDEX('Revenue by Customer'!L:L,MATCH('Full Customer List'!$B200,'Revenue by Customer'!$A:$A,0))</f>
        <v/>
      </c>
      <c r="M200" s="187" t="str">
        <f>INDEX('Revenue by Customer'!M:M,MATCH('Full Customer List'!$B200,'Revenue by Customer'!$A:$A,0))</f>
        <v/>
      </c>
      <c r="N200" s="187" t="str">
        <f>INDEX('Revenue by Customer'!N:N,MATCH('Full Customer List'!$B200,'Revenue by Customer'!$A:$A,0))</f>
        <v/>
      </c>
      <c r="O200" s="187" t="str">
        <f>INDEX('Revenue by Customer'!O:O,MATCH('Full Customer List'!$B200,'Revenue by Customer'!$A:$A,0))</f>
        <v/>
      </c>
      <c r="P200" s="187" t="str">
        <f>INDEX('Revenue by Customer'!P:P,MATCH('Full Customer List'!$B200,'Revenue by Customer'!$A:$A,0))</f>
        <v/>
      </c>
      <c r="Q200" s="187" t="str">
        <f>INDEX('Revenue by Customer'!Q:Q,MATCH('Full Customer List'!$B200,'Revenue by Customer'!$A:$A,0))</f>
        <v/>
      </c>
      <c r="R200" s="187" t="str">
        <f>INDEX('Revenue by Customer'!R:R,MATCH('Full Customer List'!$B200,'Revenue by Customer'!$A:$A,0))</f>
        <v/>
      </c>
      <c r="S200" s="187" t="str">
        <f>INDEX('Revenue by Customer'!S:S,MATCH('Full Customer List'!$B200,'Revenue by Customer'!$A:$A,0))</f>
        <v/>
      </c>
      <c r="T200" s="187" t="str">
        <f>INDEX('Revenue by Customer'!T:T,MATCH('Full Customer List'!$B200,'Revenue by Customer'!$A:$A,0))</f>
        <v/>
      </c>
      <c r="U200" s="187">
        <f>INDEX('Revenue by Customer'!U:U,MATCH('Full Customer List'!$B200,'Revenue by Customer'!$A:$A,0))</f>
        <v>350</v>
      </c>
      <c r="V200" s="187">
        <f>INDEX('Revenue by Customer'!V:V,MATCH('Full Customer List'!$B200,'Revenue by Customer'!$A:$A,0))</f>
        <v>350</v>
      </c>
      <c r="W200" s="187">
        <f>INDEX('Revenue by Customer'!W:W,MATCH('Full Customer List'!$B200,'Revenue by Customer'!$A:$A,0))</f>
        <v>400</v>
      </c>
      <c r="X200" s="187">
        <f>INDEX('Revenue by Customer'!X:X,MATCH('Full Customer List'!$B200,'Revenue by Customer'!$A:$A,0))</f>
        <v>400</v>
      </c>
      <c r="Y200" s="187">
        <f>INDEX('Revenue by Customer'!Y:Y,MATCH('Full Customer List'!$B200,'Revenue by Customer'!$A:$A,0))</f>
        <v>400</v>
      </c>
      <c r="Z200" s="187">
        <f>INDEX('Revenue by Customer'!Z:Z,MATCH('Full Customer List'!$B200,'Revenue by Customer'!$A:$A,0))</f>
        <v>400</v>
      </c>
      <c r="AA200" s="187">
        <f>INDEX('Revenue by Customer'!AA:AA,MATCH('Full Customer List'!$B200,'Revenue by Customer'!$A:$A,0))</f>
        <v>400</v>
      </c>
      <c r="AB200" s="187">
        <f>INDEX('Revenue by Customer'!AB:AB,MATCH('Full Customer List'!$B200,'Revenue by Customer'!$A:$A,0))</f>
        <v>400</v>
      </c>
      <c r="AC200" s="187">
        <f>INDEX('Revenue by Customer'!AC:AC,MATCH('Full Customer List'!$B200,'Revenue by Customer'!$A:$A,0))</f>
        <v>400</v>
      </c>
    </row>
    <row r="201" spans="2:29" ht="12" customHeight="1">
      <c r="B201" s="171" t="s">
        <v>838</v>
      </c>
      <c r="C201" s="171" t="str">
        <f>INDEX('Customer List w Software'!$B:$B,MATCH('Full Customer List'!$B201,'Customer List w Software'!$A:$A,0))</f>
        <v>Former client</v>
      </c>
      <c r="D201" s="171" t="str">
        <f>INDEX('Customer List w Software'!$C:$C,MATCH('Full Customer List'!$B201,'Customer List w Software'!$A:$A,0))</f>
        <v>Property manager</v>
      </c>
      <c r="E201" s="171" t="str">
        <f>INDEX('Customer List Mapping'!$C:$C,MATCH('Full Customer List'!D201,'Customer List Mapping'!$B:$B,0))</f>
        <v>Property Manager</v>
      </c>
      <c r="F201" s="187">
        <f>INDEX('Customer List w Software'!$K:$K,MATCH('Full Customer List'!$B201,'Customer List w Software'!$A:$A,0))</f>
        <v>4</v>
      </c>
      <c r="G201" s="187">
        <f>INDEX('Revenue by Customer'!$I:$I,MATCH('Full Customer List'!$B201,'Revenue by Customer'!$A:$A,0))</f>
        <v>400</v>
      </c>
      <c r="H201" s="250" t="str">
        <f>IFERROR(IF(C201="Active","",INDEX('Client Departures'!$G:$G,MATCH('Full Customer List'!$B201,'Client Departures'!$A:$A,0))),"Unclassified")</f>
        <v>Yes</v>
      </c>
      <c r="I201" s="191">
        <v>45474</v>
      </c>
      <c r="J201" s="191">
        <v>46112</v>
      </c>
      <c r="K201" s="187">
        <f>INDEX('Revenue by Customer'!K:K,MATCH('Full Customer List'!$B201,'Revenue by Customer'!$A:$A,0))</f>
        <v>395</v>
      </c>
      <c r="L201" s="187">
        <f>INDEX('Revenue by Customer'!L:L,MATCH('Full Customer List'!$B201,'Revenue by Customer'!$A:$A,0))</f>
        <v>395</v>
      </c>
      <c r="M201" s="187">
        <f>INDEX('Revenue by Customer'!M:M,MATCH('Full Customer List'!$B201,'Revenue by Customer'!$A:$A,0))</f>
        <v>395</v>
      </c>
      <c r="N201" s="187">
        <f>INDEX('Revenue by Customer'!N:N,MATCH('Full Customer List'!$B201,'Revenue by Customer'!$A:$A,0))</f>
        <v>395</v>
      </c>
      <c r="O201" s="187">
        <f>INDEX('Revenue by Customer'!O:O,MATCH('Full Customer List'!$B201,'Revenue by Customer'!$A:$A,0))</f>
        <v>395</v>
      </c>
      <c r="P201" s="187">
        <f>INDEX('Revenue by Customer'!P:P,MATCH('Full Customer List'!$B201,'Revenue by Customer'!$A:$A,0))</f>
        <v>395</v>
      </c>
      <c r="Q201" s="187">
        <f>INDEX('Revenue by Customer'!Q:Q,MATCH('Full Customer List'!$B201,'Revenue by Customer'!$A:$A,0))</f>
        <v>400</v>
      </c>
      <c r="R201" s="187">
        <f>INDEX('Revenue by Customer'!R:R,MATCH('Full Customer List'!$B201,'Revenue by Customer'!$A:$A,0))</f>
        <v>400</v>
      </c>
      <c r="S201" s="187">
        <f>INDEX('Revenue by Customer'!S:S,MATCH('Full Customer List'!$B201,'Revenue by Customer'!$A:$A,0))</f>
        <v>400</v>
      </c>
      <c r="T201" s="187">
        <f>INDEX('Revenue by Customer'!T:T,MATCH('Full Customer List'!$B201,'Revenue by Customer'!$A:$A,0))</f>
        <v>655</v>
      </c>
      <c r="U201" s="187">
        <f>INDEX('Revenue by Customer'!U:U,MATCH('Full Customer List'!$B201,'Revenue by Customer'!$A:$A,0))</f>
        <v>400</v>
      </c>
      <c r="V201" s="187">
        <f>INDEX('Revenue by Customer'!V:V,MATCH('Full Customer List'!$B201,'Revenue by Customer'!$A:$A,0))</f>
        <v>400</v>
      </c>
      <c r="W201" s="187">
        <f>INDEX('Revenue by Customer'!W:W,MATCH('Full Customer List'!$B201,'Revenue by Customer'!$A:$A,0))</f>
        <v>400</v>
      </c>
      <c r="X201" s="187">
        <f>INDEX('Revenue by Customer'!X:X,MATCH('Full Customer List'!$B201,'Revenue by Customer'!$A:$A,0))</f>
        <v>400</v>
      </c>
      <c r="Y201" s="187">
        <f>INDEX('Revenue by Customer'!Y:Y,MATCH('Full Customer List'!$B201,'Revenue by Customer'!$A:$A,0))</f>
        <v>400</v>
      </c>
      <c r="Z201" s="187" t="str">
        <f>INDEX('Revenue by Customer'!Z:Z,MATCH('Full Customer List'!$B201,'Revenue by Customer'!$A:$A,0))</f>
        <v/>
      </c>
      <c r="AA201" s="187" t="str">
        <f>INDEX('Revenue by Customer'!AA:AA,MATCH('Full Customer List'!$B201,'Revenue by Customer'!$A:$A,0))</f>
        <v/>
      </c>
      <c r="AB201" s="187" t="str">
        <f>INDEX('Revenue by Customer'!AB:AB,MATCH('Full Customer List'!$B201,'Revenue by Customer'!$A:$A,0))</f>
        <v/>
      </c>
      <c r="AC201" s="187" t="str">
        <f>INDEX('Revenue by Customer'!AC:AC,MATCH('Full Customer List'!$B201,'Revenue by Customer'!$A:$A,0))</f>
        <v/>
      </c>
    </row>
    <row r="202" spans="2:29" ht="12" customHeight="1">
      <c r="B202" s="171" t="s">
        <v>839</v>
      </c>
      <c r="C202" s="171" t="str">
        <f>INDEX('Customer List w Software'!$B:$B,MATCH('Full Customer List'!$B202,'Customer List w Software'!$A:$A,0))</f>
        <v>Former client</v>
      </c>
      <c r="D202" s="171" t="str">
        <f>INDEX('Customer List w Software'!$C:$C,MATCH('Full Customer List'!$B202,'Customer List w Software'!$A:$A,0))</f>
        <v>Small business</v>
      </c>
      <c r="E202" s="171" t="str">
        <f>INDEX('Customer List Mapping'!$C:$C,MATCH('Full Customer List'!D202,'Customer List Mapping'!$B:$B,0))</f>
        <v>Small Business</v>
      </c>
      <c r="F202" s="187" t="str">
        <f>INDEX('Customer List w Software'!$K:$K,MATCH('Full Customer List'!$B202,'Customer List w Software'!$A:$A,0))</f>
        <v/>
      </c>
      <c r="G202" s="187">
        <f>INDEX('Revenue by Customer'!$I:$I,MATCH('Full Customer List'!$B202,'Revenue by Customer'!$A:$A,0))</f>
        <v>285</v>
      </c>
      <c r="H202" s="250" t="str">
        <f>IFERROR(IF(C202="Active","",INDEX('Client Departures'!$G:$G,MATCH('Full Customer List'!$B202,'Client Departures'!$A:$A,0))),"Unclassified")</f>
        <v>No</v>
      </c>
      <c r="I202" s="191">
        <v>44805</v>
      </c>
      <c r="J202" s="191">
        <v>46234</v>
      </c>
      <c r="K202" s="187">
        <f>INDEX('Revenue by Customer'!K:K,MATCH('Full Customer List'!$B202,'Revenue by Customer'!$A:$A,0))</f>
        <v>335</v>
      </c>
      <c r="L202" s="187">
        <f>INDEX('Revenue by Customer'!L:L,MATCH('Full Customer List'!$B202,'Revenue by Customer'!$A:$A,0))</f>
        <v>275</v>
      </c>
      <c r="M202" s="187">
        <f>INDEX('Revenue by Customer'!M:M,MATCH('Full Customer List'!$B202,'Revenue by Customer'!$A:$A,0))</f>
        <v>275</v>
      </c>
      <c r="N202" s="187">
        <f>INDEX('Revenue by Customer'!N:N,MATCH('Full Customer List'!$B202,'Revenue by Customer'!$A:$A,0))</f>
        <v>275</v>
      </c>
      <c r="O202" s="187">
        <f>INDEX('Revenue by Customer'!O:O,MATCH('Full Customer List'!$B202,'Revenue by Customer'!$A:$A,0))</f>
        <v>275</v>
      </c>
      <c r="P202" s="187">
        <f>INDEX('Revenue by Customer'!P:P,MATCH('Full Customer List'!$B202,'Revenue by Customer'!$A:$A,0))</f>
        <v>275</v>
      </c>
      <c r="Q202" s="187">
        <f>INDEX('Revenue by Customer'!Q:Q,MATCH('Full Customer List'!$B202,'Revenue by Customer'!$A:$A,0))</f>
        <v>275</v>
      </c>
      <c r="R202" s="187">
        <f>INDEX('Revenue by Customer'!R:R,MATCH('Full Customer List'!$B202,'Revenue by Customer'!$A:$A,0))</f>
        <v>275</v>
      </c>
      <c r="S202" s="187">
        <f>INDEX('Revenue by Customer'!S:S,MATCH('Full Customer List'!$B202,'Revenue by Customer'!$A:$A,0))</f>
        <v>285</v>
      </c>
      <c r="T202" s="187">
        <f>INDEX('Revenue by Customer'!T:T,MATCH('Full Customer List'!$B202,'Revenue by Customer'!$A:$A,0))</f>
        <v>285</v>
      </c>
      <c r="U202" s="187">
        <f>INDEX('Revenue by Customer'!U:U,MATCH('Full Customer List'!$B202,'Revenue by Customer'!$A:$A,0))</f>
        <v>285</v>
      </c>
      <c r="V202" s="187">
        <f>INDEX('Revenue by Customer'!V:V,MATCH('Full Customer List'!$B202,'Revenue by Customer'!$A:$A,0))</f>
        <v>285</v>
      </c>
      <c r="W202" s="187">
        <f>INDEX('Revenue by Customer'!W:W,MATCH('Full Customer List'!$B202,'Revenue by Customer'!$A:$A,0))</f>
        <v>285</v>
      </c>
      <c r="X202" s="187">
        <f>INDEX('Revenue by Customer'!X:X,MATCH('Full Customer List'!$B202,'Revenue by Customer'!$A:$A,0))</f>
        <v>315</v>
      </c>
      <c r="Y202" s="187">
        <f>INDEX('Revenue by Customer'!Y:Y,MATCH('Full Customer List'!$B202,'Revenue by Customer'!$A:$A,0))</f>
        <v>285</v>
      </c>
      <c r="Z202" s="187">
        <f>INDEX('Revenue by Customer'!Z:Z,MATCH('Full Customer List'!$B202,'Revenue by Customer'!$A:$A,0))</f>
        <v>285</v>
      </c>
      <c r="AA202" s="187">
        <f>INDEX('Revenue by Customer'!AA:AA,MATCH('Full Customer List'!$B202,'Revenue by Customer'!$A:$A,0))</f>
        <v>285</v>
      </c>
      <c r="AB202" s="187">
        <f>INDEX('Revenue by Customer'!AB:AB,MATCH('Full Customer List'!$B202,'Revenue by Customer'!$A:$A,0))</f>
        <v>285</v>
      </c>
      <c r="AC202" s="187">
        <f>INDEX('Revenue by Customer'!AC:AC,MATCH('Full Customer List'!$B202,'Revenue by Customer'!$A:$A,0))</f>
        <v>285</v>
      </c>
    </row>
    <row r="203" spans="2:29" ht="12" customHeight="1">
      <c r="B203" s="171" t="s">
        <v>840</v>
      </c>
      <c r="C203" s="171" t="str">
        <f>INDEX('Customer List w Software'!$B:$B,MATCH('Full Customer List'!$B203,'Customer List w Software'!$A:$A,0))</f>
        <v>Former client</v>
      </c>
      <c r="D203" s="171" t="str">
        <f>INDEX('Customer List w Software'!$C:$C,MATCH('Full Customer List'!$B203,'Customer List w Software'!$A:$A,0))</f>
        <v>STR owner</v>
      </c>
      <c r="E203" s="171" t="str">
        <f>INDEX('Customer List Mapping'!$C:$C,MATCH('Full Customer List'!D203,'Customer List Mapping'!$B:$B,0))</f>
        <v>STR Owner</v>
      </c>
      <c r="F203" s="187" t="str">
        <f>INDEX('Customer List w Software'!$K:$K,MATCH('Full Customer List'!$B203,'Customer List w Software'!$A:$A,0))</f>
        <v/>
      </c>
      <c r="G203" s="187">
        <f>INDEX('Revenue by Customer'!$I:$I,MATCH('Full Customer List'!$B203,'Revenue by Customer'!$A:$A,0))</f>
        <v>560</v>
      </c>
      <c r="H203" s="250" t="str">
        <f>IFERROR(IF(C203="Active","",INDEX('Client Departures'!$G:$G,MATCH('Full Customer List'!$B203,'Client Departures'!$A:$A,0))),"Unclassified")</f>
        <v>Yes</v>
      </c>
      <c r="I203" s="191">
        <v>45992</v>
      </c>
      <c r="J203" s="191">
        <v>46173</v>
      </c>
      <c r="K203" s="187" t="str">
        <f>INDEX('Revenue by Customer'!K:K,MATCH('Full Customer List'!$B203,'Revenue by Customer'!$A:$A,0))</f>
        <v/>
      </c>
      <c r="L203" s="187" t="str">
        <f>INDEX('Revenue by Customer'!L:L,MATCH('Full Customer List'!$B203,'Revenue by Customer'!$A:$A,0))</f>
        <v/>
      </c>
      <c r="M203" s="187" t="str">
        <f>INDEX('Revenue by Customer'!M:M,MATCH('Full Customer List'!$B203,'Revenue by Customer'!$A:$A,0))</f>
        <v/>
      </c>
      <c r="N203" s="187" t="str">
        <f>INDEX('Revenue by Customer'!N:N,MATCH('Full Customer List'!$B203,'Revenue by Customer'!$A:$A,0))</f>
        <v/>
      </c>
      <c r="O203" s="187" t="str">
        <f>INDEX('Revenue by Customer'!O:O,MATCH('Full Customer List'!$B203,'Revenue by Customer'!$A:$A,0))</f>
        <v/>
      </c>
      <c r="P203" s="187" t="str">
        <f>INDEX('Revenue by Customer'!P:P,MATCH('Full Customer List'!$B203,'Revenue by Customer'!$A:$A,0))</f>
        <v/>
      </c>
      <c r="Q203" s="187" t="str">
        <f>INDEX('Revenue by Customer'!Q:Q,MATCH('Full Customer List'!$B203,'Revenue by Customer'!$A:$A,0))</f>
        <v/>
      </c>
      <c r="R203" s="187" t="str">
        <f>INDEX('Revenue by Customer'!R:R,MATCH('Full Customer List'!$B203,'Revenue by Customer'!$A:$A,0))</f>
        <v/>
      </c>
      <c r="S203" s="187" t="str">
        <f>INDEX('Revenue by Customer'!S:S,MATCH('Full Customer List'!$B203,'Revenue by Customer'!$A:$A,0))</f>
        <v/>
      </c>
      <c r="T203" s="187" t="str">
        <f>INDEX('Revenue by Customer'!T:T,MATCH('Full Customer List'!$B203,'Revenue by Customer'!$A:$A,0))</f>
        <v/>
      </c>
      <c r="U203" s="187" t="str">
        <f>INDEX('Revenue by Customer'!U:U,MATCH('Full Customer List'!$B203,'Revenue by Customer'!$A:$A,0))</f>
        <v/>
      </c>
      <c r="V203" s="187">
        <f>INDEX('Revenue by Customer'!V:V,MATCH('Full Customer List'!$B203,'Revenue by Customer'!$A:$A,0))</f>
        <v>640</v>
      </c>
      <c r="W203" s="187">
        <f>INDEX('Revenue by Customer'!W:W,MATCH('Full Customer List'!$B203,'Revenue by Customer'!$A:$A,0))</f>
        <v>425</v>
      </c>
      <c r="X203" s="187">
        <f>INDEX('Revenue by Customer'!X:X,MATCH('Full Customer List'!$B203,'Revenue by Customer'!$A:$A,0))</f>
        <v>595</v>
      </c>
      <c r="Y203" s="187">
        <f>INDEX('Revenue by Customer'!Y:Y,MATCH('Full Customer List'!$B203,'Revenue by Customer'!$A:$A,0))</f>
        <v>700</v>
      </c>
      <c r="Z203" s="187">
        <f>INDEX('Revenue by Customer'!Z:Z,MATCH('Full Customer List'!$B203,'Revenue by Customer'!$A:$A,0))</f>
        <v>420</v>
      </c>
      <c r="AA203" s="187">
        <f>INDEX('Revenue by Customer'!AA:AA,MATCH('Full Customer List'!$B203,'Revenue by Customer'!$A:$A,0))</f>
        <v>560</v>
      </c>
      <c r="AB203" s="187" t="str">
        <f>INDEX('Revenue by Customer'!AB:AB,MATCH('Full Customer List'!$B203,'Revenue by Customer'!$A:$A,0))</f>
        <v/>
      </c>
      <c r="AC203" s="187" t="str">
        <f>INDEX('Revenue by Customer'!AC:AC,MATCH('Full Customer List'!$B203,'Revenue by Customer'!$A:$A,0))</f>
        <v/>
      </c>
    </row>
    <row r="204" spans="2:29" ht="12" customHeight="1">
      <c r="B204" s="171" t="s">
        <v>841</v>
      </c>
      <c r="C204" s="217" t="s">
        <v>497</v>
      </c>
      <c r="D204" s="171" t="str">
        <f>INDEX('Customer List w Software'!$C:$C,MATCH('Full Customer List'!$B204,'Customer List w Software'!$A:$A,0))</f>
        <v>Property manager</v>
      </c>
      <c r="E204" s="171" t="str">
        <f>INDEX('Customer List Mapping'!$C:$C,MATCH('Full Customer List'!D204,'Customer List Mapping'!$B:$B,0))</f>
        <v>Property Manager</v>
      </c>
      <c r="F204" s="187">
        <f>INDEX('Customer List w Software'!$K:$K,MATCH('Full Customer List'!$B204,'Customer List w Software'!$A:$A,0))</f>
        <v>15</v>
      </c>
      <c r="G204" s="187">
        <f>INDEX('Revenue by Customer'!$I:$I,MATCH('Full Customer List'!$B204,'Revenue by Customer'!$A:$A,0))</f>
        <v>1662.5</v>
      </c>
      <c r="H204" s="250" t="str">
        <f>IFERROR(IF(C204="Active","",INDEX('Client Departures'!$G:$G,MATCH('Full Customer List'!$B204,'Client Departures'!$A:$A,0))),"Unclassified")</f>
        <v/>
      </c>
      <c r="I204" s="191">
        <v>46174</v>
      </c>
      <c r="J204" s="191"/>
      <c r="K204" s="187" t="str">
        <f>INDEX('Revenue by Customer'!K:K,MATCH('Full Customer List'!$B204,'Revenue by Customer'!$A:$A,0))</f>
        <v/>
      </c>
      <c r="L204" s="187" t="str">
        <f>INDEX('Revenue by Customer'!L:L,MATCH('Full Customer List'!$B204,'Revenue by Customer'!$A:$A,0))</f>
        <v/>
      </c>
      <c r="M204" s="187" t="str">
        <f>INDEX('Revenue by Customer'!M:M,MATCH('Full Customer List'!$B204,'Revenue by Customer'!$A:$A,0))</f>
        <v/>
      </c>
      <c r="N204" s="187" t="str">
        <f>INDEX('Revenue by Customer'!N:N,MATCH('Full Customer List'!$B204,'Revenue by Customer'!$A:$A,0))</f>
        <v/>
      </c>
      <c r="O204" s="187" t="str">
        <f>INDEX('Revenue by Customer'!O:O,MATCH('Full Customer List'!$B204,'Revenue by Customer'!$A:$A,0))</f>
        <v/>
      </c>
      <c r="P204" s="187" t="str">
        <f>INDEX('Revenue by Customer'!P:P,MATCH('Full Customer List'!$B204,'Revenue by Customer'!$A:$A,0))</f>
        <v/>
      </c>
      <c r="Q204" s="187" t="str">
        <f>INDEX('Revenue by Customer'!Q:Q,MATCH('Full Customer List'!$B204,'Revenue by Customer'!$A:$A,0))</f>
        <v/>
      </c>
      <c r="R204" s="187" t="str">
        <f>INDEX('Revenue by Customer'!R:R,MATCH('Full Customer List'!$B204,'Revenue by Customer'!$A:$A,0))</f>
        <v/>
      </c>
      <c r="S204" s="187" t="str">
        <f>INDEX('Revenue by Customer'!S:S,MATCH('Full Customer List'!$B204,'Revenue by Customer'!$A:$A,0))</f>
        <v/>
      </c>
      <c r="T204" s="187" t="str">
        <f>INDEX('Revenue by Customer'!T:T,MATCH('Full Customer List'!$B204,'Revenue by Customer'!$A:$A,0))</f>
        <v/>
      </c>
      <c r="U204" s="187" t="str">
        <f>INDEX('Revenue by Customer'!U:U,MATCH('Full Customer List'!$B204,'Revenue by Customer'!$A:$A,0))</f>
        <v/>
      </c>
      <c r="V204" s="187" t="str">
        <f>INDEX('Revenue by Customer'!V:V,MATCH('Full Customer List'!$B204,'Revenue by Customer'!$A:$A,0))</f>
        <v/>
      </c>
      <c r="W204" s="187" t="str">
        <f>INDEX('Revenue by Customer'!W:W,MATCH('Full Customer List'!$B204,'Revenue by Customer'!$A:$A,0))</f>
        <v/>
      </c>
      <c r="X204" s="187" t="str">
        <f>INDEX('Revenue by Customer'!X:X,MATCH('Full Customer List'!$B204,'Revenue by Customer'!$A:$A,0))</f>
        <v/>
      </c>
      <c r="Y204" s="187" t="str">
        <f>INDEX('Revenue by Customer'!Y:Y,MATCH('Full Customer List'!$B204,'Revenue by Customer'!$A:$A,0))</f>
        <v/>
      </c>
      <c r="Z204" s="187" t="str">
        <f>INDEX('Revenue by Customer'!Z:Z,MATCH('Full Customer List'!$B204,'Revenue by Customer'!$A:$A,0))</f>
        <v/>
      </c>
      <c r="AA204" s="187" t="str">
        <f>INDEX('Revenue by Customer'!AA:AA,MATCH('Full Customer List'!$B204,'Revenue by Customer'!$A:$A,0))</f>
        <v/>
      </c>
      <c r="AB204" s="187">
        <f>INDEX('Revenue by Customer'!AB:AB,MATCH('Full Customer List'!$B204,'Revenue by Customer'!$A:$A,0))</f>
        <v>2360</v>
      </c>
      <c r="AC204" s="187">
        <f>INDEX('Revenue by Customer'!AC:AC,MATCH('Full Customer List'!$B204,'Revenue by Customer'!$A:$A,0))</f>
        <v>965</v>
      </c>
    </row>
    <row r="205" spans="2:29" ht="12" customHeight="1">
      <c r="B205" s="171" t="s">
        <v>843</v>
      </c>
      <c r="C205" s="171" t="str">
        <f>INDEX('Customer List w Software'!$B:$B,MATCH('Full Customer List'!$B205,'Customer List w Software'!$A:$A,0))</f>
        <v>Active</v>
      </c>
      <c r="D205" s="171" t="str">
        <f>INDEX('Customer List w Software'!$C:$C,MATCH('Full Customer List'!$B205,'Customer List w Software'!$A:$A,0))</f>
        <v>Property manager</v>
      </c>
      <c r="E205" s="171" t="str">
        <f>INDEX('Customer List Mapping'!$C:$C,MATCH('Full Customer List'!D205,'Customer List Mapping'!$B:$B,0))</f>
        <v>Property Manager</v>
      </c>
      <c r="F205" s="187">
        <f>INDEX('Customer List w Software'!$K:$K,MATCH('Full Customer List'!$B205,'Customer List w Software'!$A:$A,0))</f>
        <v>10</v>
      </c>
      <c r="G205" s="187">
        <f>INDEX('Revenue by Customer'!$I:$I,MATCH('Full Customer List'!$B205,'Revenue by Customer'!$A:$A,0))</f>
        <v>585.33333333333337</v>
      </c>
      <c r="H205" s="250" t="str">
        <f>IFERROR(IF(C205="Active","",INDEX('Client Departures'!$G:$G,MATCH('Full Customer List'!$B205,'Client Departures'!$A:$A,0))),"Unclassified")</f>
        <v/>
      </c>
      <c r="I205" s="191">
        <v>46054</v>
      </c>
      <c r="J205" s="191"/>
      <c r="K205" s="187" t="str">
        <f>INDEX('Revenue by Customer'!K:K,MATCH('Full Customer List'!$B205,'Revenue by Customer'!$A:$A,0))</f>
        <v/>
      </c>
      <c r="L205" s="187" t="str">
        <f>INDEX('Revenue by Customer'!L:L,MATCH('Full Customer List'!$B205,'Revenue by Customer'!$A:$A,0))</f>
        <v/>
      </c>
      <c r="M205" s="187" t="str">
        <f>INDEX('Revenue by Customer'!M:M,MATCH('Full Customer List'!$B205,'Revenue by Customer'!$A:$A,0))</f>
        <v/>
      </c>
      <c r="N205" s="187" t="str">
        <f>INDEX('Revenue by Customer'!N:N,MATCH('Full Customer List'!$B205,'Revenue by Customer'!$A:$A,0))</f>
        <v/>
      </c>
      <c r="O205" s="187" t="str">
        <f>INDEX('Revenue by Customer'!O:O,MATCH('Full Customer List'!$B205,'Revenue by Customer'!$A:$A,0))</f>
        <v/>
      </c>
      <c r="P205" s="187" t="str">
        <f>INDEX('Revenue by Customer'!P:P,MATCH('Full Customer List'!$B205,'Revenue by Customer'!$A:$A,0))</f>
        <v/>
      </c>
      <c r="Q205" s="187" t="str">
        <f>INDEX('Revenue by Customer'!Q:Q,MATCH('Full Customer List'!$B205,'Revenue by Customer'!$A:$A,0))</f>
        <v/>
      </c>
      <c r="R205" s="187" t="str">
        <f>INDEX('Revenue by Customer'!R:R,MATCH('Full Customer List'!$B205,'Revenue by Customer'!$A:$A,0))</f>
        <v/>
      </c>
      <c r="S205" s="187" t="str">
        <f>INDEX('Revenue by Customer'!S:S,MATCH('Full Customer List'!$B205,'Revenue by Customer'!$A:$A,0))</f>
        <v/>
      </c>
      <c r="T205" s="187" t="str">
        <f>INDEX('Revenue by Customer'!T:T,MATCH('Full Customer List'!$B205,'Revenue by Customer'!$A:$A,0))</f>
        <v/>
      </c>
      <c r="U205" s="187" t="str">
        <f>INDEX('Revenue by Customer'!U:U,MATCH('Full Customer List'!$B205,'Revenue by Customer'!$A:$A,0))</f>
        <v/>
      </c>
      <c r="V205" s="187" t="str">
        <f>INDEX('Revenue by Customer'!V:V,MATCH('Full Customer List'!$B205,'Revenue by Customer'!$A:$A,0))</f>
        <v/>
      </c>
      <c r="W205" s="187" t="str">
        <f>INDEX('Revenue by Customer'!W:W,MATCH('Full Customer List'!$B205,'Revenue by Customer'!$A:$A,0))</f>
        <v/>
      </c>
      <c r="X205" s="187">
        <f>INDEX('Revenue by Customer'!X:X,MATCH('Full Customer List'!$B205,'Revenue by Customer'!$A:$A,0))</f>
        <v>668</v>
      </c>
      <c r="Y205" s="187">
        <f>INDEX('Revenue by Customer'!Y:Y,MATCH('Full Customer List'!$B205,'Revenue by Customer'!$A:$A,0))</f>
        <v>390</v>
      </c>
      <c r="Z205" s="187">
        <f>INDEX('Revenue by Customer'!Z:Z,MATCH('Full Customer List'!$B205,'Revenue by Customer'!$A:$A,0))</f>
        <v>464</v>
      </c>
      <c r="AA205" s="187">
        <f>INDEX('Revenue by Customer'!AA:AA,MATCH('Full Customer List'!$B205,'Revenue by Customer'!$A:$A,0))</f>
        <v>544</v>
      </c>
      <c r="AB205" s="187">
        <f>INDEX('Revenue by Customer'!AB:AB,MATCH('Full Customer List'!$B205,'Revenue by Customer'!$A:$A,0))</f>
        <v>606</v>
      </c>
      <c r="AC205" s="187">
        <f>INDEX('Revenue by Customer'!AC:AC,MATCH('Full Customer List'!$B205,'Revenue by Customer'!$A:$A,0))</f>
        <v>606</v>
      </c>
    </row>
    <row r="206" spans="2:29" ht="12" customHeight="1">
      <c r="B206" s="171" t="s">
        <v>844</v>
      </c>
      <c r="C206" s="171" t="str">
        <f>INDEX('Customer List w Software'!$B:$B,MATCH('Full Customer List'!$B206,'Customer List w Software'!$A:$A,0))</f>
        <v>Former client</v>
      </c>
      <c r="D206" s="171" t="str">
        <f>INDEX('Customer List w Software'!$C:$C,MATCH('Full Customer List'!$B206,'Customer List w Software'!$A:$A,0))</f>
        <v>Small business</v>
      </c>
      <c r="E206" s="171" t="str">
        <f>INDEX('Customer List Mapping'!$C:$C,MATCH('Full Customer List'!D206,'Customer List Mapping'!$B:$B,0))</f>
        <v>Small Business</v>
      </c>
      <c r="F206" s="187" t="str">
        <f>INDEX('Customer List w Software'!$K:$K,MATCH('Full Customer List'!$B206,'Customer List w Software'!$A:$A,0))</f>
        <v/>
      </c>
      <c r="G206" s="187">
        <f>INDEX('Revenue by Customer'!$I:$I,MATCH('Full Customer List'!$B206,'Revenue by Customer'!$A:$A,0))</f>
        <v>285</v>
      </c>
      <c r="H206" s="250" t="str">
        <f>IFERROR(IF(C206="Active","",INDEX('Client Departures'!$G:$G,MATCH('Full Customer List'!$B206,'Client Departures'!$A:$A,0))),"Unclassified")</f>
        <v>No</v>
      </c>
      <c r="I206" s="191">
        <v>44317</v>
      </c>
      <c r="J206" s="191">
        <v>46234</v>
      </c>
      <c r="K206" s="187">
        <f>INDEX('Revenue by Customer'!K:K,MATCH('Full Customer List'!$B206,'Revenue by Customer'!$A:$A,0))</f>
        <v>295</v>
      </c>
      <c r="L206" s="187">
        <f>INDEX('Revenue by Customer'!L:L,MATCH('Full Customer List'!$B206,'Revenue by Customer'!$A:$A,0))</f>
        <v>250</v>
      </c>
      <c r="M206" s="187">
        <f>INDEX('Revenue by Customer'!M:M,MATCH('Full Customer List'!$B206,'Revenue by Customer'!$A:$A,0))</f>
        <v>250</v>
      </c>
      <c r="N206" s="187">
        <f>INDEX('Revenue by Customer'!N:N,MATCH('Full Customer List'!$B206,'Revenue by Customer'!$A:$A,0))</f>
        <v>250</v>
      </c>
      <c r="O206" s="187">
        <f>INDEX('Revenue by Customer'!O:O,MATCH('Full Customer List'!$B206,'Revenue by Customer'!$A:$A,0))</f>
        <v>250</v>
      </c>
      <c r="P206" s="187">
        <f>INDEX('Revenue by Customer'!P:P,MATCH('Full Customer List'!$B206,'Revenue by Customer'!$A:$A,0))</f>
        <v>250</v>
      </c>
      <c r="Q206" s="187">
        <f>INDEX('Revenue by Customer'!Q:Q,MATCH('Full Customer List'!$B206,'Revenue by Customer'!$A:$A,0))</f>
        <v>250</v>
      </c>
      <c r="R206" s="187">
        <f>INDEX('Revenue by Customer'!R:R,MATCH('Full Customer List'!$B206,'Revenue by Customer'!$A:$A,0))</f>
        <v>250</v>
      </c>
      <c r="S206" s="187">
        <f>INDEX('Revenue by Customer'!S:S,MATCH('Full Customer List'!$B206,'Revenue by Customer'!$A:$A,0))</f>
        <v>250</v>
      </c>
      <c r="T206" s="187">
        <f>INDEX('Revenue by Customer'!T:T,MATCH('Full Customer List'!$B206,'Revenue by Customer'!$A:$A,0))</f>
        <v>250</v>
      </c>
      <c r="U206" s="187">
        <f>INDEX('Revenue by Customer'!U:U,MATCH('Full Customer List'!$B206,'Revenue by Customer'!$A:$A,0))</f>
        <v>250</v>
      </c>
      <c r="V206" s="187">
        <f>INDEX('Revenue by Customer'!V:V,MATCH('Full Customer List'!$B206,'Revenue by Customer'!$A:$A,0))</f>
        <v>250</v>
      </c>
      <c r="W206" s="187">
        <f>INDEX('Revenue by Customer'!W:W,MATCH('Full Customer List'!$B206,'Revenue by Customer'!$A:$A,0))</f>
        <v>285</v>
      </c>
      <c r="X206" s="187">
        <f>INDEX('Revenue by Customer'!X:X,MATCH('Full Customer List'!$B206,'Revenue by Customer'!$A:$A,0))</f>
        <v>300</v>
      </c>
      <c r="Y206" s="187">
        <f>INDEX('Revenue by Customer'!Y:Y,MATCH('Full Customer List'!$B206,'Revenue by Customer'!$A:$A,0))</f>
        <v>285</v>
      </c>
      <c r="Z206" s="187">
        <f>INDEX('Revenue by Customer'!Z:Z,MATCH('Full Customer List'!$B206,'Revenue by Customer'!$A:$A,0))</f>
        <v>285</v>
      </c>
      <c r="AA206" s="187">
        <f>INDEX('Revenue by Customer'!AA:AA,MATCH('Full Customer List'!$B206,'Revenue by Customer'!$A:$A,0))</f>
        <v>285</v>
      </c>
      <c r="AB206" s="187">
        <f>INDEX('Revenue by Customer'!AB:AB,MATCH('Full Customer List'!$B206,'Revenue by Customer'!$A:$A,0))</f>
        <v>285</v>
      </c>
      <c r="AC206" s="187">
        <f>INDEX('Revenue by Customer'!AC:AC,MATCH('Full Customer List'!$B206,'Revenue by Customer'!$A:$A,0))</f>
        <v>285</v>
      </c>
    </row>
    <row r="207" spans="2:29" ht="12" customHeight="1">
      <c r="B207" s="171" t="s">
        <v>846</v>
      </c>
      <c r="C207" s="171" t="str">
        <f>INDEX('Customer List w Software'!$B:$B,MATCH('Full Customer List'!$B207,'Customer List w Software'!$A:$A,0))</f>
        <v>Active</v>
      </c>
      <c r="D207" s="171" t="str">
        <f>INDEX('Customer List w Software'!$C:$C,MATCH('Full Customer List'!$B207,'Customer List w Software'!$A:$A,0))</f>
        <v>Property manager</v>
      </c>
      <c r="E207" s="171" t="str">
        <f>INDEX('Customer List Mapping'!$C:$C,MATCH('Full Customer List'!D207,'Customer List Mapping'!$B:$B,0))</f>
        <v>Property Manager</v>
      </c>
      <c r="F207" s="187">
        <f>INDEX('Customer List w Software'!$K:$K,MATCH('Full Customer List'!$B207,'Customer List w Software'!$A:$A,0))</f>
        <v>4</v>
      </c>
      <c r="G207" s="187">
        <f>INDEX('Revenue by Customer'!$I:$I,MATCH('Full Customer List'!$B207,'Revenue by Customer'!$A:$A,0))</f>
        <v>400</v>
      </c>
      <c r="H207" s="250" t="str">
        <f>IFERROR(IF(C207="Active","",INDEX('Client Departures'!$G:$G,MATCH('Full Customer List'!$B207,'Client Departures'!$A:$A,0))),"Unclassified")</f>
        <v/>
      </c>
      <c r="I207" s="191">
        <v>45962</v>
      </c>
      <c r="J207" s="191"/>
      <c r="K207" s="187" t="str">
        <f>INDEX('Revenue by Customer'!K:K,MATCH('Full Customer List'!$B207,'Revenue by Customer'!$A:$A,0))</f>
        <v/>
      </c>
      <c r="L207" s="187" t="str">
        <f>INDEX('Revenue by Customer'!L:L,MATCH('Full Customer List'!$B207,'Revenue by Customer'!$A:$A,0))</f>
        <v/>
      </c>
      <c r="M207" s="187" t="str">
        <f>INDEX('Revenue by Customer'!M:M,MATCH('Full Customer List'!$B207,'Revenue by Customer'!$A:$A,0))</f>
        <v/>
      </c>
      <c r="N207" s="187" t="str">
        <f>INDEX('Revenue by Customer'!N:N,MATCH('Full Customer List'!$B207,'Revenue by Customer'!$A:$A,0))</f>
        <v/>
      </c>
      <c r="O207" s="187" t="str">
        <f>INDEX('Revenue by Customer'!O:O,MATCH('Full Customer List'!$B207,'Revenue by Customer'!$A:$A,0))</f>
        <v/>
      </c>
      <c r="P207" s="187" t="str">
        <f>INDEX('Revenue by Customer'!P:P,MATCH('Full Customer List'!$B207,'Revenue by Customer'!$A:$A,0))</f>
        <v/>
      </c>
      <c r="Q207" s="187" t="str">
        <f>INDEX('Revenue by Customer'!Q:Q,MATCH('Full Customer List'!$B207,'Revenue by Customer'!$A:$A,0))</f>
        <v/>
      </c>
      <c r="R207" s="187" t="str">
        <f>INDEX('Revenue by Customer'!R:R,MATCH('Full Customer List'!$B207,'Revenue by Customer'!$A:$A,0))</f>
        <v/>
      </c>
      <c r="S207" s="187" t="str">
        <f>INDEX('Revenue by Customer'!S:S,MATCH('Full Customer List'!$B207,'Revenue by Customer'!$A:$A,0))</f>
        <v/>
      </c>
      <c r="T207" s="187" t="str">
        <f>INDEX('Revenue by Customer'!T:T,MATCH('Full Customer List'!$B207,'Revenue by Customer'!$A:$A,0))</f>
        <v/>
      </c>
      <c r="U207" s="187">
        <f>INDEX('Revenue by Customer'!U:U,MATCH('Full Customer List'!$B207,'Revenue by Customer'!$A:$A,0))</f>
        <v>400</v>
      </c>
      <c r="V207" s="187">
        <f>INDEX('Revenue by Customer'!V:V,MATCH('Full Customer List'!$B207,'Revenue by Customer'!$A:$A,0))</f>
        <v>325</v>
      </c>
      <c r="W207" s="187">
        <f>INDEX('Revenue by Customer'!W:W,MATCH('Full Customer List'!$B207,'Revenue by Customer'!$A:$A,0))</f>
        <v>325</v>
      </c>
      <c r="X207" s="187">
        <f>INDEX('Revenue by Customer'!X:X,MATCH('Full Customer List'!$B207,'Revenue by Customer'!$A:$A,0))</f>
        <v>415</v>
      </c>
      <c r="Y207" s="187">
        <f>INDEX('Revenue by Customer'!Y:Y,MATCH('Full Customer List'!$B207,'Revenue by Customer'!$A:$A,0))</f>
        <v>250</v>
      </c>
      <c r="Z207" s="187">
        <f>INDEX('Revenue by Customer'!Z:Z,MATCH('Full Customer List'!$B207,'Revenue by Customer'!$A:$A,0))</f>
        <v>325</v>
      </c>
      <c r="AA207" s="187">
        <f>INDEX('Revenue by Customer'!AA:AA,MATCH('Full Customer List'!$B207,'Revenue by Customer'!$A:$A,0))</f>
        <v>400</v>
      </c>
      <c r="AB207" s="187">
        <f>INDEX('Revenue by Customer'!AB:AB,MATCH('Full Customer List'!$B207,'Revenue by Customer'!$A:$A,0))</f>
        <v>400</v>
      </c>
      <c r="AC207" s="187">
        <f>INDEX('Revenue by Customer'!AC:AC,MATCH('Full Customer List'!$B207,'Revenue by Customer'!$A:$A,0))</f>
        <v>400</v>
      </c>
    </row>
    <row r="208" spans="2:29" ht="12" customHeight="1">
      <c r="B208" s="171" t="s">
        <v>847</v>
      </c>
      <c r="C208" s="171" t="str">
        <f>INDEX('Customer List w Software'!$B:$B,MATCH('Full Customer List'!$B208,'Customer List w Software'!$A:$A,0))</f>
        <v>Active</v>
      </c>
      <c r="D208" s="171" t="str">
        <f>INDEX('Customer List w Software'!$C:$C,MATCH('Full Customer List'!$B208,'Customer List w Software'!$A:$A,0))</f>
        <v>Property manager</v>
      </c>
      <c r="E208" s="171" t="str">
        <f>INDEX('Customer List Mapping'!$C:$C,MATCH('Full Customer List'!D208,'Customer List Mapping'!$B:$B,0))</f>
        <v>Property Manager</v>
      </c>
      <c r="F208" s="187">
        <f>INDEX('Customer List w Software'!$K:$K,MATCH('Full Customer List'!$B208,'Customer List w Software'!$A:$A,0))</f>
        <v>10</v>
      </c>
      <c r="G208" s="187">
        <f>INDEX('Revenue by Customer'!$I:$I,MATCH('Full Customer List'!$B208,'Revenue by Customer'!$A:$A,0))</f>
        <v>350</v>
      </c>
      <c r="H208" s="250" t="str">
        <f>IFERROR(IF(C208="Active","",INDEX('Client Departures'!$G:$G,MATCH('Full Customer List'!$B208,'Client Departures'!$A:$A,0))),"Unclassified")</f>
        <v/>
      </c>
      <c r="I208" s="191">
        <v>45931</v>
      </c>
      <c r="J208" s="191"/>
      <c r="K208" s="187" t="str">
        <f>INDEX('Revenue by Customer'!K:K,MATCH('Full Customer List'!$B208,'Revenue by Customer'!$A:$A,0))</f>
        <v/>
      </c>
      <c r="L208" s="187" t="str">
        <f>INDEX('Revenue by Customer'!L:L,MATCH('Full Customer List'!$B208,'Revenue by Customer'!$A:$A,0))</f>
        <v/>
      </c>
      <c r="M208" s="187" t="str">
        <f>INDEX('Revenue by Customer'!M:M,MATCH('Full Customer List'!$B208,'Revenue by Customer'!$A:$A,0))</f>
        <v/>
      </c>
      <c r="N208" s="187" t="str">
        <f>INDEX('Revenue by Customer'!N:N,MATCH('Full Customer List'!$B208,'Revenue by Customer'!$A:$A,0))</f>
        <v/>
      </c>
      <c r="O208" s="187" t="str">
        <f>INDEX('Revenue by Customer'!O:O,MATCH('Full Customer List'!$B208,'Revenue by Customer'!$A:$A,0))</f>
        <v/>
      </c>
      <c r="P208" s="187" t="str">
        <f>INDEX('Revenue by Customer'!P:P,MATCH('Full Customer List'!$B208,'Revenue by Customer'!$A:$A,0))</f>
        <v/>
      </c>
      <c r="Q208" s="187" t="str">
        <f>INDEX('Revenue by Customer'!Q:Q,MATCH('Full Customer List'!$B208,'Revenue by Customer'!$A:$A,0))</f>
        <v/>
      </c>
      <c r="R208" s="187" t="str">
        <f>INDEX('Revenue by Customer'!R:R,MATCH('Full Customer List'!$B208,'Revenue by Customer'!$A:$A,0))</f>
        <v/>
      </c>
      <c r="S208" s="187" t="str">
        <f>INDEX('Revenue by Customer'!S:S,MATCH('Full Customer List'!$B208,'Revenue by Customer'!$A:$A,0))</f>
        <v/>
      </c>
      <c r="T208" s="187">
        <f>INDEX('Revenue by Customer'!T:T,MATCH('Full Customer List'!$B208,'Revenue by Customer'!$A:$A,0))</f>
        <v>595</v>
      </c>
      <c r="U208" s="187" t="str">
        <f>INDEX('Revenue by Customer'!U:U,MATCH('Full Customer List'!$B208,'Revenue by Customer'!$A:$A,0))</f>
        <v/>
      </c>
      <c r="V208" s="187" t="str">
        <f>INDEX('Revenue by Customer'!V:V,MATCH('Full Customer List'!$B208,'Revenue by Customer'!$A:$A,0))</f>
        <v/>
      </c>
      <c r="W208" s="187">
        <f>INDEX('Revenue by Customer'!W:W,MATCH('Full Customer List'!$B208,'Revenue by Customer'!$A:$A,0))</f>
        <v>565</v>
      </c>
      <c r="X208" s="187">
        <f>INDEX('Revenue by Customer'!X:X,MATCH('Full Customer List'!$B208,'Revenue by Customer'!$A:$A,0))</f>
        <v>315</v>
      </c>
      <c r="Y208" s="187">
        <f>INDEX('Revenue by Customer'!Y:Y,MATCH('Full Customer List'!$B208,'Revenue by Customer'!$A:$A,0))</f>
        <v>350</v>
      </c>
      <c r="Z208" s="187">
        <f>INDEX('Revenue by Customer'!Z:Z,MATCH('Full Customer List'!$B208,'Revenue by Customer'!$A:$A,0))</f>
        <v>350</v>
      </c>
      <c r="AA208" s="187">
        <f>INDEX('Revenue by Customer'!AA:AA,MATCH('Full Customer List'!$B208,'Revenue by Customer'!$A:$A,0))</f>
        <v>350</v>
      </c>
      <c r="AB208" s="187">
        <f>INDEX('Revenue by Customer'!AB:AB,MATCH('Full Customer List'!$B208,'Revenue by Customer'!$A:$A,0))</f>
        <v>350</v>
      </c>
      <c r="AC208" s="187">
        <f>INDEX('Revenue by Customer'!AC:AC,MATCH('Full Customer List'!$B208,'Revenue by Customer'!$A:$A,0))</f>
        <v>350</v>
      </c>
    </row>
    <row r="209" spans="2:29" ht="12" customHeight="1">
      <c r="B209" s="171" t="s">
        <v>848</v>
      </c>
      <c r="C209" s="171" t="str">
        <f>INDEX('Customer List w Software'!$B:$B,MATCH('Full Customer List'!$B209,'Customer List w Software'!$A:$A,0))</f>
        <v>Active</v>
      </c>
      <c r="D209" s="171" t="str">
        <f>INDEX('Customer List w Software'!$C:$C,MATCH('Full Customer List'!$B209,'Customer List w Software'!$A:$A,0))</f>
        <v>Property manager</v>
      </c>
      <c r="E209" s="171" t="str">
        <f>INDEX('Customer List Mapping'!$C:$C,MATCH('Full Customer List'!D209,'Customer List Mapping'!$B:$B,0))</f>
        <v>Property Manager</v>
      </c>
      <c r="F209" s="187">
        <f>INDEX('Customer List w Software'!$K:$K,MATCH('Full Customer List'!$B209,'Customer List w Software'!$A:$A,0))</f>
        <v>12</v>
      </c>
      <c r="G209" s="187">
        <f>INDEX('Revenue by Customer'!$I:$I,MATCH('Full Customer List'!$B209,'Revenue by Customer'!$A:$A,0))</f>
        <v>420</v>
      </c>
      <c r="H209" s="250" t="str">
        <f>IFERROR(IF(C209="Active","",INDEX('Client Departures'!$G:$G,MATCH('Full Customer List'!$B209,'Client Departures'!$A:$A,0))),"Unclassified")</f>
        <v/>
      </c>
      <c r="I209" s="191">
        <v>46023</v>
      </c>
      <c r="J209" s="191"/>
      <c r="K209" s="187" t="str">
        <f>INDEX('Revenue by Customer'!K:K,MATCH('Full Customer List'!$B209,'Revenue by Customer'!$A:$A,0))</f>
        <v/>
      </c>
      <c r="L209" s="187" t="str">
        <f>INDEX('Revenue by Customer'!L:L,MATCH('Full Customer List'!$B209,'Revenue by Customer'!$A:$A,0))</f>
        <v/>
      </c>
      <c r="M209" s="187" t="str">
        <f>INDEX('Revenue by Customer'!M:M,MATCH('Full Customer List'!$B209,'Revenue by Customer'!$A:$A,0))</f>
        <v/>
      </c>
      <c r="N209" s="187" t="str">
        <f>INDEX('Revenue by Customer'!N:N,MATCH('Full Customer List'!$B209,'Revenue by Customer'!$A:$A,0))</f>
        <v/>
      </c>
      <c r="O209" s="187" t="str">
        <f>INDEX('Revenue by Customer'!O:O,MATCH('Full Customer List'!$B209,'Revenue by Customer'!$A:$A,0))</f>
        <v/>
      </c>
      <c r="P209" s="187" t="str">
        <f>INDEX('Revenue by Customer'!P:P,MATCH('Full Customer List'!$B209,'Revenue by Customer'!$A:$A,0))</f>
        <v/>
      </c>
      <c r="Q209" s="187" t="str">
        <f>INDEX('Revenue by Customer'!Q:Q,MATCH('Full Customer List'!$B209,'Revenue by Customer'!$A:$A,0))</f>
        <v/>
      </c>
      <c r="R209" s="187" t="str">
        <f>INDEX('Revenue by Customer'!R:R,MATCH('Full Customer List'!$B209,'Revenue by Customer'!$A:$A,0))</f>
        <v/>
      </c>
      <c r="S209" s="187" t="str">
        <f>INDEX('Revenue by Customer'!S:S,MATCH('Full Customer List'!$B209,'Revenue by Customer'!$A:$A,0))</f>
        <v/>
      </c>
      <c r="T209" s="187" t="str">
        <f>INDEX('Revenue by Customer'!T:T,MATCH('Full Customer List'!$B209,'Revenue by Customer'!$A:$A,0))</f>
        <v/>
      </c>
      <c r="U209" s="187" t="str">
        <f>INDEX('Revenue by Customer'!U:U,MATCH('Full Customer List'!$B209,'Revenue by Customer'!$A:$A,0))</f>
        <v/>
      </c>
      <c r="V209" s="187" t="str">
        <f>INDEX('Revenue by Customer'!V:V,MATCH('Full Customer List'!$B209,'Revenue by Customer'!$A:$A,0))</f>
        <v/>
      </c>
      <c r="W209" s="187">
        <f>INDEX('Revenue by Customer'!W:W,MATCH('Full Customer List'!$B209,'Revenue by Customer'!$A:$A,0))</f>
        <v>630</v>
      </c>
      <c r="X209" s="187">
        <f>INDEX('Revenue by Customer'!X:X,MATCH('Full Customer List'!$B209,'Revenue by Customer'!$A:$A,0))</f>
        <v>420</v>
      </c>
      <c r="Y209" s="187">
        <f>INDEX('Revenue by Customer'!Y:Y,MATCH('Full Customer List'!$B209,'Revenue by Customer'!$A:$A,0))</f>
        <v>455</v>
      </c>
      <c r="Z209" s="187">
        <f>INDEX('Revenue by Customer'!Z:Z,MATCH('Full Customer List'!$B209,'Revenue by Customer'!$A:$A,0))</f>
        <v>455</v>
      </c>
      <c r="AA209" s="187">
        <f>INDEX('Revenue by Customer'!AA:AA,MATCH('Full Customer List'!$B209,'Revenue by Customer'!$A:$A,0))</f>
        <v>420</v>
      </c>
      <c r="AB209" s="187">
        <f>INDEX('Revenue by Customer'!AB:AB,MATCH('Full Customer List'!$B209,'Revenue by Customer'!$A:$A,0))</f>
        <v>420</v>
      </c>
      <c r="AC209" s="187">
        <f>INDEX('Revenue by Customer'!AC:AC,MATCH('Full Customer List'!$B209,'Revenue by Customer'!$A:$A,0))</f>
        <v>420</v>
      </c>
    </row>
    <row r="210" spans="2:29" ht="12" customHeight="1">
      <c r="B210" s="171" t="s">
        <v>849</v>
      </c>
      <c r="C210" s="171" t="str">
        <f>INDEX('Customer List w Software'!$B:$B,MATCH('Full Customer List'!$B210,'Customer List w Software'!$A:$A,0))</f>
        <v>Former client</v>
      </c>
      <c r="D210" s="171" t="str">
        <f>INDEX('Customer List w Software'!$C:$C,MATCH('Full Customer List'!$B210,'Customer List w Software'!$A:$A,0))</f>
        <v>Property manager</v>
      </c>
      <c r="E210" s="171" t="str">
        <f>INDEX('Customer List Mapping'!$C:$C,MATCH('Full Customer List'!D210,'Customer List Mapping'!$B:$B,0))</f>
        <v>Property Manager</v>
      </c>
      <c r="F210" s="187">
        <f>INDEX('Customer List w Software'!$K:$K,MATCH('Full Customer List'!$B210,'Customer List w Software'!$A:$A,0))</f>
        <v>9</v>
      </c>
      <c r="G210" s="187">
        <f>INDEX('Revenue by Customer'!$I:$I,MATCH('Full Customer List'!$B210,'Revenue by Customer'!$A:$A,0))</f>
        <v>626.66666666666663</v>
      </c>
      <c r="H210" s="250" t="str">
        <f>IFERROR(IF(C210="Active","",INDEX('Client Departures'!$G:$G,MATCH('Full Customer List'!$B210,'Client Departures'!$A:$A,0))),"Unclassified")</f>
        <v>Yes</v>
      </c>
      <c r="I210" s="191">
        <v>45992</v>
      </c>
      <c r="J210" s="191">
        <v>46173</v>
      </c>
      <c r="K210" s="187" t="str">
        <f>INDEX('Revenue by Customer'!K:K,MATCH('Full Customer List'!$B210,'Revenue by Customer'!$A:$A,0))</f>
        <v/>
      </c>
      <c r="L210" s="187" t="str">
        <f>INDEX('Revenue by Customer'!L:L,MATCH('Full Customer List'!$B210,'Revenue by Customer'!$A:$A,0))</f>
        <v/>
      </c>
      <c r="M210" s="187" t="str">
        <f>INDEX('Revenue by Customer'!M:M,MATCH('Full Customer List'!$B210,'Revenue by Customer'!$A:$A,0))</f>
        <v/>
      </c>
      <c r="N210" s="187" t="str">
        <f>INDEX('Revenue by Customer'!N:N,MATCH('Full Customer List'!$B210,'Revenue by Customer'!$A:$A,0))</f>
        <v/>
      </c>
      <c r="O210" s="187" t="str">
        <f>INDEX('Revenue by Customer'!O:O,MATCH('Full Customer List'!$B210,'Revenue by Customer'!$A:$A,0))</f>
        <v/>
      </c>
      <c r="P210" s="187" t="str">
        <f>INDEX('Revenue by Customer'!P:P,MATCH('Full Customer List'!$B210,'Revenue by Customer'!$A:$A,0))</f>
        <v/>
      </c>
      <c r="Q210" s="187" t="str">
        <f>INDEX('Revenue by Customer'!Q:Q,MATCH('Full Customer List'!$B210,'Revenue by Customer'!$A:$A,0))</f>
        <v/>
      </c>
      <c r="R210" s="187" t="str">
        <f>INDEX('Revenue by Customer'!R:R,MATCH('Full Customer List'!$B210,'Revenue by Customer'!$A:$A,0))</f>
        <v/>
      </c>
      <c r="S210" s="187" t="str">
        <f>INDEX('Revenue by Customer'!S:S,MATCH('Full Customer List'!$B210,'Revenue by Customer'!$A:$A,0))</f>
        <v/>
      </c>
      <c r="T210" s="187" t="str">
        <f>INDEX('Revenue by Customer'!T:T,MATCH('Full Customer List'!$B210,'Revenue by Customer'!$A:$A,0))</f>
        <v/>
      </c>
      <c r="U210" s="187" t="str">
        <f>INDEX('Revenue by Customer'!U:U,MATCH('Full Customer List'!$B210,'Revenue by Customer'!$A:$A,0))</f>
        <v/>
      </c>
      <c r="V210" s="187">
        <f>INDEX('Revenue by Customer'!V:V,MATCH('Full Customer List'!$B210,'Revenue by Customer'!$A:$A,0))</f>
        <v>973</v>
      </c>
      <c r="W210" s="187">
        <f>INDEX('Revenue by Customer'!W:W,MATCH('Full Customer List'!$B210,'Revenue by Customer'!$A:$A,0))</f>
        <v>-183</v>
      </c>
      <c r="X210" s="187">
        <f>INDEX('Revenue by Customer'!X:X,MATCH('Full Customer List'!$B210,'Revenue by Customer'!$A:$A,0))</f>
        <v>453</v>
      </c>
      <c r="Y210" s="187">
        <f>INDEX('Revenue by Customer'!Y:Y,MATCH('Full Customer List'!$B210,'Revenue by Customer'!$A:$A,0))</f>
        <v>690</v>
      </c>
      <c r="Z210" s="187">
        <f>INDEX('Revenue by Customer'!Z:Z,MATCH('Full Customer List'!$B210,'Revenue by Customer'!$A:$A,0))</f>
        <v>595</v>
      </c>
      <c r="AA210" s="187">
        <f>INDEX('Revenue by Customer'!AA:AA,MATCH('Full Customer List'!$B210,'Revenue by Customer'!$A:$A,0))</f>
        <v>595</v>
      </c>
      <c r="AB210" s="187" t="str">
        <f>INDEX('Revenue by Customer'!AB:AB,MATCH('Full Customer List'!$B210,'Revenue by Customer'!$A:$A,0))</f>
        <v/>
      </c>
      <c r="AC210" s="187" t="str">
        <f>INDEX('Revenue by Customer'!AC:AC,MATCH('Full Customer List'!$B210,'Revenue by Customer'!$A:$A,0))</f>
        <v/>
      </c>
    </row>
    <row r="211" spans="2:29" ht="12" customHeight="1">
      <c r="B211" s="171" t="s">
        <v>850</v>
      </c>
      <c r="C211" s="171" t="str">
        <f>INDEX('Customer List w Software'!$B:$B,MATCH('Full Customer List'!$B211,'Customer List w Software'!$A:$A,0))</f>
        <v>Former client</v>
      </c>
      <c r="D211" s="171" t="str">
        <f>INDEX('Customer List w Software'!$C:$C,MATCH('Full Customer List'!$B211,'Customer List w Software'!$A:$A,0))</f>
        <v>Property manager</v>
      </c>
      <c r="E211" s="171" t="str">
        <f>INDEX('Customer List Mapping'!$C:$C,MATCH('Full Customer List'!D211,'Customer List Mapping'!$B:$B,0))</f>
        <v>Property Manager</v>
      </c>
      <c r="F211" s="187">
        <f>INDEX('Customer List w Software'!$K:$K,MATCH('Full Customer List'!$B211,'Customer List w Software'!$A:$A,0))</f>
        <v>8</v>
      </c>
      <c r="G211" s="187">
        <f>INDEX('Revenue by Customer'!$I:$I,MATCH('Full Customer List'!$B211,'Revenue by Customer'!$A:$A,0))</f>
        <v>563.33333333333337</v>
      </c>
      <c r="H211" s="250" t="str">
        <f>IFERROR(IF(C211="Active","",INDEX('Client Departures'!$G:$G,MATCH('Full Customer List'!$B211,'Client Departures'!$A:$A,0))),"Unclassified")</f>
        <v>Yes</v>
      </c>
      <c r="I211" s="191">
        <v>46023</v>
      </c>
      <c r="J211" s="191">
        <v>46142</v>
      </c>
      <c r="K211" s="187" t="str">
        <f>INDEX('Revenue by Customer'!K:K,MATCH('Full Customer List'!$B211,'Revenue by Customer'!$A:$A,0))</f>
        <v/>
      </c>
      <c r="L211" s="187" t="str">
        <f>INDEX('Revenue by Customer'!L:L,MATCH('Full Customer List'!$B211,'Revenue by Customer'!$A:$A,0))</f>
        <v/>
      </c>
      <c r="M211" s="187" t="str">
        <f>INDEX('Revenue by Customer'!M:M,MATCH('Full Customer List'!$B211,'Revenue by Customer'!$A:$A,0))</f>
        <v/>
      </c>
      <c r="N211" s="187" t="str">
        <f>INDEX('Revenue by Customer'!N:N,MATCH('Full Customer List'!$B211,'Revenue by Customer'!$A:$A,0))</f>
        <v/>
      </c>
      <c r="O211" s="187" t="str">
        <f>INDEX('Revenue by Customer'!O:O,MATCH('Full Customer List'!$B211,'Revenue by Customer'!$A:$A,0))</f>
        <v/>
      </c>
      <c r="P211" s="187" t="str">
        <f>INDEX('Revenue by Customer'!P:P,MATCH('Full Customer List'!$B211,'Revenue by Customer'!$A:$A,0))</f>
        <v/>
      </c>
      <c r="Q211" s="187" t="str">
        <f>INDEX('Revenue by Customer'!Q:Q,MATCH('Full Customer List'!$B211,'Revenue by Customer'!$A:$A,0))</f>
        <v/>
      </c>
      <c r="R211" s="187" t="str">
        <f>INDEX('Revenue by Customer'!R:R,MATCH('Full Customer List'!$B211,'Revenue by Customer'!$A:$A,0))</f>
        <v/>
      </c>
      <c r="S211" s="187" t="str">
        <f>INDEX('Revenue by Customer'!S:S,MATCH('Full Customer List'!$B211,'Revenue by Customer'!$A:$A,0))</f>
        <v/>
      </c>
      <c r="T211" s="187" t="str">
        <f>INDEX('Revenue by Customer'!T:T,MATCH('Full Customer List'!$B211,'Revenue by Customer'!$A:$A,0))</f>
        <v/>
      </c>
      <c r="U211" s="187" t="str">
        <f>INDEX('Revenue by Customer'!U:U,MATCH('Full Customer List'!$B211,'Revenue by Customer'!$A:$A,0))</f>
        <v/>
      </c>
      <c r="V211" s="187" t="str">
        <f>INDEX('Revenue by Customer'!V:V,MATCH('Full Customer List'!$B211,'Revenue by Customer'!$A:$A,0))</f>
        <v/>
      </c>
      <c r="W211" s="187">
        <f>INDEX('Revenue by Customer'!W:W,MATCH('Full Customer List'!$B211,'Revenue by Customer'!$A:$A,0))</f>
        <v>1345</v>
      </c>
      <c r="X211" s="187">
        <f>INDEX('Revenue by Customer'!X:X,MATCH('Full Customer List'!$B211,'Revenue by Customer'!$A:$A,0))</f>
        <v>745</v>
      </c>
      <c r="Y211" s="187">
        <f>INDEX('Revenue by Customer'!Y:Y,MATCH('Full Customer List'!$B211,'Revenue by Customer'!$A:$A,0))</f>
        <v>295</v>
      </c>
      <c r="Z211" s="187">
        <f>INDEX('Revenue by Customer'!Z:Z,MATCH('Full Customer List'!$B211,'Revenue by Customer'!$A:$A,0))</f>
        <v>650</v>
      </c>
      <c r="AA211" s="187" t="str">
        <f>INDEX('Revenue by Customer'!AA:AA,MATCH('Full Customer List'!$B211,'Revenue by Customer'!$A:$A,0))</f>
        <v/>
      </c>
      <c r="AB211" s="187" t="str">
        <f>INDEX('Revenue by Customer'!AB:AB,MATCH('Full Customer List'!$B211,'Revenue by Customer'!$A:$A,0))</f>
        <v/>
      </c>
      <c r="AC211" s="187" t="str">
        <f>INDEX('Revenue by Customer'!AC:AC,MATCH('Full Customer List'!$B211,'Revenue by Customer'!$A:$A,0))</f>
        <v/>
      </c>
    </row>
    <row r="212" spans="2:29" ht="12" customHeight="1">
      <c r="B212" s="171" t="s">
        <v>853</v>
      </c>
      <c r="C212" s="171" t="str">
        <f>INDEX('Customer List w Software'!$B:$B,MATCH('Full Customer List'!$B212,'Customer List w Software'!$A:$A,0))</f>
        <v>Former client</v>
      </c>
      <c r="D212" s="171" t="str">
        <f>INDEX('Customer List w Software'!$C:$C,MATCH('Full Customer List'!$B212,'Customer List w Software'!$A:$A,0))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87" t="str">
        <f>INDEX('Customer List w Software'!$K:$K,MATCH('Full Customer List'!$B212,'Customer List w Software'!$A:$A,0))</f>
        <v/>
      </c>
      <c r="G212" s="187">
        <f>INDEX('Revenue by Customer'!$I:$I,MATCH('Full Customer List'!$B212,'Revenue by Customer'!$A:$A,0))</f>
        <v>471.66666666666669</v>
      </c>
      <c r="H212" s="250" t="str">
        <f>IFERROR(IF(C212="Active","",INDEX('Client Departures'!$G:$G,MATCH('Full Customer List'!$B212,'Client Departures'!$A:$A,0))),"Unclassified")</f>
        <v>Yes</v>
      </c>
      <c r="I212" s="191">
        <v>45717</v>
      </c>
      <c r="J212" s="191">
        <v>46022</v>
      </c>
      <c r="K212" s="187" t="str">
        <f>INDEX('Revenue by Customer'!K:K,MATCH('Full Customer List'!$B212,'Revenue by Customer'!$A:$A,0))</f>
        <v/>
      </c>
      <c r="L212" s="187" t="str">
        <f>INDEX('Revenue by Customer'!L:L,MATCH('Full Customer List'!$B212,'Revenue by Customer'!$A:$A,0))</f>
        <v/>
      </c>
      <c r="M212" s="187">
        <f>INDEX('Revenue by Customer'!M:M,MATCH('Full Customer List'!$B212,'Revenue by Customer'!$A:$A,0))</f>
        <v>460</v>
      </c>
      <c r="N212" s="187" t="str">
        <f>INDEX('Revenue by Customer'!N:N,MATCH('Full Customer List'!$B212,'Revenue by Customer'!$A:$A,0))</f>
        <v/>
      </c>
      <c r="O212" s="187" t="str">
        <f>INDEX('Revenue by Customer'!O:O,MATCH('Full Customer List'!$B212,'Revenue by Customer'!$A:$A,0))</f>
        <v/>
      </c>
      <c r="P212" s="187">
        <f>INDEX('Revenue by Customer'!P:P,MATCH('Full Customer List'!$B212,'Revenue by Customer'!$A:$A,0))</f>
        <v>917.5</v>
      </c>
      <c r="Q212" s="187">
        <f>INDEX('Revenue by Customer'!Q:Q,MATCH('Full Customer List'!$B212,'Revenue by Customer'!$A:$A,0))</f>
        <v>467.5</v>
      </c>
      <c r="R212" s="187">
        <f>INDEX('Revenue by Customer'!R:R,MATCH('Full Customer List'!$B212,'Revenue by Customer'!$A:$A,0))</f>
        <v>467.5</v>
      </c>
      <c r="S212" s="187">
        <f>INDEX('Revenue by Customer'!S:S,MATCH('Full Customer List'!$B212,'Revenue by Customer'!$A:$A,0))</f>
        <v>550</v>
      </c>
      <c r="T212" s="187">
        <f>INDEX('Revenue by Customer'!T:T,MATCH('Full Customer List'!$B212,'Revenue by Customer'!$A:$A,0))</f>
        <v>550</v>
      </c>
      <c r="U212" s="187">
        <f>INDEX('Revenue by Customer'!U:U,MATCH('Full Customer List'!$B212,'Revenue by Customer'!$A:$A,0))</f>
        <v>550</v>
      </c>
      <c r="V212" s="187">
        <f>INDEX('Revenue by Customer'!V:V,MATCH('Full Customer List'!$B212,'Revenue by Customer'!$A:$A,0))</f>
        <v>775</v>
      </c>
      <c r="W212" s="187" t="str">
        <f>INDEX('Revenue by Customer'!W:W,MATCH('Full Customer List'!$B212,'Revenue by Customer'!$A:$A,0))</f>
        <v/>
      </c>
      <c r="X212" s="187" t="str">
        <f>INDEX('Revenue by Customer'!X:X,MATCH('Full Customer List'!$B212,'Revenue by Customer'!$A:$A,0))</f>
        <v/>
      </c>
      <c r="Y212" s="187">
        <f>INDEX('Revenue by Customer'!Y:Y,MATCH('Full Customer List'!$B212,'Revenue by Customer'!$A:$A,0))</f>
        <v>90</v>
      </c>
      <c r="Z212" s="187" t="str">
        <f>INDEX('Revenue by Customer'!Z:Z,MATCH('Full Customer List'!$B212,'Revenue by Customer'!$A:$A,0))</f>
        <v/>
      </c>
      <c r="AA212" s="187" t="str">
        <f>INDEX('Revenue by Customer'!AA:AA,MATCH('Full Customer List'!$B212,'Revenue by Customer'!$A:$A,0))</f>
        <v/>
      </c>
      <c r="AB212" s="187" t="str">
        <f>INDEX('Revenue by Customer'!AB:AB,MATCH('Full Customer List'!$B212,'Revenue by Customer'!$A:$A,0))</f>
        <v/>
      </c>
      <c r="AC212" s="187" t="str">
        <f>INDEX('Revenue by Customer'!AC:AC,MATCH('Full Customer List'!$B212,'Revenue by Customer'!$A:$A,0))</f>
        <v/>
      </c>
    </row>
    <row r="213" spans="2:29" ht="12" customHeight="1">
      <c r="B213" s="171" t="s">
        <v>854</v>
      </c>
      <c r="C213" s="171" t="str">
        <f>INDEX('Customer List w Software'!$B:$B,MATCH('Full Customer List'!$B213,'Customer List w Software'!$A:$A,0))</f>
        <v>Former client</v>
      </c>
      <c r="D213" s="171" t="str">
        <f>INDEX('Customer List w Software'!$C:$C,MATCH('Full Customer List'!$B213,'Customer List w Software'!$A:$A,0))</f>
        <v>Property manager</v>
      </c>
      <c r="E213" s="171" t="str">
        <f>INDEX('Customer List Mapping'!$C:$C,MATCH('Full Customer List'!D213,'Customer List Mapping'!$B:$B,0))</f>
        <v>Property Manager</v>
      </c>
      <c r="F213" s="187">
        <f>INDEX('Customer List w Software'!$K:$K,MATCH('Full Customer List'!$B213,'Customer List w Software'!$A:$A,0))</f>
        <v>5</v>
      </c>
      <c r="G213" s="187">
        <f>INDEX('Revenue by Customer'!$I:$I,MATCH('Full Customer List'!$B213,'Revenue by Customer'!$A:$A,0))</f>
        <v>446</v>
      </c>
      <c r="H213" s="250" t="str">
        <f>IFERROR(IF(C213="Active","",INDEX('Client Departures'!$G:$G,MATCH('Full Customer List'!$B213,'Client Departures'!$A:$A,0))),"Unclassified")</f>
        <v>Yes</v>
      </c>
      <c r="I213" s="191">
        <v>45658</v>
      </c>
      <c r="J213" s="191">
        <v>46173</v>
      </c>
      <c r="K213" s="187" t="str">
        <f>INDEX('Revenue by Customer'!K:K,MATCH('Full Customer List'!$B213,'Revenue by Customer'!$A:$A,0))</f>
        <v/>
      </c>
      <c r="L213" s="187" t="str">
        <f>INDEX('Revenue by Customer'!L:L,MATCH('Full Customer List'!$B213,'Revenue by Customer'!$A:$A,0))</f>
        <v/>
      </c>
      <c r="M213" s="187" t="str">
        <f>INDEX('Revenue by Customer'!M:M,MATCH('Full Customer List'!$B213,'Revenue by Customer'!$A:$A,0))</f>
        <v/>
      </c>
      <c r="N213" s="187" t="str">
        <f>INDEX('Revenue by Customer'!N:N,MATCH('Full Customer List'!$B213,'Revenue by Customer'!$A:$A,0))</f>
        <v/>
      </c>
      <c r="O213" s="187" t="str">
        <f>INDEX('Revenue by Customer'!O:O,MATCH('Full Customer List'!$B213,'Revenue by Customer'!$A:$A,0))</f>
        <v/>
      </c>
      <c r="P213" s="187" t="str">
        <f>INDEX('Revenue by Customer'!P:P,MATCH('Full Customer List'!$B213,'Revenue by Customer'!$A:$A,0))</f>
        <v/>
      </c>
      <c r="Q213" s="187" t="str">
        <f>INDEX('Revenue by Customer'!Q:Q,MATCH('Full Customer List'!$B213,'Revenue by Customer'!$A:$A,0))</f>
        <v/>
      </c>
      <c r="R213" s="187" t="str">
        <f>INDEX('Revenue by Customer'!R:R,MATCH('Full Customer List'!$B213,'Revenue by Customer'!$A:$A,0))</f>
        <v/>
      </c>
      <c r="S213" s="187" t="str">
        <f>INDEX('Revenue by Customer'!S:S,MATCH('Full Customer List'!$B213,'Revenue by Customer'!$A:$A,0))</f>
        <v/>
      </c>
      <c r="T213" s="187" t="str">
        <f>INDEX('Revenue by Customer'!T:T,MATCH('Full Customer List'!$B213,'Revenue by Customer'!$A:$A,0))</f>
        <v/>
      </c>
      <c r="U213" s="187" t="str">
        <f>INDEX('Revenue by Customer'!U:U,MATCH('Full Customer List'!$B213,'Revenue by Customer'!$A:$A,0))</f>
        <v/>
      </c>
      <c r="V213" s="187" t="str">
        <f>INDEX('Revenue by Customer'!V:V,MATCH('Full Customer List'!$B213,'Revenue by Customer'!$A:$A,0))</f>
        <v/>
      </c>
      <c r="W213" s="187">
        <f>INDEX('Revenue by Customer'!W:W,MATCH('Full Customer List'!$B213,'Revenue by Customer'!$A:$A,0))</f>
        <v>1118</v>
      </c>
      <c r="X213" s="187">
        <f>INDEX('Revenue by Customer'!X:X,MATCH('Full Customer List'!$B213,'Revenue by Customer'!$A:$A,0))</f>
        <v>470</v>
      </c>
      <c r="Y213" s="187">
        <f>INDEX('Revenue by Customer'!Y:Y,MATCH('Full Customer List'!$B213,'Revenue by Customer'!$A:$A,0))</f>
        <v>398</v>
      </c>
      <c r="Z213" s="187">
        <f>INDEX('Revenue by Customer'!Z:Z,MATCH('Full Customer List'!$B213,'Revenue by Customer'!$A:$A,0))</f>
        <v>470</v>
      </c>
      <c r="AA213" s="187">
        <f>INDEX('Revenue by Customer'!AA:AA,MATCH('Full Customer List'!$B213,'Revenue by Customer'!$A:$A,0))</f>
        <v>470</v>
      </c>
      <c r="AB213" s="187" t="str">
        <f>INDEX('Revenue by Customer'!AB:AB,MATCH('Full Customer List'!$B213,'Revenue by Customer'!$A:$A,0))</f>
        <v/>
      </c>
      <c r="AC213" s="187" t="str">
        <f>INDEX('Revenue by Customer'!AC:AC,MATCH('Full Customer List'!$B213,'Revenue by Customer'!$A:$A,0))</f>
        <v/>
      </c>
    </row>
    <row r="214" spans="2:29" ht="12" customHeight="1">
      <c r="B214" s="171" t="s">
        <v>855</v>
      </c>
      <c r="C214" s="171" t="str">
        <f>INDEX('Customer List w Software'!$B:$B,MATCH('Full Customer List'!$B214,'Customer List w Software'!$A:$A,0))</f>
        <v>Former client</v>
      </c>
      <c r="D214" s="171" t="str">
        <f>INDEX('Customer List w Software'!$C:$C,MATCH('Full Customer List'!$B214,'Customer List w Software'!$A:$A,0))</f>
        <v>Property manager</v>
      </c>
      <c r="E214" s="171" t="str">
        <f>INDEX('Customer List Mapping'!$C:$C,MATCH('Full Customer List'!D214,'Customer List Mapping'!$B:$B,0))</f>
        <v>Property Manager</v>
      </c>
      <c r="F214" s="187">
        <f>INDEX('Customer List w Software'!$K:$K,MATCH('Full Customer List'!$B214,'Customer List w Software'!$A:$A,0))</f>
        <v>4</v>
      </c>
      <c r="G214" s="187">
        <f>INDEX('Revenue by Customer'!$I:$I,MATCH('Full Customer List'!$B214,'Revenue by Customer'!$A:$A,0))</f>
        <v>425</v>
      </c>
      <c r="H214" s="250" t="str">
        <f>IFERROR(IF(C214="Active","",INDEX('Client Departures'!$G:$G,MATCH('Full Customer List'!$B214,'Client Departures'!$A:$A,0))),"Unclassified")</f>
        <v>Yes</v>
      </c>
      <c r="I214" s="191">
        <v>45413</v>
      </c>
      <c r="J214" s="191">
        <v>46081</v>
      </c>
      <c r="K214" s="187">
        <f>INDEX('Revenue by Customer'!K:K,MATCH('Full Customer List'!$B214,'Revenue by Customer'!$A:$A,0))</f>
        <v>474</v>
      </c>
      <c r="L214" s="187">
        <f>INDEX('Revenue by Customer'!L:L,MATCH('Full Customer List'!$B214,'Revenue by Customer'!$A:$A,0))</f>
        <v>474</v>
      </c>
      <c r="M214" s="187">
        <f>INDEX('Revenue by Customer'!M:M,MATCH('Full Customer List'!$B214,'Revenue by Customer'!$A:$A,0))</f>
        <v>474</v>
      </c>
      <c r="N214" s="187">
        <f>INDEX('Revenue by Customer'!N:N,MATCH('Full Customer List'!$B214,'Revenue by Customer'!$A:$A,0))</f>
        <v>474</v>
      </c>
      <c r="O214" s="187">
        <f>INDEX('Revenue by Customer'!O:O,MATCH('Full Customer List'!$B214,'Revenue by Customer'!$A:$A,0))</f>
        <v>475</v>
      </c>
      <c r="P214" s="187">
        <f>INDEX('Revenue by Customer'!P:P,MATCH('Full Customer List'!$B214,'Revenue by Customer'!$A:$A,0))</f>
        <v>400</v>
      </c>
      <c r="Q214" s="187">
        <f>INDEX('Revenue by Customer'!Q:Q,MATCH('Full Customer List'!$B214,'Revenue by Customer'!$A:$A,0))</f>
        <v>400</v>
      </c>
      <c r="R214" s="187">
        <f>INDEX('Revenue by Customer'!R:R,MATCH('Full Customer List'!$B214,'Revenue by Customer'!$A:$A,0))</f>
        <v>400</v>
      </c>
      <c r="S214" s="187">
        <f>INDEX('Revenue by Customer'!S:S,MATCH('Full Customer List'!$B214,'Revenue by Customer'!$A:$A,0))</f>
        <v>400</v>
      </c>
      <c r="T214" s="187">
        <f>INDEX('Revenue by Customer'!T:T,MATCH('Full Customer List'!$B214,'Revenue by Customer'!$A:$A,0))</f>
        <v>400</v>
      </c>
      <c r="U214" s="187">
        <f>INDEX('Revenue by Customer'!U:U,MATCH('Full Customer List'!$B214,'Revenue by Customer'!$A:$A,0))</f>
        <v>400</v>
      </c>
      <c r="V214" s="187">
        <f>INDEX('Revenue by Customer'!V:V,MATCH('Full Customer List'!$B214,'Revenue by Customer'!$A:$A,0))</f>
        <v>400</v>
      </c>
      <c r="W214" s="187">
        <f>INDEX('Revenue by Customer'!W:W,MATCH('Full Customer List'!$B214,'Revenue by Customer'!$A:$A,0))</f>
        <v>400</v>
      </c>
      <c r="X214" s="187">
        <f>INDEX('Revenue by Customer'!X:X,MATCH('Full Customer List'!$B214,'Revenue by Customer'!$A:$A,0))</f>
        <v>475</v>
      </c>
      <c r="Y214" s="187" t="str">
        <f>INDEX('Revenue by Customer'!Y:Y,MATCH('Full Customer List'!$B214,'Revenue by Customer'!$A:$A,0))</f>
        <v/>
      </c>
      <c r="Z214" s="187" t="str">
        <f>INDEX('Revenue by Customer'!Z:Z,MATCH('Full Customer List'!$B214,'Revenue by Customer'!$A:$A,0))</f>
        <v/>
      </c>
      <c r="AA214" s="187" t="str">
        <f>INDEX('Revenue by Customer'!AA:AA,MATCH('Full Customer List'!$B214,'Revenue by Customer'!$A:$A,0))</f>
        <v/>
      </c>
      <c r="AB214" s="187" t="str">
        <f>INDEX('Revenue by Customer'!AB:AB,MATCH('Full Customer List'!$B214,'Revenue by Customer'!$A:$A,0))</f>
        <v/>
      </c>
      <c r="AC214" s="187" t="str">
        <f>INDEX('Revenue by Customer'!AC:AC,MATCH('Full Customer List'!$B214,'Revenue by Customer'!$A:$A,0))</f>
        <v/>
      </c>
    </row>
    <row r="215" spans="2:29" ht="12" customHeight="1">
      <c r="B215" s="171" t="s">
        <v>856</v>
      </c>
      <c r="C215" s="171" t="str">
        <f>INDEX('Customer List w Software'!$B:$B,MATCH('Full Customer List'!$B215,'Customer List w Software'!$A:$A,0))</f>
        <v>Active</v>
      </c>
      <c r="D215" s="171" t="str">
        <f>INDEX('Customer List w Software'!$C:$C,MATCH('Full Customer List'!$B215,'Customer List w Software'!$A:$A,0))</f>
        <v>Property manager</v>
      </c>
      <c r="E215" s="171" t="str">
        <f>INDEX('Customer List Mapping'!$C:$C,MATCH('Full Customer List'!D215,'Customer List Mapping'!$B:$B,0))</f>
        <v>Property Manager</v>
      </c>
      <c r="F215" s="187">
        <f>INDEX('Customer List w Software'!$K:$K,MATCH('Full Customer List'!$B215,'Customer List w Software'!$A:$A,0))</f>
        <v>6</v>
      </c>
      <c r="G215" s="187">
        <f>INDEX('Revenue by Customer'!$I:$I,MATCH('Full Customer List'!$B215,'Revenue by Customer'!$A:$A,0))</f>
        <v>420</v>
      </c>
      <c r="H215" s="250" t="str">
        <f>IFERROR(IF(C215="Active","",INDEX('Client Departures'!$G:$G,MATCH('Full Customer List'!$B215,'Client Departures'!$A:$A,0))),"Unclassified")</f>
        <v/>
      </c>
      <c r="I215" s="191">
        <v>46054</v>
      </c>
      <c r="J215" s="191"/>
      <c r="K215" s="187" t="str">
        <f>INDEX('Revenue by Customer'!K:K,MATCH('Full Customer List'!$B215,'Revenue by Customer'!$A:$A,0))</f>
        <v/>
      </c>
      <c r="L215" s="187" t="str">
        <f>INDEX('Revenue by Customer'!L:L,MATCH('Full Customer List'!$B215,'Revenue by Customer'!$A:$A,0))</f>
        <v/>
      </c>
      <c r="M215" s="187" t="str">
        <f>INDEX('Revenue by Customer'!M:M,MATCH('Full Customer List'!$B215,'Revenue by Customer'!$A:$A,0))</f>
        <v/>
      </c>
      <c r="N215" s="187" t="str">
        <f>INDEX('Revenue by Customer'!N:N,MATCH('Full Customer List'!$B215,'Revenue by Customer'!$A:$A,0))</f>
        <v/>
      </c>
      <c r="O215" s="187" t="str">
        <f>INDEX('Revenue by Customer'!O:O,MATCH('Full Customer List'!$B215,'Revenue by Customer'!$A:$A,0))</f>
        <v/>
      </c>
      <c r="P215" s="187" t="str">
        <f>INDEX('Revenue by Customer'!P:P,MATCH('Full Customer List'!$B215,'Revenue by Customer'!$A:$A,0))</f>
        <v/>
      </c>
      <c r="Q215" s="187" t="str">
        <f>INDEX('Revenue by Customer'!Q:Q,MATCH('Full Customer List'!$B215,'Revenue by Customer'!$A:$A,0))</f>
        <v/>
      </c>
      <c r="R215" s="187" t="str">
        <f>INDEX('Revenue by Customer'!R:R,MATCH('Full Customer List'!$B215,'Revenue by Customer'!$A:$A,0))</f>
        <v/>
      </c>
      <c r="S215" s="187" t="str">
        <f>INDEX('Revenue by Customer'!S:S,MATCH('Full Customer List'!$B215,'Revenue by Customer'!$A:$A,0))</f>
        <v/>
      </c>
      <c r="T215" s="187" t="str">
        <f>INDEX('Revenue by Customer'!T:T,MATCH('Full Customer List'!$B215,'Revenue by Customer'!$A:$A,0))</f>
        <v/>
      </c>
      <c r="U215" s="187" t="str">
        <f>INDEX('Revenue by Customer'!U:U,MATCH('Full Customer List'!$B215,'Revenue by Customer'!$A:$A,0))</f>
        <v/>
      </c>
      <c r="V215" s="187" t="str">
        <f>INDEX('Revenue by Customer'!V:V,MATCH('Full Customer List'!$B215,'Revenue by Customer'!$A:$A,0))</f>
        <v/>
      </c>
      <c r="W215" s="187" t="str">
        <f>INDEX('Revenue by Customer'!W:W,MATCH('Full Customer List'!$B215,'Revenue by Customer'!$A:$A,0))</f>
        <v/>
      </c>
      <c r="X215" s="187">
        <f>INDEX('Revenue by Customer'!X:X,MATCH('Full Customer List'!$B215,'Revenue by Customer'!$A:$A,0))</f>
        <v>718</v>
      </c>
      <c r="Y215" s="187">
        <f>INDEX('Revenue by Customer'!Y:Y,MATCH('Full Customer List'!$B215,'Revenue by Customer'!$A:$A,0))</f>
        <v>408</v>
      </c>
      <c r="Z215" s="187">
        <f>INDEX('Revenue by Customer'!Z:Z,MATCH('Full Customer List'!$B215,'Revenue by Customer'!$A:$A,0))</f>
        <v>408</v>
      </c>
      <c r="AA215" s="187">
        <f>INDEX('Revenue by Customer'!AA:AA,MATCH('Full Customer List'!$B215,'Revenue by Customer'!$A:$A,0))</f>
        <v>420</v>
      </c>
      <c r="AB215" s="187">
        <f>INDEX('Revenue by Customer'!AB:AB,MATCH('Full Customer List'!$B215,'Revenue by Customer'!$A:$A,0))</f>
        <v>420</v>
      </c>
      <c r="AC215" s="187">
        <f>INDEX('Revenue by Customer'!AC:AC,MATCH('Full Customer List'!$B215,'Revenue by Customer'!$A:$A,0))</f>
        <v>420</v>
      </c>
    </row>
    <row r="216" spans="2:29" ht="12" customHeight="1">
      <c r="B216" s="171" t="s">
        <v>857</v>
      </c>
      <c r="C216" s="171" t="str">
        <f>INDEX('Customer List w Software'!$B:$B,MATCH('Full Customer List'!$B216,'Customer List w Software'!$A:$A,0))</f>
        <v>Former client</v>
      </c>
      <c r="D216" s="171" t="str">
        <f>INDEX('Customer List w Software'!$C:$C,MATCH('Full Customer List'!$B216,'Customer List w Software'!$A:$A,0))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87" t="str">
        <f>INDEX('Customer List w Software'!$K:$K,MATCH('Full Customer List'!$B216,'Customer List w Software'!$A:$A,0))</f>
        <v/>
      </c>
      <c r="G216" s="187">
        <f>INDEX('Revenue by Customer'!$I:$I,MATCH('Full Customer List'!$B216,'Revenue by Customer'!$A:$A,0))</f>
        <v>558.33333333333337</v>
      </c>
      <c r="H216" s="250" t="str">
        <f>IFERROR(IF(C216="Active","",INDEX('Client Departures'!$G:$G,MATCH('Full Customer List'!$B216,'Client Departures'!$A:$A,0))),"Unclassified")</f>
        <v>No</v>
      </c>
      <c r="I216" s="191">
        <v>45323</v>
      </c>
      <c r="J216" s="191">
        <v>46022</v>
      </c>
      <c r="K216" s="187">
        <f>INDEX('Revenue by Customer'!K:K,MATCH('Full Customer List'!$B216,'Revenue by Customer'!$A:$A,0))</f>
        <v>930</v>
      </c>
      <c r="L216" s="187">
        <f>INDEX('Revenue by Customer'!L:L,MATCH('Full Customer List'!$B216,'Revenue by Customer'!$A:$A,0))</f>
        <v>300</v>
      </c>
      <c r="M216" s="187">
        <f>INDEX('Revenue by Customer'!M:M,MATCH('Full Customer List'!$B216,'Revenue by Customer'!$A:$A,0))</f>
        <v>640</v>
      </c>
      <c r="N216" s="187">
        <f>INDEX('Revenue by Customer'!N:N,MATCH('Full Customer List'!$B216,'Revenue by Customer'!$A:$A,0))</f>
        <v>640</v>
      </c>
      <c r="O216" s="187">
        <f>INDEX('Revenue by Customer'!O:O,MATCH('Full Customer List'!$B216,'Revenue by Customer'!$A:$A,0))</f>
        <v>640</v>
      </c>
      <c r="P216" s="187">
        <f>INDEX('Revenue by Customer'!P:P,MATCH('Full Customer List'!$B216,'Revenue by Customer'!$A:$A,0))</f>
        <v>640</v>
      </c>
      <c r="Q216" s="187">
        <f>INDEX('Revenue by Customer'!Q:Q,MATCH('Full Customer List'!$B216,'Revenue by Customer'!$A:$A,0))</f>
        <v>890</v>
      </c>
      <c r="R216" s="187">
        <f>INDEX('Revenue by Customer'!R:R,MATCH('Full Customer List'!$B216,'Revenue by Customer'!$A:$A,0))</f>
        <v>550</v>
      </c>
      <c r="S216" s="187">
        <f>INDEX('Revenue by Customer'!S:S,MATCH('Full Customer List'!$B216,'Revenue by Customer'!$A:$A,0))</f>
        <v>550</v>
      </c>
      <c r="T216" s="187">
        <f>INDEX('Revenue by Customer'!T:T,MATCH('Full Customer List'!$B216,'Revenue by Customer'!$A:$A,0))</f>
        <v>550</v>
      </c>
      <c r="U216" s="187">
        <f>INDEX('Revenue by Customer'!U:U,MATCH('Full Customer List'!$B216,'Revenue by Customer'!$A:$A,0))</f>
        <v>550</v>
      </c>
      <c r="V216" s="187">
        <f>INDEX('Revenue by Customer'!V:V,MATCH('Full Customer List'!$B216,'Revenue by Customer'!$A:$A,0))</f>
        <v>575</v>
      </c>
      <c r="W216" s="187" t="str">
        <f>INDEX('Revenue by Customer'!W:W,MATCH('Full Customer List'!$B216,'Revenue by Customer'!$A:$A,0))</f>
        <v/>
      </c>
      <c r="X216" s="187" t="str">
        <f>INDEX('Revenue by Customer'!X:X,MATCH('Full Customer List'!$B216,'Revenue by Customer'!$A:$A,0))</f>
        <v/>
      </c>
      <c r="Y216" s="187" t="str">
        <f>INDEX('Revenue by Customer'!Y:Y,MATCH('Full Customer List'!$B216,'Revenue by Customer'!$A:$A,0))</f>
        <v/>
      </c>
      <c r="Z216" s="187" t="str">
        <f>INDEX('Revenue by Customer'!Z:Z,MATCH('Full Customer List'!$B216,'Revenue by Customer'!$A:$A,0))</f>
        <v/>
      </c>
      <c r="AA216" s="187" t="str">
        <f>INDEX('Revenue by Customer'!AA:AA,MATCH('Full Customer List'!$B216,'Revenue by Customer'!$A:$A,0))</f>
        <v/>
      </c>
      <c r="AB216" s="187" t="str">
        <f>INDEX('Revenue by Customer'!AB:AB,MATCH('Full Customer List'!$B216,'Revenue by Customer'!$A:$A,0))</f>
        <v/>
      </c>
      <c r="AC216" s="187" t="str">
        <f>INDEX('Revenue by Customer'!AC:AC,MATCH('Full Customer List'!$B216,'Revenue by Customer'!$A:$A,0))</f>
        <v/>
      </c>
    </row>
    <row r="217" spans="2:29" ht="12" customHeight="1">
      <c r="B217" s="171" t="s">
        <v>858</v>
      </c>
      <c r="C217" s="171" t="str">
        <f>INDEX('Customer List w Software'!$B:$B,MATCH('Full Customer List'!$B217,'Customer List w Software'!$A:$A,0))</f>
        <v>Active</v>
      </c>
      <c r="D217" s="171" t="str">
        <f>INDEX('Customer List w Software'!$C:$C,MATCH('Full Customer List'!$B217,'Customer List w Software'!$A:$A,0))</f>
        <v>STR owner</v>
      </c>
      <c r="E217" s="171" t="str">
        <f>INDEX('Customer List Mapping'!$C:$C,MATCH('Full Customer List'!D217,'Customer List Mapping'!$B:$B,0))</f>
        <v>STR Owner</v>
      </c>
      <c r="F217" s="187">
        <f>INDEX('Customer List w Software'!$K:$K,MATCH('Full Customer List'!$B217,'Customer List w Software'!$A:$A,0))</f>
        <v>5</v>
      </c>
      <c r="G217" s="187">
        <f>INDEX('Revenue by Customer'!$I:$I,MATCH('Full Customer List'!$B217,'Revenue by Customer'!$A:$A,0))</f>
        <v>418</v>
      </c>
      <c r="H217" s="250" t="str">
        <f>IFERROR(IF(C217="Active","",INDEX('Client Departures'!$G:$G,MATCH('Full Customer List'!$B217,'Client Departures'!$A:$A,0))),"Unclassified")</f>
        <v/>
      </c>
      <c r="I217" s="191">
        <v>46054</v>
      </c>
      <c r="J217" s="191"/>
      <c r="K217" s="187" t="str">
        <f>INDEX('Revenue by Customer'!K:K,MATCH('Full Customer List'!$B217,'Revenue by Customer'!$A:$A,0))</f>
        <v/>
      </c>
      <c r="L217" s="187" t="str">
        <f>INDEX('Revenue by Customer'!L:L,MATCH('Full Customer List'!$B217,'Revenue by Customer'!$A:$A,0))</f>
        <v/>
      </c>
      <c r="M217" s="187" t="str">
        <f>INDEX('Revenue by Customer'!M:M,MATCH('Full Customer List'!$B217,'Revenue by Customer'!$A:$A,0))</f>
        <v/>
      </c>
      <c r="N217" s="187" t="str">
        <f>INDEX('Revenue by Customer'!N:N,MATCH('Full Customer List'!$B217,'Revenue by Customer'!$A:$A,0))</f>
        <v/>
      </c>
      <c r="O217" s="187" t="str">
        <f>INDEX('Revenue by Customer'!O:O,MATCH('Full Customer List'!$B217,'Revenue by Customer'!$A:$A,0))</f>
        <v/>
      </c>
      <c r="P217" s="187" t="str">
        <f>INDEX('Revenue by Customer'!P:P,MATCH('Full Customer List'!$B217,'Revenue by Customer'!$A:$A,0))</f>
        <v/>
      </c>
      <c r="Q217" s="187" t="str">
        <f>INDEX('Revenue by Customer'!Q:Q,MATCH('Full Customer List'!$B217,'Revenue by Customer'!$A:$A,0))</f>
        <v/>
      </c>
      <c r="R217" s="187" t="str">
        <f>INDEX('Revenue by Customer'!R:R,MATCH('Full Customer List'!$B217,'Revenue by Customer'!$A:$A,0))</f>
        <v/>
      </c>
      <c r="S217" s="187" t="str">
        <f>INDEX('Revenue by Customer'!S:S,MATCH('Full Customer List'!$B217,'Revenue by Customer'!$A:$A,0))</f>
        <v/>
      </c>
      <c r="T217" s="187" t="str">
        <f>INDEX('Revenue by Customer'!T:T,MATCH('Full Customer List'!$B217,'Revenue by Customer'!$A:$A,0))</f>
        <v/>
      </c>
      <c r="U217" s="187" t="str">
        <f>INDEX('Revenue by Customer'!U:U,MATCH('Full Customer List'!$B217,'Revenue by Customer'!$A:$A,0))</f>
        <v/>
      </c>
      <c r="V217" s="187" t="str">
        <f>INDEX('Revenue by Customer'!V:V,MATCH('Full Customer List'!$B217,'Revenue by Customer'!$A:$A,0))</f>
        <v/>
      </c>
      <c r="W217" s="187" t="str">
        <f>INDEX('Revenue by Customer'!W:W,MATCH('Full Customer List'!$B217,'Revenue by Customer'!$A:$A,0))</f>
        <v/>
      </c>
      <c r="X217" s="187">
        <f>INDEX('Revenue by Customer'!X:X,MATCH('Full Customer List'!$B217,'Revenue by Customer'!$A:$A,0))</f>
        <v>661</v>
      </c>
      <c r="Y217" s="187">
        <f>INDEX('Revenue by Customer'!Y:Y,MATCH('Full Customer List'!$B217,'Revenue by Customer'!$A:$A,0))</f>
        <v>353</v>
      </c>
      <c r="Z217" s="187">
        <f>INDEX('Revenue by Customer'!Z:Z,MATCH('Full Customer List'!$B217,'Revenue by Customer'!$A:$A,0))</f>
        <v>353</v>
      </c>
      <c r="AA217" s="187">
        <f>INDEX('Revenue by Customer'!AA:AA,MATCH('Full Customer List'!$B217,'Revenue by Customer'!$A:$A,0))</f>
        <v>418</v>
      </c>
      <c r="AB217" s="187">
        <f>INDEX('Revenue by Customer'!AB:AB,MATCH('Full Customer List'!$B217,'Revenue by Customer'!$A:$A,0))</f>
        <v>418</v>
      </c>
      <c r="AC217" s="187">
        <f>INDEX('Revenue by Customer'!AC:AC,MATCH('Full Customer List'!$B217,'Revenue by Customer'!$A:$A,0))</f>
        <v>418</v>
      </c>
    </row>
    <row r="218" spans="2:29" ht="12" customHeight="1">
      <c r="B218" s="171" t="s">
        <v>859</v>
      </c>
      <c r="C218" s="171" t="str">
        <f>INDEX('Customer List w Software'!$B:$B,MATCH('Full Customer List'!$B218,'Customer List w Software'!$A:$A,0))</f>
        <v>Former client</v>
      </c>
      <c r="D218" s="171" t="str">
        <f>INDEX('Customer List w Software'!$C:$C,MATCH('Full Customer List'!$B218,'Customer List w Software'!$A:$A,0))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87" t="str">
        <f>INDEX('Customer List w Software'!$K:$K,MATCH('Full Customer List'!$B218,'Customer List w Software'!$A:$A,0))</f>
        <v/>
      </c>
      <c r="G218" s="187">
        <f>INDEX('Revenue by Customer'!$I:$I,MATCH('Full Customer List'!$B218,'Revenue by Customer'!$A:$A,0))</f>
        <v>543.33333333333337</v>
      </c>
      <c r="H218" s="250" t="str">
        <f>IFERROR(IF(C218="Active","",INDEX('Client Departures'!$G:$G,MATCH('Full Customer List'!$B218,'Client Departures'!$A:$A,0))),"Unclassified")</f>
        <v>Yes</v>
      </c>
      <c r="I218" s="191">
        <v>45717</v>
      </c>
      <c r="J218" s="191">
        <v>46022</v>
      </c>
      <c r="K218" s="187" t="str">
        <f>INDEX('Revenue by Customer'!K:K,MATCH('Full Customer List'!$B218,'Revenue by Customer'!$A:$A,0))</f>
        <v/>
      </c>
      <c r="L218" s="187" t="str">
        <f>INDEX('Revenue by Customer'!L:L,MATCH('Full Customer List'!$B218,'Revenue by Customer'!$A:$A,0))</f>
        <v/>
      </c>
      <c r="M218" s="187">
        <f>INDEX('Revenue by Customer'!M:M,MATCH('Full Customer List'!$B218,'Revenue by Customer'!$A:$A,0))</f>
        <v>778.75</v>
      </c>
      <c r="N218" s="187">
        <f>INDEX('Revenue by Customer'!N:N,MATCH('Full Customer List'!$B218,'Revenue by Customer'!$A:$A,0))</f>
        <v>488.75</v>
      </c>
      <c r="O218" s="187">
        <f>INDEX('Revenue by Customer'!O:O,MATCH('Full Customer List'!$B218,'Revenue by Customer'!$A:$A,0))</f>
        <v>403.75</v>
      </c>
      <c r="P218" s="187">
        <f>INDEX('Revenue by Customer'!P:P,MATCH('Full Customer List'!$B218,'Revenue by Customer'!$A:$A,0))</f>
        <v>575</v>
      </c>
      <c r="Q218" s="187">
        <f>INDEX('Revenue by Customer'!Q:Q,MATCH('Full Customer List'!$B218,'Revenue by Customer'!$A:$A,0))</f>
        <v>575</v>
      </c>
      <c r="R218" s="187">
        <f>INDEX('Revenue by Customer'!R:R,MATCH('Full Customer List'!$B218,'Revenue by Customer'!$A:$A,0))</f>
        <v>480</v>
      </c>
      <c r="S218" s="187">
        <f>INDEX('Revenue by Customer'!S:S,MATCH('Full Customer List'!$B218,'Revenue by Customer'!$A:$A,0))</f>
        <v>480</v>
      </c>
      <c r="T218" s="187">
        <f>INDEX('Revenue by Customer'!T:T,MATCH('Full Customer List'!$B218,'Revenue by Customer'!$A:$A,0))</f>
        <v>480</v>
      </c>
      <c r="U218" s="187">
        <f>INDEX('Revenue by Customer'!U:U,MATCH('Full Customer List'!$B218,'Revenue by Customer'!$A:$A,0))</f>
        <v>480</v>
      </c>
      <c r="V218" s="187">
        <f>INDEX('Revenue by Customer'!V:V,MATCH('Full Customer List'!$B218,'Revenue by Customer'!$A:$A,0))</f>
        <v>670</v>
      </c>
      <c r="W218" s="187" t="str">
        <f>INDEX('Revenue by Customer'!W:W,MATCH('Full Customer List'!$B218,'Revenue by Customer'!$A:$A,0))</f>
        <v/>
      </c>
      <c r="X218" s="187" t="str">
        <f>INDEX('Revenue by Customer'!X:X,MATCH('Full Customer List'!$B218,'Revenue by Customer'!$A:$A,0))</f>
        <v/>
      </c>
      <c r="Y218" s="187" t="str">
        <f>INDEX('Revenue by Customer'!Y:Y,MATCH('Full Customer List'!$B218,'Revenue by Customer'!$A:$A,0))</f>
        <v/>
      </c>
      <c r="Z218" s="187" t="str">
        <f>INDEX('Revenue by Customer'!Z:Z,MATCH('Full Customer List'!$B218,'Revenue by Customer'!$A:$A,0))</f>
        <v/>
      </c>
      <c r="AA218" s="187" t="str">
        <f>INDEX('Revenue by Customer'!AA:AA,MATCH('Full Customer List'!$B218,'Revenue by Customer'!$A:$A,0))</f>
        <v/>
      </c>
      <c r="AB218" s="187" t="str">
        <f>INDEX('Revenue by Customer'!AB:AB,MATCH('Full Customer List'!$B218,'Revenue by Customer'!$A:$A,0))</f>
        <v/>
      </c>
      <c r="AC218" s="187" t="str">
        <f>INDEX('Revenue by Customer'!AC:AC,MATCH('Full Customer List'!$B218,'Revenue by Customer'!$A:$A,0))</f>
        <v/>
      </c>
    </row>
    <row r="219" spans="2:29" ht="12" customHeight="1">
      <c r="B219" s="171" t="s">
        <v>860</v>
      </c>
      <c r="C219" s="171" t="str">
        <f>INDEX('Customer List w Software'!$B:$B,MATCH('Full Customer List'!$B219,'Customer List w Software'!$A:$A,0))</f>
        <v>Active</v>
      </c>
      <c r="D219" s="171" t="str">
        <f>INDEX('Customer List w Software'!$C:$C,MATCH('Full Customer List'!$B219,'Customer List w Software'!$A:$A,0))</f>
        <v>Property manager</v>
      </c>
      <c r="E219" s="171" t="str">
        <f>INDEX('Customer List Mapping'!$C:$C,MATCH('Full Customer List'!D219,'Customer List Mapping'!$B:$B,0))</f>
        <v>Property Manager</v>
      </c>
      <c r="F219" s="187">
        <f>INDEX('Customer List w Software'!$K:$K,MATCH('Full Customer List'!$B219,'Customer List w Software'!$A:$A,0))</f>
        <v>8</v>
      </c>
      <c r="G219" s="187">
        <f>INDEX('Revenue by Customer'!$I:$I,MATCH('Full Customer List'!$B219,'Revenue by Customer'!$A:$A,0))</f>
        <v>547.66666666666663</v>
      </c>
      <c r="H219" s="250" t="str">
        <f>IFERROR(IF(C219="Active","",INDEX('Client Departures'!$G:$G,MATCH('Full Customer List'!$B219,'Client Departures'!$A:$A,0))),"Unclassified")</f>
        <v/>
      </c>
      <c r="I219" s="191">
        <v>46113</v>
      </c>
      <c r="J219" s="191"/>
      <c r="K219" s="187" t="str">
        <f>INDEX('Revenue by Customer'!K:K,MATCH('Full Customer List'!$B219,'Revenue by Customer'!$A:$A,0))</f>
        <v/>
      </c>
      <c r="L219" s="187" t="str">
        <f>INDEX('Revenue by Customer'!L:L,MATCH('Full Customer List'!$B219,'Revenue by Customer'!$A:$A,0))</f>
        <v/>
      </c>
      <c r="M219" s="187" t="str">
        <f>INDEX('Revenue by Customer'!M:M,MATCH('Full Customer List'!$B219,'Revenue by Customer'!$A:$A,0))</f>
        <v/>
      </c>
      <c r="N219" s="187" t="str">
        <f>INDEX('Revenue by Customer'!N:N,MATCH('Full Customer List'!$B219,'Revenue by Customer'!$A:$A,0))</f>
        <v/>
      </c>
      <c r="O219" s="187" t="str">
        <f>INDEX('Revenue by Customer'!O:O,MATCH('Full Customer List'!$B219,'Revenue by Customer'!$A:$A,0))</f>
        <v/>
      </c>
      <c r="P219" s="187" t="str">
        <f>INDEX('Revenue by Customer'!P:P,MATCH('Full Customer List'!$B219,'Revenue by Customer'!$A:$A,0))</f>
        <v/>
      </c>
      <c r="Q219" s="187" t="str">
        <f>INDEX('Revenue by Customer'!Q:Q,MATCH('Full Customer List'!$B219,'Revenue by Customer'!$A:$A,0))</f>
        <v/>
      </c>
      <c r="R219" s="187" t="str">
        <f>INDEX('Revenue by Customer'!R:R,MATCH('Full Customer List'!$B219,'Revenue by Customer'!$A:$A,0))</f>
        <v/>
      </c>
      <c r="S219" s="187" t="str">
        <f>INDEX('Revenue by Customer'!S:S,MATCH('Full Customer List'!$B219,'Revenue by Customer'!$A:$A,0))</f>
        <v/>
      </c>
      <c r="T219" s="187" t="str">
        <f>INDEX('Revenue by Customer'!T:T,MATCH('Full Customer List'!$B219,'Revenue by Customer'!$A:$A,0))</f>
        <v/>
      </c>
      <c r="U219" s="187" t="str">
        <f>INDEX('Revenue by Customer'!U:U,MATCH('Full Customer List'!$B219,'Revenue by Customer'!$A:$A,0))</f>
        <v/>
      </c>
      <c r="V219" s="187" t="str">
        <f>INDEX('Revenue by Customer'!V:V,MATCH('Full Customer List'!$B219,'Revenue by Customer'!$A:$A,0))</f>
        <v/>
      </c>
      <c r="W219" s="187" t="str">
        <f>INDEX('Revenue by Customer'!W:W,MATCH('Full Customer List'!$B219,'Revenue by Customer'!$A:$A,0))</f>
        <v/>
      </c>
      <c r="X219" s="187" t="str">
        <f>INDEX('Revenue by Customer'!X:X,MATCH('Full Customer List'!$B219,'Revenue by Customer'!$A:$A,0))</f>
        <v/>
      </c>
      <c r="Y219" s="187" t="str">
        <f>INDEX('Revenue by Customer'!Y:Y,MATCH('Full Customer List'!$B219,'Revenue by Customer'!$A:$A,0))</f>
        <v/>
      </c>
      <c r="Z219" s="187">
        <f>INDEX('Revenue by Customer'!Z:Z,MATCH('Full Customer List'!$B219,'Revenue by Customer'!$A:$A,0))</f>
        <v>938</v>
      </c>
      <c r="AA219" s="187">
        <f>INDEX('Revenue by Customer'!AA:AA,MATCH('Full Customer List'!$B219,'Revenue by Customer'!$A:$A,0))</f>
        <v>468</v>
      </c>
      <c r="AB219" s="187">
        <f>INDEX('Revenue by Customer'!AB:AB,MATCH('Full Customer List'!$B219,'Revenue by Customer'!$A:$A,0))</f>
        <v>543</v>
      </c>
      <c r="AC219" s="187">
        <f>INDEX('Revenue by Customer'!AC:AC,MATCH('Full Customer List'!$B219,'Revenue by Customer'!$A:$A,0))</f>
        <v>632</v>
      </c>
    </row>
    <row r="220" spans="2:29" ht="12" customHeight="1">
      <c r="B220" s="171" t="s">
        <v>861</v>
      </c>
      <c r="C220" s="217" t="s">
        <v>497</v>
      </c>
      <c r="D220" s="171" t="str">
        <f>INDEX('Customer List w Software'!$C:$C,MATCH('Full Customer List'!$B220,'Customer List w Software'!$A:$A,0))</f>
        <v>Property manager</v>
      </c>
      <c r="E220" s="171" t="str">
        <f>INDEX('Customer List Mapping'!$C:$C,MATCH('Full Customer List'!D220,'Customer List Mapping'!$B:$B,0))</f>
        <v>Property Manager</v>
      </c>
      <c r="F220" s="187">
        <f>INDEX('Customer List w Software'!$K:$K,MATCH('Full Customer List'!$B220,'Customer List w Software'!$A:$A,0))</f>
        <v>41</v>
      </c>
      <c r="G220" s="187">
        <f>INDEX('Revenue by Customer'!$I:$I,MATCH('Full Customer List'!$B220,'Revenue by Customer'!$A:$A,0))</f>
        <v>2460</v>
      </c>
      <c r="H220" s="250" t="str">
        <f>IFERROR(IF(C220="Active","",INDEX('Client Departures'!$G:$G,MATCH('Full Customer List'!$B220,'Client Departures'!$A:$A,0))),"Unclassified")</f>
        <v/>
      </c>
      <c r="I220" s="191">
        <v>46204</v>
      </c>
      <c r="J220" s="191"/>
      <c r="K220" s="187" t="str">
        <f>INDEX('Revenue by Customer'!K:K,MATCH('Full Customer List'!$B220,'Revenue by Customer'!$A:$A,0))</f>
        <v/>
      </c>
      <c r="L220" s="187" t="str">
        <f>INDEX('Revenue by Customer'!L:L,MATCH('Full Customer List'!$B220,'Revenue by Customer'!$A:$A,0))</f>
        <v/>
      </c>
      <c r="M220" s="187" t="str">
        <f>INDEX('Revenue by Customer'!M:M,MATCH('Full Customer List'!$B220,'Revenue by Customer'!$A:$A,0))</f>
        <v/>
      </c>
      <c r="N220" s="187" t="str">
        <f>INDEX('Revenue by Customer'!N:N,MATCH('Full Customer List'!$B220,'Revenue by Customer'!$A:$A,0))</f>
        <v/>
      </c>
      <c r="O220" s="187" t="str">
        <f>INDEX('Revenue by Customer'!O:O,MATCH('Full Customer List'!$B220,'Revenue by Customer'!$A:$A,0))</f>
        <v/>
      </c>
      <c r="P220" s="187" t="str">
        <f>INDEX('Revenue by Customer'!P:P,MATCH('Full Customer List'!$B220,'Revenue by Customer'!$A:$A,0))</f>
        <v/>
      </c>
      <c r="Q220" s="187" t="str">
        <f>INDEX('Revenue by Customer'!Q:Q,MATCH('Full Customer List'!$B220,'Revenue by Customer'!$A:$A,0))</f>
        <v/>
      </c>
      <c r="R220" s="187" t="str">
        <f>INDEX('Revenue by Customer'!R:R,MATCH('Full Customer List'!$B220,'Revenue by Customer'!$A:$A,0))</f>
        <v/>
      </c>
      <c r="S220" s="187" t="str">
        <f>INDEX('Revenue by Customer'!S:S,MATCH('Full Customer List'!$B220,'Revenue by Customer'!$A:$A,0))</f>
        <v/>
      </c>
      <c r="T220" s="187" t="str">
        <f>INDEX('Revenue by Customer'!T:T,MATCH('Full Customer List'!$B220,'Revenue by Customer'!$A:$A,0))</f>
        <v/>
      </c>
      <c r="U220" s="187" t="str">
        <f>INDEX('Revenue by Customer'!U:U,MATCH('Full Customer List'!$B220,'Revenue by Customer'!$A:$A,0))</f>
        <v/>
      </c>
      <c r="V220" s="187" t="str">
        <f>INDEX('Revenue by Customer'!V:V,MATCH('Full Customer List'!$B220,'Revenue by Customer'!$A:$A,0))</f>
        <v/>
      </c>
      <c r="W220" s="187" t="str">
        <f>INDEX('Revenue by Customer'!W:W,MATCH('Full Customer List'!$B220,'Revenue by Customer'!$A:$A,0))</f>
        <v/>
      </c>
      <c r="X220" s="187" t="str">
        <f>INDEX('Revenue by Customer'!X:X,MATCH('Full Customer List'!$B220,'Revenue by Customer'!$A:$A,0))</f>
        <v/>
      </c>
      <c r="Y220" s="187" t="str">
        <f>INDEX('Revenue by Customer'!Y:Y,MATCH('Full Customer List'!$B220,'Revenue by Customer'!$A:$A,0))</f>
        <v/>
      </c>
      <c r="Z220" s="187" t="str">
        <f>INDEX('Revenue by Customer'!Z:Z,MATCH('Full Customer List'!$B220,'Revenue by Customer'!$A:$A,0))</f>
        <v/>
      </c>
      <c r="AA220" s="187" t="str">
        <f>INDEX('Revenue by Customer'!AA:AA,MATCH('Full Customer List'!$B220,'Revenue by Customer'!$A:$A,0))</f>
        <v/>
      </c>
      <c r="AB220" s="187" t="str">
        <f>INDEX('Revenue by Customer'!AB:AB,MATCH('Full Customer List'!$B220,'Revenue by Customer'!$A:$A,0))</f>
        <v/>
      </c>
      <c r="AC220" s="187">
        <f>INDEX('Revenue by Customer'!AC:AC,MATCH('Full Customer List'!$B220,'Revenue by Customer'!$A:$A,0))</f>
        <v>2460</v>
      </c>
    </row>
    <row r="221" spans="2:29" ht="12" customHeight="1">
      <c r="B221" s="171" t="s">
        <v>863</v>
      </c>
      <c r="C221" s="171" t="str">
        <f>INDEX('Customer List w Software'!$B:$B,MATCH('Full Customer List'!$B221,'Customer List w Software'!$A:$A,0))</f>
        <v>Former client</v>
      </c>
      <c r="D221" s="171" t="str">
        <f>INDEX('Customer List w Software'!$C:$C,MATCH('Full Customer List'!$B221,'Customer List w Software'!$A:$A,0))</f>
        <v>Property manager</v>
      </c>
      <c r="E221" s="171" t="str">
        <f>INDEX('Customer List Mapping'!$C:$C,MATCH('Full Customer List'!D221,'Customer List Mapping'!$B:$B,0))</f>
        <v>Property Manager</v>
      </c>
      <c r="F221" s="187">
        <f>INDEX('Customer List w Software'!$K:$K,MATCH('Full Customer List'!$B221,'Customer List w Software'!$A:$A,0))</f>
        <v>8</v>
      </c>
      <c r="G221" s="187">
        <f>INDEX('Revenue by Customer'!$I:$I,MATCH('Full Customer List'!$B221,'Revenue by Customer'!$A:$A,0))</f>
        <v>786.66666666666663</v>
      </c>
      <c r="H221" s="250" t="str">
        <f>IFERROR(IF(C221="Active","",INDEX('Client Departures'!$G:$G,MATCH('Full Customer List'!$B221,'Client Departures'!$A:$A,0))),"Unclassified")</f>
        <v>No</v>
      </c>
      <c r="I221" s="191">
        <v>46082</v>
      </c>
      <c r="J221" s="191">
        <v>46173</v>
      </c>
      <c r="K221" s="187" t="str">
        <f>INDEX('Revenue by Customer'!K:K,MATCH('Full Customer List'!$B221,'Revenue by Customer'!$A:$A,0))</f>
        <v/>
      </c>
      <c r="L221" s="187" t="str">
        <f>INDEX('Revenue by Customer'!L:L,MATCH('Full Customer List'!$B221,'Revenue by Customer'!$A:$A,0))</f>
        <v/>
      </c>
      <c r="M221" s="187" t="str">
        <f>INDEX('Revenue by Customer'!M:M,MATCH('Full Customer List'!$B221,'Revenue by Customer'!$A:$A,0))</f>
        <v/>
      </c>
      <c r="N221" s="187" t="str">
        <f>INDEX('Revenue by Customer'!N:N,MATCH('Full Customer List'!$B221,'Revenue by Customer'!$A:$A,0))</f>
        <v/>
      </c>
      <c r="O221" s="187" t="str">
        <f>INDEX('Revenue by Customer'!O:O,MATCH('Full Customer List'!$B221,'Revenue by Customer'!$A:$A,0))</f>
        <v/>
      </c>
      <c r="P221" s="187" t="str">
        <f>INDEX('Revenue by Customer'!P:P,MATCH('Full Customer List'!$B221,'Revenue by Customer'!$A:$A,0))</f>
        <v/>
      </c>
      <c r="Q221" s="187" t="str">
        <f>INDEX('Revenue by Customer'!Q:Q,MATCH('Full Customer List'!$B221,'Revenue by Customer'!$A:$A,0))</f>
        <v/>
      </c>
      <c r="R221" s="187" t="str">
        <f>INDEX('Revenue by Customer'!R:R,MATCH('Full Customer List'!$B221,'Revenue by Customer'!$A:$A,0))</f>
        <v/>
      </c>
      <c r="S221" s="187" t="str">
        <f>INDEX('Revenue by Customer'!S:S,MATCH('Full Customer List'!$B221,'Revenue by Customer'!$A:$A,0))</f>
        <v/>
      </c>
      <c r="T221" s="187" t="str">
        <f>INDEX('Revenue by Customer'!T:T,MATCH('Full Customer List'!$B221,'Revenue by Customer'!$A:$A,0))</f>
        <v/>
      </c>
      <c r="U221" s="187" t="str">
        <f>INDEX('Revenue by Customer'!U:U,MATCH('Full Customer List'!$B221,'Revenue by Customer'!$A:$A,0))</f>
        <v/>
      </c>
      <c r="V221" s="187" t="str">
        <f>INDEX('Revenue by Customer'!V:V,MATCH('Full Customer List'!$B221,'Revenue by Customer'!$A:$A,0))</f>
        <v/>
      </c>
      <c r="W221" s="187" t="str">
        <f>INDEX('Revenue by Customer'!W:W,MATCH('Full Customer List'!$B221,'Revenue by Customer'!$A:$A,0))</f>
        <v/>
      </c>
      <c r="X221" s="187" t="str">
        <f>INDEX('Revenue by Customer'!X:X,MATCH('Full Customer List'!$B221,'Revenue by Customer'!$A:$A,0))</f>
        <v/>
      </c>
      <c r="Y221" s="187">
        <f>INDEX('Revenue by Customer'!Y:Y,MATCH('Full Customer List'!$B221,'Revenue by Customer'!$A:$A,0))</f>
        <v>1020</v>
      </c>
      <c r="Z221" s="187">
        <f>INDEX('Revenue by Customer'!Z:Z,MATCH('Full Customer List'!$B221,'Revenue by Customer'!$A:$A,0))</f>
        <v>670</v>
      </c>
      <c r="AA221" s="187">
        <f>INDEX('Revenue by Customer'!AA:AA,MATCH('Full Customer List'!$B221,'Revenue by Customer'!$A:$A,0))</f>
        <v>670</v>
      </c>
      <c r="AB221" s="187" t="str">
        <f>INDEX('Revenue by Customer'!AB:AB,MATCH('Full Customer List'!$B221,'Revenue by Customer'!$A:$A,0))</f>
        <v/>
      </c>
      <c r="AC221" s="187" t="str">
        <f>INDEX('Revenue by Customer'!AC:AC,MATCH('Full Customer List'!$B221,'Revenue by Customer'!$A:$A,0))</f>
        <v/>
      </c>
    </row>
    <row r="222" spans="2:29" ht="12" customHeight="1">
      <c r="B222" s="171" t="s">
        <v>864</v>
      </c>
      <c r="C222" s="171" t="str">
        <f>INDEX('Customer List w Software'!$B:$B,MATCH('Full Customer List'!$B222,'Customer List w Software'!$A:$A,0))</f>
        <v>Former client</v>
      </c>
      <c r="D222" s="171" t="str">
        <f>INDEX('Customer List w Software'!$C:$C,MATCH('Full Customer List'!$B222,'Customer List w Software'!$A:$A,0))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87" t="str">
        <f>INDEX('Customer List w Software'!$K:$K,MATCH('Full Customer List'!$B222,'Customer List w Software'!$A:$A,0))</f>
        <v/>
      </c>
      <c r="G222" s="187">
        <f>INDEX('Revenue by Customer'!$I:$I,MATCH('Full Customer List'!$B222,'Revenue by Customer'!$A:$A,0))</f>
        <v>1200</v>
      </c>
      <c r="H222" s="250" t="str">
        <f>IFERROR(IF(C222="Active","",INDEX('Client Departures'!$G:$G,MATCH('Full Customer List'!$B222,'Client Departures'!$A:$A,0))),"Unclassified")</f>
        <v>Yes</v>
      </c>
      <c r="I222" s="191">
        <v>45231</v>
      </c>
      <c r="J222" s="191">
        <v>45930</v>
      </c>
      <c r="K222" s="187">
        <f>INDEX('Revenue by Customer'!K:K,MATCH('Full Customer List'!$B222,'Revenue by Customer'!$A:$A,0))</f>
        <v>1175</v>
      </c>
      <c r="L222" s="187">
        <f>INDEX('Revenue by Customer'!L:L,MATCH('Full Customer List'!$B222,'Revenue by Customer'!$A:$A,0))</f>
        <v>1175</v>
      </c>
      <c r="M222" s="187">
        <f>INDEX('Revenue by Customer'!M:M,MATCH('Full Customer List'!$B222,'Revenue by Customer'!$A:$A,0))</f>
        <v>1085</v>
      </c>
      <c r="N222" s="187">
        <f>INDEX('Revenue by Customer'!N:N,MATCH('Full Customer List'!$B222,'Revenue by Customer'!$A:$A,0))</f>
        <v>1155</v>
      </c>
      <c r="O222" s="187">
        <f>INDEX('Revenue by Customer'!O:O,MATCH('Full Customer List'!$B222,'Revenue by Customer'!$A:$A,0))</f>
        <v>1270</v>
      </c>
      <c r="P222" s="187">
        <f>INDEX('Revenue by Customer'!P:P,MATCH('Full Customer List'!$B222,'Revenue by Customer'!$A:$A,0))</f>
        <v>1155</v>
      </c>
      <c r="Q222" s="187">
        <f>INDEX('Revenue by Customer'!Q:Q,MATCH('Full Customer List'!$B222,'Revenue by Customer'!$A:$A,0))</f>
        <v>1270</v>
      </c>
      <c r="R222" s="187">
        <f>INDEX('Revenue by Customer'!R:R,MATCH('Full Customer List'!$B222,'Revenue by Customer'!$A:$A,0))</f>
        <v>1200</v>
      </c>
      <c r="S222" s="187">
        <f>INDEX('Revenue by Customer'!S:S,MATCH('Full Customer List'!$B222,'Revenue by Customer'!$A:$A,0))</f>
        <v>1130</v>
      </c>
      <c r="T222" s="187" t="str">
        <f>INDEX('Revenue by Customer'!T:T,MATCH('Full Customer List'!$B222,'Revenue by Customer'!$A:$A,0))</f>
        <v/>
      </c>
      <c r="U222" s="187" t="str">
        <f>INDEX('Revenue by Customer'!U:U,MATCH('Full Customer List'!$B222,'Revenue by Customer'!$A:$A,0))</f>
        <v/>
      </c>
      <c r="V222" s="187" t="str">
        <f>INDEX('Revenue by Customer'!V:V,MATCH('Full Customer List'!$B222,'Revenue by Customer'!$A:$A,0))</f>
        <v/>
      </c>
      <c r="W222" s="187" t="str">
        <f>INDEX('Revenue by Customer'!W:W,MATCH('Full Customer List'!$B222,'Revenue by Customer'!$A:$A,0))</f>
        <v/>
      </c>
      <c r="X222" s="187" t="str">
        <f>INDEX('Revenue by Customer'!X:X,MATCH('Full Customer List'!$B222,'Revenue by Customer'!$A:$A,0))</f>
        <v/>
      </c>
      <c r="Y222" s="187" t="str">
        <f>INDEX('Revenue by Customer'!Y:Y,MATCH('Full Customer List'!$B222,'Revenue by Customer'!$A:$A,0))</f>
        <v/>
      </c>
      <c r="Z222" s="187" t="str">
        <f>INDEX('Revenue by Customer'!Z:Z,MATCH('Full Customer List'!$B222,'Revenue by Customer'!$A:$A,0))</f>
        <v/>
      </c>
      <c r="AA222" s="187" t="str">
        <f>INDEX('Revenue by Customer'!AA:AA,MATCH('Full Customer List'!$B222,'Revenue by Customer'!$A:$A,0))</f>
        <v/>
      </c>
      <c r="AB222" s="187" t="str">
        <f>INDEX('Revenue by Customer'!AB:AB,MATCH('Full Customer List'!$B222,'Revenue by Customer'!$A:$A,0))</f>
        <v/>
      </c>
      <c r="AC222" s="187" t="str">
        <f>INDEX('Revenue by Customer'!AC:AC,MATCH('Full Customer List'!$B222,'Revenue by Customer'!$A:$A,0))</f>
        <v/>
      </c>
    </row>
    <row r="223" spans="2:29" ht="12" customHeight="1">
      <c r="B223" s="171" t="s">
        <v>865</v>
      </c>
      <c r="C223" s="171" t="str">
        <f>INDEX('Customer List w Software'!$B:$B,MATCH('Full Customer List'!$B223,'Customer List w Software'!$A:$A,0))</f>
        <v>Former client</v>
      </c>
      <c r="D223" s="171" t="str">
        <f>INDEX('Customer List w Software'!$C:$C,MATCH('Full Customer List'!$B223,'Customer List w Software'!$A:$A,0))</f>
        <v>Small business</v>
      </c>
      <c r="E223" s="171" t="str">
        <f>INDEX('Customer List Mapping'!$C:$C,MATCH('Full Customer List'!D223,'Customer List Mapping'!$B:$B,0))</f>
        <v>Small Business</v>
      </c>
      <c r="F223" s="187" t="str">
        <f>INDEX('Customer List w Software'!$K:$K,MATCH('Full Customer List'!$B223,'Customer List w Software'!$A:$A,0))</f>
        <v/>
      </c>
      <c r="G223" s="187">
        <f>INDEX('Revenue by Customer'!$I:$I,MATCH('Full Customer List'!$B223,'Revenue by Customer'!$A:$A,0))</f>
        <v>300</v>
      </c>
      <c r="H223" s="250" t="str">
        <f>IFERROR(IF(C223="Active","",INDEX('Client Departures'!$G:$G,MATCH('Full Customer List'!$B223,'Client Departures'!$A:$A,0))),"Unclassified")</f>
        <v>Yes</v>
      </c>
      <c r="I223" s="191">
        <v>44317</v>
      </c>
      <c r="J223" s="191">
        <v>46112</v>
      </c>
      <c r="K223" s="187">
        <f>INDEX('Revenue by Customer'!K:K,MATCH('Full Customer List'!$B223,'Revenue by Customer'!$A:$A,0))</f>
        <v>295</v>
      </c>
      <c r="L223" s="187">
        <f>INDEX('Revenue by Customer'!L:L,MATCH('Full Customer List'!$B223,'Revenue by Customer'!$A:$A,0))</f>
        <v>265</v>
      </c>
      <c r="M223" s="187">
        <f>INDEX('Revenue by Customer'!M:M,MATCH('Full Customer List'!$B223,'Revenue by Customer'!$A:$A,0))</f>
        <v>265</v>
      </c>
      <c r="N223" s="187">
        <f>INDEX('Revenue by Customer'!N:N,MATCH('Full Customer List'!$B223,'Revenue by Customer'!$A:$A,0))</f>
        <v>265</v>
      </c>
      <c r="O223" s="187">
        <f>INDEX('Revenue by Customer'!O:O,MATCH('Full Customer List'!$B223,'Revenue by Customer'!$A:$A,0))</f>
        <v>265</v>
      </c>
      <c r="P223" s="187">
        <f>INDEX('Revenue by Customer'!P:P,MATCH('Full Customer List'!$B223,'Revenue by Customer'!$A:$A,0))</f>
        <v>265</v>
      </c>
      <c r="Q223" s="187">
        <f>INDEX('Revenue by Customer'!Q:Q,MATCH('Full Customer List'!$B223,'Revenue by Customer'!$A:$A,0))</f>
        <v>265</v>
      </c>
      <c r="R223" s="187">
        <f>INDEX('Revenue by Customer'!R:R,MATCH('Full Customer List'!$B223,'Revenue by Customer'!$A:$A,0))</f>
        <v>265</v>
      </c>
      <c r="S223" s="187">
        <f>INDEX('Revenue by Customer'!S:S,MATCH('Full Customer List'!$B223,'Revenue by Customer'!$A:$A,0))</f>
        <v>265</v>
      </c>
      <c r="T223" s="187">
        <f>INDEX('Revenue by Customer'!T:T,MATCH('Full Customer List'!$B223,'Revenue by Customer'!$A:$A,0))</f>
        <v>265</v>
      </c>
      <c r="U223" s="187">
        <f>INDEX('Revenue by Customer'!U:U,MATCH('Full Customer List'!$B223,'Revenue by Customer'!$A:$A,0))</f>
        <v>265</v>
      </c>
      <c r="V223" s="187">
        <f>INDEX('Revenue by Customer'!V:V,MATCH('Full Customer List'!$B223,'Revenue by Customer'!$A:$A,0))</f>
        <v>265</v>
      </c>
      <c r="W223" s="187">
        <f>INDEX('Revenue by Customer'!W:W,MATCH('Full Customer List'!$B223,'Revenue by Customer'!$A:$A,0))</f>
        <v>295</v>
      </c>
      <c r="X223" s="187">
        <f>INDEX('Revenue by Customer'!X:X,MATCH('Full Customer List'!$B223,'Revenue by Customer'!$A:$A,0))</f>
        <v>310</v>
      </c>
      <c r="Y223" s="187">
        <f>INDEX('Revenue by Customer'!Y:Y,MATCH('Full Customer List'!$B223,'Revenue by Customer'!$A:$A,0))</f>
        <v>295</v>
      </c>
      <c r="Z223" s="187" t="str">
        <f>INDEX('Revenue by Customer'!Z:Z,MATCH('Full Customer List'!$B223,'Revenue by Customer'!$A:$A,0))</f>
        <v/>
      </c>
      <c r="AA223" s="187" t="str">
        <f>INDEX('Revenue by Customer'!AA:AA,MATCH('Full Customer List'!$B223,'Revenue by Customer'!$A:$A,0))</f>
        <v/>
      </c>
      <c r="AB223" s="187" t="str">
        <f>INDEX('Revenue by Customer'!AB:AB,MATCH('Full Customer List'!$B223,'Revenue by Customer'!$A:$A,0))</f>
        <v/>
      </c>
      <c r="AC223" s="187" t="str">
        <f>INDEX('Revenue by Customer'!AC:AC,MATCH('Full Customer List'!$B223,'Revenue by Customer'!$A:$A,0))</f>
        <v/>
      </c>
    </row>
    <row r="224" spans="2:29" ht="12" customHeight="1">
      <c r="B224" s="171" t="s">
        <v>866</v>
      </c>
      <c r="C224" s="171" t="str">
        <f>INDEX('Customer List w Software'!$B:$B,MATCH('Full Customer List'!$B224,'Customer List w Software'!$A:$A,0))</f>
        <v>Former client</v>
      </c>
      <c r="D224" s="171" t="str">
        <f>INDEX('Customer List w Software'!$C:$C,MATCH('Full Customer List'!$B224,'Customer List w Software'!$A:$A,0))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87" t="str">
        <f>INDEX('Customer List w Software'!$K:$K,MATCH('Full Customer List'!$B224,'Customer List w Software'!$A:$A,0))</f>
        <v/>
      </c>
      <c r="G224" s="187">
        <f>INDEX('Revenue by Customer'!$I:$I,MATCH('Full Customer List'!$B224,'Revenue by Customer'!$A:$A,0))</f>
        <v>375</v>
      </c>
      <c r="H224" s="250" t="str">
        <f>IFERROR(IF(C224="Active","",INDEX('Client Departures'!$G:$G,MATCH('Full Customer List'!$B224,'Client Departures'!$A:$A,0))),"Unclassified")</f>
        <v>No</v>
      </c>
      <c r="I224" s="191">
        <v>45689</v>
      </c>
      <c r="J224" s="191">
        <v>46053</v>
      </c>
      <c r="K224" s="187" t="str">
        <f>INDEX('Revenue by Customer'!K:K,MATCH('Full Customer List'!$B224,'Revenue by Customer'!$A:$A,0))</f>
        <v/>
      </c>
      <c r="L224" s="187">
        <f>INDEX('Revenue by Customer'!L:L,MATCH('Full Customer List'!$B224,'Revenue by Customer'!$A:$A,0))</f>
        <v>350</v>
      </c>
      <c r="M224" s="187" t="str">
        <f>INDEX('Revenue by Customer'!M:M,MATCH('Full Customer List'!$B224,'Revenue by Customer'!$A:$A,0))</f>
        <v/>
      </c>
      <c r="N224" s="187" t="str">
        <f>INDEX('Revenue by Customer'!N:N,MATCH('Full Customer List'!$B224,'Revenue by Customer'!$A:$A,0))</f>
        <v/>
      </c>
      <c r="O224" s="187">
        <f>INDEX('Revenue by Customer'!O:O,MATCH('Full Customer List'!$B224,'Revenue by Customer'!$A:$A,0))</f>
        <v>360</v>
      </c>
      <c r="P224" s="187">
        <f>INDEX('Revenue by Customer'!P:P,MATCH('Full Customer List'!$B224,'Revenue by Customer'!$A:$A,0))</f>
        <v>360</v>
      </c>
      <c r="Q224" s="187">
        <f>INDEX('Revenue by Customer'!Q:Q,MATCH('Full Customer List'!$B224,'Revenue by Customer'!$A:$A,0))</f>
        <v>360</v>
      </c>
      <c r="R224" s="187">
        <f>INDEX('Revenue by Customer'!R:R,MATCH('Full Customer List'!$B224,'Revenue by Customer'!$A:$A,0))</f>
        <v>360</v>
      </c>
      <c r="S224" s="187">
        <f>INDEX('Revenue by Customer'!S:S,MATCH('Full Customer List'!$B224,'Revenue by Customer'!$A:$A,0))</f>
        <v>360</v>
      </c>
      <c r="T224" s="187">
        <f>INDEX('Revenue by Customer'!T:T,MATCH('Full Customer List'!$B224,'Revenue by Customer'!$A:$A,0))</f>
        <v>360</v>
      </c>
      <c r="U224" s="187">
        <f>INDEX('Revenue by Customer'!U:U,MATCH('Full Customer List'!$B224,'Revenue by Customer'!$A:$A,0))</f>
        <v>375</v>
      </c>
      <c r="V224" s="187">
        <f>INDEX('Revenue by Customer'!V:V,MATCH('Full Customer List'!$B224,'Revenue by Customer'!$A:$A,0))</f>
        <v>375</v>
      </c>
      <c r="W224" s="187">
        <f>INDEX('Revenue by Customer'!W:W,MATCH('Full Customer List'!$B224,'Revenue by Customer'!$A:$A,0))</f>
        <v>375</v>
      </c>
      <c r="X224" s="187" t="str">
        <f>INDEX('Revenue by Customer'!X:X,MATCH('Full Customer List'!$B224,'Revenue by Customer'!$A:$A,0))</f>
        <v/>
      </c>
      <c r="Y224" s="187" t="str">
        <f>INDEX('Revenue by Customer'!Y:Y,MATCH('Full Customer List'!$B224,'Revenue by Customer'!$A:$A,0))</f>
        <v/>
      </c>
      <c r="Z224" s="187" t="str">
        <f>INDEX('Revenue by Customer'!Z:Z,MATCH('Full Customer List'!$B224,'Revenue by Customer'!$A:$A,0))</f>
        <v/>
      </c>
      <c r="AA224" s="187" t="str">
        <f>INDEX('Revenue by Customer'!AA:AA,MATCH('Full Customer List'!$B224,'Revenue by Customer'!$A:$A,0))</f>
        <v/>
      </c>
      <c r="AB224" s="187" t="str">
        <f>INDEX('Revenue by Customer'!AB:AB,MATCH('Full Customer List'!$B224,'Revenue by Customer'!$A:$A,0))</f>
        <v/>
      </c>
      <c r="AC224" s="187" t="str">
        <f>INDEX('Revenue by Customer'!AC:AC,MATCH('Full Customer List'!$B224,'Revenue by Customer'!$A:$A,0))</f>
        <v/>
      </c>
    </row>
    <row r="225" spans="2:29" ht="12" customHeight="1">
      <c r="B225" s="171" t="s">
        <v>867</v>
      </c>
      <c r="C225" s="217" t="s">
        <v>497</v>
      </c>
      <c r="D225" s="171" t="str">
        <f>INDEX('Customer List w Software'!$C:$C,MATCH('Full Customer List'!$B225,'Customer List w Software'!$A:$A,0))</f>
        <v>Property manager</v>
      </c>
      <c r="E225" s="171" t="str">
        <f>INDEX('Customer List Mapping'!$C:$C,MATCH('Full Customer List'!D225,'Customer List Mapping'!$B:$B,0))</f>
        <v>Property Manager</v>
      </c>
      <c r="F225" s="187">
        <f>INDEX('Customer List w Software'!$K:$K,MATCH('Full Customer List'!$B225,'Customer List w Software'!$A:$A,0))</f>
        <v>29</v>
      </c>
      <c r="G225" s="187">
        <f>INDEX('Revenue by Customer'!$I:$I,MATCH('Full Customer List'!$B225,'Revenue by Customer'!$A:$A,0))</f>
        <v>2198</v>
      </c>
      <c r="H225" s="250" t="str">
        <f>IFERROR(IF(C225="Active","",INDEX('Client Departures'!$G:$G,MATCH('Full Customer List'!$B225,'Client Departures'!$A:$A,0))),"Unclassified")</f>
        <v/>
      </c>
      <c r="I225" s="191">
        <v>46204</v>
      </c>
      <c r="J225" s="191"/>
      <c r="K225" s="187" t="str">
        <f>INDEX('Revenue by Customer'!K:K,MATCH('Full Customer List'!$B225,'Revenue by Customer'!$A:$A,0))</f>
        <v/>
      </c>
      <c r="L225" s="187" t="str">
        <f>INDEX('Revenue by Customer'!L:L,MATCH('Full Customer List'!$B225,'Revenue by Customer'!$A:$A,0))</f>
        <v/>
      </c>
      <c r="M225" s="187" t="str">
        <f>INDEX('Revenue by Customer'!M:M,MATCH('Full Customer List'!$B225,'Revenue by Customer'!$A:$A,0))</f>
        <v/>
      </c>
      <c r="N225" s="187" t="str">
        <f>INDEX('Revenue by Customer'!N:N,MATCH('Full Customer List'!$B225,'Revenue by Customer'!$A:$A,0))</f>
        <v/>
      </c>
      <c r="O225" s="187" t="str">
        <f>INDEX('Revenue by Customer'!O:O,MATCH('Full Customer List'!$B225,'Revenue by Customer'!$A:$A,0))</f>
        <v/>
      </c>
      <c r="P225" s="187" t="str">
        <f>INDEX('Revenue by Customer'!P:P,MATCH('Full Customer List'!$B225,'Revenue by Customer'!$A:$A,0))</f>
        <v/>
      </c>
      <c r="Q225" s="187" t="str">
        <f>INDEX('Revenue by Customer'!Q:Q,MATCH('Full Customer List'!$B225,'Revenue by Customer'!$A:$A,0))</f>
        <v/>
      </c>
      <c r="R225" s="187" t="str">
        <f>INDEX('Revenue by Customer'!R:R,MATCH('Full Customer List'!$B225,'Revenue by Customer'!$A:$A,0))</f>
        <v/>
      </c>
      <c r="S225" s="187" t="str">
        <f>INDEX('Revenue by Customer'!S:S,MATCH('Full Customer List'!$B225,'Revenue by Customer'!$A:$A,0))</f>
        <v/>
      </c>
      <c r="T225" s="187" t="str">
        <f>INDEX('Revenue by Customer'!T:T,MATCH('Full Customer List'!$B225,'Revenue by Customer'!$A:$A,0))</f>
        <v/>
      </c>
      <c r="U225" s="187" t="str">
        <f>INDEX('Revenue by Customer'!U:U,MATCH('Full Customer List'!$B225,'Revenue by Customer'!$A:$A,0))</f>
        <v/>
      </c>
      <c r="V225" s="187" t="str">
        <f>INDEX('Revenue by Customer'!V:V,MATCH('Full Customer List'!$B225,'Revenue by Customer'!$A:$A,0))</f>
        <v/>
      </c>
      <c r="W225" s="187" t="str">
        <f>INDEX('Revenue by Customer'!W:W,MATCH('Full Customer List'!$B225,'Revenue by Customer'!$A:$A,0))</f>
        <v/>
      </c>
      <c r="X225" s="187" t="str">
        <f>INDEX('Revenue by Customer'!X:X,MATCH('Full Customer List'!$B225,'Revenue by Customer'!$A:$A,0))</f>
        <v/>
      </c>
      <c r="Y225" s="187" t="str">
        <f>INDEX('Revenue by Customer'!Y:Y,MATCH('Full Customer List'!$B225,'Revenue by Customer'!$A:$A,0))</f>
        <v/>
      </c>
      <c r="Z225" s="187" t="str">
        <f>INDEX('Revenue by Customer'!Z:Z,MATCH('Full Customer List'!$B225,'Revenue by Customer'!$A:$A,0))</f>
        <v/>
      </c>
      <c r="AA225" s="187" t="str">
        <f>INDEX('Revenue by Customer'!AA:AA,MATCH('Full Customer List'!$B225,'Revenue by Customer'!$A:$A,0))</f>
        <v/>
      </c>
      <c r="AB225" s="187" t="str">
        <f>INDEX('Revenue by Customer'!AB:AB,MATCH('Full Customer List'!$B225,'Revenue by Customer'!$A:$A,0))</f>
        <v/>
      </c>
      <c r="AC225" s="187">
        <f>INDEX('Revenue by Customer'!AC:AC,MATCH('Full Customer List'!$B225,'Revenue by Customer'!$A:$A,0))</f>
        <v>2198</v>
      </c>
    </row>
    <row r="226" spans="2:29" ht="12" customHeight="1">
      <c r="B226" s="171" t="s">
        <v>868</v>
      </c>
      <c r="C226" s="171" t="str">
        <f>INDEX('Customer List w Software'!$B:$B,MATCH('Full Customer List'!$B226,'Customer List w Software'!$A:$A,0))</f>
        <v>Former client</v>
      </c>
      <c r="D226" s="171" t="str">
        <f>INDEX('Customer List w Software'!$C:$C,MATCH('Full Customer List'!$B226,'Customer List w Software'!$A:$A,0))</f>
        <v>Property manager</v>
      </c>
      <c r="E226" s="171" t="str">
        <f>INDEX('Customer List Mapping'!$C:$C,MATCH('Full Customer List'!D226,'Customer List Mapping'!$B:$B,0))</f>
        <v>Property Manager</v>
      </c>
      <c r="F226" s="187">
        <f>INDEX('Customer List w Software'!$K:$K,MATCH('Full Customer List'!$B226,'Customer List w Software'!$A:$A,0))</f>
        <v>20</v>
      </c>
      <c r="G226" s="187">
        <f>INDEX('Revenue by Customer'!$I:$I,MATCH('Full Customer List'!$B226,'Revenue by Customer'!$A:$A,0))</f>
        <v>1097</v>
      </c>
      <c r="H226" s="250" t="str">
        <f>IFERROR(IF(C226="Active","",INDEX('Client Departures'!$G:$G,MATCH('Full Customer List'!$B226,'Client Departures'!$A:$A,0))),"Unclassified")</f>
        <v>Unclassified</v>
      </c>
      <c r="I226" s="191">
        <v>46143</v>
      </c>
      <c r="J226" s="191">
        <v>46234</v>
      </c>
      <c r="K226" s="187" t="str">
        <f>INDEX('Revenue by Customer'!K:K,MATCH('Full Customer List'!$B226,'Revenue by Customer'!$A:$A,0))</f>
        <v/>
      </c>
      <c r="L226" s="187" t="str">
        <f>INDEX('Revenue by Customer'!L:L,MATCH('Full Customer List'!$B226,'Revenue by Customer'!$A:$A,0))</f>
        <v/>
      </c>
      <c r="M226" s="187" t="str">
        <f>INDEX('Revenue by Customer'!M:M,MATCH('Full Customer List'!$B226,'Revenue by Customer'!$A:$A,0))</f>
        <v/>
      </c>
      <c r="N226" s="187" t="str">
        <f>INDEX('Revenue by Customer'!N:N,MATCH('Full Customer List'!$B226,'Revenue by Customer'!$A:$A,0))</f>
        <v/>
      </c>
      <c r="O226" s="187" t="str">
        <f>INDEX('Revenue by Customer'!O:O,MATCH('Full Customer List'!$B226,'Revenue by Customer'!$A:$A,0))</f>
        <v/>
      </c>
      <c r="P226" s="187" t="str">
        <f>INDEX('Revenue by Customer'!P:P,MATCH('Full Customer List'!$B226,'Revenue by Customer'!$A:$A,0))</f>
        <v/>
      </c>
      <c r="Q226" s="187" t="str">
        <f>INDEX('Revenue by Customer'!Q:Q,MATCH('Full Customer List'!$B226,'Revenue by Customer'!$A:$A,0))</f>
        <v/>
      </c>
      <c r="R226" s="187" t="str">
        <f>INDEX('Revenue by Customer'!R:R,MATCH('Full Customer List'!$B226,'Revenue by Customer'!$A:$A,0))</f>
        <v/>
      </c>
      <c r="S226" s="187" t="str">
        <f>INDEX('Revenue by Customer'!S:S,MATCH('Full Customer List'!$B226,'Revenue by Customer'!$A:$A,0))</f>
        <v/>
      </c>
      <c r="T226" s="187" t="str">
        <f>INDEX('Revenue by Customer'!T:T,MATCH('Full Customer List'!$B226,'Revenue by Customer'!$A:$A,0))</f>
        <v/>
      </c>
      <c r="U226" s="187" t="str">
        <f>INDEX('Revenue by Customer'!U:U,MATCH('Full Customer List'!$B226,'Revenue by Customer'!$A:$A,0))</f>
        <v/>
      </c>
      <c r="V226" s="187" t="str">
        <f>INDEX('Revenue by Customer'!V:V,MATCH('Full Customer List'!$B226,'Revenue by Customer'!$A:$A,0))</f>
        <v/>
      </c>
      <c r="W226" s="187" t="str">
        <f>INDEX('Revenue by Customer'!W:W,MATCH('Full Customer List'!$B226,'Revenue by Customer'!$A:$A,0))</f>
        <v/>
      </c>
      <c r="X226" s="187" t="str">
        <f>INDEX('Revenue by Customer'!X:X,MATCH('Full Customer List'!$B226,'Revenue by Customer'!$A:$A,0))</f>
        <v/>
      </c>
      <c r="Y226" s="187" t="str">
        <f>INDEX('Revenue by Customer'!Y:Y,MATCH('Full Customer List'!$B226,'Revenue by Customer'!$A:$A,0))</f>
        <v/>
      </c>
      <c r="Z226" s="187" t="str">
        <f>INDEX('Revenue by Customer'!Z:Z,MATCH('Full Customer List'!$B226,'Revenue by Customer'!$A:$A,0))</f>
        <v/>
      </c>
      <c r="AA226" s="187">
        <f>INDEX('Revenue by Customer'!AA:AA,MATCH('Full Customer List'!$B226,'Revenue by Customer'!$A:$A,0))</f>
        <v>0</v>
      </c>
      <c r="AB226" s="187">
        <f>INDEX('Revenue by Customer'!AB:AB,MATCH('Full Customer List'!$B226,'Revenue by Customer'!$A:$A,0))</f>
        <v>1097</v>
      </c>
      <c r="AC226" s="187">
        <f>INDEX('Revenue by Customer'!AC:AC,MATCH('Full Customer List'!$B226,'Revenue by Customer'!$A:$A,0))</f>
        <v>1097</v>
      </c>
    </row>
    <row r="227" spans="2:29" ht="12" customHeight="1">
      <c r="B227" s="171" t="s">
        <v>869</v>
      </c>
      <c r="C227" s="171" t="str">
        <f>INDEX('Customer List w Software'!$B:$B,MATCH('Full Customer List'!$B227,'Customer List w Software'!$A:$A,0))</f>
        <v>Former client</v>
      </c>
      <c r="D227" s="171" t="str">
        <f>INDEX('Customer List w Software'!$C:$C,MATCH('Full Customer List'!$B227,'Customer List w Software'!$A:$A,0))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87" t="str">
        <f>INDEX('Customer List w Software'!$K:$K,MATCH('Full Customer List'!$B227,'Customer List w Software'!$A:$A,0))</f>
        <v/>
      </c>
      <c r="G227" s="187">
        <f>INDEX('Revenue by Customer'!$I:$I,MATCH('Full Customer List'!$B227,'Revenue by Customer'!$A:$A,0))</f>
        <v>386.66666666666669</v>
      </c>
      <c r="H227" s="250" t="str">
        <f>IFERROR(IF(C227="Active","",INDEX('Client Departures'!$G:$G,MATCH('Full Customer List'!$B227,'Client Departures'!$A:$A,0))),"Unclassified")</f>
        <v>Yes</v>
      </c>
      <c r="I227" s="191">
        <v>45778</v>
      </c>
      <c r="J227" s="191">
        <v>45991</v>
      </c>
      <c r="K227" s="187" t="str">
        <f>INDEX('Revenue by Customer'!K:K,MATCH('Full Customer List'!$B227,'Revenue by Customer'!$A:$A,0))</f>
        <v/>
      </c>
      <c r="L227" s="187" t="str">
        <f>INDEX('Revenue by Customer'!L:L,MATCH('Full Customer List'!$B227,'Revenue by Customer'!$A:$A,0))</f>
        <v/>
      </c>
      <c r="M227" s="187" t="str">
        <f>INDEX('Revenue by Customer'!M:M,MATCH('Full Customer List'!$B227,'Revenue by Customer'!$A:$A,0))</f>
        <v/>
      </c>
      <c r="N227" s="187" t="str">
        <f>INDEX('Revenue by Customer'!N:N,MATCH('Full Customer List'!$B227,'Revenue by Customer'!$A:$A,0))</f>
        <v/>
      </c>
      <c r="O227" s="187">
        <f>INDEX('Revenue by Customer'!O:O,MATCH('Full Customer List'!$B227,'Revenue by Customer'!$A:$A,0))</f>
        <v>640</v>
      </c>
      <c r="P227" s="187">
        <f>INDEX('Revenue by Customer'!P:P,MATCH('Full Customer List'!$B227,'Revenue by Customer'!$A:$A,0))</f>
        <v>340</v>
      </c>
      <c r="Q227" s="187">
        <f>INDEX('Revenue by Customer'!Q:Q,MATCH('Full Customer List'!$B227,'Revenue by Customer'!$A:$A,0))</f>
        <v>403.75</v>
      </c>
      <c r="R227" s="187">
        <f>INDEX('Revenue by Customer'!R:R,MATCH('Full Customer List'!$B227,'Revenue by Customer'!$A:$A,0))</f>
        <v>475</v>
      </c>
      <c r="S227" s="187">
        <f>INDEX('Revenue by Customer'!S:S,MATCH('Full Customer List'!$B227,'Revenue by Customer'!$A:$A,0))</f>
        <v>550</v>
      </c>
      <c r="T227" s="187">
        <f>INDEX('Revenue by Customer'!T:T,MATCH('Full Customer List'!$B227,'Revenue by Customer'!$A:$A,0))</f>
        <v>550</v>
      </c>
      <c r="U227" s="187">
        <f>INDEX('Revenue by Customer'!U:U,MATCH('Full Customer List'!$B227,'Revenue by Customer'!$A:$A,0))</f>
        <v>550</v>
      </c>
      <c r="V227" s="187" t="str">
        <f>INDEX('Revenue by Customer'!V:V,MATCH('Full Customer List'!$B227,'Revenue by Customer'!$A:$A,0))</f>
        <v/>
      </c>
      <c r="W227" s="187" t="str">
        <f>INDEX('Revenue by Customer'!W:W,MATCH('Full Customer List'!$B227,'Revenue by Customer'!$A:$A,0))</f>
        <v/>
      </c>
      <c r="X227" s="187">
        <f>INDEX('Revenue by Customer'!X:X,MATCH('Full Customer List'!$B227,'Revenue by Customer'!$A:$A,0))</f>
        <v>60</v>
      </c>
      <c r="Y227" s="187" t="str">
        <f>INDEX('Revenue by Customer'!Y:Y,MATCH('Full Customer List'!$B227,'Revenue by Customer'!$A:$A,0))</f>
        <v/>
      </c>
      <c r="Z227" s="187" t="str">
        <f>INDEX('Revenue by Customer'!Z:Z,MATCH('Full Customer List'!$B227,'Revenue by Customer'!$A:$A,0))</f>
        <v/>
      </c>
      <c r="AA227" s="187" t="str">
        <f>INDEX('Revenue by Customer'!AA:AA,MATCH('Full Customer List'!$B227,'Revenue by Customer'!$A:$A,0))</f>
        <v/>
      </c>
      <c r="AB227" s="187" t="str">
        <f>INDEX('Revenue by Customer'!AB:AB,MATCH('Full Customer List'!$B227,'Revenue by Customer'!$A:$A,0))</f>
        <v/>
      </c>
      <c r="AC227" s="187" t="str">
        <f>INDEX('Revenue by Customer'!AC:AC,MATCH('Full Customer List'!$B227,'Revenue by Customer'!$A:$A,0))</f>
        <v/>
      </c>
    </row>
    <row r="228" spans="2:29" ht="12" customHeight="1">
      <c r="B228" s="171" t="s">
        <v>870</v>
      </c>
      <c r="C228" s="171" t="str">
        <f>INDEX('Customer List w Software'!$B:$B,MATCH('Full Customer List'!$B228,'Customer List w Software'!$A:$A,0))</f>
        <v>Active</v>
      </c>
      <c r="D228" s="171" t="str">
        <f>INDEX('Customer List w Software'!$C:$C,MATCH('Full Customer List'!$B228,'Customer List w Software'!$A:$A,0))</f>
        <v>STR owner</v>
      </c>
      <c r="E228" s="171" t="str">
        <f>INDEX('Customer List Mapping'!$C:$C,MATCH('Full Customer List'!D228,'Customer List Mapping'!$B:$B,0))</f>
        <v>STR Owner</v>
      </c>
      <c r="F228" s="187">
        <f>INDEX('Customer List w Software'!$K:$K,MATCH('Full Customer List'!$B228,'Customer List w Software'!$A:$A,0))</f>
        <v>5</v>
      </c>
      <c r="G228" s="187">
        <f>INDEX('Revenue by Customer'!$I:$I,MATCH('Full Customer List'!$B228,'Revenue by Customer'!$A:$A,0))</f>
        <v>300</v>
      </c>
      <c r="H228" s="250" t="str">
        <f>IFERROR(IF(C228="Active","",INDEX('Client Departures'!$G:$G,MATCH('Full Customer List'!$B228,'Client Departures'!$A:$A,0))),"Unclassified")</f>
        <v/>
      </c>
      <c r="I228" s="191">
        <v>46023</v>
      </c>
      <c r="J228" s="191"/>
      <c r="K228" s="187" t="str">
        <f>INDEX('Revenue by Customer'!K:K,MATCH('Full Customer List'!$B228,'Revenue by Customer'!$A:$A,0))</f>
        <v/>
      </c>
      <c r="L228" s="187" t="str">
        <f>INDEX('Revenue by Customer'!L:L,MATCH('Full Customer List'!$B228,'Revenue by Customer'!$A:$A,0))</f>
        <v/>
      </c>
      <c r="M228" s="187" t="str">
        <f>INDEX('Revenue by Customer'!M:M,MATCH('Full Customer List'!$B228,'Revenue by Customer'!$A:$A,0))</f>
        <v/>
      </c>
      <c r="N228" s="187" t="str">
        <f>INDEX('Revenue by Customer'!N:N,MATCH('Full Customer List'!$B228,'Revenue by Customer'!$A:$A,0))</f>
        <v/>
      </c>
      <c r="O228" s="187" t="str">
        <f>INDEX('Revenue by Customer'!O:O,MATCH('Full Customer List'!$B228,'Revenue by Customer'!$A:$A,0))</f>
        <v/>
      </c>
      <c r="P228" s="187" t="str">
        <f>INDEX('Revenue by Customer'!P:P,MATCH('Full Customer List'!$B228,'Revenue by Customer'!$A:$A,0))</f>
        <v/>
      </c>
      <c r="Q228" s="187" t="str">
        <f>INDEX('Revenue by Customer'!Q:Q,MATCH('Full Customer List'!$B228,'Revenue by Customer'!$A:$A,0))</f>
        <v/>
      </c>
      <c r="R228" s="187" t="str">
        <f>INDEX('Revenue by Customer'!R:R,MATCH('Full Customer List'!$B228,'Revenue by Customer'!$A:$A,0))</f>
        <v/>
      </c>
      <c r="S228" s="187" t="str">
        <f>INDEX('Revenue by Customer'!S:S,MATCH('Full Customer List'!$B228,'Revenue by Customer'!$A:$A,0))</f>
        <v/>
      </c>
      <c r="T228" s="187" t="str">
        <f>INDEX('Revenue by Customer'!T:T,MATCH('Full Customer List'!$B228,'Revenue by Customer'!$A:$A,0))</f>
        <v/>
      </c>
      <c r="U228" s="187" t="str">
        <f>INDEX('Revenue by Customer'!U:U,MATCH('Full Customer List'!$B228,'Revenue by Customer'!$A:$A,0))</f>
        <v/>
      </c>
      <c r="V228" s="187" t="str">
        <f>INDEX('Revenue by Customer'!V:V,MATCH('Full Customer List'!$B228,'Revenue by Customer'!$A:$A,0))</f>
        <v/>
      </c>
      <c r="W228" s="187">
        <f>INDEX('Revenue by Customer'!W:W,MATCH('Full Customer List'!$B228,'Revenue by Customer'!$A:$A,0))</f>
        <v>640</v>
      </c>
      <c r="X228" s="187">
        <f>INDEX('Revenue by Customer'!X:X,MATCH('Full Customer List'!$B228,'Revenue by Customer'!$A:$A,0))</f>
        <v>340</v>
      </c>
      <c r="Y228" s="187">
        <f>INDEX('Revenue by Customer'!Y:Y,MATCH('Full Customer List'!$B228,'Revenue by Customer'!$A:$A,0))</f>
        <v>85</v>
      </c>
      <c r="Z228" s="187">
        <f>INDEX('Revenue by Customer'!Z:Z,MATCH('Full Customer List'!$B228,'Revenue by Customer'!$A:$A,0))</f>
        <v>200</v>
      </c>
      <c r="AA228" s="187">
        <f>INDEX('Revenue by Customer'!AA:AA,MATCH('Full Customer List'!$B228,'Revenue by Customer'!$A:$A,0))</f>
        <v>300</v>
      </c>
      <c r="AB228" s="187">
        <f>INDEX('Revenue by Customer'!AB:AB,MATCH('Full Customer List'!$B228,'Revenue by Customer'!$A:$A,0))</f>
        <v>300</v>
      </c>
      <c r="AC228" s="187">
        <f>INDEX('Revenue by Customer'!AC:AC,MATCH('Full Customer List'!$B228,'Revenue by Customer'!$A:$A,0))</f>
        <v>300</v>
      </c>
    </row>
    <row r="229" spans="2:29" ht="12" customHeight="1">
      <c r="B229" s="171" t="s">
        <v>871</v>
      </c>
      <c r="C229" s="171" t="str">
        <f>INDEX('Customer List w Software'!$B:$B,MATCH('Full Customer List'!$B229,'Customer List w Software'!$A:$A,0))</f>
        <v>Former client</v>
      </c>
      <c r="D229" s="171" t="str">
        <f>INDEX('Customer List w Software'!$C:$C,MATCH('Full Customer List'!$B229,'Customer List w Software'!$A:$A,0))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87" t="str">
        <f>INDEX('Customer List w Software'!$K:$K,MATCH('Full Customer List'!$B229,'Customer List w Software'!$A:$A,0))</f>
        <v/>
      </c>
      <c r="G229" s="187">
        <f>INDEX('Revenue by Customer'!$I:$I,MATCH('Full Customer List'!$B229,'Revenue by Customer'!$A:$A,0))</f>
        <v>305</v>
      </c>
      <c r="H229" s="250" t="str">
        <f>IFERROR(IF(C229="Active","",INDEX('Client Departures'!$G:$G,MATCH('Full Customer List'!$B229,'Client Departures'!$A:$A,0))),"Unclassified")</f>
        <v>Yes</v>
      </c>
      <c r="I229" s="191">
        <v>44440</v>
      </c>
      <c r="J229" s="191">
        <v>46081</v>
      </c>
      <c r="K229" s="187">
        <f>INDEX('Revenue by Customer'!K:K,MATCH('Full Customer List'!$B229,'Revenue by Customer'!$A:$A,0))</f>
        <v>310</v>
      </c>
      <c r="L229" s="187">
        <f>INDEX('Revenue by Customer'!L:L,MATCH('Full Customer List'!$B229,'Revenue by Customer'!$A:$A,0))</f>
        <v>295</v>
      </c>
      <c r="M229" s="187">
        <f>INDEX('Revenue by Customer'!M:M,MATCH('Full Customer List'!$B229,'Revenue by Customer'!$A:$A,0))</f>
        <v>295</v>
      </c>
      <c r="N229" s="187">
        <f>INDEX('Revenue by Customer'!N:N,MATCH('Full Customer List'!$B229,'Revenue by Customer'!$A:$A,0))</f>
        <v>295</v>
      </c>
      <c r="O229" s="187">
        <f>INDEX('Revenue by Customer'!O:O,MATCH('Full Customer List'!$B229,'Revenue by Customer'!$A:$A,0))</f>
        <v>295</v>
      </c>
      <c r="P229" s="187">
        <f>INDEX('Revenue by Customer'!P:P,MATCH('Full Customer List'!$B229,'Revenue by Customer'!$A:$A,0))</f>
        <v>295</v>
      </c>
      <c r="Q229" s="187">
        <f>INDEX('Revenue by Customer'!Q:Q,MATCH('Full Customer List'!$B229,'Revenue by Customer'!$A:$A,0))</f>
        <v>295</v>
      </c>
      <c r="R229" s="187">
        <f>INDEX('Revenue by Customer'!R:R,MATCH('Full Customer List'!$B229,'Revenue by Customer'!$A:$A,0))</f>
        <v>295</v>
      </c>
      <c r="S229" s="187">
        <f>INDEX('Revenue by Customer'!S:S,MATCH('Full Customer List'!$B229,'Revenue by Customer'!$A:$A,0))</f>
        <v>305</v>
      </c>
      <c r="T229" s="187">
        <f>INDEX('Revenue by Customer'!T:T,MATCH('Full Customer List'!$B229,'Revenue by Customer'!$A:$A,0))</f>
        <v>305</v>
      </c>
      <c r="U229" s="187">
        <f>INDEX('Revenue by Customer'!U:U,MATCH('Full Customer List'!$B229,'Revenue by Customer'!$A:$A,0))</f>
        <v>305</v>
      </c>
      <c r="V229" s="187">
        <f>INDEX('Revenue by Customer'!V:V,MATCH('Full Customer List'!$B229,'Revenue by Customer'!$A:$A,0))</f>
        <v>305</v>
      </c>
      <c r="W229" s="187">
        <f>INDEX('Revenue by Customer'!W:W,MATCH('Full Customer List'!$B229,'Revenue by Customer'!$A:$A,0))</f>
        <v>305</v>
      </c>
      <c r="X229" s="187">
        <f>INDEX('Revenue by Customer'!X:X,MATCH('Full Customer List'!$B229,'Revenue by Customer'!$A:$A,0))</f>
        <v>305</v>
      </c>
      <c r="Y229" s="187">
        <f>INDEX('Revenue by Customer'!Y:Y,MATCH('Full Customer List'!$B229,'Revenue by Customer'!$A:$A,0))</f>
        <v>0</v>
      </c>
      <c r="Z229" s="187" t="str">
        <f>INDEX('Revenue by Customer'!Z:Z,MATCH('Full Customer List'!$B229,'Revenue by Customer'!$A:$A,0))</f>
        <v/>
      </c>
      <c r="AA229" s="187" t="str">
        <f>INDEX('Revenue by Customer'!AA:AA,MATCH('Full Customer List'!$B229,'Revenue by Customer'!$A:$A,0))</f>
        <v/>
      </c>
      <c r="AB229" s="187" t="str">
        <f>INDEX('Revenue by Customer'!AB:AB,MATCH('Full Customer List'!$B229,'Revenue by Customer'!$A:$A,0))</f>
        <v/>
      </c>
      <c r="AC229" s="187" t="str">
        <f>INDEX('Revenue by Customer'!AC:AC,MATCH('Full Customer List'!$B229,'Revenue by Customer'!$A:$A,0))</f>
        <v/>
      </c>
    </row>
    <row r="230" spans="2:29" ht="12" customHeight="1">
      <c r="B230" s="171" t="s">
        <v>874</v>
      </c>
      <c r="C230" s="171" t="str">
        <f>INDEX('Customer List w Software'!$B:$B,MATCH('Full Customer List'!$B230,'Customer List w Software'!$A:$A,0))</f>
        <v>Former client</v>
      </c>
      <c r="D230" s="171" t="str">
        <f>INDEX('Customer List w Software'!$C:$C,MATCH('Full Customer List'!$B230,'Customer List w Software'!$A:$A,0))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87" t="str">
        <f>INDEX('Customer List w Software'!$K:$K,MATCH('Full Customer List'!$B230,'Customer List w Software'!$A:$A,0))</f>
        <v/>
      </c>
      <c r="G230" s="187">
        <f>INDEX('Revenue by Customer'!$I:$I,MATCH('Full Customer List'!$B230,'Revenue by Customer'!$A:$A,0))</f>
        <v>350</v>
      </c>
      <c r="H230" s="250" t="str">
        <f>IFERROR(IF(C230="Active","",INDEX('Client Departures'!$G:$G,MATCH('Full Customer List'!$B230,'Client Departures'!$A:$A,0))),"Unclassified")</f>
        <v>Yes</v>
      </c>
      <c r="I230" s="191">
        <v>44652</v>
      </c>
      <c r="J230" s="191">
        <v>46053</v>
      </c>
      <c r="K230" s="187">
        <f>INDEX('Revenue by Customer'!K:K,MATCH('Full Customer List'!$B230,'Revenue by Customer'!$A:$A,0))</f>
        <v>345</v>
      </c>
      <c r="L230" s="187">
        <f>INDEX('Revenue by Customer'!L:L,MATCH('Full Customer List'!$B230,'Revenue by Customer'!$A:$A,0))</f>
        <v>330</v>
      </c>
      <c r="M230" s="187">
        <f>INDEX('Revenue by Customer'!M:M,MATCH('Full Customer List'!$B230,'Revenue by Customer'!$A:$A,0))</f>
        <v>330</v>
      </c>
      <c r="N230" s="187">
        <f>INDEX('Revenue by Customer'!N:N,MATCH('Full Customer List'!$B230,'Revenue by Customer'!$A:$A,0))</f>
        <v>350</v>
      </c>
      <c r="O230" s="187">
        <f>INDEX('Revenue by Customer'!O:O,MATCH('Full Customer List'!$B230,'Revenue by Customer'!$A:$A,0))</f>
        <v>350</v>
      </c>
      <c r="P230" s="187">
        <f>INDEX('Revenue by Customer'!P:P,MATCH('Full Customer List'!$B230,'Revenue by Customer'!$A:$A,0))</f>
        <v>350</v>
      </c>
      <c r="Q230" s="187">
        <f>INDEX('Revenue by Customer'!Q:Q,MATCH('Full Customer List'!$B230,'Revenue by Customer'!$A:$A,0))</f>
        <v>350</v>
      </c>
      <c r="R230" s="187">
        <f>INDEX('Revenue by Customer'!R:R,MATCH('Full Customer List'!$B230,'Revenue by Customer'!$A:$A,0))</f>
        <v>350</v>
      </c>
      <c r="S230" s="187">
        <f>INDEX('Revenue by Customer'!S:S,MATCH('Full Customer List'!$B230,'Revenue by Customer'!$A:$A,0))</f>
        <v>350</v>
      </c>
      <c r="T230" s="187">
        <f>INDEX('Revenue by Customer'!T:T,MATCH('Full Customer List'!$B230,'Revenue by Customer'!$A:$A,0))</f>
        <v>350</v>
      </c>
      <c r="U230" s="187">
        <f>INDEX('Revenue by Customer'!U:U,MATCH('Full Customer List'!$B230,'Revenue by Customer'!$A:$A,0))</f>
        <v>350</v>
      </c>
      <c r="V230" s="187">
        <f>INDEX('Revenue by Customer'!V:V,MATCH('Full Customer List'!$B230,'Revenue by Customer'!$A:$A,0))</f>
        <v>350</v>
      </c>
      <c r="W230" s="187">
        <f>INDEX('Revenue by Customer'!W:W,MATCH('Full Customer List'!$B230,'Revenue by Customer'!$A:$A,0))</f>
        <v>350</v>
      </c>
      <c r="X230" s="187" t="str">
        <f>INDEX('Revenue by Customer'!X:X,MATCH('Full Customer List'!$B230,'Revenue by Customer'!$A:$A,0))</f>
        <v/>
      </c>
      <c r="Y230" s="187" t="str">
        <f>INDEX('Revenue by Customer'!Y:Y,MATCH('Full Customer List'!$B230,'Revenue by Customer'!$A:$A,0))</f>
        <v/>
      </c>
      <c r="Z230" s="187" t="str">
        <f>INDEX('Revenue by Customer'!Z:Z,MATCH('Full Customer List'!$B230,'Revenue by Customer'!$A:$A,0))</f>
        <v/>
      </c>
      <c r="AA230" s="187" t="str">
        <f>INDEX('Revenue by Customer'!AA:AA,MATCH('Full Customer List'!$B230,'Revenue by Customer'!$A:$A,0))</f>
        <v/>
      </c>
      <c r="AB230" s="187" t="str">
        <f>INDEX('Revenue by Customer'!AB:AB,MATCH('Full Customer List'!$B230,'Revenue by Customer'!$A:$A,0))</f>
        <v/>
      </c>
      <c r="AC230" s="187" t="str">
        <f>INDEX('Revenue by Customer'!AC:AC,MATCH('Full Customer List'!$B230,'Revenue by Customer'!$A:$A,0))</f>
        <v/>
      </c>
    </row>
    <row r="231" spans="2:29" ht="12" customHeight="1">
      <c r="B231" s="171" t="s">
        <v>875</v>
      </c>
      <c r="C231" s="171" t="str">
        <f>INDEX('Customer List w Software'!$B:$B,MATCH('Full Customer List'!$B231,'Customer List w Software'!$A:$A,0))</f>
        <v>Former client</v>
      </c>
      <c r="D231" s="171" t="str">
        <f>INDEX('Customer List w Software'!$C:$C,MATCH('Full Customer List'!$B231,'Customer List w Software'!$A:$A,0))</f>
        <v>Property manager</v>
      </c>
      <c r="E231" s="171" t="str">
        <f>INDEX('Customer List Mapping'!$C:$C,MATCH('Full Customer List'!D231,'Customer List Mapping'!$B:$B,0))</f>
        <v>Property Manager</v>
      </c>
      <c r="F231" s="187">
        <f>INDEX('Customer List w Software'!$K:$K,MATCH('Full Customer List'!$B231,'Customer List w Software'!$A:$A,0))</f>
        <v>4</v>
      </c>
      <c r="G231" s="187">
        <f>INDEX('Revenue by Customer'!$I:$I,MATCH('Full Customer List'!$B231,'Revenue by Customer'!$A:$A,0))</f>
        <v>300</v>
      </c>
      <c r="H231" s="250" t="str">
        <f>IFERROR(IF(C231="Active","",INDEX('Client Departures'!$G:$G,MATCH('Full Customer List'!$B231,'Client Departures'!$A:$A,0))),"Unclassified")</f>
        <v>No</v>
      </c>
      <c r="I231" s="191">
        <v>45778</v>
      </c>
      <c r="J231" s="191">
        <v>46022</v>
      </c>
      <c r="K231" s="187" t="str">
        <f>INDEX('Revenue by Customer'!K:K,MATCH('Full Customer List'!$B231,'Revenue by Customer'!$A:$A,0))</f>
        <v/>
      </c>
      <c r="L231" s="187" t="str">
        <f>INDEX('Revenue by Customer'!L:L,MATCH('Full Customer List'!$B231,'Revenue by Customer'!$A:$A,0))</f>
        <v/>
      </c>
      <c r="M231" s="187" t="str">
        <f>INDEX('Revenue by Customer'!M:M,MATCH('Full Customer List'!$B231,'Revenue by Customer'!$A:$A,0))</f>
        <v/>
      </c>
      <c r="N231" s="187" t="str">
        <f>INDEX('Revenue by Customer'!N:N,MATCH('Full Customer List'!$B231,'Revenue by Customer'!$A:$A,0))</f>
        <v/>
      </c>
      <c r="O231" s="187">
        <f>INDEX('Revenue by Customer'!O:O,MATCH('Full Customer List'!$B231,'Revenue by Customer'!$A:$A,0))</f>
        <v>640</v>
      </c>
      <c r="P231" s="187">
        <f>INDEX('Revenue by Customer'!P:P,MATCH('Full Customer List'!$B231,'Revenue by Customer'!$A:$A,0))</f>
        <v>340</v>
      </c>
      <c r="Q231" s="187">
        <f>INDEX('Revenue by Customer'!Q:Q,MATCH('Full Customer List'!$B231,'Revenue by Customer'!$A:$A,0))</f>
        <v>340</v>
      </c>
      <c r="R231" s="187">
        <f>INDEX('Revenue by Customer'!R:R,MATCH('Full Customer List'!$B231,'Revenue by Customer'!$A:$A,0))</f>
        <v>400</v>
      </c>
      <c r="S231" s="187">
        <f>INDEX('Revenue by Customer'!S:S,MATCH('Full Customer List'!$B231,'Revenue by Customer'!$A:$A,0))</f>
        <v>400</v>
      </c>
      <c r="T231" s="187">
        <f>INDEX('Revenue by Customer'!T:T,MATCH('Full Customer List'!$B231,'Revenue by Customer'!$A:$A,0))</f>
        <v>400</v>
      </c>
      <c r="U231" s="187">
        <f>INDEX('Revenue by Customer'!U:U,MATCH('Full Customer List'!$B231,'Revenue by Customer'!$A:$A,0))</f>
        <v>400</v>
      </c>
      <c r="V231" s="187">
        <f>INDEX('Revenue by Customer'!V:V,MATCH('Full Customer List'!$B231,'Revenue by Customer'!$A:$A,0))</f>
        <v>700</v>
      </c>
      <c r="W231" s="187">
        <f>INDEX('Revenue by Customer'!W:W,MATCH('Full Customer List'!$B231,'Revenue by Customer'!$A:$A,0))</f>
        <v>-200</v>
      </c>
      <c r="X231" s="187">
        <f>INDEX('Revenue by Customer'!X:X,MATCH('Full Customer List'!$B231,'Revenue by Customer'!$A:$A,0))</f>
        <v>0</v>
      </c>
      <c r="Y231" s="187">
        <f>INDEX('Revenue by Customer'!Y:Y,MATCH('Full Customer List'!$B231,'Revenue by Customer'!$A:$A,0))</f>
        <v>0</v>
      </c>
      <c r="Z231" s="187">
        <f>INDEX('Revenue by Customer'!Z:Z,MATCH('Full Customer List'!$B231,'Revenue by Customer'!$A:$A,0))</f>
        <v>0</v>
      </c>
      <c r="AA231" s="187" t="str">
        <f>INDEX('Revenue by Customer'!AA:AA,MATCH('Full Customer List'!$B231,'Revenue by Customer'!$A:$A,0))</f>
        <v/>
      </c>
      <c r="AB231" s="187" t="str">
        <f>INDEX('Revenue by Customer'!AB:AB,MATCH('Full Customer List'!$B231,'Revenue by Customer'!$A:$A,0))</f>
        <v/>
      </c>
      <c r="AC231" s="187" t="str">
        <f>INDEX('Revenue by Customer'!AC:AC,MATCH('Full Customer List'!$B231,'Revenue by Customer'!$A:$A,0))</f>
        <v/>
      </c>
    </row>
    <row r="232" spans="2:29" ht="12" customHeight="1">
      <c r="B232" s="171" t="s">
        <v>878</v>
      </c>
      <c r="C232" s="171" t="str">
        <f>INDEX('Customer List w Software'!$B:$B,MATCH('Full Customer List'!$B232,'Customer List w Software'!$A:$A,0))</f>
        <v>Former client</v>
      </c>
      <c r="D232" s="171" t="str">
        <f>INDEX('Customer List w Software'!$C:$C,MATCH('Full Customer List'!$B232,'Customer List w Software'!$A:$A,0))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87" t="str">
        <f>INDEX('Customer List w Software'!$K:$K,MATCH('Full Customer List'!$B232,'Customer List w Software'!$A:$A,0))</f>
        <v/>
      </c>
      <c r="G232" s="187">
        <f>INDEX('Revenue by Customer'!$I:$I,MATCH('Full Customer List'!$B232,'Revenue by Customer'!$A:$A,0))</f>
        <v>580</v>
      </c>
      <c r="H232" s="250" t="str">
        <f>IFERROR(IF(C232="Active","",INDEX('Client Departures'!$G:$G,MATCH('Full Customer List'!$B232,'Client Departures'!$A:$A,0))),"Unclassified")</f>
        <v>No</v>
      </c>
      <c r="I232" s="191">
        <v>45778</v>
      </c>
      <c r="J232" s="191">
        <v>45991</v>
      </c>
      <c r="K232" s="187" t="str">
        <f>INDEX('Revenue by Customer'!K:K,MATCH('Full Customer List'!$B232,'Revenue by Customer'!$A:$A,0))</f>
        <v/>
      </c>
      <c r="L232" s="187" t="str">
        <f>INDEX('Revenue by Customer'!L:L,MATCH('Full Customer List'!$B232,'Revenue by Customer'!$A:$A,0))</f>
        <v/>
      </c>
      <c r="M232" s="187" t="str">
        <f>INDEX('Revenue by Customer'!M:M,MATCH('Full Customer List'!$B232,'Revenue by Customer'!$A:$A,0))</f>
        <v/>
      </c>
      <c r="N232" s="187" t="str">
        <f>INDEX('Revenue by Customer'!N:N,MATCH('Full Customer List'!$B232,'Revenue by Customer'!$A:$A,0))</f>
        <v/>
      </c>
      <c r="O232" s="187">
        <f>INDEX('Revenue by Customer'!O:O,MATCH('Full Customer List'!$B232,'Revenue by Customer'!$A:$A,0))</f>
        <v>3792.5</v>
      </c>
      <c r="P232" s="187">
        <f>INDEX('Revenue by Customer'!P:P,MATCH('Full Customer List'!$B232,'Revenue by Customer'!$A:$A,0))</f>
        <v>695</v>
      </c>
      <c r="Q232" s="187">
        <f>INDEX('Revenue by Customer'!Q:Q,MATCH('Full Customer List'!$B232,'Revenue by Customer'!$A:$A,0))</f>
        <v>718.75</v>
      </c>
      <c r="R232" s="187">
        <f>INDEX('Revenue by Customer'!R:R,MATCH('Full Customer List'!$B232,'Revenue by Customer'!$A:$A,0))</f>
        <v>325</v>
      </c>
      <c r="S232" s="187">
        <f>INDEX('Revenue by Customer'!S:S,MATCH('Full Customer List'!$B232,'Revenue by Customer'!$A:$A,0))</f>
        <v>640</v>
      </c>
      <c r="T232" s="187">
        <f>INDEX('Revenue by Customer'!T:T,MATCH('Full Customer List'!$B232,'Revenue by Customer'!$A:$A,0))</f>
        <v>550</v>
      </c>
      <c r="U232" s="187">
        <f>INDEX('Revenue by Customer'!U:U,MATCH('Full Customer List'!$B232,'Revenue by Customer'!$A:$A,0))</f>
        <v>550</v>
      </c>
      <c r="V232" s="187" t="str">
        <f>INDEX('Revenue by Customer'!V:V,MATCH('Full Customer List'!$B232,'Revenue by Customer'!$A:$A,0))</f>
        <v/>
      </c>
      <c r="W232" s="187" t="str">
        <f>INDEX('Revenue by Customer'!W:W,MATCH('Full Customer List'!$B232,'Revenue by Customer'!$A:$A,0))</f>
        <v/>
      </c>
      <c r="X232" s="187" t="str">
        <f>INDEX('Revenue by Customer'!X:X,MATCH('Full Customer List'!$B232,'Revenue by Customer'!$A:$A,0))</f>
        <v/>
      </c>
      <c r="Y232" s="187" t="str">
        <f>INDEX('Revenue by Customer'!Y:Y,MATCH('Full Customer List'!$B232,'Revenue by Customer'!$A:$A,0))</f>
        <v/>
      </c>
      <c r="Z232" s="187" t="str">
        <f>INDEX('Revenue by Customer'!Z:Z,MATCH('Full Customer List'!$B232,'Revenue by Customer'!$A:$A,0))</f>
        <v/>
      </c>
      <c r="AA232" s="187" t="str">
        <f>INDEX('Revenue by Customer'!AA:AA,MATCH('Full Customer List'!$B232,'Revenue by Customer'!$A:$A,0))</f>
        <v/>
      </c>
      <c r="AB232" s="187" t="str">
        <f>INDEX('Revenue by Customer'!AB:AB,MATCH('Full Customer List'!$B232,'Revenue by Customer'!$A:$A,0))</f>
        <v/>
      </c>
      <c r="AC232" s="187" t="str">
        <f>INDEX('Revenue by Customer'!AC:AC,MATCH('Full Customer List'!$B232,'Revenue by Customer'!$A:$A,0))</f>
        <v/>
      </c>
    </row>
    <row r="233" spans="2:29" ht="12" customHeight="1">
      <c r="B233" s="171" t="s">
        <v>879</v>
      </c>
      <c r="C233" s="171" t="str">
        <f>INDEX('Customer List w Software'!$B:$B,MATCH('Full Customer List'!$B233,'Customer List w Software'!$A:$A,0))</f>
        <v>Active</v>
      </c>
      <c r="D233" s="171" t="str">
        <f>INDEX('Customer List w Software'!$C:$C,MATCH('Full Customer List'!$B233,'Customer List w Software'!$A:$A,0))</f>
        <v>Property manager</v>
      </c>
      <c r="E233" s="171" t="str">
        <f>INDEX('Customer List Mapping'!$C:$C,MATCH('Full Customer List'!D233,'Customer List Mapping'!$B:$B,0))</f>
        <v>Property Manager</v>
      </c>
      <c r="F233" s="187">
        <f>INDEX('Customer List w Software'!$K:$K,MATCH('Full Customer List'!$B233,'Customer List w Software'!$A:$A,0))</f>
        <v>3</v>
      </c>
      <c r="G233" s="187">
        <f>INDEX('Revenue by Customer'!$I:$I,MATCH('Full Customer List'!$B233,'Revenue by Customer'!$A:$A,0))</f>
        <v>680.66666666666663</v>
      </c>
      <c r="H233" s="250" t="str">
        <f>IFERROR(IF(C233="Active","",INDEX('Client Departures'!$G:$G,MATCH('Full Customer List'!$B233,'Client Departures'!$A:$A,0))),"Unclassified")</f>
        <v/>
      </c>
      <c r="I233" s="191">
        <v>46143</v>
      </c>
      <c r="J233" s="191"/>
      <c r="K233" s="187" t="str">
        <f>INDEX('Revenue by Customer'!K:K,MATCH('Full Customer List'!$B233,'Revenue by Customer'!$A:$A,0))</f>
        <v/>
      </c>
      <c r="L233" s="187" t="str">
        <f>INDEX('Revenue by Customer'!L:L,MATCH('Full Customer List'!$B233,'Revenue by Customer'!$A:$A,0))</f>
        <v/>
      </c>
      <c r="M233" s="187" t="str">
        <f>INDEX('Revenue by Customer'!M:M,MATCH('Full Customer List'!$B233,'Revenue by Customer'!$A:$A,0))</f>
        <v/>
      </c>
      <c r="N233" s="187" t="str">
        <f>INDEX('Revenue by Customer'!N:N,MATCH('Full Customer List'!$B233,'Revenue by Customer'!$A:$A,0))</f>
        <v/>
      </c>
      <c r="O233" s="187" t="str">
        <f>INDEX('Revenue by Customer'!O:O,MATCH('Full Customer List'!$B233,'Revenue by Customer'!$A:$A,0))</f>
        <v/>
      </c>
      <c r="P233" s="187" t="str">
        <f>INDEX('Revenue by Customer'!P:P,MATCH('Full Customer List'!$B233,'Revenue by Customer'!$A:$A,0))</f>
        <v/>
      </c>
      <c r="Q233" s="187" t="str">
        <f>INDEX('Revenue by Customer'!Q:Q,MATCH('Full Customer List'!$B233,'Revenue by Customer'!$A:$A,0))</f>
        <v/>
      </c>
      <c r="R233" s="187" t="str">
        <f>INDEX('Revenue by Customer'!R:R,MATCH('Full Customer List'!$B233,'Revenue by Customer'!$A:$A,0))</f>
        <v/>
      </c>
      <c r="S233" s="187" t="str">
        <f>INDEX('Revenue by Customer'!S:S,MATCH('Full Customer List'!$B233,'Revenue by Customer'!$A:$A,0))</f>
        <v/>
      </c>
      <c r="T233" s="187" t="str">
        <f>INDEX('Revenue by Customer'!T:T,MATCH('Full Customer List'!$B233,'Revenue by Customer'!$A:$A,0))</f>
        <v/>
      </c>
      <c r="U233" s="187" t="str">
        <f>INDEX('Revenue by Customer'!U:U,MATCH('Full Customer List'!$B233,'Revenue by Customer'!$A:$A,0))</f>
        <v/>
      </c>
      <c r="V233" s="187" t="str">
        <f>INDEX('Revenue by Customer'!V:V,MATCH('Full Customer List'!$B233,'Revenue by Customer'!$A:$A,0))</f>
        <v/>
      </c>
      <c r="W233" s="187" t="str">
        <f>INDEX('Revenue by Customer'!W:W,MATCH('Full Customer List'!$B233,'Revenue by Customer'!$A:$A,0))</f>
        <v/>
      </c>
      <c r="X233" s="187" t="str">
        <f>INDEX('Revenue by Customer'!X:X,MATCH('Full Customer List'!$B233,'Revenue by Customer'!$A:$A,0))</f>
        <v/>
      </c>
      <c r="Y233" s="187" t="str">
        <f>INDEX('Revenue by Customer'!Y:Y,MATCH('Full Customer List'!$B233,'Revenue by Customer'!$A:$A,0))</f>
        <v/>
      </c>
      <c r="Z233" s="187" t="str">
        <f>INDEX('Revenue by Customer'!Z:Z,MATCH('Full Customer List'!$B233,'Revenue by Customer'!$A:$A,0))</f>
        <v/>
      </c>
      <c r="AA233" s="187">
        <f>INDEX('Revenue by Customer'!AA:AA,MATCH('Full Customer List'!$B233,'Revenue by Customer'!$A:$A,0))</f>
        <v>986</v>
      </c>
      <c r="AB233" s="187">
        <f>INDEX('Revenue by Customer'!AB:AB,MATCH('Full Customer List'!$B233,'Revenue by Customer'!$A:$A,0))</f>
        <v>678</v>
      </c>
      <c r="AC233" s="187">
        <f>INDEX('Revenue by Customer'!AC:AC,MATCH('Full Customer List'!$B233,'Revenue by Customer'!$A:$A,0))</f>
        <v>378</v>
      </c>
    </row>
    <row r="234" spans="2:29" ht="12" customHeight="1">
      <c r="B234" s="171" t="s">
        <v>880</v>
      </c>
      <c r="C234" s="171" t="str">
        <f>INDEX('Customer List w Software'!$B:$B,MATCH('Full Customer List'!$B234,'Customer List w Software'!$A:$A,0))</f>
        <v>Former client</v>
      </c>
      <c r="D234" s="171" t="str">
        <f>INDEX('Customer List w Software'!$C:$C,MATCH('Full Customer List'!$B234,'Customer List w Software'!$A:$A,0))</f>
        <v>STR owner</v>
      </c>
      <c r="E234" s="171" t="str">
        <f>INDEX('Customer List Mapping'!$C:$C,MATCH('Full Customer List'!D234,'Customer List Mapping'!$B:$B,0))</f>
        <v>STR Owner</v>
      </c>
      <c r="F234" s="187" t="str">
        <f>INDEX('Customer List w Software'!$K:$K,MATCH('Full Customer List'!$B234,'Customer List w Software'!$A:$A,0))</f>
        <v/>
      </c>
      <c r="G234" s="187">
        <f>INDEX('Revenue by Customer'!$I:$I,MATCH('Full Customer List'!$B234,'Revenue by Customer'!$A:$A,0))</f>
        <v>200</v>
      </c>
      <c r="H234" s="250" t="str">
        <f>IFERROR(IF(C234="Active","",INDEX('Client Departures'!$G:$G,MATCH('Full Customer List'!$B234,'Client Departures'!$A:$A,0))),"Unclassified")</f>
        <v>Yes</v>
      </c>
      <c r="I234" s="191">
        <v>45444</v>
      </c>
      <c r="J234" s="191">
        <v>46173</v>
      </c>
      <c r="K234" s="187">
        <f>INDEX('Revenue by Customer'!K:K,MATCH('Full Customer List'!$B234,'Revenue by Customer'!$A:$A,0))</f>
        <v>197.5</v>
      </c>
      <c r="L234" s="187">
        <f>INDEX('Revenue by Customer'!L:L,MATCH('Full Customer List'!$B234,'Revenue by Customer'!$A:$A,0))</f>
        <v>242.5</v>
      </c>
      <c r="M234" s="187">
        <f>INDEX('Revenue by Customer'!M:M,MATCH('Full Customer List'!$B234,'Revenue by Customer'!$A:$A,0))</f>
        <v>197.5</v>
      </c>
      <c r="N234" s="187">
        <f>INDEX('Revenue by Customer'!N:N,MATCH('Full Customer List'!$B234,'Revenue by Customer'!$A:$A,0))</f>
        <v>197.5</v>
      </c>
      <c r="O234" s="187">
        <f>INDEX('Revenue by Customer'!O:O,MATCH('Full Customer List'!$B234,'Revenue by Customer'!$A:$A,0))</f>
        <v>197.5</v>
      </c>
      <c r="P234" s="187">
        <f>INDEX('Revenue by Customer'!P:P,MATCH('Full Customer List'!$B234,'Revenue by Customer'!$A:$A,0))</f>
        <v>200</v>
      </c>
      <c r="Q234" s="187">
        <f>INDEX('Revenue by Customer'!Q:Q,MATCH('Full Customer List'!$B234,'Revenue by Customer'!$A:$A,0))</f>
        <v>200</v>
      </c>
      <c r="R234" s="187">
        <f>INDEX('Revenue by Customer'!R:R,MATCH('Full Customer List'!$B234,'Revenue by Customer'!$A:$A,0))</f>
        <v>200</v>
      </c>
      <c r="S234" s="187">
        <f>INDEX('Revenue by Customer'!S:S,MATCH('Full Customer List'!$B234,'Revenue by Customer'!$A:$A,0))</f>
        <v>200</v>
      </c>
      <c r="T234" s="187">
        <f>INDEX('Revenue by Customer'!T:T,MATCH('Full Customer List'!$B234,'Revenue by Customer'!$A:$A,0))</f>
        <v>200</v>
      </c>
      <c r="U234" s="187">
        <f>INDEX('Revenue by Customer'!U:U,MATCH('Full Customer List'!$B234,'Revenue by Customer'!$A:$A,0))</f>
        <v>200</v>
      </c>
      <c r="V234" s="187">
        <f>INDEX('Revenue by Customer'!V:V,MATCH('Full Customer List'!$B234,'Revenue by Customer'!$A:$A,0))</f>
        <v>200</v>
      </c>
      <c r="W234" s="187">
        <f>INDEX('Revenue by Customer'!W:W,MATCH('Full Customer List'!$B234,'Revenue by Customer'!$A:$A,0))</f>
        <v>200</v>
      </c>
      <c r="X234" s="187">
        <f>INDEX('Revenue by Customer'!X:X,MATCH('Full Customer List'!$B234,'Revenue by Customer'!$A:$A,0))</f>
        <v>200</v>
      </c>
      <c r="Y234" s="187">
        <f>INDEX('Revenue by Customer'!Y:Y,MATCH('Full Customer List'!$B234,'Revenue by Customer'!$A:$A,0))</f>
        <v>200</v>
      </c>
      <c r="Z234" s="187">
        <f>INDEX('Revenue by Customer'!Z:Z,MATCH('Full Customer List'!$B234,'Revenue by Customer'!$A:$A,0))</f>
        <v>200</v>
      </c>
      <c r="AA234" s="187">
        <f>INDEX('Revenue by Customer'!AA:AA,MATCH('Full Customer List'!$B234,'Revenue by Customer'!$A:$A,0))</f>
        <v>200</v>
      </c>
      <c r="AB234" s="187" t="str">
        <f>INDEX('Revenue by Customer'!AB:AB,MATCH('Full Customer List'!$B234,'Revenue by Customer'!$A:$A,0))</f>
        <v/>
      </c>
      <c r="AC234" s="187" t="str">
        <f>INDEX('Revenue by Customer'!AC:AC,MATCH('Full Customer List'!$B234,'Revenue by Customer'!$A:$A,0))</f>
        <v/>
      </c>
    </row>
    <row r="235" spans="2:29" ht="12" customHeight="1">
      <c r="B235" s="171" t="s">
        <v>881</v>
      </c>
      <c r="C235" s="171" t="str">
        <f>INDEX('Customer List w Software'!$B:$B,MATCH('Full Customer List'!$B235,'Customer List w Software'!$A:$A,0))</f>
        <v>Former client</v>
      </c>
      <c r="D235" s="171" t="str">
        <f>INDEX('Customer List w Software'!$C:$C,MATCH('Full Customer List'!$B235,'Customer List w Software'!$A:$A,0))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87" t="str">
        <f>INDEX('Customer List w Software'!$K:$K,MATCH('Full Customer List'!$B235,'Customer List w Software'!$A:$A,0))</f>
        <v/>
      </c>
      <c r="G235" s="187">
        <f>INDEX('Revenue by Customer'!$I:$I,MATCH('Full Customer List'!$B235,'Revenue by Customer'!$A:$A,0))</f>
        <v>200</v>
      </c>
      <c r="H235" s="250" t="str">
        <f>IFERROR(IF(C235="Active","",INDEX('Client Departures'!$G:$G,MATCH('Full Customer List'!$B235,'Client Departures'!$A:$A,0))),"Unclassified")</f>
        <v>Yes</v>
      </c>
      <c r="I235" s="191">
        <v>45444</v>
      </c>
      <c r="J235" s="191">
        <v>46173</v>
      </c>
      <c r="K235" s="187">
        <f>INDEX('Revenue by Customer'!K:K,MATCH('Full Customer List'!$B235,'Revenue by Customer'!$A:$A,0))</f>
        <v>197.5</v>
      </c>
      <c r="L235" s="187">
        <f>INDEX('Revenue by Customer'!L:L,MATCH('Full Customer List'!$B235,'Revenue by Customer'!$A:$A,0))</f>
        <v>197.5</v>
      </c>
      <c r="M235" s="187">
        <f>INDEX('Revenue by Customer'!M:M,MATCH('Full Customer List'!$B235,'Revenue by Customer'!$A:$A,0))</f>
        <v>197.5</v>
      </c>
      <c r="N235" s="187">
        <f>INDEX('Revenue by Customer'!N:N,MATCH('Full Customer List'!$B235,'Revenue by Customer'!$A:$A,0))</f>
        <v>197.5</v>
      </c>
      <c r="O235" s="187">
        <f>INDEX('Revenue by Customer'!O:O,MATCH('Full Customer List'!$B235,'Revenue by Customer'!$A:$A,0))</f>
        <v>197.5</v>
      </c>
      <c r="P235" s="187">
        <f>INDEX('Revenue by Customer'!P:P,MATCH('Full Customer List'!$B235,'Revenue by Customer'!$A:$A,0))</f>
        <v>200</v>
      </c>
      <c r="Q235" s="187">
        <f>INDEX('Revenue by Customer'!Q:Q,MATCH('Full Customer List'!$B235,'Revenue by Customer'!$A:$A,0))</f>
        <v>200</v>
      </c>
      <c r="R235" s="187">
        <f>INDEX('Revenue by Customer'!R:R,MATCH('Full Customer List'!$B235,'Revenue by Customer'!$A:$A,0))</f>
        <v>200</v>
      </c>
      <c r="S235" s="187">
        <f>INDEX('Revenue by Customer'!S:S,MATCH('Full Customer List'!$B235,'Revenue by Customer'!$A:$A,0))</f>
        <v>200</v>
      </c>
      <c r="T235" s="187">
        <f>INDEX('Revenue by Customer'!T:T,MATCH('Full Customer List'!$B235,'Revenue by Customer'!$A:$A,0))</f>
        <v>200</v>
      </c>
      <c r="U235" s="187">
        <f>INDEX('Revenue by Customer'!U:U,MATCH('Full Customer List'!$B235,'Revenue by Customer'!$A:$A,0))</f>
        <v>200</v>
      </c>
      <c r="V235" s="187">
        <f>INDEX('Revenue by Customer'!V:V,MATCH('Full Customer List'!$B235,'Revenue by Customer'!$A:$A,0))</f>
        <v>200</v>
      </c>
      <c r="W235" s="187">
        <f>INDEX('Revenue by Customer'!W:W,MATCH('Full Customer List'!$B235,'Revenue by Customer'!$A:$A,0))</f>
        <v>200</v>
      </c>
      <c r="X235" s="187">
        <f>INDEX('Revenue by Customer'!X:X,MATCH('Full Customer List'!$B235,'Revenue by Customer'!$A:$A,0))</f>
        <v>200</v>
      </c>
      <c r="Y235" s="187">
        <f>INDEX('Revenue by Customer'!Y:Y,MATCH('Full Customer List'!$B235,'Revenue by Customer'!$A:$A,0))</f>
        <v>200</v>
      </c>
      <c r="Z235" s="187">
        <f>INDEX('Revenue by Customer'!Z:Z,MATCH('Full Customer List'!$B235,'Revenue by Customer'!$A:$A,0))</f>
        <v>200</v>
      </c>
      <c r="AA235" s="187">
        <f>INDEX('Revenue by Customer'!AA:AA,MATCH('Full Customer List'!$B235,'Revenue by Customer'!$A:$A,0))</f>
        <v>200</v>
      </c>
      <c r="AB235" s="187" t="str">
        <f>INDEX('Revenue by Customer'!AB:AB,MATCH('Full Customer List'!$B235,'Revenue by Customer'!$A:$A,0))</f>
        <v/>
      </c>
      <c r="AC235" s="187" t="str">
        <f>INDEX('Revenue by Customer'!AC:AC,MATCH('Full Customer List'!$B235,'Revenue by Customer'!$A:$A,0))</f>
        <v/>
      </c>
    </row>
    <row r="236" spans="2:29" ht="12" customHeight="1">
      <c r="B236" s="171" t="s">
        <v>882</v>
      </c>
      <c r="C236" s="171" t="str">
        <f>INDEX('Customer List w Software'!$B:$B,MATCH('Full Customer List'!$B236,'Customer List w Software'!$A:$A,0))</f>
        <v>Former client</v>
      </c>
      <c r="D236" s="171" t="str">
        <f>INDEX('Customer List w Software'!$C:$C,MATCH('Full Customer List'!$B236,'Customer List w Software'!$A:$A,0))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87" t="str">
        <f>INDEX('Customer List w Software'!$K:$K,MATCH('Full Customer List'!$B236,'Customer List w Software'!$A:$A,0))</f>
        <v/>
      </c>
      <c r="G236" s="187">
        <f>INDEX('Revenue by Customer'!$I:$I,MATCH('Full Customer List'!$B236,'Revenue by Customer'!$A:$A,0))</f>
        <v>630</v>
      </c>
      <c r="H236" s="250" t="str">
        <f>IFERROR(IF(C236="Active","",INDEX('Client Departures'!$G:$G,MATCH('Full Customer List'!$B236,'Client Departures'!$A:$A,0))),"Unclassified")</f>
        <v>Yes</v>
      </c>
      <c r="I236" s="191">
        <v>45292</v>
      </c>
      <c r="J236" s="191">
        <v>45961</v>
      </c>
      <c r="K236" s="187">
        <f>INDEX('Revenue by Customer'!K:K,MATCH('Full Customer List'!$B236,'Revenue by Customer'!$A:$A,0))</f>
        <v>1185</v>
      </c>
      <c r="L236" s="187">
        <f>INDEX('Revenue by Customer'!L:L,MATCH('Full Customer List'!$B236,'Revenue by Customer'!$A:$A,0))</f>
        <v>960</v>
      </c>
      <c r="M236" s="187">
        <f>INDEX('Revenue by Customer'!M:M,MATCH('Full Customer List'!$B236,'Revenue by Customer'!$A:$A,0))</f>
        <v>870</v>
      </c>
      <c r="N236" s="187">
        <f>INDEX('Revenue by Customer'!N:N,MATCH('Full Customer List'!$B236,'Revenue by Customer'!$A:$A,0))</f>
        <v>1030</v>
      </c>
      <c r="O236" s="187">
        <f>INDEX('Revenue by Customer'!O:O,MATCH('Full Customer List'!$B236,'Revenue by Customer'!$A:$A,0))</f>
        <v>780</v>
      </c>
      <c r="P236" s="187">
        <f>INDEX('Revenue by Customer'!P:P,MATCH('Full Customer List'!$B236,'Revenue by Customer'!$A:$A,0))</f>
        <v>870</v>
      </c>
      <c r="Q236" s="187">
        <f>INDEX('Revenue by Customer'!Q:Q,MATCH('Full Customer List'!$B236,'Revenue by Customer'!$A:$A,0))</f>
        <v>690</v>
      </c>
      <c r="R236" s="187">
        <f>INDEX('Revenue by Customer'!R:R,MATCH('Full Customer List'!$B236,'Revenue by Customer'!$A:$A,0))</f>
        <v>690</v>
      </c>
      <c r="S236" s="187">
        <f>INDEX('Revenue by Customer'!S:S,MATCH('Full Customer List'!$B236,'Revenue by Customer'!$A:$A,0))</f>
        <v>690</v>
      </c>
      <c r="T236" s="187">
        <f>INDEX('Revenue by Customer'!T:T,MATCH('Full Customer List'!$B236,'Revenue by Customer'!$A:$A,0))</f>
        <v>510</v>
      </c>
      <c r="U236" s="187" t="str">
        <f>INDEX('Revenue by Customer'!U:U,MATCH('Full Customer List'!$B236,'Revenue by Customer'!$A:$A,0))</f>
        <v/>
      </c>
      <c r="V236" s="187" t="str">
        <f>INDEX('Revenue by Customer'!V:V,MATCH('Full Customer List'!$B236,'Revenue by Customer'!$A:$A,0))</f>
        <v/>
      </c>
      <c r="W236" s="187" t="str">
        <f>INDEX('Revenue by Customer'!W:W,MATCH('Full Customer List'!$B236,'Revenue by Customer'!$A:$A,0))</f>
        <v/>
      </c>
      <c r="X236" s="187">
        <f>INDEX('Revenue by Customer'!X:X,MATCH('Full Customer List'!$B236,'Revenue by Customer'!$A:$A,0))</f>
        <v>0</v>
      </c>
      <c r="Y236" s="187" t="str">
        <f>INDEX('Revenue by Customer'!Y:Y,MATCH('Full Customer List'!$B236,'Revenue by Customer'!$A:$A,0))</f>
        <v/>
      </c>
      <c r="Z236" s="187" t="str">
        <f>INDEX('Revenue by Customer'!Z:Z,MATCH('Full Customer List'!$B236,'Revenue by Customer'!$A:$A,0))</f>
        <v/>
      </c>
      <c r="AA236" s="187" t="str">
        <f>INDEX('Revenue by Customer'!AA:AA,MATCH('Full Customer List'!$B236,'Revenue by Customer'!$A:$A,0))</f>
        <v/>
      </c>
      <c r="AB236" s="187" t="str">
        <f>INDEX('Revenue by Customer'!AB:AB,MATCH('Full Customer List'!$B236,'Revenue by Customer'!$A:$A,0))</f>
        <v/>
      </c>
      <c r="AC236" s="187" t="str">
        <f>INDEX('Revenue by Customer'!AC:AC,MATCH('Full Customer List'!$B236,'Revenue by Customer'!$A:$A,0))</f>
        <v/>
      </c>
    </row>
    <row r="237" spans="2:29" ht="12" customHeight="1">
      <c r="B237" s="171" t="s">
        <v>883</v>
      </c>
      <c r="C237" s="171" t="str">
        <f>INDEX('Customer List w Software'!$B:$B,MATCH('Full Customer List'!$B237,'Customer List w Software'!$A:$A,0))</f>
        <v>Former client</v>
      </c>
      <c r="D237" s="171" t="str">
        <f>INDEX('Customer List w Software'!$C:$C,MATCH('Full Customer List'!$B237,'Customer List w Software'!$A:$A,0))</f>
        <v>Property manager</v>
      </c>
      <c r="E237" s="171" t="str">
        <f>INDEX('Customer List Mapping'!$C:$C,MATCH('Full Customer List'!D237,'Customer List Mapping'!$B:$B,0))</f>
        <v>Property Manager</v>
      </c>
      <c r="F237" s="187">
        <f>INDEX('Customer List w Software'!$K:$K,MATCH('Full Customer List'!$B237,'Customer List w Software'!$A:$A,0))</f>
        <v>9</v>
      </c>
      <c r="G237" s="187">
        <f>INDEX('Revenue by Customer'!$I:$I,MATCH('Full Customer List'!$B237,'Revenue by Customer'!$A:$A,0))</f>
        <v>897</v>
      </c>
      <c r="H237" s="250" t="str">
        <f>IFERROR(IF(C237="Active","",INDEX('Client Departures'!$G:$G,MATCH('Full Customer List'!$B237,'Client Departures'!$A:$A,0))),"Unclassified")</f>
        <v>No</v>
      </c>
      <c r="I237" s="191">
        <v>46113</v>
      </c>
      <c r="J237" s="191">
        <v>46173</v>
      </c>
      <c r="K237" s="187" t="str">
        <f>INDEX('Revenue by Customer'!K:K,MATCH('Full Customer List'!$B237,'Revenue by Customer'!$A:$A,0))</f>
        <v/>
      </c>
      <c r="L237" s="187" t="str">
        <f>INDEX('Revenue by Customer'!L:L,MATCH('Full Customer List'!$B237,'Revenue by Customer'!$A:$A,0))</f>
        <v/>
      </c>
      <c r="M237" s="187" t="str">
        <f>INDEX('Revenue by Customer'!M:M,MATCH('Full Customer List'!$B237,'Revenue by Customer'!$A:$A,0))</f>
        <v/>
      </c>
      <c r="N237" s="187" t="str">
        <f>INDEX('Revenue by Customer'!N:N,MATCH('Full Customer List'!$B237,'Revenue by Customer'!$A:$A,0))</f>
        <v/>
      </c>
      <c r="O237" s="187" t="str">
        <f>INDEX('Revenue by Customer'!O:O,MATCH('Full Customer List'!$B237,'Revenue by Customer'!$A:$A,0))</f>
        <v/>
      </c>
      <c r="P237" s="187" t="str">
        <f>INDEX('Revenue by Customer'!P:P,MATCH('Full Customer List'!$B237,'Revenue by Customer'!$A:$A,0))</f>
        <v/>
      </c>
      <c r="Q237" s="187" t="str">
        <f>INDEX('Revenue by Customer'!Q:Q,MATCH('Full Customer List'!$B237,'Revenue by Customer'!$A:$A,0))</f>
        <v/>
      </c>
      <c r="R237" s="187" t="str">
        <f>INDEX('Revenue by Customer'!R:R,MATCH('Full Customer List'!$B237,'Revenue by Customer'!$A:$A,0))</f>
        <v/>
      </c>
      <c r="S237" s="187" t="str">
        <f>INDEX('Revenue by Customer'!S:S,MATCH('Full Customer List'!$B237,'Revenue by Customer'!$A:$A,0))</f>
        <v/>
      </c>
      <c r="T237" s="187" t="str">
        <f>INDEX('Revenue by Customer'!T:T,MATCH('Full Customer List'!$B237,'Revenue by Customer'!$A:$A,0))</f>
        <v/>
      </c>
      <c r="U237" s="187" t="str">
        <f>INDEX('Revenue by Customer'!U:U,MATCH('Full Customer List'!$B237,'Revenue by Customer'!$A:$A,0))</f>
        <v/>
      </c>
      <c r="V237" s="187" t="str">
        <f>INDEX('Revenue by Customer'!V:V,MATCH('Full Customer List'!$B237,'Revenue by Customer'!$A:$A,0))</f>
        <v/>
      </c>
      <c r="W237" s="187" t="str">
        <f>INDEX('Revenue by Customer'!W:W,MATCH('Full Customer List'!$B237,'Revenue by Customer'!$A:$A,0))</f>
        <v/>
      </c>
      <c r="X237" s="187" t="str">
        <f>INDEX('Revenue by Customer'!X:X,MATCH('Full Customer List'!$B237,'Revenue by Customer'!$A:$A,0))</f>
        <v/>
      </c>
      <c r="Y237" s="187" t="str">
        <f>INDEX('Revenue by Customer'!Y:Y,MATCH('Full Customer List'!$B237,'Revenue by Customer'!$A:$A,0))</f>
        <v/>
      </c>
      <c r="Z237" s="187">
        <f>INDEX('Revenue by Customer'!Z:Z,MATCH('Full Customer List'!$B237,'Revenue by Customer'!$A:$A,0))</f>
        <v>1036</v>
      </c>
      <c r="AA237" s="187">
        <f>INDEX('Revenue by Customer'!AA:AA,MATCH('Full Customer List'!$B237,'Revenue by Customer'!$A:$A,0))</f>
        <v>758</v>
      </c>
      <c r="AB237" s="187" t="str">
        <f>INDEX('Revenue by Customer'!AB:AB,MATCH('Full Customer List'!$B237,'Revenue by Customer'!$A:$A,0))</f>
        <v/>
      </c>
      <c r="AC237" s="187" t="str">
        <f>INDEX('Revenue by Customer'!AC:AC,MATCH('Full Customer List'!$B237,'Revenue by Customer'!$A:$A,0))</f>
        <v/>
      </c>
    </row>
    <row r="238" spans="2:29" ht="12" customHeight="1">
      <c r="B238" s="171" t="s">
        <v>884</v>
      </c>
      <c r="C238" s="171" t="str">
        <f>INDEX('Customer List w Software'!$B:$B,MATCH('Full Customer List'!$B238,'Customer List w Software'!$A:$A,0))</f>
        <v>Former client</v>
      </c>
      <c r="D238" s="171" t="str">
        <f>INDEX('Customer List w Software'!$C:$C,MATCH('Full Customer List'!$B238,'Customer List w Software'!$A:$A,0))</f>
        <v>Tax client only</v>
      </c>
      <c r="E238" s="171" t="str">
        <f>INDEX('Customer List Mapping'!$C:$C,MATCH('Full Customer List'!D238,'Customer List Mapping'!$B:$B,0))</f>
        <v>Tax-Only Client</v>
      </c>
      <c r="F238" s="187" t="str">
        <f>INDEX('Customer List w Software'!$K:$K,MATCH('Full Customer List'!$B238,'Customer List w Software'!$A:$A,0))</f>
        <v/>
      </c>
      <c r="G238" s="187">
        <f>INDEX('Revenue by Customer'!$I:$I,MATCH('Full Customer List'!$B238,'Revenue by Customer'!$A:$A,0))</f>
        <v>400</v>
      </c>
      <c r="H238" s="250" t="str">
        <f>IFERROR(IF(C238="Active","",INDEX('Client Departures'!$G:$G,MATCH('Full Customer List'!$B238,'Client Departures'!$A:$A,0))),"Unclassified")</f>
        <v>Unclassified</v>
      </c>
      <c r="I238" s="191">
        <v>45627</v>
      </c>
      <c r="J238" s="191">
        <v>45991</v>
      </c>
      <c r="K238" s="187">
        <f>INDEX('Revenue by Customer'!K:K,MATCH('Full Customer List'!$B238,'Revenue by Customer'!$A:$A,0))</f>
        <v>340</v>
      </c>
      <c r="L238" s="187">
        <f>INDEX('Revenue by Customer'!L:L,MATCH('Full Customer List'!$B238,'Revenue by Customer'!$A:$A,0))</f>
        <v>340</v>
      </c>
      <c r="M238" s="187">
        <f>INDEX('Revenue by Customer'!M:M,MATCH('Full Customer List'!$B238,'Revenue by Customer'!$A:$A,0))</f>
        <v>480</v>
      </c>
      <c r="N238" s="187">
        <f>INDEX('Revenue by Customer'!N:N,MATCH('Full Customer List'!$B238,'Revenue by Customer'!$A:$A,0))</f>
        <v>480</v>
      </c>
      <c r="O238" s="187">
        <f>INDEX('Revenue by Customer'!O:O,MATCH('Full Customer List'!$B238,'Revenue by Customer'!$A:$A,0))</f>
        <v>480</v>
      </c>
      <c r="P238" s="187">
        <f>INDEX('Revenue by Customer'!P:P,MATCH('Full Customer List'!$B238,'Revenue by Customer'!$A:$A,0))</f>
        <v>480</v>
      </c>
      <c r="Q238" s="187">
        <f>INDEX('Revenue by Customer'!Q:Q,MATCH('Full Customer List'!$B238,'Revenue by Customer'!$A:$A,0))</f>
        <v>400</v>
      </c>
      <c r="R238" s="187">
        <f>INDEX('Revenue by Customer'!R:R,MATCH('Full Customer List'!$B238,'Revenue by Customer'!$A:$A,0))</f>
        <v>400</v>
      </c>
      <c r="S238" s="187">
        <f>INDEX('Revenue by Customer'!S:S,MATCH('Full Customer List'!$B238,'Revenue by Customer'!$A:$A,0))</f>
        <v>400</v>
      </c>
      <c r="T238" s="187">
        <f>INDEX('Revenue by Customer'!T:T,MATCH('Full Customer List'!$B238,'Revenue by Customer'!$A:$A,0))</f>
        <v>400</v>
      </c>
      <c r="U238" s="187">
        <f>INDEX('Revenue by Customer'!U:U,MATCH('Full Customer List'!$B238,'Revenue by Customer'!$A:$A,0))</f>
        <v>400</v>
      </c>
      <c r="V238" s="187" t="str">
        <f>INDEX('Revenue by Customer'!V:V,MATCH('Full Customer List'!$B238,'Revenue by Customer'!$A:$A,0))</f>
        <v/>
      </c>
      <c r="W238" s="187" t="str">
        <f>INDEX('Revenue by Customer'!W:W,MATCH('Full Customer List'!$B238,'Revenue by Customer'!$A:$A,0))</f>
        <v/>
      </c>
      <c r="X238" s="187" t="str">
        <f>INDEX('Revenue by Customer'!X:X,MATCH('Full Customer List'!$B238,'Revenue by Customer'!$A:$A,0))</f>
        <v/>
      </c>
      <c r="Y238" s="187" t="str">
        <f>INDEX('Revenue by Customer'!Y:Y,MATCH('Full Customer List'!$B238,'Revenue by Customer'!$A:$A,0))</f>
        <v/>
      </c>
      <c r="Z238" s="187" t="str">
        <f>INDEX('Revenue by Customer'!Z:Z,MATCH('Full Customer List'!$B238,'Revenue by Customer'!$A:$A,0))</f>
        <v/>
      </c>
      <c r="AA238" s="187" t="str">
        <f>INDEX('Revenue by Customer'!AA:AA,MATCH('Full Customer List'!$B238,'Revenue by Customer'!$A:$A,0))</f>
        <v/>
      </c>
      <c r="AB238" s="187" t="str">
        <f>INDEX('Revenue by Customer'!AB:AB,MATCH('Full Customer List'!$B238,'Revenue by Customer'!$A:$A,0))</f>
        <v/>
      </c>
      <c r="AC238" s="187" t="str">
        <f>INDEX('Revenue by Customer'!AC:AC,MATCH('Full Customer List'!$B238,'Revenue by Customer'!$A:$A,0))</f>
        <v/>
      </c>
    </row>
    <row r="239" spans="2:29" ht="12" customHeight="1">
      <c r="B239" s="171" t="s">
        <v>885</v>
      </c>
      <c r="C239" s="171" t="str">
        <f>INDEX('Customer List w Software'!$B:$B,MATCH('Full Customer List'!$B239,'Customer List w Software'!$A:$A,0))</f>
        <v>Active</v>
      </c>
      <c r="D239" s="171" t="str">
        <f>INDEX('Customer List w Software'!$C:$C,MATCH('Full Customer List'!$B239,'Customer List w Software'!$A:$A,0))</f>
        <v>Property manager</v>
      </c>
      <c r="E239" s="171" t="str">
        <f>INDEX('Customer List Mapping'!$C:$C,MATCH('Full Customer List'!D239,'Customer List Mapping'!$B:$B,0))</f>
        <v>Property Manager</v>
      </c>
      <c r="F239" s="187">
        <f>INDEX('Customer List w Software'!$K:$K,MATCH('Full Customer List'!$B239,'Customer List w Software'!$A:$A,0))</f>
        <v>9</v>
      </c>
      <c r="G239" s="187">
        <f>INDEX('Revenue by Customer'!$I:$I,MATCH('Full Customer List'!$B239,'Revenue by Customer'!$A:$A,0))</f>
        <v>333.33333333333331</v>
      </c>
      <c r="H239" s="250" t="str">
        <f>IFERROR(IF(C239="Active","",INDEX('Client Departures'!$G:$G,MATCH('Full Customer List'!$B239,'Client Departures'!$A:$A,0))),"Unclassified")</f>
        <v/>
      </c>
      <c r="I239" s="191">
        <v>45931</v>
      </c>
      <c r="J239" s="191"/>
      <c r="K239" s="187" t="str">
        <f>INDEX('Revenue by Customer'!K:K,MATCH('Full Customer List'!$B239,'Revenue by Customer'!$A:$A,0))</f>
        <v/>
      </c>
      <c r="L239" s="187" t="str">
        <f>INDEX('Revenue by Customer'!L:L,MATCH('Full Customer List'!$B239,'Revenue by Customer'!$A:$A,0))</f>
        <v/>
      </c>
      <c r="M239" s="187" t="str">
        <f>INDEX('Revenue by Customer'!M:M,MATCH('Full Customer List'!$B239,'Revenue by Customer'!$A:$A,0))</f>
        <v/>
      </c>
      <c r="N239" s="187" t="str">
        <f>INDEX('Revenue by Customer'!N:N,MATCH('Full Customer List'!$B239,'Revenue by Customer'!$A:$A,0))</f>
        <v/>
      </c>
      <c r="O239" s="187" t="str">
        <f>INDEX('Revenue by Customer'!O:O,MATCH('Full Customer List'!$B239,'Revenue by Customer'!$A:$A,0))</f>
        <v/>
      </c>
      <c r="P239" s="187" t="str">
        <f>INDEX('Revenue by Customer'!P:P,MATCH('Full Customer List'!$B239,'Revenue by Customer'!$A:$A,0))</f>
        <v/>
      </c>
      <c r="Q239" s="187" t="str">
        <f>INDEX('Revenue by Customer'!Q:Q,MATCH('Full Customer List'!$B239,'Revenue by Customer'!$A:$A,0))</f>
        <v/>
      </c>
      <c r="R239" s="187" t="str">
        <f>INDEX('Revenue by Customer'!R:R,MATCH('Full Customer List'!$B239,'Revenue by Customer'!$A:$A,0))</f>
        <v/>
      </c>
      <c r="S239" s="187" t="str">
        <f>INDEX('Revenue by Customer'!S:S,MATCH('Full Customer List'!$B239,'Revenue by Customer'!$A:$A,0))</f>
        <v/>
      </c>
      <c r="T239" s="187" t="str">
        <f>INDEX('Revenue by Customer'!T:T,MATCH('Full Customer List'!$B239,'Revenue by Customer'!$A:$A,0))</f>
        <v/>
      </c>
      <c r="U239" s="187" t="str">
        <f>INDEX('Revenue by Customer'!U:U,MATCH('Full Customer List'!$B239,'Revenue by Customer'!$A:$A,0))</f>
        <v/>
      </c>
      <c r="V239" s="187" t="str">
        <f>INDEX('Revenue by Customer'!V:V,MATCH('Full Customer List'!$B239,'Revenue by Customer'!$A:$A,0))</f>
        <v/>
      </c>
      <c r="W239" s="187">
        <f>INDEX('Revenue by Customer'!W:W,MATCH('Full Customer List'!$B239,'Revenue by Customer'!$A:$A,0))</f>
        <v>60</v>
      </c>
      <c r="X239" s="187">
        <f>INDEX('Revenue by Customer'!X:X,MATCH('Full Customer List'!$B239,'Revenue by Customer'!$A:$A,0))</f>
        <v>60</v>
      </c>
      <c r="Y239" s="187">
        <f>INDEX('Revenue by Customer'!Y:Y,MATCH('Full Customer List'!$B239,'Revenue by Customer'!$A:$A,0))</f>
        <v>180</v>
      </c>
      <c r="Z239" s="187">
        <f>INDEX('Revenue by Customer'!Z:Z,MATCH('Full Customer List'!$B239,'Revenue by Customer'!$A:$A,0))</f>
        <v>300</v>
      </c>
      <c r="AA239" s="187">
        <f>INDEX('Revenue by Customer'!AA:AA,MATCH('Full Customer List'!$B239,'Revenue by Customer'!$A:$A,0))</f>
        <v>300</v>
      </c>
      <c r="AB239" s="187">
        <f>INDEX('Revenue by Customer'!AB:AB,MATCH('Full Customer List'!$B239,'Revenue by Customer'!$A:$A,0))</f>
        <v>300</v>
      </c>
      <c r="AC239" s="187">
        <f>INDEX('Revenue by Customer'!AC:AC,MATCH('Full Customer List'!$B239,'Revenue by Customer'!$A:$A,0))</f>
        <v>400</v>
      </c>
    </row>
    <row r="240" spans="2:29" ht="12" customHeight="1">
      <c r="B240" s="171" t="s">
        <v>886</v>
      </c>
      <c r="C240" s="171" t="str">
        <f>INDEX('Customer List w Software'!$B:$B,MATCH('Full Customer List'!$B240,'Customer List w Software'!$A:$A,0))</f>
        <v>Former client</v>
      </c>
      <c r="D240" s="171" t="str">
        <f>INDEX('Customer List w Software'!$C:$C,MATCH('Full Customer List'!$B240,'Customer List w Software'!$A:$A,0))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87" t="str">
        <f>INDEX('Customer List w Software'!$K:$K,MATCH('Full Customer List'!$B240,'Customer List w Software'!$A:$A,0))</f>
        <v/>
      </c>
      <c r="G240" s="187">
        <f>INDEX('Revenue by Customer'!$I:$I,MATCH('Full Customer List'!$B240,'Revenue by Customer'!$A:$A,0))</f>
        <v>217.66666666666666</v>
      </c>
      <c r="H240" s="250" t="str">
        <f>IFERROR(IF(C240="Active","",INDEX('Client Departures'!$G:$G,MATCH('Full Customer List'!$B240,'Client Departures'!$A:$A,0))),"Unclassified")</f>
        <v>Yes</v>
      </c>
      <c r="I240" s="191">
        <v>45292</v>
      </c>
      <c r="J240" s="191">
        <v>45991</v>
      </c>
      <c r="K240" s="187">
        <f>INDEX('Revenue by Customer'!K:K,MATCH('Full Customer List'!$B240,'Revenue by Customer'!$A:$A,0))</f>
        <v>585</v>
      </c>
      <c r="L240" s="187">
        <f>INDEX('Revenue by Customer'!L:L,MATCH('Full Customer List'!$B240,'Revenue by Customer'!$A:$A,0))</f>
        <v>556</v>
      </c>
      <c r="M240" s="187">
        <f>INDEX('Revenue by Customer'!M:M,MATCH('Full Customer List'!$B240,'Revenue by Customer'!$A:$A,0))</f>
        <v>556</v>
      </c>
      <c r="N240" s="187">
        <f>INDEX('Revenue by Customer'!N:N,MATCH('Full Customer List'!$B240,'Revenue by Customer'!$A:$A,0))</f>
        <v>897</v>
      </c>
      <c r="O240" s="187">
        <f>INDEX('Revenue by Customer'!O:O,MATCH('Full Customer List'!$B240,'Revenue by Customer'!$A:$A,0))</f>
        <v>480</v>
      </c>
      <c r="P240" s="187">
        <f>INDEX('Revenue by Customer'!P:P,MATCH('Full Customer List'!$B240,'Revenue by Customer'!$A:$A,0))</f>
        <v>404</v>
      </c>
      <c r="Q240" s="187">
        <f>INDEX('Revenue by Customer'!Q:Q,MATCH('Full Customer List'!$B240,'Revenue by Customer'!$A:$A,0))</f>
        <v>404</v>
      </c>
      <c r="R240" s="187">
        <f>INDEX('Revenue by Customer'!R:R,MATCH('Full Customer List'!$B240,'Revenue by Customer'!$A:$A,0))</f>
        <v>480</v>
      </c>
      <c r="S240" s="187">
        <f>INDEX('Revenue by Customer'!S:S,MATCH('Full Customer List'!$B240,'Revenue by Customer'!$A:$A,0))</f>
        <v>404</v>
      </c>
      <c r="T240" s="187">
        <f>INDEX('Revenue by Customer'!T:T,MATCH('Full Customer List'!$B240,'Revenue by Customer'!$A:$A,0))</f>
        <v>328</v>
      </c>
      <c r="U240" s="187">
        <f>INDEX('Revenue by Customer'!U:U,MATCH('Full Customer List'!$B240,'Revenue by Customer'!$A:$A,0))</f>
        <v>100</v>
      </c>
      <c r="V240" s="187" t="str">
        <f>INDEX('Revenue by Customer'!V:V,MATCH('Full Customer List'!$B240,'Revenue by Customer'!$A:$A,0))</f>
        <v/>
      </c>
      <c r="W240" s="187" t="str">
        <f>INDEX('Revenue by Customer'!W:W,MATCH('Full Customer List'!$B240,'Revenue by Customer'!$A:$A,0))</f>
        <v/>
      </c>
      <c r="X240" s="187">
        <f>INDEX('Revenue by Customer'!X:X,MATCH('Full Customer List'!$B240,'Revenue by Customer'!$A:$A,0))</f>
        <v>225</v>
      </c>
      <c r="Y240" s="187" t="str">
        <f>INDEX('Revenue by Customer'!Y:Y,MATCH('Full Customer List'!$B240,'Revenue by Customer'!$A:$A,0))</f>
        <v/>
      </c>
      <c r="Z240" s="187" t="str">
        <f>INDEX('Revenue by Customer'!Z:Z,MATCH('Full Customer List'!$B240,'Revenue by Customer'!$A:$A,0))</f>
        <v/>
      </c>
      <c r="AA240" s="187" t="str">
        <f>INDEX('Revenue by Customer'!AA:AA,MATCH('Full Customer List'!$B240,'Revenue by Customer'!$A:$A,0))</f>
        <v/>
      </c>
      <c r="AB240" s="187" t="str">
        <f>INDEX('Revenue by Customer'!AB:AB,MATCH('Full Customer List'!$B240,'Revenue by Customer'!$A:$A,0))</f>
        <v/>
      </c>
      <c r="AC240" s="187" t="str">
        <f>INDEX('Revenue by Customer'!AC:AC,MATCH('Full Customer List'!$B240,'Revenue by Customer'!$A:$A,0))</f>
        <v/>
      </c>
    </row>
    <row r="241" spans="2:29" ht="12" customHeight="1">
      <c r="B241" s="171" t="s">
        <v>887</v>
      </c>
      <c r="C241" s="217" t="s">
        <v>497</v>
      </c>
      <c r="D241" s="171" t="str">
        <f>INDEX('Customer List w Software'!$C:$C,MATCH('Full Customer List'!$B241,'Customer List w Software'!$A:$A,0))</f>
        <v>Tax client only</v>
      </c>
      <c r="E241" s="171" t="str">
        <f>INDEX('Customer List Mapping'!$C:$C,MATCH('Full Customer List'!D241,'Customer List Mapping'!$B:$B,0))</f>
        <v>Tax-Only Client</v>
      </c>
      <c r="F241" s="187" t="str">
        <f>INDEX('Customer List w Software'!$K:$K,MATCH('Full Customer List'!$B241,'Customer List w Software'!$A:$A,0))</f>
        <v/>
      </c>
      <c r="G241" s="187">
        <f>INDEX('Revenue by Customer'!$I:$I,MATCH('Full Customer List'!$B241,'Revenue by Customer'!$A:$A,0))</f>
        <v>765</v>
      </c>
      <c r="H241" s="250" t="str">
        <f>IFERROR(IF(C241="Active","",INDEX('Client Departures'!$G:$G,MATCH('Full Customer List'!$B241,'Client Departures'!$A:$A,0))),"Unclassified")</f>
        <v/>
      </c>
      <c r="I241" s="191">
        <v>45931</v>
      </c>
      <c r="J241" s="191"/>
      <c r="K241" s="187" t="str">
        <f>INDEX('Revenue by Customer'!K:K,MATCH('Full Customer List'!$B241,'Revenue by Customer'!$A:$A,0))</f>
        <v/>
      </c>
      <c r="L241" s="187" t="str">
        <f>INDEX('Revenue by Customer'!L:L,MATCH('Full Customer List'!$B241,'Revenue by Customer'!$A:$A,0))</f>
        <v/>
      </c>
      <c r="M241" s="187" t="str">
        <f>INDEX('Revenue by Customer'!M:M,MATCH('Full Customer List'!$B241,'Revenue by Customer'!$A:$A,0))</f>
        <v/>
      </c>
      <c r="N241" s="187" t="str">
        <f>INDEX('Revenue by Customer'!N:N,MATCH('Full Customer List'!$B241,'Revenue by Customer'!$A:$A,0))</f>
        <v/>
      </c>
      <c r="O241" s="187" t="str">
        <f>INDEX('Revenue by Customer'!O:O,MATCH('Full Customer List'!$B241,'Revenue by Customer'!$A:$A,0))</f>
        <v/>
      </c>
      <c r="P241" s="187" t="str">
        <f>INDEX('Revenue by Customer'!P:P,MATCH('Full Customer List'!$B241,'Revenue by Customer'!$A:$A,0))</f>
        <v/>
      </c>
      <c r="Q241" s="187" t="str">
        <f>INDEX('Revenue by Customer'!Q:Q,MATCH('Full Customer List'!$B241,'Revenue by Customer'!$A:$A,0))</f>
        <v/>
      </c>
      <c r="R241" s="187" t="str">
        <f>INDEX('Revenue by Customer'!R:R,MATCH('Full Customer List'!$B241,'Revenue by Customer'!$A:$A,0))</f>
        <v/>
      </c>
      <c r="S241" s="187" t="str">
        <f>INDEX('Revenue by Customer'!S:S,MATCH('Full Customer List'!$B241,'Revenue by Customer'!$A:$A,0))</f>
        <v/>
      </c>
      <c r="T241" s="187">
        <f>INDEX('Revenue by Customer'!T:T,MATCH('Full Customer List'!$B241,'Revenue by Customer'!$A:$A,0))</f>
        <v>765</v>
      </c>
      <c r="U241" s="187" t="str">
        <f>INDEX('Revenue by Customer'!U:U,MATCH('Full Customer List'!$B241,'Revenue by Customer'!$A:$A,0))</f>
        <v/>
      </c>
      <c r="V241" s="187" t="str">
        <f>INDEX('Revenue by Customer'!V:V,MATCH('Full Customer List'!$B241,'Revenue by Customer'!$A:$A,0))</f>
        <v/>
      </c>
      <c r="W241" s="187" t="str">
        <f>INDEX('Revenue by Customer'!W:W,MATCH('Full Customer List'!$B241,'Revenue by Customer'!$A:$A,0))</f>
        <v/>
      </c>
      <c r="X241" s="187" t="str">
        <f>INDEX('Revenue by Customer'!X:X,MATCH('Full Customer List'!$B241,'Revenue by Customer'!$A:$A,0))</f>
        <v/>
      </c>
      <c r="Y241" s="187">
        <f>INDEX('Revenue by Customer'!Y:Y,MATCH('Full Customer List'!$B241,'Revenue by Customer'!$A:$A,0))</f>
        <v>765</v>
      </c>
      <c r="Z241" s="187" t="str">
        <f>INDEX('Revenue by Customer'!Z:Z,MATCH('Full Customer List'!$B241,'Revenue by Customer'!$A:$A,0))</f>
        <v/>
      </c>
      <c r="AA241" s="187" t="str">
        <f>INDEX('Revenue by Customer'!AA:AA,MATCH('Full Customer List'!$B241,'Revenue by Customer'!$A:$A,0))</f>
        <v/>
      </c>
      <c r="AB241" s="187" t="str">
        <f>INDEX('Revenue by Customer'!AB:AB,MATCH('Full Customer List'!$B241,'Revenue by Customer'!$A:$A,0))</f>
        <v/>
      </c>
      <c r="AC241" s="187" t="str">
        <f>INDEX('Revenue by Customer'!AC:AC,MATCH('Full Customer List'!$B241,'Revenue by Customer'!$A:$A,0))</f>
        <v/>
      </c>
    </row>
    <row r="242" spans="2:29" ht="12" customHeight="1">
      <c r="B242" s="171" t="s">
        <v>888</v>
      </c>
      <c r="C242" s="217" t="s">
        <v>497</v>
      </c>
      <c r="D242" s="171" t="str">
        <f>INDEX('Customer List w Software'!$C:$C,MATCH('Full Customer List'!$B242,'Customer List w Software'!$A:$A,0))</f>
        <v>Tax client only</v>
      </c>
      <c r="E242" s="171" t="str">
        <f>INDEX('Customer List Mapping'!$C:$C,MATCH('Full Customer List'!D242,'Customer List Mapping'!$B:$B,0))</f>
        <v>Tax-Only Client</v>
      </c>
      <c r="F242" s="187" t="str">
        <f>INDEX('Customer List w Software'!$K:$K,MATCH('Full Customer List'!$B242,'Customer List w Software'!$A:$A,0))</f>
        <v/>
      </c>
      <c r="G242" s="187">
        <f>INDEX('Revenue by Customer'!$I:$I,MATCH('Full Customer List'!$B242,'Revenue by Customer'!$A:$A,0))</f>
        <v>765</v>
      </c>
      <c r="H242" s="250" t="str">
        <f>IFERROR(IF(C242="Active","",INDEX('Client Departures'!$G:$G,MATCH('Full Customer List'!$B242,'Client Departures'!$A:$A,0))),"Unclassified")</f>
        <v/>
      </c>
      <c r="I242" s="191">
        <v>45931</v>
      </c>
      <c r="J242" s="191"/>
      <c r="K242" s="187" t="str">
        <f>INDEX('Revenue by Customer'!K:K,MATCH('Full Customer List'!$B242,'Revenue by Customer'!$A:$A,0))</f>
        <v/>
      </c>
      <c r="L242" s="187" t="str">
        <f>INDEX('Revenue by Customer'!L:L,MATCH('Full Customer List'!$B242,'Revenue by Customer'!$A:$A,0))</f>
        <v/>
      </c>
      <c r="M242" s="187" t="str">
        <f>INDEX('Revenue by Customer'!M:M,MATCH('Full Customer List'!$B242,'Revenue by Customer'!$A:$A,0))</f>
        <v/>
      </c>
      <c r="N242" s="187" t="str">
        <f>INDEX('Revenue by Customer'!N:N,MATCH('Full Customer List'!$B242,'Revenue by Customer'!$A:$A,0))</f>
        <v/>
      </c>
      <c r="O242" s="187" t="str">
        <f>INDEX('Revenue by Customer'!O:O,MATCH('Full Customer List'!$B242,'Revenue by Customer'!$A:$A,0))</f>
        <v/>
      </c>
      <c r="P242" s="187" t="str">
        <f>INDEX('Revenue by Customer'!P:P,MATCH('Full Customer List'!$B242,'Revenue by Customer'!$A:$A,0))</f>
        <v/>
      </c>
      <c r="Q242" s="187" t="str">
        <f>INDEX('Revenue by Customer'!Q:Q,MATCH('Full Customer List'!$B242,'Revenue by Customer'!$A:$A,0))</f>
        <v/>
      </c>
      <c r="R242" s="187" t="str">
        <f>INDEX('Revenue by Customer'!R:R,MATCH('Full Customer List'!$B242,'Revenue by Customer'!$A:$A,0))</f>
        <v/>
      </c>
      <c r="S242" s="187" t="str">
        <f>INDEX('Revenue by Customer'!S:S,MATCH('Full Customer List'!$B242,'Revenue by Customer'!$A:$A,0))</f>
        <v/>
      </c>
      <c r="T242" s="187">
        <f>INDEX('Revenue by Customer'!T:T,MATCH('Full Customer List'!$B242,'Revenue by Customer'!$A:$A,0))</f>
        <v>765</v>
      </c>
      <c r="U242" s="187" t="str">
        <f>INDEX('Revenue by Customer'!U:U,MATCH('Full Customer List'!$B242,'Revenue by Customer'!$A:$A,0))</f>
        <v/>
      </c>
      <c r="V242" s="187" t="str">
        <f>INDEX('Revenue by Customer'!V:V,MATCH('Full Customer List'!$B242,'Revenue by Customer'!$A:$A,0))</f>
        <v/>
      </c>
      <c r="W242" s="187" t="str">
        <f>INDEX('Revenue by Customer'!W:W,MATCH('Full Customer List'!$B242,'Revenue by Customer'!$A:$A,0))</f>
        <v/>
      </c>
      <c r="X242" s="187" t="str">
        <f>INDEX('Revenue by Customer'!X:X,MATCH('Full Customer List'!$B242,'Revenue by Customer'!$A:$A,0))</f>
        <v/>
      </c>
      <c r="Y242" s="187">
        <f>INDEX('Revenue by Customer'!Y:Y,MATCH('Full Customer List'!$B242,'Revenue by Customer'!$A:$A,0))</f>
        <v>765</v>
      </c>
      <c r="Z242" s="187" t="str">
        <f>INDEX('Revenue by Customer'!Z:Z,MATCH('Full Customer List'!$B242,'Revenue by Customer'!$A:$A,0))</f>
        <v/>
      </c>
      <c r="AA242" s="187" t="str">
        <f>INDEX('Revenue by Customer'!AA:AA,MATCH('Full Customer List'!$B242,'Revenue by Customer'!$A:$A,0))</f>
        <v/>
      </c>
      <c r="AB242" s="187" t="str">
        <f>INDEX('Revenue by Customer'!AB:AB,MATCH('Full Customer List'!$B242,'Revenue by Customer'!$A:$A,0))</f>
        <v/>
      </c>
      <c r="AC242" s="187" t="str">
        <f>INDEX('Revenue by Customer'!AC:AC,MATCH('Full Customer List'!$B242,'Revenue by Customer'!$A:$A,0))</f>
        <v/>
      </c>
    </row>
    <row r="243" spans="2:29" ht="12" customHeight="1">
      <c r="B243" s="171" t="s">
        <v>889</v>
      </c>
      <c r="C243" s="217" t="s">
        <v>497</v>
      </c>
      <c r="D243" s="171" t="str">
        <f>INDEX('Customer List w Software'!$C:$C,MATCH('Full Customer List'!$B243,'Customer List w Software'!$A:$A,0))</f>
        <v>Tax client only</v>
      </c>
      <c r="E243" s="171" t="str">
        <f>INDEX('Customer List Mapping'!$C:$C,MATCH('Full Customer List'!D243,'Customer List Mapping'!$B:$B,0))</f>
        <v>Tax-Only Client</v>
      </c>
      <c r="F243" s="187" t="str">
        <f>INDEX('Customer List w Software'!$K:$K,MATCH('Full Customer List'!$B243,'Customer List w Software'!$A:$A,0))</f>
        <v/>
      </c>
      <c r="G243" s="187">
        <f>INDEX('Revenue by Customer'!$I:$I,MATCH('Full Customer List'!$B243,'Revenue by Customer'!$A:$A,0))</f>
        <v>765</v>
      </c>
      <c r="H243" s="250" t="str">
        <f>IFERROR(IF(C243="Active","",INDEX('Client Departures'!$G:$G,MATCH('Full Customer List'!$B243,'Client Departures'!$A:$A,0))),"Unclassified")</f>
        <v/>
      </c>
      <c r="I243" s="191">
        <v>45931</v>
      </c>
      <c r="J243" s="191"/>
      <c r="K243" s="187" t="str">
        <f>INDEX('Revenue by Customer'!K:K,MATCH('Full Customer List'!$B243,'Revenue by Customer'!$A:$A,0))</f>
        <v/>
      </c>
      <c r="L243" s="187" t="str">
        <f>INDEX('Revenue by Customer'!L:L,MATCH('Full Customer List'!$B243,'Revenue by Customer'!$A:$A,0))</f>
        <v/>
      </c>
      <c r="M243" s="187" t="str">
        <f>INDEX('Revenue by Customer'!M:M,MATCH('Full Customer List'!$B243,'Revenue by Customer'!$A:$A,0))</f>
        <v/>
      </c>
      <c r="N243" s="187" t="str">
        <f>INDEX('Revenue by Customer'!N:N,MATCH('Full Customer List'!$B243,'Revenue by Customer'!$A:$A,0))</f>
        <v/>
      </c>
      <c r="O243" s="187" t="str">
        <f>INDEX('Revenue by Customer'!O:O,MATCH('Full Customer List'!$B243,'Revenue by Customer'!$A:$A,0))</f>
        <v/>
      </c>
      <c r="P243" s="187" t="str">
        <f>INDEX('Revenue by Customer'!P:P,MATCH('Full Customer List'!$B243,'Revenue by Customer'!$A:$A,0))</f>
        <v/>
      </c>
      <c r="Q243" s="187" t="str">
        <f>INDEX('Revenue by Customer'!Q:Q,MATCH('Full Customer List'!$B243,'Revenue by Customer'!$A:$A,0))</f>
        <v/>
      </c>
      <c r="R243" s="187" t="str">
        <f>INDEX('Revenue by Customer'!R:R,MATCH('Full Customer List'!$B243,'Revenue by Customer'!$A:$A,0))</f>
        <v/>
      </c>
      <c r="S243" s="187" t="str">
        <f>INDEX('Revenue by Customer'!S:S,MATCH('Full Customer List'!$B243,'Revenue by Customer'!$A:$A,0))</f>
        <v/>
      </c>
      <c r="T243" s="187">
        <f>INDEX('Revenue by Customer'!T:T,MATCH('Full Customer List'!$B243,'Revenue by Customer'!$A:$A,0))</f>
        <v>765</v>
      </c>
      <c r="U243" s="187" t="str">
        <f>INDEX('Revenue by Customer'!U:U,MATCH('Full Customer List'!$B243,'Revenue by Customer'!$A:$A,0))</f>
        <v/>
      </c>
      <c r="V243" s="187" t="str">
        <f>INDEX('Revenue by Customer'!V:V,MATCH('Full Customer List'!$B243,'Revenue by Customer'!$A:$A,0))</f>
        <v/>
      </c>
      <c r="W243" s="187" t="str">
        <f>INDEX('Revenue by Customer'!W:W,MATCH('Full Customer List'!$B243,'Revenue by Customer'!$A:$A,0))</f>
        <v/>
      </c>
      <c r="X243" s="187" t="str">
        <f>INDEX('Revenue by Customer'!X:X,MATCH('Full Customer List'!$B243,'Revenue by Customer'!$A:$A,0))</f>
        <v/>
      </c>
      <c r="Y243" s="187">
        <f>INDEX('Revenue by Customer'!Y:Y,MATCH('Full Customer List'!$B243,'Revenue by Customer'!$A:$A,0))</f>
        <v>765</v>
      </c>
      <c r="Z243" s="187" t="str">
        <f>INDEX('Revenue by Customer'!Z:Z,MATCH('Full Customer List'!$B243,'Revenue by Customer'!$A:$A,0))</f>
        <v/>
      </c>
      <c r="AA243" s="187" t="str">
        <f>INDEX('Revenue by Customer'!AA:AA,MATCH('Full Customer List'!$B243,'Revenue by Customer'!$A:$A,0))</f>
        <v/>
      </c>
      <c r="AB243" s="187" t="str">
        <f>INDEX('Revenue by Customer'!AB:AB,MATCH('Full Customer List'!$B243,'Revenue by Customer'!$A:$A,0))</f>
        <v/>
      </c>
      <c r="AC243" s="187" t="str">
        <f>INDEX('Revenue by Customer'!AC:AC,MATCH('Full Customer List'!$B243,'Revenue by Customer'!$A:$A,0))</f>
        <v/>
      </c>
    </row>
    <row r="244" spans="2:29" ht="12" customHeight="1">
      <c r="B244" s="171" t="s">
        <v>890</v>
      </c>
      <c r="C244" s="217" t="s">
        <v>497</v>
      </c>
      <c r="D244" s="171" t="str">
        <f>INDEX('Customer List w Software'!$C:$C,MATCH('Full Customer List'!$B244,'Customer List w Software'!$A:$A,0))</f>
        <v>Tax client only</v>
      </c>
      <c r="E244" s="171" t="str">
        <f>INDEX('Customer List Mapping'!$C:$C,MATCH('Full Customer List'!D244,'Customer List Mapping'!$B:$B,0))</f>
        <v>Tax-Only Client</v>
      </c>
      <c r="F244" s="187" t="str">
        <f>INDEX('Customer List w Software'!$K:$K,MATCH('Full Customer List'!$B244,'Customer List w Software'!$A:$A,0))</f>
        <v/>
      </c>
      <c r="G244" s="187">
        <f>INDEX('Revenue by Customer'!$I:$I,MATCH('Full Customer List'!$B244,'Revenue by Customer'!$A:$A,0))</f>
        <v>765</v>
      </c>
      <c r="H244" s="250" t="str">
        <f>IFERROR(IF(C244="Active","",INDEX('Client Departures'!$G:$G,MATCH('Full Customer List'!$B244,'Client Departures'!$A:$A,0))),"Unclassified")</f>
        <v/>
      </c>
      <c r="I244" s="191">
        <v>45931</v>
      </c>
      <c r="J244" s="191"/>
      <c r="K244" s="187" t="str">
        <f>INDEX('Revenue by Customer'!K:K,MATCH('Full Customer List'!$B244,'Revenue by Customer'!$A:$A,0))</f>
        <v/>
      </c>
      <c r="L244" s="187" t="str">
        <f>INDEX('Revenue by Customer'!L:L,MATCH('Full Customer List'!$B244,'Revenue by Customer'!$A:$A,0))</f>
        <v/>
      </c>
      <c r="M244" s="187" t="str">
        <f>INDEX('Revenue by Customer'!M:M,MATCH('Full Customer List'!$B244,'Revenue by Customer'!$A:$A,0))</f>
        <v/>
      </c>
      <c r="N244" s="187" t="str">
        <f>INDEX('Revenue by Customer'!N:N,MATCH('Full Customer List'!$B244,'Revenue by Customer'!$A:$A,0))</f>
        <v/>
      </c>
      <c r="O244" s="187" t="str">
        <f>INDEX('Revenue by Customer'!O:O,MATCH('Full Customer List'!$B244,'Revenue by Customer'!$A:$A,0))</f>
        <v/>
      </c>
      <c r="P244" s="187" t="str">
        <f>INDEX('Revenue by Customer'!P:P,MATCH('Full Customer List'!$B244,'Revenue by Customer'!$A:$A,0))</f>
        <v/>
      </c>
      <c r="Q244" s="187" t="str">
        <f>INDEX('Revenue by Customer'!Q:Q,MATCH('Full Customer List'!$B244,'Revenue by Customer'!$A:$A,0))</f>
        <v/>
      </c>
      <c r="R244" s="187" t="str">
        <f>INDEX('Revenue by Customer'!R:R,MATCH('Full Customer List'!$B244,'Revenue by Customer'!$A:$A,0))</f>
        <v/>
      </c>
      <c r="S244" s="187" t="str">
        <f>INDEX('Revenue by Customer'!S:S,MATCH('Full Customer List'!$B244,'Revenue by Customer'!$A:$A,0))</f>
        <v/>
      </c>
      <c r="T244" s="187">
        <f>INDEX('Revenue by Customer'!T:T,MATCH('Full Customer List'!$B244,'Revenue by Customer'!$A:$A,0))</f>
        <v>765</v>
      </c>
      <c r="U244" s="187" t="str">
        <f>INDEX('Revenue by Customer'!U:U,MATCH('Full Customer List'!$B244,'Revenue by Customer'!$A:$A,0))</f>
        <v/>
      </c>
      <c r="V244" s="187" t="str">
        <f>INDEX('Revenue by Customer'!V:V,MATCH('Full Customer List'!$B244,'Revenue by Customer'!$A:$A,0))</f>
        <v/>
      </c>
      <c r="W244" s="187" t="str">
        <f>INDEX('Revenue by Customer'!W:W,MATCH('Full Customer List'!$B244,'Revenue by Customer'!$A:$A,0))</f>
        <v/>
      </c>
      <c r="X244" s="187" t="str">
        <f>INDEX('Revenue by Customer'!X:X,MATCH('Full Customer List'!$B244,'Revenue by Customer'!$A:$A,0))</f>
        <v/>
      </c>
      <c r="Y244" s="187">
        <f>INDEX('Revenue by Customer'!Y:Y,MATCH('Full Customer List'!$B244,'Revenue by Customer'!$A:$A,0))</f>
        <v>765</v>
      </c>
      <c r="Z244" s="187" t="str">
        <f>INDEX('Revenue by Customer'!Z:Z,MATCH('Full Customer List'!$B244,'Revenue by Customer'!$A:$A,0))</f>
        <v/>
      </c>
      <c r="AA244" s="187" t="str">
        <f>INDEX('Revenue by Customer'!AA:AA,MATCH('Full Customer List'!$B244,'Revenue by Customer'!$A:$A,0))</f>
        <v/>
      </c>
      <c r="AB244" s="187" t="str">
        <f>INDEX('Revenue by Customer'!AB:AB,MATCH('Full Customer List'!$B244,'Revenue by Customer'!$A:$A,0))</f>
        <v/>
      </c>
      <c r="AC244" s="187" t="str">
        <f>INDEX('Revenue by Customer'!AC:AC,MATCH('Full Customer List'!$B244,'Revenue by Customer'!$A:$A,0))</f>
        <v/>
      </c>
    </row>
    <row r="245" spans="2:29" ht="12" customHeight="1">
      <c r="B245" s="171" t="s">
        <v>891</v>
      </c>
      <c r="C245" s="217" t="s">
        <v>497</v>
      </c>
      <c r="D245" s="171" t="str">
        <f>INDEX('Customer List w Software'!$C:$C,MATCH('Full Customer List'!$B245,'Customer List w Software'!$A:$A,0))</f>
        <v>Tax client only</v>
      </c>
      <c r="E245" s="171" t="str">
        <f>INDEX('Customer List Mapping'!$C:$C,MATCH('Full Customer List'!D245,'Customer List Mapping'!$B:$B,0))</f>
        <v>Tax-Only Client</v>
      </c>
      <c r="F245" s="187" t="str">
        <f>INDEX('Customer List w Software'!$K:$K,MATCH('Full Customer List'!$B245,'Customer List w Software'!$A:$A,0))</f>
        <v/>
      </c>
      <c r="G245" s="187">
        <f>INDEX('Revenue by Customer'!$I:$I,MATCH('Full Customer List'!$B245,'Revenue by Customer'!$A:$A,0))</f>
        <v>765</v>
      </c>
      <c r="H245" s="250" t="str">
        <f>IFERROR(IF(C245="Active","",INDEX('Client Departures'!$G:$G,MATCH('Full Customer List'!$B245,'Client Departures'!$A:$A,0))),"Unclassified")</f>
        <v/>
      </c>
      <c r="I245" s="191">
        <v>45931</v>
      </c>
      <c r="J245" s="191"/>
      <c r="K245" s="187" t="str">
        <f>INDEX('Revenue by Customer'!K:K,MATCH('Full Customer List'!$B245,'Revenue by Customer'!$A:$A,0))</f>
        <v/>
      </c>
      <c r="L245" s="187" t="str">
        <f>INDEX('Revenue by Customer'!L:L,MATCH('Full Customer List'!$B245,'Revenue by Customer'!$A:$A,0))</f>
        <v/>
      </c>
      <c r="M245" s="187" t="str">
        <f>INDEX('Revenue by Customer'!M:M,MATCH('Full Customer List'!$B245,'Revenue by Customer'!$A:$A,0))</f>
        <v/>
      </c>
      <c r="N245" s="187" t="str">
        <f>INDEX('Revenue by Customer'!N:N,MATCH('Full Customer List'!$B245,'Revenue by Customer'!$A:$A,0))</f>
        <v/>
      </c>
      <c r="O245" s="187" t="str">
        <f>INDEX('Revenue by Customer'!O:O,MATCH('Full Customer List'!$B245,'Revenue by Customer'!$A:$A,0))</f>
        <v/>
      </c>
      <c r="P245" s="187" t="str">
        <f>INDEX('Revenue by Customer'!P:P,MATCH('Full Customer List'!$B245,'Revenue by Customer'!$A:$A,0))</f>
        <v/>
      </c>
      <c r="Q245" s="187" t="str">
        <f>INDEX('Revenue by Customer'!Q:Q,MATCH('Full Customer List'!$B245,'Revenue by Customer'!$A:$A,0))</f>
        <v/>
      </c>
      <c r="R245" s="187" t="str">
        <f>INDEX('Revenue by Customer'!R:R,MATCH('Full Customer List'!$B245,'Revenue by Customer'!$A:$A,0))</f>
        <v/>
      </c>
      <c r="S245" s="187" t="str">
        <f>INDEX('Revenue by Customer'!S:S,MATCH('Full Customer List'!$B245,'Revenue by Customer'!$A:$A,0))</f>
        <v/>
      </c>
      <c r="T245" s="187">
        <f>INDEX('Revenue by Customer'!T:T,MATCH('Full Customer List'!$B245,'Revenue by Customer'!$A:$A,0))</f>
        <v>765</v>
      </c>
      <c r="U245" s="187" t="str">
        <f>INDEX('Revenue by Customer'!U:U,MATCH('Full Customer List'!$B245,'Revenue by Customer'!$A:$A,0))</f>
        <v/>
      </c>
      <c r="V245" s="187" t="str">
        <f>INDEX('Revenue by Customer'!V:V,MATCH('Full Customer List'!$B245,'Revenue by Customer'!$A:$A,0))</f>
        <v/>
      </c>
      <c r="W245" s="187" t="str">
        <f>INDEX('Revenue by Customer'!W:W,MATCH('Full Customer List'!$B245,'Revenue by Customer'!$A:$A,0))</f>
        <v/>
      </c>
      <c r="X245" s="187" t="str">
        <f>INDEX('Revenue by Customer'!X:X,MATCH('Full Customer List'!$B245,'Revenue by Customer'!$A:$A,0))</f>
        <v/>
      </c>
      <c r="Y245" s="187">
        <f>INDEX('Revenue by Customer'!Y:Y,MATCH('Full Customer List'!$B245,'Revenue by Customer'!$A:$A,0))</f>
        <v>765</v>
      </c>
      <c r="Z245" s="187" t="str">
        <f>INDEX('Revenue by Customer'!Z:Z,MATCH('Full Customer List'!$B245,'Revenue by Customer'!$A:$A,0))</f>
        <v/>
      </c>
      <c r="AA245" s="187" t="str">
        <f>INDEX('Revenue by Customer'!AA:AA,MATCH('Full Customer List'!$B245,'Revenue by Customer'!$A:$A,0))</f>
        <v/>
      </c>
      <c r="AB245" s="187" t="str">
        <f>INDEX('Revenue by Customer'!AB:AB,MATCH('Full Customer List'!$B245,'Revenue by Customer'!$A:$A,0))</f>
        <v/>
      </c>
      <c r="AC245" s="187" t="str">
        <f>INDEX('Revenue by Customer'!AC:AC,MATCH('Full Customer List'!$B245,'Revenue by Customer'!$A:$A,0))</f>
        <v/>
      </c>
    </row>
    <row r="246" spans="2:29" ht="12" customHeight="1">
      <c r="B246" s="171" t="s">
        <v>892</v>
      </c>
      <c r="C246" s="217" t="s">
        <v>497</v>
      </c>
      <c r="D246" s="171" t="str">
        <f>INDEX('Customer List w Software'!$C:$C,MATCH('Full Customer List'!$B246,'Customer List w Software'!$A:$A,0))</f>
        <v>Tax client only</v>
      </c>
      <c r="E246" s="171" t="str">
        <f>INDEX('Customer List Mapping'!$C:$C,MATCH('Full Customer List'!D246,'Customer List Mapping'!$B:$B,0))</f>
        <v>Tax-Only Client</v>
      </c>
      <c r="F246" s="187" t="str">
        <f>INDEX('Customer List w Software'!$K:$K,MATCH('Full Customer List'!$B246,'Customer List w Software'!$A:$A,0))</f>
        <v/>
      </c>
      <c r="G246" s="187">
        <f>INDEX('Revenue by Customer'!$I:$I,MATCH('Full Customer List'!$B246,'Revenue by Customer'!$A:$A,0))</f>
        <v>765</v>
      </c>
      <c r="H246" s="250" t="str">
        <f>IFERROR(IF(C246="Active","",INDEX('Client Departures'!$G:$G,MATCH('Full Customer List'!$B246,'Client Departures'!$A:$A,0))),"Unclassified")</f>
        <v/>
      </c>
      <c r="I246" s="191">
        <v>45931</v>
      </c>
      <c r="J246" s="191"/>
      <c r="K246" s="187" t="str">
        <f>INDEX('Revenue by Customer'!K:K,MATCH('Full Customer List'!$B246,'Revenue by Customer'!$A:$A,0))</f>
        <v/>
      </c>
      <c r="L246" s="187" t="str">
        <f>INDEX('Revenue by Customer'!L:L,MATCH('Full Customer List'!$B246,'Revenue by Customer'!$A:$A,0))</f>
        <v/>
      </c>
      <c r="M246" s="187" t="str">
        <f>INDEX('Revenue by Customer'!M:M,MATCH('Full Customer List'!$B246,'Revenue by Customer'!$A:$A,0))</f>
        <v/>
      </c>
      <c r="N246" s="187" t="str">
        <f>INDEX('Revenue by Customer'!N:N,MATCH('Full Customer List'!$B246,'Revenue by Customer'!$A:$A,0))</f>
        <v/>
      </c>
      <c r="O246" s="187" t="str">
        <f>INDEX('Revenue by Customer'!O:O,MATCH('Full Customer List'!$B246,'Revenue by Customer'!$A:$A,0))</f>
        <v/>
      </c>
      <c r="P246" s="187" t="str">
        <f>INDEX('Revenue by Customer'!P:P,MATCH('Full Customer List'!$B246,'Revenue by Customer'!$A:$A,0))</f>
        <v/>
      </c>
      <c r="Q246" s="187" t="str">
        <f>INDEX('Revenue by Customer'!Q:Q,MATCH('Full Customer List'!$B246,'Revenue by Customer'!$A:$A,0))</f>
        <v/>
      </c>
      <c r="R246" s="187" t="str">
        <f>INDEX('Revenue by Customer'!R:R,MATCH('Full Customer List'!$B246,'Revenue by Customer'!$A:$A,0))</f>
        <v/>
      </c>
      <c r="S246" s="187" t="str">
        <f>INDEX('Revenue by Customer'!S:S,MATCH('Full Customer List'!$B246,'Revenue by Customer'!$A:$A,0))</f>
        <v/>
      </c>
      <c r="T246" s="187">
        <f>INDEX('Revenue by Customer'!T:T,MATCH('Full Customer List'!$B246,'Revenue by Customer'!$A:$A,0))</f>
        <v>765</v>
      </c>
      <c r="U246" s="187" t="str">
        <f>INDEX('Revenue by Customer'!U:U,MATCH('Full Customer List'!$B246,'Revenue by Customer'!$A:$A,0))</f>
        <v/>
      </c>
      <c r="V246" s="187" t="str">
        <f>INDEX('Revenue by Customer'!V:V,MATCH('Full Customer List'!$B246,'Revenue by Customer'!$A:$A,0))</f>
        <v/>
      </c>
      <c r="W246" s="187" t="str">
        <f>INDEX('Revenue by Customer'!W:W,MATCH('Full Customer List'!$B246,'Revenue by Customer'!$A:$A,0))</f>
        <v/>
      </c>
      <c r="X246" s="187" t="str">
        <f>INDEX('Revenue by Customer'!X:X,MATCH('Full Customer List'!$B246,'Revenue by Customer'!$A:$A,0))</f>
        <v/>
      </c>
      <c r="Y246" s="187">
        <f>INDEX('Revenue by Customer'!Y:Y,MATCH('Full Customer List'!$B246,'Revenue by Customer'!$A:$A,0))</f>
        <v>765</v>
      </c>
      <c r="Z246" s="187" t="str">
        <f>INDEX('Revenue by Customer'!Z:Z,MATCH('Full Customer List'!$B246,'Revenue by Customer'!$A:$A,0))</f>
        <v/>
      </c>
      <c r="AA246" s="187" t="str">
        <f>INDEX('Revenue by Customer'!AA:AA,MATCH('Full Customer List'!$B246,'Revenue by Customer'!$A:$A,0))</f>
        <v/>
      </c>
      <c r="AB246" s="187" t="str">
        <f>INDEX('Revenue by Customer'!AB:AB,MATCH('Full Customer List'!$B246,'Revenue by Customer'!$A:$A,0))</f>
        <v/>
      </c>
      <c r="AC246" s="187" t="str">
        <f>INDEX('Revenue by Customer'!AC:AC,MATCH('Full Customer List'!$B246,'Revenue by Customer'!$A:$A,0))</f>
        <v/>
      </c>
    </row>
    <row r="247" spans="2:29" ht="12" customHeight="1">
      <c r="B247" s="171" t="s">
        <v>893</v>
      </c>
      <c r="C247" s="171" t="str">
        <f>INDEX('Customer List w Software'!$B:$B,MATCH('Full Customer List'!$B247,'Customer List w Software'!$A:$A,0))</f>
        <v>Former client</v>
      </c>
      <c r="D247" s="171" t="str">
        <f>INDEX('Customer List w Software'!$C:$C,MATCH('Full Customer List'!$B247,'Customer List w Software'!$A:$A,0))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87" t="str">
        <f>INDEX('Customer List w Software'!$K:$K,MATCH('Full Customer List'!$B247,'Customer List w Software'!$A:$A,0))</f>
        <v/>
      </c>
      <c r="G247" s="187">
        <f>INDEX('Revenue by Customer'!$I:$I,MATCH('Full Customer List'!$B247,'Revenue by Customer'!$A:$A,0))</f>
        <v>305</v>
      </c>
      <c r="H247" s="250" t="str">
        <f>IFERROR(IF(C247="Active","",INDEX('Client Departures'!$G:$G,MATCH('Full Customer List'!$B247,'Client Departures'!$A:$A,0))),"Unclassified")</f>
        <v>Yes</v>
      </c>
      <c r="I247" s="191">
        <v>44927</v>
      </c>
      <c r="J247" s="191">
        <v>46022</v>
      </c>
      <c r="K247" s="187">
        <f>INDEX('Revenue by Customer'!K:K,MATCH('Full Customer List'!$B247,'Revenue by Customer'!$A:$A,0))</f>
        <v>380</v>
      </c>
      <c r="L247" s="187">
        <f>INDEX('Revenue by Customer'!L:L,MATCH('Full Customer List'!$B247,'Revenue by Customer'!$A:$A,0))</f>
        <v>305</v>
      </c>
      <c r="M247" s="187">
        <f>INDEX('Revenue by Customer'!M:M,MATCH('Full Customer List'!$B247,'Revenue by Customer'!$A:$A,0))</f>
        <v>305</v>
      </c>
      <c r="N247" s="187">
        <f>INDEX('Revenue by Customer'!N:N,MATCH('Full Customer List'!$B247,'Revenue by Customer'!$A:$A,0))</f>
        <v>305</v>
      </c>
      <c r="O247" s="187">
        <f>INDEX('Revenue by Customer'!O:O,MATCH('Full Customer List'!$B247,'Revenue by Customer'!$A:$A,0))</f>
        <v>305</v>
      </c>
      <c r="P247" s="187">
        <f>INDEX('Revenue by Customer'!P:P,MATCH('Full Customer List'!$B247,'Revenue by Customer'!$A:$A,0))</f>
        <v>305</v>
      </c>
      <c r="Q247" s="187">
        <f>INDEX('Revenue by Customer'!Q:Q,MATCH('Full Customer List'!$B247,'Revenue by Customer'!$A:$A,0))</f>
        <v>305</v>
      </c>
      <c r="R247" s="187">
        <f>INDEX('Revenue by Customer'!R:R,MATCH('Full Customer List'!$B247,'Revenue by Customer'!$A:$A,0))</f>
        <v>305</v>
      </c>
      <c r="S247" s="187">
        <f>INDEX('Revenue by Customer'!S:S,MATCH('Full Customer List'!$B247,'Revenue by Customer'!$A:$A,0))</f>
        <v>305</v>
      </c>
      <c r="T247" s="187">
        <f>INDEX('Revenue by Customer'!T:T,MATCH('Full Customer List'!$B247,'Revenue by Customer'!$A:$A,0))</f>
        <v>305</v>
      </c>
      <c r="U247" s="187">
        <f>INDEX('Revenue by Customer'!U:U,MATCH('Full Customer List'!$B247,'Revenue by Customer'!$A:$A,0))</f>
        <v>305</v>
      </c>
      <c r="V247" s="187">
        <f>INDEX('Revenue by Customer'!V:V,MATCH('Full Customer List'!$B247,'Revenue by Customer'!$A:$A,0))</f>
        <v>305</v>
      </c>
      <c r="W247" s="187" t="str">
        <f>INDEX('Revenue by Customer'!W:W,MATCH('Full Customer List'!$B247,'Revenue by Customer'!$A:$A,0))</f>
        <v/>
      </c>
      <c r="X247" s="187" t="str">
        <f>INDEX('Revenue by Customer'!X:X,MATCH('Full Customer List'!$B247,'Revenue by Customer'!$A:$A,0))</f>
        <v/>
      </c>
      <c r="Y247" s="187" t="str">
        <f>INDEX('Revenue by Customer'!Y:Y,MATCH('Full Customer List'!$B247,'Revenue by Customer'!$A:$A,0))</f>
        <v/>
      </c>
      <c r="Z247" s="187" t="str">
        <f>INDEX('Revenue by Customer'!Z:Z,MATCH('Full Customer List'!$B247,'Revenue by Customer'!$A:$A,0))</f>
        <v/>
      </c>
      <c r="AA247" s="187" t="str">
        <f>INDEX('Revenue by Customer'!AA:AA,MATCH('Full Customer List'!$B247,'Revenue by Customer'!$A:$A,0))</f>
        <v/>
      </c>
      <c r="AB247" s="187" t="str">
        <f>INDEX('Revenue by Customer'!AB:AB,MATCH('Full Customer List'!$B247,'Revenue by Customer'!$A:$A,0))</f>
        <v/>
      </c>
      <c r="AC247" s="187" t="str">
        <f>INDEX('Revenue by Customer'!AC:AC,MATCH('Full Customer List'!$B247,'Revenue by Customer'!$A:$A,0))</f>
        <v/>
      </c>
    </row>
    <row r="248" spans="2:29" ht="12" customHeight="1">
      <c r="B248" s="171" t="s">
        <v>894</v>
      </c>
      <c r="C248" s="171" t="str">
        <f>INDEX('Customer List w Software'!$B:$B,MATCH('Full Customer List'!$B248,'Customer List w Software'!$A:$A,0))</f>
        <v>Active</v>
      </c>
      <c r="D248" s="171" t="str">
        <f>INDEX('Customer List w Software'!$C:$C,MATCH('Full Customer List'!$B248,'Customer List w Software'!$A:$A,0))</f>
        <v>STR owner</v>
      </c>
      <c r="E248" s="171" t="str">
        <f>INDEX('Customer List Mapping'!$C:$C,MATCH('Full Customer List'!D248,'Customer List Mapping'!$B:$B,0))</f>
        <v>STR Owner</v>
      </c>
      <c r="F248" s="187">
        <f>INDEX('Customer List w Software'!$K:$K,MATCH('Full Customer List'!$B248,'Customer List w Software'!$A:$A,0))</f>
        <v>0</v>
      </c>
      <c r="G248" s="187">
        <f>INDEX('Revenue by Customer'!$I:$I,MATCH('Full Customer List'!$B248,'Revenue by Customer'!$A:$A,0))</f>
        <v>401.66666666666669</v>
      </c>
      <c r="H248" s="250" t="str">
        <f>IFERROR(IF(C248="Active","",INDEX('Client Departures'!$G:$G,MATCH('Full Customer List'!$B248,'Client Departures'!$A:$A,0))),"Unclassified")</f>
        <v/>
      </c>
      <c r="I248" s="191">
        <v>46082</v>
      </c>
      <c r="J248" s="191"/>
      <c r="K248" s="187" t="str">
        <f>INDEX('Revenue by Customer'!K:K,MATCH('Full Customer List'!$B248,'Revenue by Customer'!$A:$A,0))</f>
        <v/>
      </c>
      <c r="L248" s="187" t="str">
        <f>INDEX('Revenue by Customer'!L:L,MATCH('Full Customer List'!$B248,'Revenue by Customer'!$A:$A,0))</f>
        <v/>
      </c>
      <c r="M248" s="187" t="str">
        <f>INDEX('Revenue by Customer'!M:M,MATCH('Full Customer List'!$B248,'Revenue by Customer'!$A:$A,0))</f>
        <v/>
      </c>
      <c r="N248" s="187" t="str">
        <f>INDEX('Revenue by Customer'!N:N,MATCH('Full Customer List'!$B248,'Revenue by Customer'!$A:$A,0))</f>
        <v/>
      </c>
      <c r="O248" s="187" t="str">
        <f>INDEX('Revenue by Customer'!O:O,MATCH('Full Customer List'!$B248,'Revenue by Customer'!$A:$A,0))</f>
        <v/>
      </c>
      <c r="P248" s="187" t="str">
        <f>INDEX('Revenue by Customer'!P:P,MATCH('Full Customer List'!$B248,'Revenue by Customer'!$A:$A,0))</f>
        <v/>
      </c>
      <c r="Q248" s="187" t="str">
        <f>INDEX('Revenue by Customer'!Q:Q,MATCH('Full Customer List'!$B248,'Revenue by Customer'!$A:$A,0))</f>
        <v/>
      </c>
      <c r="R248" s="187" t="str">
        <f>INDEX('Revenue by Customer'!R:R,MATCH('Full Customer List'!$B248,'Revenue by Customer'!$A:$A,0))</f>
        <v/>
      </c>
      <c r="S248" s="187" t="str">
        <f>INDEX('Revenue by Customer'!S:S,MATCH('Full Customer List'!$B248,'Revenue by Customer'!$A:$A,0))</f>
        <v/>
      </c>
      <c r="T248" s="187" t="str">
        <f>INDEX('Revenue by Customer'!T:T,MATCH('Full Customer List'!$B248,'Revenue by Customer'!$A:$A,0))</f>
        <v/>
      </c>
      <c r="U248" s="187" t="str">
        <f>INDEX('Revenue by Customer'!U:U,MATCH('Full Customer List'!$B248,'Revenue by Customer'!$A:$A,0))</f>
        <v/>
      </c>
      <c r="V248" s="187" t="str">
        <f>INDEX('Revenue by Customer'!V:V,MATCH('Full Customer List'!$B248,'Revenue by Customer'!$A:$A,0))</f>
        <v/>
      </c>
      <c r="W248" s="187" t="str">
        <f>INDEX('Revenue by Customer'!W:W,MATCH('Full Customer List'!$B248,'Revenue by Customer'!$A:$A,0))</f>
        <v/>
      </c>
      <c r="X248" s="187" t="str">
        <f>INDEX('Revenue by Customer'!X:X,MATCH('Full Customer List'!$B248,'Revenue by Customer'!$A:$A,0))</f>
        <v/>
      </c>
      <c r="Y248" s="187">
        <f>INDEX('Revenue by Customer'!Y:Y,MATCH('Full Customer List'!$B248,'Revenue by Customer'!$A:$A,0))</f>
        <v>160</v>
      </c>
      <c r="Z248" s="187">
        <f>INDEX('Revenue by Customer'!Z:Z,MATCH('Full Customer List'!$B248,'Revenue by Customer'!$A:$A,0))</f>
        <v>160</v>
      </c>
      <c r="AA248" s="187">
        <f>INDEX('Revenue by Customer'!AA:AA,MATCH('Full Customer List'!$B248,'Revenue by Customer'!$A:$A,0))</f>
        <v>685</v>
      </c>
      <c r="AB248" s="187">
        <f>INDEX('Revenue by Customer'!AB:AB,MATCH('Full Customer List'!$B248,'Revenue by Customer'!$A:$A,0))</f>
        <v>260</v>
      </c>
      <c r="AC248" s="187">
        <f>INDEX('Revenue by Customer'!AC:AC,MATCH('Full Customer List'!$B248,'Revenue by Customer'!$A:$A,0))</f>
        <v>260</v>
      </c>
    </row>
    <row r="249" spans="2:29" ht="12" customHeight="1">
      <c r="B249" s="171" t="s">
        <v>895</v>
      </c>
      <c r="C249" s="171" t="str">
        <f>INDEX('Customer List w Software'!$B:$B,MATCH('Full Customer List'!$B249,'Customer List w Software'!$A:$A,0))</f>
        <v>Active</v>
      </c>
      <c r="D249" s="171" t="str">
        <f>INDEX('Customer List w Software'!$C:$C,MATCH('Full Customer List'!$B249,'Customer List w Software'!$A:$A,0))</f>
        <v>Property manager</v>
      </c>
      <c r="E249" s="171" t="str">
        <f>INDEX('Customer List Mapping'!$C:$C,MATCH('Full Customer List'!D249,'Customer List Mapping'!$B:$B,0))</f>
        <v>Property Manager</v>
      </c>
      <c r="F249" s="187">
        <f>INDEX('Customer List w Software'!$K:$K,MATCH('Full Customer List'!$B249,'Customer List w Software'!$A:$A,0))</f>
        <v>5</v>
      </c>
      <c r="G249" s="187">
        <f>INDEX('Revenue by Customer'!$I:$I,MATCH('Full Customer List'!$B249,'Revenue by Customer'!$A:$A,0))</f>
        <v>116.66666666666667</v>
      </c>
      <c r="H249" s="250" t="str">
        <f>IFERROR(IF(C249="Active","",INDEX('Client Departures'!$G:$G,MATCH('Full Customer List'!$B249,'Client Departures'!$A:$A,0))),"Unclassified")</f>
        <v/>
      </c>
      <c r="I249" s="191">
        <v>45748</v>
      </c>
      <c r="J249" s="191"/>
      <c r="K249" s="187" t="str">
        <f>INDEX('Revenue by Customer'!K:K,MATCH('Full Customer List'!$B249,'Revenue by Customer'!$A:$A,0))</f>
        <v/>
      </c>
      <c r="L249" s="187" t="str">
        <f>INDEX('Revenue by Customer'!L:L,MATCH('Full Customer List'!$B249,'Revenue by Customer'!$A:$A,0))</f>
        <v/>
      </c>
      <c r="M249" s="187" t="str">
        <f>INDEX('Revenue by Customer'!M:M,MATCH('Full Customer List'!$B249,'Revenue by Customer'!$A:$A,0))</f>
        <v/>
      </c>
      <c r="N249" s="187">
        <f>INDEX('Revenue by Customer'!N:N,MATCH('Full Customer List'!$B249,'Revenue by Customer'!$A:$A,0))</f>
        <v>350</v>
      </c>
      <c r="O249" s="187" t="str">
        <f>INDEX('Revenue by Customer'!O:O,MATCH('Full Customer List'!$B249,'Revenue by Customer'!$A:$A,0))</f>
        <v/>
      </c>
      <c r="P249" s="187">
        <f>INDEX('Revenue by Customer'!P:P,MATCH('Full Customer List'!$B249,'Revenue by Customer'!$A:$A,0))</f>
        <v>150</v>
      </c>
      <c r="Q249" s="187" t="str">
        <f>INDEX('Revenue by Customer'!Q:Q,MATCH('Full Customer List'!$B249,'Revenue by Customer'!$A:$A,0))</f>
        <v/>
      </c>
      <c r="R249" s="187" t="str">
        <f>INDEX('Revenue by Customer'!R:R,MATCH('Full Customer List'!$B249,'Revenue by Customer'!$A:$A,0))</f>
        <v/>
      </c>
      <c r="S249" s="187">
        <f>INDEX('Revenue by Customer'!S:S,MATCH('Full Customer List'!$B249,'Revenue by Customer'!$A:$A,0))</f>
        <v>355</v>
      </c>
      <c r="T249" s="187">
        <f>INDEX('Revenue by Customer'!T:T,MATCH('Full Customer List'!$B249,'Revenue by Customer'!$A:$A,0))</f>
        <v>105</v>
      </c>
      <c r="U249" s="187">
        <f>INDEX('Revenue by Customer'!U:U,MATCH('Full Customer List'!$B249,'Revenue by Customer'!$A:$A,0))</f>
        <v>105</v>
      </c>
      <c r="V249" s="187">
        <f>INDEX('Revenue by Customer'!V:V,MATCH('Full Customer List'!$B249,'Revenue by Customer'!$A:$A,0))</f>
        <v>105</v>
      </c>
      <c r="W249" s="187">
        <f>INDEX('Revenue by Customer'!W:W,MATCH('Full Customer List'!$B249,'Revenue by Customer'!$A:$A,0))</f>
        <v>135</v>
      </c>
      <c r="X249" s="187">
        <f>INDEX('Revenue by Customer'!X:X,MATCH('Full Customer List'!$B249,'Revenue by Customer'!$A:$A,0))</f>
        <v>105</v>
      </c>
      <c r="Y249" s="187">
        <f>INDEX('Revenue by Customer'!Y:Y,MATCH('Full Customer List'!$B249,'Revenue by Customer'!$A:$A,0))</f>
        <v>105</v>
      </c>
      <c r="Z249" s="187">
        <f>INDEX('Revenue by Customer'!Z:Z,MATCH('Full Customer List'!$B249,'Revenue by Customer'!$A:$A,0))</f>
        <v>140</v>
      </c>
      <c r="AA249" s="187">
        <f>INDEX('Revenue by Customer'!AA:AA,MATCH('Full Customer List'!$B249,'Revenue by Customer'!$A:$A,0))</f>
        <v>70</v>
      </c>
      <c r="AB249" s="187">
        <f>INDEX('Revenue by Customer'!AB:AB,MATCH('Full Customer List'!$B249,'Revenue by Customer'!$A:$A,0))</f>
        <v>140</v>
      </c>
      <c r="AC249" s="187">
        <f>INDEX('Revenue by Customer'!AC:AC,MATCH('Full Customer List'!$B249,'Revenue by Customer'!$A:$A,0))</f>
        <v>140</v>
      </c>
    </row>
    <row r="250" spans="2:29" ht="12" customHeight="1">
      <c r="B250" s="171" t="s">
        <v>896</v>
      </c>
      <c r="C250" s="171" t="str">
        <f>INDEX('Customer List w Software'!$B:$B,MATCH('Full Customer List'!$B250,'Customer List w Software'!$A:$A,0))</f>
        <v>Active</v>
      </c>
      <c r="D250" s="171" t="str">
        <f>INDEX('Customer List w Software'!$C:$C,MATCH('Full Customer List'!$B250,'Customer List w Software'!$A:$A,0))</f>
        <v>Property manager</v>
      </c>
      <c r="E250" s="171" t="str">
        <f>INDEX('Customer List Mapping'!$C:$C,MATCH('Full Customer List'!D250,'Customer List Mapping'!$B:$B,0))</f>
        <v>Property Manager</v>
      </c>
      <c r="F250" s="187">
        <f>INDEX('Customer List w Software'!$K:$K,MATCH('Full Customer List'!$B250,'Customer List w Software'!$A:$A,0))</f>
        <v>2</v>
      </c>
      <c r="G250" s="187">
        <f>INDEX('Revenue by Customer'!$I:$I,MATCH('Full Customer List'!$B250,'Revenue by Customer'!$A:$A,0))</f>
        <v>120</v>
      </c>
      <c r="H250" s="250" t="str">
        <f>IFERROR(IF(C250="Active","",INDEX('Client Departures'!$G:$G,MATCH('Full Customer List'!$B250,'Client Departures'!$A:$A,0))),"Unclassified")</f>
        <v/>
      </c>
      <c r="I250" s="191">
        <v>46054</v>
      </c>
      <c r="J250" s="191"/>
      <c r="K250" s="187" t="str">
        <f>INDEX('Revenue by Customer'!K:K,MATCH('Full Customer List'!$B250,'Revenue by Customer'!$A:$A,0))</f>
        <v/>
      </c>
      <c r="L250" s="187" t="str">
        <f>INDEX('Revenue by Customer'!L:L,MATCH('Full Customer List'!$B250,'Revenue by Customer'!$A:$A,0))</f>
        <v/>
      </c>
      <c r="M250" s="187" t="str">
        <f>INDEX('Revenue by Customer'!M:M,MATCH('Full Customer List'!$B250,'Revenue by Customer'!$A:$A,0))</f>
        <v/>
      </c>
      <c r="N250" s="187" t="str">
        <f>INDEX('Revenue by Customer'!N:N,MATCH('Full Customer List'!$B250,'Revenue by Customer'!$A:$A,0))</f>
        <v/>
      </c>
      <c r="O250" s="187" t="str">
        <f>INDEX('Revenue by Customer'!O:O,MATCH('Full Customer List'!$B250,'Revenue by Customer'!$A:$A,0))</f>
        <v/>
      </c>
      <c r="P250" s="187" t="str">
        <f>INDEX('Revenue by Customer'!P:P,MATCH('Full Customer List'!$B250,'Revenue by Customer'!$A:$A,0))</f>
        <v/>
      </c>
      <c r="Q250" s="187" t="str">
        <f>INDEX('Revenue by Customer'!Q:Q,MATCH('Full Customer List'!$B250,'Revenue by Customer'!$A:$A,0))</f>
        <v/>
      </c>
      <c r="R250" s="187" t="str">
        <f>INDEX('Revenue by Customer'!R:R,MATCH('Full Customer List'!$B250,'Revenue by Customer'!$A:$A,0))</f>
        <v/>
      </c>
      <c r="S250" s="187" t="str">
        <f>INDEX('Revenue by Customer'!S:S,MATCH('Full Customer List'!$B250,'Revenue by Customer'!$A:$A,0))</f>
        <v/>
      </c>
      <c r="T250" s="187" t="str">
        <f>INDEX('Revenue by Customer'!T:T,MATCH('Full Customer List'!$B250,'Revenue by Customer'!$A:$A,0))</f>
        <v/>
      </c>
      <c r="U250" s="187" t="str">
        <f>INDEX('Revenue by Customer'!U:U,MATCH('Full Customer List'!$B250,'Revenue by Customer'!$A:$A,0))</f>
        <v/>
      </c>
      <c r="V250" s="187" t="str">
        <f>INDEX('Revenue by Customer'!V:V,MATCH('Full Customer List'!$B250,'Revenue by Customer'!$A:$A,0))</f>
        <v/>
      </c>
      <c r="W250" s="187" t="str">
        <f>INDEX('Revenue by Customer'!W:W,MATCH('Full Customer List'!$B250,'Revenue by Customer'!$A:$A,0))</f>
        <v/>
      </c>
      <c r="X250" s="187" t="str">
        <f>INDEX('Revenue by Customer'!X:X,MATCH('Full Customer List'!$B250,'Revenue by Customer'!$A:$A,0))</f>
        <v/>
      </c>
      <c r="Y250" s="187">
        <f>INDEX('Revenue by Customer'!Y:Y,MATCH('Full Customer List'!$B250,'Revenue by Customer'!$A:$A,0))</f>
        <v>725</v>
      </c>
      <c r="Z250" s="187">
        <f>INDEX('Revenue by Customer'!Z:Z,MATCH('Full Customer List'!$B250,'Revenue by Customer'!$A:$A,0))</f>
        <v>417.5</v>
      </c>
      <c r="AA250" s="187">
        <f>INDEX('Revenue by Customer'!AA:AA,MATCH('Full Customer List'!$B250,'Revenue by Customer'!$A:$A,0))</f>
        <v>120</v>
      </c>
      <c r="AB250" s="187">
        <f>INDEX('Revenue by Customer'!AB:AB,MATCH('Full Customer List'!$B250,'Revenue by Customer'!$A:$A,0))</f>
        <v>120</v>
      </c>
      <c r="AC250" s="187">
        <f>INDEX('Revenue by Customer'!AC:AC,MATCH('Full Customer List'!$B250,'Revenue by Customer'!$A:$A,0))</f>
        <v>120</v>
      </c>
    </row>
    <row r="251" spans="2:29" ht="12" customHeight="1">
      <c r="B251" s="171" t="s">
        <v>897</v>
      </c>
      <c r="C251" s="171" t="str">
        <f>INDEX('Customer List w Software'!$B:$B,MATCH('Full Customer List'!$B251,'Customer List w Software'!$A:$A,0))</f>
        <v>Former client</v>
      </c>
      <c r="D251" s="171" t="str">
        <f>INDEX('Customer List w Software'!$C:$C,MATCH('Full Customer List'!$B251,'Customer List w Software'!$A:$A,0))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87" t="str">
        <f>INDEX('Customer List w Software'!$K:$K,MATCH('Full Customer List'!$B251,'Customer List w Software'!$A:$A,0))</f>
        <v/>
      </c>
      <c r="G251" s="187">
        <f>INDEX('Revenue by Customer'!$I:$I,MATCH('Full Customer List'!$B251,'Revenue by Customer'!$A:$A,0))</f>
        <v>300</v>
      </c>
      <c r="H251" s="250" t="str">
        <f>IFERROR(IF(C251="Active","",INDEX('Client Departures'!$G:$G,MATCH('Full Customer List'!$B251,'Client Departures'!$A:$A,0))),"Unclassified")</f>
        <v>Yes</v>
      </c>
      <c r="I251" s="191">
        <v>45505</v>
      </c>
      <c r="J251" s="191">
        <v>46022</v>
      </c>
      <c r="K251" s="187">
        <f>INDEX('Revenue by Customer'!K:K,MATCH('Full Customer List'!$B251,'Revenue by Customer'!$A:$A,0))</f>
        <v>250</v>
      </c>
      <c r="L251" s="187">
        <f>INDEX('Revenue by Customer'!L:L,MATCH('Full Customer List'!$B251,'Revenue by Customer'!$A:$A,0))</f>
        <v>250</v>
      </c>
      <c r="M251" s="187">
        <f>INDEX('Revenue by Customer'!M:M,MATCH('Full Customer List'!$B251,'Revenue by Customer'!$A:$A,0))</f>
        <v>250</v>
      </c>
      <c r="N251" s="187">
        <f>INDEX('Revenue by Customer'!N:N,MATCH('Full Customer List'!$B251,'Revenue by Customer'!$A:$A,0))</f>
        <v>250</v>
      </c>
      <c r="O251" s="187">
        <f>INDEX('Revenue by Customer'!O:O,MATCH('Full Customer List'!$B251,'Revenue by Customer'!$A:$A,0))</f>
        <v>250</v>
      </c>
      <c r="P251" s="187">
        <f>INDEX('Revenue by Customer'!P:P,MATCH('Full Customer List'!$B251,'Revenue by Customer'!$A:$A,0))</f>
        <v>250</v>
      </c>
      <c r="Q251" s="187">
        <f>INDEX('Revenue by Customer'!Q:Q,MATCH('Full Customer List'!$B251,'Revenue by Customer'!$A:$A,0))</f>
        <v>250</v>
      </c>
      <c r="R251" s="187">
        <f>INDEX('Revenue by Customer'!R:R,MATCH('Full Customer List'!$B251,'Revenue by Customer'!$A:$A,0))</f>
        <v>250</v>
      </c>
      <c r="S251" s="187">
        <f>INDEX('Revenue by Customer'!S:S,MATCH('Full Customer List'!$B251,'Revenue by Customer'!$A:$A,0))</f>
        <v>300</v>
      </c>
      <c r="T251" s="187">
        <f>INDEX('Revenue by Customer'!T:T,MATCH('Full Customer List'!$B251,'Revenue by Customer'!$A:$A,0))</f>
        <v>300</v>
      </c>
      <c r="U251" s="187">
        <f>INDEX('Revenue by Customer'!U:U,MATCH('Full Customer List'!$B251,'Revenue by Customer'!$A:$A,0))</f>
        <v>300</v>
      </c>
      <c r="V251" s="187">
        <f>INDEX('Revenue by Customer'!V:V,MATCH('Full Customer List'!$B251,'Revenue by Customer'!$A:$A,0))</f>
        <v>300</v>
      </c>
      <c r="W251" s="187" t="str">
        <f>INDEX('Revenue by Customer'!W:W,MATCH('Full Customer List'!$B251,'Revenue by Customer'!$A:$A,0))</f>
        <v/>
      </c>
      <c r="X251" s="187" t="str">
        <f>INDEX('Revenue by Customer'!X:X,MATCH('Full Customer List'!$B251,'Revenue by Customer'!$A:$A,0))</f>
        <v/>
      </c>
      <c r="Y251" s="187" t="str">
        <f>INDEX('Revenue by Customer'!Y:Y,MATCH('Full Customer List'!$B251,'Revenue by Customer'!$A:$A,0))</f>
        <v/>
      </c>
      <c r="Z251" s="187" t="str">
        <f>INDEX('Revenue by Customer'!Z:Z,MATCH('Full Customer List'!$B251,'Revenue by Customer'!$A:$A,0))</f>
        <v/>
      </c>
      <c r="AA251" s="187" t="str">
        <f>INDEX('Revenue by Customer'!AA:AA,MATCH('Full Customer List'!$B251,'Revenue by Customer'!$A:$A,0))</f>
        <v/>
      </c>
      <c r="AB251" s="187" t="str">
        <f>INDEX('Revenue by Customer'!AB:AB,MATCH('Full Customer List'!$B251,'Revenue by Customer'!$A:$A,0))</f>
        <v/>
      </c>
      <c r="AC251" s="187" t="str">
        <f>INDEX('Revenue by Customer'!AC:AC,MATCH('Full Customer List'!$B251,'Revenue by Customer'!$A:$A,0))</f>
        <v/>
      </c>
    </row>
    <row r="252" spans="2:29" ht="12" customHeight="1">
      <c r="B252" s="171" t="s">
        <v>898</v>
      </c>
      <c r="C252" s="171" t="str">
        <f>INDEX('Customer List w Software'!$B:$B,MATCH('Full Customer List'!$B252,'Customer List w Software'!$A:$A,0))</f>
        <v>Former client</v>
      </c>
      <c r="D252" s="171" t="str">
        <f>INDEX('Customer List w Software'!$C:$C,MATCH('Full Customer List'!$B252,'Customer List w Software'!$A:$A,0))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87" t="str">
        <f>INDEX('Customer List w Software'!$K:$K,MATCH('Full Customer List'!$B252,'Customer List w Software'!$A:$A,0))</f>
        <v/>
      </c>
      <c r="G252" s="187">
        <f>INDEX('Revenue by Customer'!$I:$I,MATCH('Full Customer List'!$B252,'Revenue by Customer'!$A:$A,0))</f>
        <v>110</v>
      </c>
      <c r="H252" s="250" t="str">
        <f>IFERROR(IF(C252="Active","",INDEX('Client Departures'!$G:$G,MATCH('Full Customer List'!$B252,'Client Departures'!$A:$A,0))),"Unclassified")</f>
        <v>Yes</v>
      </c>
      <c r="I252" s="191">
        <v>45839</v>
      </c>
      <c r="J252" s="191">
        <v>46053</v>
      </c>
      <c r="K252" s="187" t="str">
        <f>INDEX('Revenue by Customer'!K:K,MATCH('Full Customer List'!$B252,'Revenue by Customer'!$A:$A,0))</f>
        <v/>
      </c>
      <c r="L252" s="187" t="str">
        <f>INDEX('Revenue by Customer'!L:L,MATCH('Full Customer List'!$B252,'Revenue by Customer'!$A:$A,0))</f>
        <v/>
      </c>
      <c r="M252" s="187" t="str">
        <f>INDEX('Revenue by Customer'!M:M,MATCH('Full Customer List'!$B252,'Revenue by Customer'!$A:$A,0))</f>
        <v/>
      </c>
      <c r="N252" s="187" t="str">
        <f>INDEX('Revenue by Customer'!N:N,MATCH('Full Customer List'!$B252,'Revenue by Customer'!$A:$A,0))</f>
        <v/>
      </c>
      <c r="O252" s="187" t="str">
        <f>INDEX('Revenue by Customer'!O:O,MATCH('Full Customer List'!$B252,'Revenue by Customer'!$A:$A,0))</f>
        <v/>
      </c>
      <c r="P252" s="187" t="str">
        <f>INDEX('Revenue by Customer'!P:P,MATCH('Full Customer List'!$B252,'Revenue by Customer'!$A:$A,0))</f>
        <v/>
      </c>
      <c r="Q252" s="187">
        <f>INDEX('Revenue by Customer'!Q:Q,MATCH('Full Customer List'!$B252,'Revenue by Customer'!$A:$A,0))</f>
        <v>350</v>
      </c>
      <c r="R252" s="187">
        <f>INDEX('Revenue by Customer'!R:R,MATCH('Full Customer List'!$B252,'Revenue by Customer'!$A:$A,0))</f>
        <v>360</v>
      </c>
      <c r="S252" s="187">
        <f>INDEX('Revenue by Customer'!S:S,MATCH('Full Customer List'!$B252,'Revenue by Customer'!$A:$A,0))</f>
        <v>360</v>
      </c>
      <c r="T252" s="187">
        <f>INDEX('Revenue by Customer'!T:T,MATCH('Full Customer List'!$B252,'Revenue by Customer'!$A:$A,0))</f>
        <v>360</v>
      </c>
      <c r="U252" s="187">
        <f>INDEX('Revenue by Customer'!U:U,MATCH('Full Customer List'!$B252,'Revenue by Customer'!$A:$A,0))</f>
        <v>105</v>
      </c>
      <c r="V252" s="187">
        <f>INDEX('Revenue by Customer'!V:V,MATCH('Full Customer List'!$B252,'Revenue by Customer'!$A:$A,0))</f>
        <v>105</v>
      </c>
      <c r="W252" s="187">
        <f>INDEX('Revenue by Customer'!W:W,MATCH('Full Customer List'!$B252,'Revenue by Customer'!$A:$A,0))</f>
        <v>120</v>
      </c>
      <c r="X252" s="187" t="str">
        <f>INDEX('Revenue by Customer'!X:X,MATCH('Full Customer List'!$B252,'Revenue by Customer'!$A:$A,0))</f>
        <v/>
      </c>
      <c r="Y252" s="187" t="str">
        <f>INDEX('Revenue by Customer'!Y:Y,MATCH('Full Customer List'!$B252,'Revenue by Customer'!$A:$A,0))</f>
        <v/>
      </c>
      <c r="Z252" s="187" t="str">
        <f>INDEX('Revenue by Customer'!Z:Z,MATCH('Full Customer List'!$B252,'Revenue by Customer'!$A:$A,0))</f>
        <v/>
      </c>
      <c r="AA252" s="187" t="str">
        <f>INDEX('Revenue by Customer'!AA:AA,MATCH('Full Customer List'!$B252,'Revenue by Customer'!$A:$A,0))</f>
        <v/>
      </c>
      <c r="AB252" s="187" t="str">
        <f>INDEX('Revenue by Customer'!AB:AB,MATCH('Full Customer List'!$B252,'Revenue by Customer'!$A:$A,0))</f>
        <v/>
      </c>
      <c r="AC252" s="187" t="str">
        <f>INDEX('Revenue by Customer'!AC:AC,MATCH('Full Customer List'!$B252,'Revenue by Customer'!$A:$A,0))</f>
        <v/>
      </c>
    </row>
    <row r="253" spans="2:29" ht="12" customHeight="1">
      <c r="B253" s="171" t="s">
        <v>899</v>
      </c>
      <c r="C253" s="171" t="str">
        <f>INDEX('Customer List w Software'!$B:$B,MATCH('Full Customer List'!$B253,'Customer List w Software'!$A:$A,0))</f>
        <v>Former client</v>
      </c>
      <c r="D253" s="171" t="str">
        <f>INDEX('Customer List w Software'!$C:$C,MATCH('Full Customer List'!$B253,'Customer List w Software'!$A:$A,0))</f>
        <v>STR owner</v>
      </c>
      <c r="E253" s="171" t="str">
        <f>INDEX('Customer List Mapping'!$C:$C,MATCH('Full Customer List'!D253,'Customer List Mapping'!$B:$B,0))</f>
        <v>STR Owner</v>
      </c>
      <c r="F253" s="187">
        <f>INDEX('Customer List w Software'!$K:$K,MATCH('Full Customer List'!$B253,'Customer List w Software'!$A:$A,0))</f>
        <v>4</v>
      </c>
      <c r="G253" s="187">
        <f>INDEX('Revenue by Customer'!$I:$I,MATCH('Full Customer List'!$B253,'Revenue by Customer'!$A:$A,0))</f>
        <v>270.16666666666669</v>
      </c>
      <c r="H253" s="250" t="str">
        <f>IFERROR(IF(C253="Active","",INDEX('Client Departures'!$G:$G,MATCH('Full Customer List'!$B253,'Client Departures'!$A:$A,0))),"Unclassified")</f>
        <v>Yes</v>
      </c>
      <c r="I253" s="191">
        <v>46054</v>
      </c>
      <c r="J253" s="191">
        <v>46173</v>
      </c>
      <c r="K253" s="187" t="str">
        <f>INDEX('Revenue by Customer'!K:K,MATCH('Full Customer List'!$B253,'Revenue by Customer'!$A:$A,0))</f>
        <v/>
      </c>
      <c r="L253" s="187" t="str">
        <f>INDEX('Revenue by Customer'!L:L,MATCH('Full Customer List'!$B253,'Revenue by Customer'!$A:$A,0))</f>
        <v/>
      </c>
      <c r="M253" s="187" t="str">
        <f>INDEX('Revenue by Customer'!M:M,MATCH('Full Customer List'!$B253,'Revenue by Customer'!$A:$A,0))</f>
        <v/>
      </c>
      <c r="N253" s="187" t="str">
        <f>INDEX('Revenue by Customer'!N:N,MATCH('Full Customer List'!$B253,'Revenue by Customer'!$A:$A,0))</f>
        <v/>
      </c>
      <c r="O253" s="187" t="str">
        <f>INDEX('Revenue by Customer'!O:O,MATCH('Full Customer List'!$B253,'Revenue by Customer'!$A:$A,0))</f>
        <v/>
      </c>
      <c r="P253" s="187" t="str">
        <f>INDEX('Revenue by Customer'!P:P,MATCH('Full Customer List'!$B253,'Revenue by Customer'!$A:$A,0))</f>
        <v/>
      </c>
      <c r="Q253" s="187" t="str">
        <f>INDEX('Revenue by Customer'!Q:Q,MATCH('Full Customer List'!$B253,'Revenue by Customer'!$A:$A,0))</f>
        <v/>
      </c>
      <c r="R253" s="187" t="str">
        <f>INDEX('Revenue by Customer'!R:R,MATCH('Full Customer List'!$B253,'Revenue by Customer'!$A:$A,0))</f>
        <v/>
      </c>
      <c r="S253" s="187" t="str">
        <f>INDEX('Revenue by Customer'!S:S,MATCH('Full Customer List'!$B253,'Revenue by Customer'!$A:$A,0))</f>
        <v/>
      </c>
      <c r="T253" s="187" t="str">
        <f>INDEX('Revenue by Customer'!T:T,MATCH('Full Customer List'!$B253,'Revenue by Customer'!$A:$A,0))</f>
        <v/>
      </c>
      <c r="U253" s="187" t="str">
        <f>INDEX('Revenue by Customer'!U:U,MATCH('Full Customer List'!$B253,'Revenue by Customer'!$A:$A,0))</f>
        <v/>
      </c>
      <c r="V253" s="187" t="str">
        <f>INDEX('Revenue by Customer'!V:V,MATCH('Full Customer List'!$B253,'Revenue by Customer'!$A:$A,0))</f>
        <v/>
      </c>
      <c r="W253" s="187" t="str">
        <f>INDEX('Revenue by Customer'!W:W,MATCH('Full Customer List'!$B253,'Revenue by Customer'!$A:$A,0))</f>
        <v/>
      </c>
      <c r="X253" s="187">
        <f>INDEX('Revenue by Customer'!X:X,MATCH('Full Customer List'!$B253,'Revenue by Customer'!$A:$A,0))</f>
        <v>263</v>
      </c>
      <c r="Y253" s="187">
        <f>INDEX('Revenue by Customer'!Y:Y,MATCH('Full Customer List'!$B253,'Revenue by Customer'!$A:$A,0))</f>
        <v>263</v>
      </c>
      <c r="Z253" s="187">
        <f>INDEX('Revenue by Customer'!Z:Z,MATCH('Full Customer List'!$B253,'Revenue by Customer'!$A:$A,0))</f>
        <v>263</v>
      </c>
      <c r="AA253" s="187">
        <f>INDEX('Revenue by Customer'!AA:AA,MATCH('Full Customer List'!$B253,'Revenue by Customer'!$A:$A,0))</f>
        <v>237.5</v>
      </c>
      <c r="AB253" s="187">
        <f>INDEX('Revenue by Customer'!AB:AB,MATCH('Full Customer List'!$B253,'Revenue by Customer'!$A:$A,0))</f>
        <v>310</v>
      </c>
      <c r="AC253" s="187" t="str">
        <f>INDEX('Revenue by Customer'!AC:AC,MATCH('Full Customer List'!$B253,'Revenue by Customer'!$A:$A,0))</f>
        <v/>
      </c>
    </row>
    <row r="254" spans="2:29" ht="12" customHeight="1">
      <c r="B254" s="171" t="s">
        <v>900</v>
      </c>
      <c r="C254" s="171" t="str">
        <f>INDEX('Customer List w Software'!$B:$B,MATCH('Full Customer List'!$B254,'Customer List w Software'!$A:$A,0))</f>
        <v>Active</v>
      </c>
      <c r="D254" s="171" t="str">
        <f>INDEX('Customer List w Software'!$C:$C,MATCH('Full Customer List'!$B254,'Customer List w Software'!$A:$A,0))</f>
        <v>STR owner</v>
      </c>
      <c r="E254" s="171" t="str">
        <f>INDEX('Customer List Mapping'!$C:$C,MATCH('Full Customer List'!D254,'Customer List Mapping'!$B:$B,0))</f>
        <v>STR Owner</v>
      </c>
      <c r="F254" s="187" t="str">
        <f>INDEX('Customer List w Software'!$K:$K,MATCH('Full Customer List'!$B254,'Customer List w Software'!$A:$A,0))</f>
        <v/>
      </c>
      <c r="G254" s="187">
        <f>INDEX('Revenue by Customer'!$I:$I,MATCH('Full Customer List'!$B254,'Revenue by Customer'!$A:$A,0))</f>
        <v>310</v>
      </c>
      <c r="H254" s="250" t="str">
        <f>IFERROR(IF(C254="Active","",INDEX('Client Departures'!$G:$G,MATCH('Full Customer List'!$B254,'Client Departures'!$A:$A,0))),"Unclassified")</f>
        <v/>
      </c>
      <c r="I254" s="191">
        <v>46113</v>
      </c>
      <c r="J254" s="191"/>
      <c r="K254" s="187" t="str">
        <f>INDEX('Revenue by Customer'!K:K,MATCH('Full Customer List'!$B254,'Revenue by Customer'!$A:$A,0))</f>
        <v/>
      </c>
      <c r="L254" s="187" t="str">
        <f>INDEX('Revenue by Customer'!L:L,MATCH('Full Customer List'!$B254,'Revenue by Customer'!$A:$A,0))</f>
        <v/>
      </c>
      <c r="M254" s="187" t="str">
        <f>INDEX('Revenue by Customer'!M:M,MATCH('Full Customer List'!$B254,'Revenue by Customer'!$A:$A,0))</f>
        <v/>
      </c>
      <c r="N254" s="187" t="str">
        <f>INDEX('Revenue by Customer'!N:N,MATCH('Full Customer List'!$B254,'Revenue by Customer'!$A:$A,0))</f>
        <v/>
      </c>
      <c r="O254" s="187" t="str">
        <f>INDEX('Revenue by Customer'!O:O,MATCH('Full Customer List'!$B254,'Revenue by Customer'!$A:$A,0))</f>
        <v/>
      </c>
      <c r="P254" s="187" t="str">
        <f>INDEX('Revenue by Customer'!P:P,MATCH('Full Customer List'!$B254,'Revenue by Customer'!$A:$A,0))</f>
        <v/>
      </c>
      <c r="Q254" s="187" t="str">
        <f>INDEX('Revenue by Customer'!Q:Q,MATCH('Full Customer List'!$B254,'Revenue by Customer'!$A:$A,0))</f>
        <v/>
      </c>
      <c r="R254" s="187" t="str">
        <f>INDEX('Revenue by Customer'!R:R,MATCH('Full Customer List'!$B254,'Revenue by Customer'!$A:$A,0))</f>
        <v/>
      </c>
      <c r="S254" s="187" t="str">
        <f>INDEX('Revenue by Customer'!S:S,MATCH('Full Customer List'!$B254,'Revenue by Customer'!$A:$A,0))</f>
        <v/>
      </c>
      <c r="T254" s="187" t="str">
        <f>INDEX('Revenue by Customer'!T:T,MATCH('Full Customer List'!$B254,'Revenue by Customer'!$A:$A,0))</f>
        <v/>
      </c>
      <c r="U254" s="187" t="str">
        <f>INDEX('Revenue by Customer'!U:U,MATCH('Full Customer List'!$B254,'Revenue by Customer'!$A:$A,0))</f>
        <v/>
      </c>
      <c r="V254" s="187" t="str">
        <f>INDEX('Revenue by Customer'!V:V,MATCH('Full Customer List'!$B254,'Revenue by Customer'!$A:$A,0))</f>
        <v/>
      </c>
      <c r="W254" s="187" t="str">
        <f>INDEX('Revenue by Customer'!W:W,MATCH('Full Customer List'!$B254,'Revenue by Customer'!$A:$A,0))</f>
        <v/>
      </c>
      <c r="X254" s="187" t="str">
        <f>INDEX('Revenue by Customer'!X:X,MATCH('Full Customer List'!$B254,'Revenue by Customer'!$A:$A,0))</f>
        <v/>
      </c>
      <c r="Y254" s="187" t="str">
        <f>INDEX('Revenue by Customer'!Y:Y,MATCH('Full Customer List'!$B254,'Revenue by Customer'!$A:$A,0))</f>
        <v/>
      </c>
      <c r="Z254" s="187">
        <f>INDEX('Revenue by Customer'!Z:Z,MATCH('Full Customer List'!$B254,'Revenue by Customer'!$A:$A,0))</f>
        <v>310</v>
      </c>
      <c r="AA254" s="187">
        <f>INDEX('Revenue by Customer'!AA:AA,MATCH('Full Customer List'!$B254,'Revenue by Customer'!$A:$A,0))</f>
        <v>310</v>
      </c>
      <c r="AB254" s="187">
        <f>INDEX('Revenue by Customer'!AB:AB,MATCH('Full Customer List'!$B254,'Revenue by Customer'!$A:$A,0))</f>
        <v>310</v>
      </c>
      <c r="AC254" s="187">
        <f>INDEX('Revenue by Customer'!AC:AC,MATCH('Full Customer List'!$B254,'Revenue by Customer'!$A:$A,0))</f>
        <v>310</v>
      </c>
    </row>
    <row r="255" spans="2:29" ht="12" customHeight="1">
      <c r="B255" s="171" t="s">
        <v>901</v>
      </c>
      <c r="C255" s="171" t="str">
        <f>INDEX('Customer List w Software'!$B:$B,MATCH('Full Customer List'!$B255,'Customer List w Software'!$A:$A,0))</f>
        <v>Active</v>
      </c>
      <c r="D255" s="171" t="str">
        <f>INDEX('Customer List w Software'!$C:$C,MATCH('Full Customer List'!$B255,'Customer List w Software'!$A:$A,0))</f>
        <v>Property manager</v>
      </c>
      <c r="E255" s="171" t="str">
        <f>INDEX('Customer List Mapping'!$C:$C,MATCH('Full Customer List'!D255,'Customer List Mapping'!$B:$B,0))</f>
        <v>Property Manager</v>
      </c>
      <c r="F255" s="187">
        <f>INDEX('Customer List w Software'!$K:$K,MATCH('Full Customer List'!$B255,'Customer List w Software'!$A:$A,0))</f>
        <v>4</v>
      </c>
      <c r="G255" s="187">
        <f>INDEX('Revenue by Customer'!$I:$I,MATCH('Full Customer List'!$B255,'Revenue by Customer'!$A:$A,0))</f>
        <v>614.5</v>
      </c>
      <c r="H255" s="250" t="str">
        <f>IFERROR(IF(C255="Active","",INDEX('Client Departures'!$G:$G,MATCH('Full Customer List'!$B255,'Client Departures'!$A:$A,0))),"Unclassified")</f>
        <v/>
      </c>
      <c r="I255" s="191">
        <v>46174</v>
      </c>
      <c r="J255" s="191"/>
      <c r="K255" s="187" t="str">
        <f>INDEX('Revenue by Customer'!K:K,MATCH('Full Customer List'!$B255,'Revenue by Customer'!$A:$A,0))</f>
        <v/>
      </c>
      <c r="L255" s="187" t="str">
        <f>INDEX('Revenue by Customer'!L:L,MATCH('Full Customer List'!$B255,'Revenue by Customer'!$A:$A,0))</f>
        <v/>
      </c>
      <c r="M255" s="187" t="str">
        <f>INDEX('Revenue by Customer'!M:M,MATCH('Full Customer List'!$B255,'Revenue by Customer'!$A:$A,0))</f>
        <v/>
      </c>
      <c r="N255" s="187" t="str">
        <f>INDEX('Revenue by Customer'!N:N,MATCH('Full Customer List'!$B255,'Revenue by Customer'!$A:$A,0))</f>
        <v/>
      </c>
      <c r="O255" s="187" t="str">
        <f>INDEX('Revenue by Customer'!O:O,MATCH('Full Customer List'!$B255,'Revenue by Customer'!$A:$A,0))</f>
        <v/>
      </c>
      <c r="P255" s="187" t="str">
        <f>INDEX('Revenue by Customer'!P:P,MATCH('Full Customer List'!$B255,'Revenue by Customer'!$A:$A,0))</f>
        <v/>
      </c>
      <c r="Q255" s="187" t="str">
        <f>INDEX('Revenue by Customer'!Q:Q,MATCH('Full Customer List'!$B255,'Revenue by Customer'!$A:$A,0))</f>
        <v/>
      </c>
      <c r="R255" s="187" t="str">
        <f>INDEX('Revenue by Customer'!R:R,MATCH('Full Customer List'!$B255,'Revenue by Customer'!$A:$A,0))</f>
        <v/>
      </c>
      <c r="S255" s="187" t="str">
        <f>INDEX('Revenue by Customer'!S:S,MATCH('Full Customer List'!$B255,'Revenue by Customer'!$A:$A,0))</f>
        <v/>
      </c>
      <c r="T255" s="187" t="str">
        <f>INDEX('Revenue by Customer'!T:T,MATCH('Full Customer List'!$B255,'Revenue by Customer'!$A:$A,0))</f>
        <v/>
      </c>
      <c r="U255" s="187" t="str">
        <f>INDEX('Revenue by Customer'!U:U,MATCH('Full Customer List'!$B255,'Revenue by Customer'!$A:$A,0))</f>
        <v/>
      </c>
      <c r="V255" s="187" t="str">
        <f>INDEX('Revenue by Customer'!V:V,MATCH('Full Customer List'!$B255,'Revenue by Customer'!$A:$A,0))</f>
        <v/>
      </c>
      <c r="W255" s="187" t="str">
        <f>INDEX('Revenue by Customer'!W:W,MATCH('Full Customer List'!$B255,'Revenue by Customer'!$A:$A,0))</f>
        <v/>
      </c>
      <c r="X255" s="187" t="str">
        <f>INDEX('Revenue by Customer'!X:X,MATCH('Full Customer List'!$B255,'Revenue by Customer'!$A:$A,0))</f>
        <v/>
      </c>
      <c r="Y255" s="187" t="str">
        <f>INDEX('Revenue by Customer'!Y:Y,MATCH('Full Customer List'!$B255,'Revenue by Customer'!$A:$A,0))</f>
        <v/>
      </c>
      <c r="Z255" s="187" t="str">
        <f>INDEX('Revenue by Customer'!Z:Z,MATCH('Full Customer List'!$B255,'Revenue by Customer'!$A:$A,0))</f>
        <v/>
      </c>
      <c r="AA255" s="187" t="str">
        <f>INDEX('Revenue by Customer'!AA:AA,MATCH('Full Customer List'!$B255,'Revenue by Customer'!$A:$A,0))</f>
        <v/>
      </c>
      <c r="AB255" s="187">
        <f>INDEX('Revenue by Customer'!AB:AB,MATCH('Full Customer List'!$B255,'Revenue by Customer'!$A:$A,0))</f>
        <v>811</v>
      </c>
      <c r="AC255" s="187">
        <f>INDEX('Revenue by Customer'!AC:AC,MATCH('Full Customer List'!$B255,'Revenue by Customer'!$A:$A,0))</f>
        <v>418</v>
      </c>
    </row>
    <row r="256" spans="2:29" ht="12" customHeight="1">
      <c r="B256" s="171" t="s">
        <v>903</v>
      </c>
      <c r="C256" s="171" t="str">
        <f>INDEX('Customer List w Software'!$B:$B,MATCH('Full Customer List'!$B256,'Customer List w Software'!$A:$A,0))</f>
        <v>Active</v>
      </c>
      <c r="D256" s="171" t="str">
        <f>INDEX('Customer List w Software'!$C:$C,MATCH('Full Customer List'!$B256,'Customer List w Software'!$A:$A,0))</f>
        <v>STR owner</v>
      </c>
      <c r="E256" s="171" t="str">
        <f>INDEX('Customer List Mapping'!$C:$C,MATCH('Full Customer List'!D256,'Customer List Mapping'!$B:$B,0))</f>
        <v>STR Owner</v>
      </c>
      <c r="F256" s="187">
        <f>INDEX('Customer List w Software'!$K:$K,MATCH('Full Customer List'!$B256,'Customer List w Software'!$A:$A,0))</f>
        <v>0</v>
      </c>
      <c r="G256" s="187">
        <f>INDEX('Revenue by Customer'!$I:$I,MATCH('Full Customer List'!$B256,'Revenue by Customer'!$A:$A,0))</f>
        <v>150</v>
      </c>
      <c r="H256" s="250" t="str">
        <f>IFERROR(IF(C256="Active","",INDEX('Client Departures'!$G:$G,MATCH('Full Customer List'!$B256,'Client Departures'!$A:$A,0))),"Unclassified")</f>
        <v/>
      </c>
      <c r="I256" s="191">
        <v>45992</v>
      </c>
      <c r="J256" s="191"/>
      <c r="K256" s="187" t="str">
        <f>INDEX('Revenue by Customer'!K:K,MATCH('Full Customer List'!$B256,'Revenue by Customer'!$A:$A,0))</f>
        <v/>
      </c>
      <c r="L256" s="187" t="str">
        <f>INDEX('Revenue by Customer'!L:L,MATCH('Full Customer List'!$B256,'Revenue by Customer'!$A:$A,0))</f>
        <v/>
      </c>
      <c r="M256" s="187" t="str">
        <f>INDEX('Revenue by Customer'!M:M,MATCH('Full Customer List'!$B256,'Revenue by Customer'!$A:$A,0))</f>
        <v/>
      </c>
      <c r="N256" s="187" t="str">
        <f>INDEX('Revenue by Customer'!N:N,MATCH('Full Customer List'!$B256,'Revenue by Customer'!$A:$A,0))</f>
        <v/>
      </c>
      <c r="O256" s="187" t="str">
        <f>INDEX('Revenue by Customer'!O:O,MATCH('Full Customer List'!$B256,'Revenue by Customer'!$A:$A,0))</f>
        <v/>
      </c>
      <c r="P256" s="187" t="str">
        <f>INDEX('Revenue by Customer'!P:P,MATCH('Full Customer List'!$B256,'Revenue by Customer'!$A:$A,0))</f>
        <v/>
      </c>
      <c r="Q256" s="187" t="str">
        <f>INDEX('Revenue by Customer'!Q:Q,MATCH('Full Customer List'!$B256,'Revenue by Customer'!$A:$A,0))</f>
        <v/>
      </c>
      <c r="R256" s="187" t="str">
        <f>INDEX('Revenue by Customer'!R:R,MATCH('Full Customer List'!$B256,'Revenue by Customer'!$A:$A,0))</f>
        <v/>
      </c>
      <c r="S256" s="187" t="str">
        <f>INDEX('Revenue by Customer'!S:S,MATCH('Full Customer List'!$B256,'Revenue by Customer'!$A:$A,0))</f>
        <v/>
      </c>
      <c r="T256" s="187" t="str">
        <f>INDEX('Revenue by Customer'!T:T,MATCH('Full Customer List'!$B256,'Revenue by Customer'!$A:$A,0))</f>
        <v/>
      </c>
      <c r="U256" s="187" t="str">
        <f>INDEX('Revenue by Customer'!U:U,MATCH('Full Customer List'!$B256,'Revenue by Customer'!$A:$A,0))</f>
        <v/>
      </c>
      <c r="V256" s="187">
        <f>INDEX('Revenue by Customer'!V:V,MATCH('Full Customer List'!$B256,'Revenue by Customer'!$A:$A,0))</f>
        <v>150</v>
      </c>
      <c r="W256" s="187">
        <f>INDEX('Revenue by Customer'!W:W,MATCH('Full Customer List'!$B256,'Revenue by Customer'!$A:$A,0))</f>
        <v>150</v>
      </c>
      <c r="X256" s="187">
        <f>INDEX('Revenue by Customer'!X:X,MATCH('Full Customer List'!$B256,'Revenue by Customer'!$A:$A,0))</f>
        <v>165</v>
      </c>
      <c r="Y256" s="187">
        <f>INDEX('Revenue by Customer'!Y:Y,MATCH('Full Customer List'!$B256,'Revenue by Customer'!$A:$A,0))</f>
        <v>150</v>
      </c>
      <c r="Z256" s="187">
        <f>INDEX('Revenue by Customer'!Z:Z,MATCH('Full Customer List'!$B256,'Revenue by Customer'!$A:$A,0))</f>
        <v>150</v>
      </c>
      <c r="AA256" s="187">
        <f>INDEX('Revenue by Customer'!AA:AA,MATCH('Full Customer List'!$B256,'Revenue by Customer'!$A:$A,0))</f>
        <v>150</v>
      </c>
      <c r="AB256" s="187">
        <f>INDEX('Revenue by Customer'!AB:AB,MATCH('Full Customer List'!$B256,'Revenue by Customer'!$A:$A,0))</f>
        <v>150</v>
      </c>
      <c r="AC256" s="187">
        <f>INDEX('Revenue by Customer'!AC:AC,MATCH('Full Customer List'!$B256,'Revenue by Customer'!$A:$A,0))</f>
        <v>150</v>
      </c>
    </row>
    <row r="257" spans="2:29" ht="12" customHeight="1">
      <c r="B257" s="171" t="s">
        <v>904</v>
      </c>
      <c r="C257" s="171" t="str">
        <f>INDEX('Customer List w Software'!$B:$B,MATCH('Full Customer List'!$B257,'Customer List w Software'!$A:$A,0))</f>
        <v>Active</v>
      </c>
      <c r="D257" s="171" t="str">
        <f>INDEX('Customer List w Software'!$C:$C,MATCH('Full Customer List'!$B257,'Customer List w Software'!$A:$A,0))</f>
        <v>Property manager</v>
      </c>
      <c r="E257" s="171" t="str">
        <f>INDEX('Customer List Mapping'!$C:$C,MATCH('Full Customer List'!D257,'Customer List Mapping'!$B:$B,0))</f>
        <v>Property Manager</v>
      </c>
      <c r="F257" s="187">
        <f>INDEX('Customer List w Software'!$K:$K,MATCH('Full Customer List'!$B257,'Customer List w Software'!$A:$A,0))</f>
        <v>3</v>
      </c>
      <c r="G257" s="187">
        <f>INDEX('Revenue by Customer'!$I:$I,MATCH('Full Customer List'!$B257,'Revenue by Customer'!$A:$A,0))</f>
        <v>603.25</v>
      </c>
      <c r="H257" s="250" t="str">
        <f>IFERROR(IF(C257="Active","",INDEX('Client Departures'!$G:$G,MATCH('Full Customer List'!$B257,'Client Departures'!$A:$A,0))),"Unclassified")</f>
        <v/>
      </c>
      <c r="I257" s="191">
        <v>46174</v>
      </c>
      <c r="J257" s="191"/>
      <c r="K257" s="187" t="str">
        <f>INDEX('Revenue by Customer'!K:K,MATCH('Full Customer List'!$B257,'Revenue by Customer'!$A:$A,0))</f>
        <v/>
      </c>
      <c r="L257" s="187" t="str">
        <f>INDEX('Revenue by Customer'!L:L,MATCH('Full Customer List'!$B257,'Revenue by Customer'!$A:$A,0))</f>
        <v/>
      </c>
      <c r="M257" s="187" t="str">
        <f>INDEX('Revenue by Customer'!M:M,MATCH('Full Customer List'!$B257,'Revenue by Customer'!$A:$A,0))</f>
        <v/>
      </c>
      <c r="N257" s="187" t="str">
        <f>INDEX('Revenue by Customer'!N:N,MATCH('Full Customer List'!$B257,'Revenue by Customer'!$A:$A,0))</f>
        <v/>
      </c>
      <c r="O257" s="187" t="str">
        <f>INDEX('Revenue by Customer'!O:O,MATCH('Full Customer List'!$B257,'Revenue by Customer'!$A:$A,0))</f>
        <v/>
      </c>
      <c r="P257" s="187" t="str">
        <f>INDEX('Revenue by Customer'!P:P,MATCH('Full Customer List'!$B257,'Revenue by Customer'!$A:$A,0))</f>
        <v/>
      </c>
      <c r="Q257" s="187" t="str">
        <f>INDEX('Revenue by Customer'!Q:Q,MATCH('Full Customer List'!$B257,'Revenue by Customer'!$A:$A,0))</f>
        <v/>
      </c>
      <c r="R257" s="187" t="str">
        <f>INDEX('Revenue by Customer'!R:R,MATCH('Full Customer List'!$B257,'Revenue by Customer'!$A:$A,0))</f>
        <v/>
      </c>
      <c r="S257" s="187" t="str">
        <f>INDEX('Revenue by Customer'!S:S,MATCH('Full Customer List'!$B257,'Revenue by Customer'!$A:$A,0))</f>
        <v/>
      </c>
      <c r="T257" s="187" t="str">
        <f>INDEX('Revenue by Customer'!T:T,MATCH('Full Customer List'!$B257,'Revenue by Customer'!$A:$A,0))</f>
        <v/>
      </c>
      <c r="U257" s="187" t="str">
        <f>INDEX('Revenue by Customer'!U:U,MATCH('Full Customer List'!$B257,'Revenue by Customer'!$A:$A,0))</f>
        <v/>
      </c>
      <c r="V257" s="187" t="str">
        <f>INDEX('Revenue by Customer'!V:V,MATCH('Full Customer List'!$B257,'Revenue by Customer'!$A:$A,0))</f>
        <v/>
      </c>
      <c r="W257" s="187" t="str">
        <f>INDEX('Revenue by Customer'!W:W,MATCH('Full Customer List'!$B257,'Revenue by Customer'!$A:$A,0))</f>
        <v/>
      </c>
      <c r="X257" s="187" t="str">
        <f>INDEX('Revenue by Customer'!X:X,MATCH('Full Customer List'!$B257,'Revenue by Customer'!$A:$A,0))</f>
        <v/>
      </c>
      <c r="Y257" s="187" t="str">
        <f>INDEX('Revenue by Customer'!Y:Y,MATCH('Full Customer List'!$B257,'Revenue by Customer'!$A:$A,0))</f>
        <v/>
      </c>
      <c r="Z257" s="187" t="str">
        <f>INDEX('Revenue by Customer'!Z:Z,MATCH('Full Customer List'!$B257,'Revenue by Customer'!$A:$A,0))</f>
        <v/>
      </c>
      <c r="AA257" s="187" t="str">
        <f>INDEX('Revenue by Customer'!AA:AA,MATCH('Full Customer List'!$B257,'Revenue by Customer'!$A:$A,0))</f>
        <v/>
      </c>
      <c r="AB257" s="187">
        <f>INDEX('Revenue by Customer'!AB:AB,MATCH('Full Customer List'!$B257,'Revenue by Customer'!$A:$A,0))</f>
        <v>833.5</v>
      </c>
      <c r="AC257" s="187">
        <f>INDEX('Revenue by Customer'!AC:AC,MATCH('Full Customer List'!$B257,'Revenue by Customer'!$A:$A,0))</f>
        <v>373</v>
      </c>
    </row>
    <row r="258" spans="2:29" ht="12" customHeight="1">
      <c r="B258" s="171" t="s">
        <v>905</v>
      </c>
      <c r="C258" s="171" t="str">
        <f>INDEX('Customer List w Software'!$B:$B,MATCH('Full Customer List'!$B258,'Customer List w Software'!$A:$A,0))</f>
        <v>Former client</v>
      </c>
      <c r="D258" s="171" t="str">
        <f>INDEX('Customer List w Software'!$C:$C,MATCH('Full Customer List'!$B258,'Customer List w Software'!$A:$A,0))</f>
        <v>Tax client only</v>
      </c>
      <c r="E258" s="171" t="str">
        <f>INDEX('Customer List Mapping'!$C:$C,MATCH('Full Customer List'!D258,'Customer List Mapping'!$B:$B,0))</f>
        <v>Tax-Only Client</v>
      </c>
      <c r="F258" s="187" t="str">
        <f>INDEX('Customer List w Software'!$K:$K,MATCH('Full Customer List'!$B258,'Customer List w Software'!$A:$A,0))</f>
        <v/>
      </c>
      <c r="G258" s="187">
        <f>INDEX('Revenue by Customer'!$I:$I,MATCH('Full Customer List'!$B258,'Revenue by Customer'!$A:$A,0))</f>
        <v>1125</v>
      </c>
      <c r="H258" s="250" t="str">
        <f>IFERROR(IF(C258="Active","",INDEX('Client Departures'!$G:$G,MATCH('Full Customer List'!$B258,'Client Departures'!$A:$A,0))),"Unclassified")</f>
        <v>Unclassified</v>
      </c>
      <c r="I258" s="191">
        <v>46023</v>
      </c>
      <c r="J258" s="191"/>
      <c r="K258" s="187" t="str">
        <f>INDEX('Revenue by Customer'!K:K,MATCH('Full Customer List'!$B258,'Revenue by Customer'!$A:$A,0))</f>
        <v/>
      </c>
      <c r="L258" s="187" t="str">
        <f>INDEX('Revenue by Customer'!L:L,MATCH('Full Customer List'!$B258,'Revenue by Customer'!$A:$A,0))</f>
        <v/>
      </c>
      <c r="M258" s="187" t="str">
        <f>INDEX('Revenue by Customer'!M:M,MATCH('Full Customer List'!$B258,'Revenue by Customer'!$A:$A,0))</f>
        <v/>
      </c>
      <c r="N258" s="187" t="str">
        <f>INDEX('Revenue by Customer'!N:N,MATCH('Full Customer List'!$B258,'Revenue by Customer'!$A:$A,0))</f>
        <v/>
      </c>
      <c r="O258" s="187" t="str">
        <f>INDEX('Revenue by Customer'!O:O,MATCH('Full Customer List'!$B258,'Revenue by Customer'!$A:$A,0))</f>
        <v/>
      </c>
      <c r="P258" s="187" t="str">
        <f>INDEX('Revenue by Customer'!P:P,MATCH('Full Customer List'!$B258,'Revenue by Customer'!$A:$A,0))</f>
        <v/>
      </c>
      <c r="Q258" s="187" t="str">
        <f>INDEX('Revenue by Customer'!Q:Q,MATCH('Full Customer List'!$B258,'Revenue by Customer'!$A:$A,0))</f>
        <v/>
      </c>
      <c r="R258" s="187" t="str">
        <f>INDEX('Revenue by Customer'!R:R,MATCH('Full Customer List'!$B258,'Revenue by Customer'!$A:$A,0))</f>
        <v/>
      </c>
      <c r="S258" s="187" t="str">
        <f>INDEX('Revenue by Customer'!S:S,MATCH('Full Customer List'!$B258,'Revenue by Customer'!$A:$A,0))</f>
        <v/>
      </c>
      <c r="T258" s="187" t="str">
        <f>INDEX('Revenue by Customer'!T:T,MATCH('Full Customer List'!$B258,'Revenue by Customer'!$A:$A,0))</f>
        <v/>
      </c>
      <c r="U258" s="187" t="str">
        <f>INDEX('Revenue by Customer'!U:U,MATCH('Full Customer List'!$B258,'Revenue by Customer'!$A:$A,0))</f>
        <v/>
      </c>
      <c r="V258" s="187" t="str">
        <f>INDEX('Revenue by Customer'!V:V,MATCH('Full Customer List'!$B258,'Revenue by Customer'!$A:$A,0))</f>
        <v/>
      </c>
      <c r="W258" s="187">
        <f>INDEX('Revenue by Customer'!W:W,MATCH('Full Customer List'!$B258,'Revenue by Customer'!$A:$A,0))</f>
        <v>1125</v>
      </c>
      <c r="X258" s="187" t="str">
        <f>INDEX('Revenue by Customer'!X:X,MATCH('Full Customer List'!$B258,'Revenue by Customer'!$A:$A,0))</f>
        <v/>
      </c>
      <c r="Y258" s="187" t="str">
        <f>INDEX('Revenue by Customer'!Y:Y,MATCH('Full Customer List'!$B258,'Revenue by Customer'!$A:$A,0))</f>
        <v/>
      </c>
      <c r="Z258" s="187" t="str">
        <f>INDEX('Revenue by Customer'!Z:Z,MATCH('Full Customer List'!$B258,'Revenue by Customer'!$A:$A,0))</f>
        <v/>
      </c>
      <c r="AA258" s="187" t="str">
        <f>INDEX('Revenue by Customer'!AA:AA,MATCH('Full Customer List'!$B258,'Revenue by Customer'!$A:$A,0))</f>
        <v/>
      </c>
      <c r="AB258" s="187" t="str">
        <f>INDEX('Revenue by Customer'!AB:AB,MATCH('Full Customer List'!$B258,'Revenue by Customer'!$A:$A,0))</f>
        <v/>
      </c>
      <c r="AC258" s="187" t="str">
        <f>INDEX('Revenue by Customer'!AC:AC,MATCH('Full Customer List'!$B258,'Revenue by Customer'!$A:$A,0))</f>
        <v/>
      </c>
    </row>
    <row r="259" spans="2:29" ht="12" customHeight="1">
      <c r="B259" s="171" t="s">
        <v>906</v>
      </c>
      <c r="C259" s="217" t="s">
        <v>497</v>
      </c>
      <c r="D259" s="171" t="str">
        <f>INDEX('Customer List w Software'!$C:$C,MATCH('Full Customer List'!$B259,'Customer List w Software'!$A:$A,0))</f>
        <v>Property manager</v>
      </c>
      <c r="E259" s="171" t="str">
        <f>INDEX('Customer List Mapping'!$C:$C,MATCH('Full Customer List'!D259,'Customer List Mapping'!$B:$B,0))</f>
        <v>Property Manager</v>
      </c>
      <c r="F259" s="187">
        <f>INDEX('Customer List w Software'!$K:$K,MATCH('Full Customer List'!$B259,'Customer List w Software'!$A:$A,0))</f>
        <v>6</v>
      </c>
      <c r="G259" s="187">
        <f>INDEX('Revenue by Customer'!$I:$I,MATCH('Full Customer List'!$B259,'Revenue by Customer'!$A:$A,0))</f>
        <v>1101</v>
      </c>
      <c r="H259" s="250" t="str">
        <f>IFERROR(IF(C259="Active","",INDEX('Client Departures'!$G:$G,MATCH('Full Customer List'!$B259,'Client Departures'!$A:$A,0))),"Unclassified")</f>
        <v/>
      </c>
      <c r="I259" s="191">
        <v>46204</v>
      </c>
      <c r="J259" s="191"/>
      <c r="K259" s="187" t="str">
        <f>INDEX('Revenue by Customer'!K:K,MATCH('Full Customer List'!$B259,'Revenue by Customer'!$A:$A,0))</f>
        <v/>
      </c>
      <c r="L259" s="187" t="str">
        <f>INDEX('Revenue by Customer'!L:L,MATCH('Full Customer List'!$B259,'Revenue by Customer'!$A:$A,0))</f>
        <v/>
      </c>
      <c r="M259" s="187" t="str">
        <f>INDEX('Revenue by Customer'!M:M,MATCH('Full Customer List'!$B259,'Revenue by Customer'!$A:$A,0))</f>
        <v/>
      </c>
      <c r="N259" s="187" t="str">
        <f>INDEX('Revenue by Customer'!N:N,MATCH('Full Customer List'!$B259,'Revenue by Customer'!$A:$A,0))</f>
        <v/>
      </c>
      <c r="O259" s="187" t="str">
        <f>INDEX('Revenue by Customer'!O:O,MATCH('Full Customer List'!$B259,'Revenue by Customer'!$A:$A,0))</f>
        <v/>
      </c>
      <c r="P259" s="187" t="str">
        <f>INDEX('Revenue by Customer'!P:P,MATCH('Full Customer List'!$B259,'Revenue by Customer'!$A:$A,0))</f>
        <v/>
      </c>
      <c r="Q259" s="187" t="str">
        <f>INDEX('Revenue by Customer'!Q:Q,MATCH('Full Customer List'!$B259,'Revenue by Customer'!$A:$A,0))</f>
        <v/>
      </c>
      <c r="R259" s="187" t="str">
        <f>INDEX('Revenue by Customer'!R:R,MATCH('Full Customer List'!$B259,'Revenue by Customer'!$A:$A,0))</f>
        <v/>
      </c>
      <c r="S259" s="187" t="str">
        <f>INDEX('Revenue by Customer'!S:S,MATCH('Full Customer List'!$B259,'Revenue by Customer'!$A:$A,0))</f>
        <v/>
      </c>
      <c r="T259" s="187" t="str">
        <f>INDEX('Revenue by Customer'!T:T,MATCH('Full Customer List'!$B259,'Revenue by Customer'!$A:$A,0))</f>
        <v/>
      </c>
      <c r="U259" s="187" t="str">
        <f>INDEX('Revenue by Customer'!U:U,MATCH('Full Customer List'!$B259,'Revenue by Customer'!$A:$A,0))</f>
        <v/>
      </c>
      <c r="V259" s="187" t="str">
        <f>INDEX('Revenue by Customer'!V:V,MATCH('Full Customer List'!$B259,'Revenue by Customer'!$A:$A,0))</f>
        <v/>
      </c>
      <c r="W259" s="187" t="str">
        <f>INDEX('Revenue by Customer'!W:W,MATCH('Full Customer List'!$B259,'Revenue by Customer'!$A:$A,0))</f>
        <v/>
      </c>
      <c r="X259" s="187" t="str">
        <f>INDEX('Revenue by Customer'!X:X,MATCH('Full Customer List'!$B259,'Revenue by Customer'!$A:$A,0))</f>
        <v/>
      </c>
      <c r="Y259" s="187" t="str">
        <f>INDEX('Revenue by Customer'!Y:Y,MATCH('Full Customer List'!$B259,'Revenue by Customer'!$A:$A,0))</f>
        <v/>
      </c>
      <c r="Z259" s="187" t="str">
        <f>INDEX('Revenue by Customer'!Z:Z,MATCH('Full Customer List'!$B259,'Revenue by Customer'!$A:$A,0))</f>
        <v/>
      </c>
      <c r="AA259" s="187" t="str">
        <f>INDEX('Revenue by Customer'!AA:AA,MATCH('Full Customer List'!$B259,'Revenue by Customer'!$A:$A,0))</f>
        <v/>
      </c>
      <c r="AB259" s="187" t="str">
        <f>INDEX('Revenue by Customer'!AB:AB,MATCH('Full Customer List'!$B259,'Revenue by Customer'!$A:$A,0))</f>
        <v/>
      </c>
      <c r="AC259" s="187">
        <f>INDEX('Revenue by Customer'!AC:AC,MATCH('Full Customer List'!$B259,'Revenue by Customer'!$A:$A,0))</f>
        <v>1101</v>
      </c>
    </row>
    <row r="260" spans="2:29" ht="12" customHeight="1">
      <c r="B260" s="171" t="s">
        <v>907</v>
      </c>
      <c r="C260" s="171" t="str">
        <f>INDEX('Customer List w Software'!$B:$B,MATCH('Full Customer List'!$B260,'Customer List w Software'!$A:$A,0))</f>
        <v>Former client</v>
      </c>
      <c r="D260" s="171" t="str">
        <f>INDEX('Customer List w Software'!$C:$C,MATCH('Full Customer List'!$B260,'Customer List w Software'!$A:$A,0))</f>
        <v>Tax client only</v>
      </c>
      <c r="E260" s="171" t="str">
        <f>INDEX('Customer List Mapping'!$C:$C,MATCH('Full Customer List'!D260,'Customer List Mapping'!$B:$B,0))</f>
        <v>Tax-Only Client</v>
      </c>
      <c r="F260" s="187" t="str">
        <f>INDEX('Customer List w Software'!$K:$K,MATCH('Full Customer List'!$B260,'Customer List w Software'!$A:$A,0))</f>
        <v/>
      </c>
      <c r="G260" s="187">
        <f>INDEX('Revenue by Customer'!$I:$I,MATCH('Full Customer List'!$B260,'Revenue by Customer'!$A:$A,0))</f>
        <v>1080</v>
      </c>
      <c r="H260" s="250" t="str">
        <f>IFERROR(IF(C260="Active","",INDEX('Client Departures'!$G:$G,MATCH('Full Customer List'!$B260,'Client Departures'!$A:$A,0))),"Unclassified")</f>
        <v>Unclassified</v>
      </c>
      <c r="I260" s="191">
        <v>45901</v>
      </c>
      <c r="J260" s="191"/>
      <c r="K260" s="187" t="str">
        <f>INDEX('Revenue by Customer'!K:K,MATCH('Full Customer List'!$B260,'Revenue by Customer'!$A:$A,0))</f>
        <v/>
      </c>
      <c r="L260" s="187" t="str">
        <f>INDEX('Revenue by Customer'!L:L,MATCH('Full Customer List'!$B260,'Revenue by Customer'!$A:$A,0))</f>
        <v/>
      </c>
      <c r="M260" s="187" t="str">
        <f>INDEX('Revenue by Customer'!M:M,MATCH('Full Customer List'!$B260,'Revenue by Customer'!$A:$A,0))</f>
        <v/>
      </c>
      <c r="N260" s="187" t="str">
        <f>INDEX('Revenue by Customer'!N:N,MATCH('Full Customer List'!$B260,'Revenue by Customer'!$A:$A,0))</f>
        <v/>
      </c>
      <c r="O260" s="187" t="str">
        <f>INDEX('Revenue by Customer'!O:O,MATCH('Full Customer List'!$B260,'Revenue by Customer'!$A:$A,0))</f>
        <v/>
      </c>
      <c r="P260" s="187" t="str">
        <f>INDEX('Revenue by Customer'!P:P,MATCH('Full Customer List'!$B260,'Revenue by Customer'!$A:$A,0))</f>
        <v/>
      </c>
      <c r="Q260" s="187" t="str">
        <f>INDEX('Revenue by Customer'!Q:Q,MATCH('Full Customer List'!$B260,'Revenue by Customer'!$A:$A,0))</f>
        <v/>
      </c>
      <c r="R260" s="187" t="str">
        <f>INDEX('Revenue by Customer'!R:R,MATCH('Full Customer List'!$B260,'Revenue by Customer'!$A:$A,0))</f>
        <v/>
      </c>
      <c r="S260" s="187">
        <f>INDEX('Revenue by Customer'!S:S,MATCH('Full Customer List'!$B260,'Revenue by Customer'!$A:$A,0))</f>
        <v>1080</v>
      </c>
      <c r="T260" s="187" t="str">
        <f>INDEX('Revenue by Customer'!T:T,MATCH('Full Customer List'!$B260,'Revenue by Customer'!$A:$A,0))</f>
        <v/>
      </c>
      <c r="U260" s="187" t="str">
        <f>INDEX('Revenue by Customer'!U:U,MATCH('Full Customer List'!$B260,'Revenue by Customer'!$A:$A,0))</f>
        <v/>
      </c>
      <c r="V260" s="187" t="str">
        <f>INDEX('Revenue by Customer'!V:V,MATCH('Full Customer List'!$B260,'Revenue by Customer'!$A:$A,0))</f>
        <v/>
      </c>
      <c r="W260" s="187" t="str">
        <f>INDEX('Revenue by Customer'!W:W,MATCH('Full Customer List'!$B260,'Revenue by Customer'!$A:$A,0))</f>
        <v/>
      </c>
      <c r="X260" s="187" t="str">
        <f>INDEX('Revenue by Customer'!X:X,MATCH('Full Customer List'!$B260,'Revenue by Customer'!$A:$A,0))</f>
        <v/>
      </c>
      <c r="Y260" s="187" t="str">
        <f>INDEX('Revenue by Customer'!Y:Y,MATCH('Full Customer List'!$B260,'Revenue by Customer'!$A:$A,0))</f>
        <v/>
      </c>
      <c r="Z260" s="187" t="str">
        <f>INDEX('Revenue by Customer'!Z:Z,MATCH('Full Customer List'!$B260,'Revenue by Customer'!$A:$A,0))</f>
        <v/>
      </c>
      <c r="AA260" s="187" t="str">
        <f>INDEX('Revenue by Customer'!AA:AA,MATCH('Full Customer List'!$B260,'Revenue by Customer'!$A:$A,0))</f>
        <v/>
      </c>
      <c r="AB260" s="187" t="str">
        <f>INDEX('Revenue by Customer'!AB:AB,MATCH('Full Customer List'!$B260,'Revenue by Customer'!$A:$A,0))</f>
        <v/>
      </c>
      <c r="AC260" s="187" t="str">
        <f>INDEX('Revenue by Customer'!AC:AC,MATCH('Full Customer List'!$B260,'Revenue by Customer'!$A:$A,0))</f>
        <v/>
      </c>
    </row>
    <row r="261" spans="2:29" ht="12" customHeight="1">
      <c r="B261" s="171" t="s">
        <v>908</v>
      </c>
      <c r="C261" s="171" t="str">
        <f>INDEX('Customer List w Software'!$B:$B,MATCH('Full Customer List'!$B261,'Customer List w Software'!$A:$A,0))</f>
        <v>Active</v>
      </c>
      <c r="D261" s="171" t="str">
        <f>INDEX('Customer List w Software'!$C:$C,MATCH('Full Customer List'!$B261,'Customer List w Software'!$A:$A,0))</f>
        <v>STR owner</v>
      </c>
      <c r="E261" s="171" t="str">
        <f>INDEX('Customer List Mapping'!$C:$C,MATCH('Full Customer List'!D261,'Customer List Mapping'!$B:$B,0))</f>
        <v>STR Owner</v>
      </c>
      <c r="F261" s="187" t="str">
        <f>INDEX('Customer List w Software'!$K:$K,MATCH('Full Customer List'!$B261,'Customer List w Software'!$A:$A,0))</f>
        <v/>
      </c>
      <c r="G261" s="187">
        <f>INDEX('Revenue by Customer'!$I:$I,MATCH('Full Customer List'!$B261,'Revenue by Customer'!$A:$A,0))</f>
        <v>260</v>
      </c>
      <c r="H261" s="250" t="str">
        <f>IFERROR(IF(C261="Active","",INDEX('Client Departures'!$G:$G,MATCH('Full Customer List'!$B261,'Client Departures'!$A:$A,0))),"Unclassified")</f>
        <v/>
      </c>
      <c r="I261" s="191">
        <v>46113</v>
      </c>
      <c r="J261" s="191"/>
      <c r="K261" s="187" t="str">
        <f>INDEX('Revenue by Customer'!K:K,MATCH('Full Customer List'!$B261,'Revenue by Customer'!$A:$A,0))</f>
        <v/>
      </c>
      <c r="L261" s="187" t="str">
        <f>INDEX('Revenue by Customer'!L:L,MATCH('Full Customer List'!$B261,'Revenue by Customer'!$A:$A,0))</f>
        <v/>
      </c>
      <c r="M261" s="187" t="str">
        <f>INDEX('Revenue by Customer'!M:M,MATCH('Full Customer List'!$B261,'Revenue by Customer'!$A:$A,0))</f>
        <v/>
      </c>
      <c r="N261" s="187" t="str">
        <f>INDEX('Revenue by Customer'!N:N,MATCH('Full Customer List'!$B261,'Revenue by Customer'!$A:$A,0))</f>
        <v/>
      </c>
      <c r="O261" s="187" t="str">
        <f>INDEX('Revenue by Customer'!O:O,MATCH('Full Customer List'!$B261,'Revenue by Customer'!$A:$A,0))</f>
        <v/>
      </c>
      <c r="P261" s="187" t="str">
        <f>INDEX('Revenue by Customer'!P:P,MATCH('Full Customer List'!$B261,'Revenue by Customer'!$A:$A,0))</f>
        <v/>
      </c>
      <c r="Q261" s="187" t="str">
        <f>INDEX('Revenue by Customer'!Q:Q,MATCH('Full Customer List'!$B261,'Revenue by Customer'!$A:$A,0))</f>
        <v/>
      </c>
      <c r="R261" s="187" t="str">
        <f>INDEX('Revenue by Customer'!R:R,MATCH('Full Customer List'!$B261,'Revenue by Customer'!$A:$A,0))</f>
        <v/>
      </c>
      <c r="S261" s="187" t="str">
        <f>INDEX('Revenue by Customer'!S:S,MATCH('Full Customer List'!$B261,'Revenue by Customer'!$A:$A,0))</f>
        <v/>
      </c>
      <c r="T261" s="187" t="str">
        <f>INDEX('Revenue by Customer'!T:T,MATCH('Full Customer List'!$B261,'Revenue by Customer'!$A:$A,0))</f>
        <v/>
      </c>
      <c r="U261" s="187" t="str">
        <f>INDEX('Revenue by Customer'!U:U,MATCH('Full Customer List'!$B261,'Revenue by Customer'!$A:$A,0))</f>
        <v/>
      </c>
      <c r="V261" s="187" t="str">
        <f>INDEX('Revenue by Customer'!V:V,MATCH('Full Customer List'!$B261,'Revenue by Customer'!$A:$A,0))</f>
        <v/>
      </c>
      <c r="W261" s="187" t="str">
        <f>INDEX('Revenue by Customer'!W:W,MATCH('Full Customer List'!$B261,'Revenue by Customer'!$A:$A,0))</f>
        <v/>
      </c>
      <c r="X261" s="187" t="str">
        <f>INDEX('Revenue by Customer'!X:X,MATCH('Full Customer List'!$B261,'Revenue by Customer'!$A:$A,0))</f>
        <v/>
      </c>
      <c r="Y261" s="187" t="str">
        <f>INDEX('Revenue by Customer'!Y:Y,MATCH('Full Customer List'!$B261,'Revenue by Customer'!$A:$A,0))</f>
        <v/>
      </c>
      <c r="Z261" s="187">
        <f>INDEX('Revenue by Customer'!Z:Z,MATCH('Full Customer List'!$B261,'Revenue by Customer'!$A:$A,0))</f>
        <v>260</v>
      </c>
      <c r="AA261" s="187">
        <f>INDEX('Revenue by Customer'!AA:AA,MATCH('Full Customer List'!$B261,'Revenue by Customer'!$A:$A,0))</f>
        <v>260</v>
      </c>
      <c r="AB261" s="187">
        <f>INDEX('Revenue by Customer'!AB:AB,MATCH('Full Customer List'!$B261,'Revenue by Customer'!$A:$A,0))</f>
        <v>260</v>
      </c>
      <c r="AC261" s="187">
        <f>INDEX('Revenue by Customer'!AC:AC,MATCH('Full Customer List'!$B261,'Revenue by Customer'!$A:$A,0))</f>
        <v>260</v>
      </c>
    </row>
    <row r="262" spans="2:29" ht="12" customHeight="1">
      <c r="B262" s="171" t="s">
        <v>909</v>
      </c>
      <c r="C262" s="171" t="str">
        <f>INDEX('Customer List w Software'!$B:$B,MATCH('Full Customer List'!$B262,'Customer List w Software'!$A:$A,0))</f>
        <v>Former client</v>
      </c>
      <c r="D262" s="171" t="str">
        <f>INDEX('Customer List w Software'!$C:$C,MATCH('Full Customer List'!$B262,'Customer List w Software'!$A:$A,0))</f>
        <v>Small business</v>
      </c>
      <c r="E262" s="171" t="str">
        <f>INDEX('Customer List Mapping'!$C:$C,MATCH('Full Customer List'!D262,'Customer List Mapping'!$B:$B,0))</f>
        <v>Small Business</v>
      </c>
      <c r="F262" s="187" t="str">
        <f>INDEX('Customer List w Software'!$K:$K,MATCH('Full Customer List'!$B262,'Customer List w Software'!$A:$A,0))</f>
        <v/>
      </c>
      <c r="G262" s="187">
        <f>INDEX('Revenue by Customer'!$I:$I,MATCH('Full Customer List'!$B262,'Revenue by Customer'!$A:$A,0))</f>
        <v>148.33333333333334</v>
      </c>
      <c r="H262" s="250" t="str">
        <f>IFERROR(IF(C262="Active","",INDEX('Client Departures'!$G:$G,MATCH('Full Customer List'!$B262,'Client Departures'!$A:$A,0))),"Unclassified")</f>
        <v>Yes</v>
      </c>
      <c r="I262" s="191">
        <v>44317</v>
      </c>
      <c r="J262" s="191">
        <v>46022</v>
      </c>
      <c r="K262" s="187">
        <f>INDEX('Revenue by Customer'!K:K,MATCH('Full Customer List'!$B262,'Revenue by Customer'!$A:$A,0))</f>
        <v>290</v>
      </c>
      <c r="L262" s="187">
        <f>INDEX('Revenue by Customer'!L:L,MATCH('Full Customer List'!$B262,'Revenue by Customer'!$A:$A,0))</f>
        <v>185</v>
      </c>
      <c r="M262" s="187">
        <f>INDEX('Revenue by Customer'!M:M,MATCH('Full Customer List'!$B262,'Revenue by Customer'!$A:$A,0))</f>
        <v>185</v>
      </c>
      <c r="N262" s="187">
        <f>INDEX('Revenue by Customer'!N:N,MATCH('Full Customer List'!$B262,'Revenue by Customer'!$A:$A,0))</f>
        <v>185</v>
      </c>
      <c r="O262" s="187">
        <f>INDEX('Revenue by Customer'!O:O,MATCH('Full Customer List'!$B262,'Revenue by Customer'!$A:$A,0))</f>
        <v>185</v>
      </c>
      <c r="P262" s="187">
        <f>INDEX('Revenue by Customer'!P:P,MATCH('Full Customer List'!$B262,'Revenue by Customer'!$A:$A,0))</f>
        <v>185</v>
      </c>
      <c r="Q262" s="187">
        <f>INDEX('Revenue by Customer'!Q:Q,MATCH('Full Customer List'!$B262,'Revenue by Customer'!$A:$A,0))</f>
        <v>185</v>
      </c>
      <c r="R262" s="187">
        <f>INDEX('Revenue by Customer'!R:R,MATCH('Full Customer List'!$B262,'Revenue by Customer'!$A:$A,0))</f>
        <v>185</v>
      </c>
      <c r="S262" s="187">
        <f>INDEX('Revenue by Customer'!S:S,MATCH('Full Customer List'!$B262,'Revenue by Customer'!$A:$A,0))</f>
        <v>185</v>
      </c>
      <c r="T262" s="187">
        <f>INDEX('Revenue by Customer'!T:T,MATCH('Full Customer List'!$B262,'Revenue by Customer'!$A:$A,0))</f>
        <v>185</v>
      </c>
      <c r="U262" s="187">
        <f>INDEX('Revenue by Customer'!U:U,MATCH('Full Customer List'!$B262,'Revenue by Customer'!$A:$A,0))</f>
        <v>185</v>
      </c>
      <c r="V262" s="187">
        <f>INDEX('Revenue by Customer'!V:V,MATCH('Full Customer List'!$B262,'Revenue by Customer'!$A:$A,0))</f>
        <v>185</v>
      </c>
      <c r="W262" s="187" t="str">
        <f>INDEX('Revenue by Customer'!W:W,MATCH('Full Customer List'!$B262,'Revenue by Customer'!$A:$A,0))</f>
        <v/>
      </c>
      <c r="X262" s="187">
        <f>INDEX('Revenue by Customer'!X:X,MATCH('Full Customer List'!$B262,'Revenue by Customer'!$A:$A,0))</f>
        <v>75</v>
      </c>
      <c r="Y262" s="187" t="str">
        <f>INDEX('Revenue by Customer'!Y:Y,MATCH('Full Customer List'!$B262,'Revenue by Customer'!$A:$A,0))</f>
        <v/>
      </c>
      <c r="Z262" s="187" t="str">
        <f>INDEX('Revenue by Customer'!Z:Z,MATCH('Full Customer List'!$B262,'Revenue by Customer'!$A:$A,0))</f>
        <v/>
      </c>
      <c r="AA262" s="187" t="str">
        <f>INDEX('Revenue by Customer'!AA:AA,MATCH('Full Customer List'!$B262,'Revenue by Customer'!$A:$A,0))</f>
        <v/>
      </c>
      <c r="AB262" s="187" t="str">
        <f>INDEX('Revenue by Customer'!AB:AB,MATCH('Full Customer List'!$B262,'Revenue by Customer'!$A:$A,0))</f>
        <v/>
      </c>
      <c r="AC262" s="187" t="str">
        <f>INDEX('Revenue by Customer'!AC:AC,MATCH('Full Customer List'!$B262,'Revenue by Customer'!$A:$A,0))</f>
        <v/>
      </c>
    </row>
    <row r="263" spans="2:29" ht="12" customHeight="1">
      <c r="B263" s="171" t="s">
        <v>910</v>
      </c>
      <c r="C263" s="171" t="str">
        <f>INDEX('Customer List w Software'!$B:$B,MATCH('Full Customer List'!$B263,'Customer List w Software'!$A:$A,0))</f>
        <v>Former client</v>
      </c>
      <c r="D263" s="171" t="str">
        <f>INDEX('Customer List w Software'!$C:$C,MATCH('Full Customer List'!$B263,'Customer List w Software'!$A:$A,0))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87" t="str">
        <f>INDEX('Customer List w Software'!$K:$K,MATCH('Full Customer List'!$B263,'Customer List w Software'!$A:$A,0))</f>
        <v/>
      </c>
      <c r="G263" s="187">
        <f>INDEX('Revenue by Customer'!$I:$I,MATCH('Full Customer List'!$B263,'Revenue by Customer'!$A:$A,0))</f>
        <v>490</v>
      </c>
      <c r="H263" s="250" t="str">
        <f>IFERROR(IF(C263="Active","",INDEX('Client Departures'!$G:$G,MATCH('Full Customer List'!$B263,'Client Departures'!$A:$A,0))),"Unclassified")</f>
        <v>No</v>
      </c>
      <c r="I263" s="191">
        <v>45870</v>
      </c>
      <c r="J263" s="191">
        <v>45930</v>
      </c>
      <c r="K263" s="187" t="str">
        <f>INDEX('Revenue by Customer'!K:K,MATCH('Full Customer List'!$B263,'Revenue by Customer'!$A:$A,0))</f>
        <v/>
      </c>
      <c r="L263" s="187" t="str">
        <f>INDEX('Revenue by Customer'!L:L,MATCH('Full Customer List'!$B263,'Revenue by Customer'!$A:$A,0))</f>
        <v/>
      </c>
      <c r="M263" s="187" t="str">
        <f>INDEX('Revenue by Customer'!M:M,MATCH('Full Customer List'!$B263,'Revenue by Customer'!$A:$A,0))</f>
        <v/>
      </c>
      <c r="N263" s="187" t="str">
        <f>INDEX('Revenue by Customer'!N:N,MATCH('Full Customer List'!$B263,'Revenue by Customer'!$A:$A,0))</f>
        <v/>
      </c>
      <c r="O263" s="187" t="str">
        <f>INDEX('Revenue by Customer'!O:O,MATCH('Full Customer List'!$B263,'Revenue by Customer'!$A:$A,0))</f>
        <v/>
      </c>
      <c r="P263" s="187" t="str">
        <f>INDEX('Revenue by Customer'!P:P,MATCH('Full Customer List'!$B263,'Revenue by Customer'!$A:$A,0))</f>
        <v/>
      </c>
      <c r="Q263" s="187" t="str">
        <f>INDEX('Revenue by Customer'!Q:Q,MATCH('Full Customer List'!$B263,'Revenue by Customer'!$A:$A,0))</f>
        <v/>
      </c>
      <c r="R263" s="187">
        <f>INDEX('Revenue by Customer'!R:R,MATCH('Full Customer List'!$B263,'Revenue by Customer'!$A:$A,0))</f>
        <v>640</v>
      </c>
      <c r="S263" s="187">
        <f>INDEX('Revenue by Customer'!S:S,MATCH('Full Customer List'!$B263,'Revenue by Customer'!$A:$A,0))</f>
        <v>340</v>
      </c>
      <c r="T263" s="187" t="str">
        <f>INDEX('Revenue by Customer'!T:T,MATCH('Full Customer List'!$B263,'Revenue by Customer'!$A:$A,0))</f>
        <v/>
      </c>
      <c r="U263" s="187" t="str">
        <f>INDEX('Revenue by Customer'!U:U,MATCH('Full Customer List'!$B263,'Revenue by Customer'!$A:$A,0))</f>
        <v/>
      </c>
      <c r="V263" s="187" t="str">
        <f>INDEX('Revenue by Customer'!V:V,MATCH('Full Customer List'!$B263,'Revenue by Customer'!$A:$A,0))</f>
        <v/>
      </c>
      <c r="W263" s="187" t="str">
        <f>INDEX('Revenue by Customer'!W:W,MATCH('Full Customer List'!$B263,'Revenue by Customer'!$A:$A,0))</f>
        <v/>
      </c>
      <c r="X263" s="187" t="str">
        <f>INDEX('Revenue by Customer'!X:X,MATCH('Full Customer List'!$B263,'Revenue by Customer'!$A:$A,0))</f>
        <v/>
      </c>
      <c r="Y263" s="187" t="str">
        <f>INDEX('Revenue by Customer'!Y:Y,MATCH('Full Customer List'!$B263,'Revenue by Customer'!$A:$A,0))</f>
        <v/>
      </c>
      <c r="Z263" s="187" t="str">
        <f>INDEX('Revenue by Customer'!Z:Z,MATCH('Full Customer List'!$B263,'Revenue by Customer'!$A:$A,0))</f>
        <v/>
      </c>
      <c r="AA263" s="187" t="str">
        <f>INDEX('Revenue by Customer'!AA:AA,MATCH('Full Customer List'!$B263,'Revenue by Customer'!$A:$A,0))</f>
        <v/>
      </c>
      <c r="AB263" s="187" t="str">
        <f>INDEX('Revenue by Customer'!AB:AB,MATCH('Full Customer List'!$B263,'Revenue by Customer'!$A:$A,0))</f>
        <v/>
      </c>
      <c r="AC263" s="187" t="str">
        <f>INDEX('Revenue by Customer'!AC:AC,MATCH('Full Customer List'!$B263,'Revenue by Customer'!$A:$A,0))</f>
        <v/>
      </c>
    </row>
    <row r="264" spans="2:29" ht="12" customHeight="1">
      <c r="B264" s="171" t="s">
        <v>911</v>
      </c>
      <c r="C264" s="217" t="s">
        <v>497</v>
      </c>
      <c r="D264" s="171" t="str">
        <f>INDEX('Customer List w Software'!$C:$C,MATCH('Full Customer List'!$B264,'Customer List w Software'!$A:$A,0))</f>
        <v>STR owner</v>
      </c>
      <c r="E264" s="171" t="str">
        <f>INDEX('Customer List Mapping'!$C:$C,MATCH('Full Customer List'!D264,'Customer List Mapping'!$B:$B,0))</f>
        <v>STR Owner</v>
      </c>
      <c r="F264" s="187" t="str">
        <f>INDEX('Customer List w Software'!$K:$K,MATCH('Full Customer List'!$B264,'Customer List w Software'!$A:$A,0))</f>
        <v/>
      </c>
      <c r="G264" s="187">
        <f>INDEX('Revenue by Customer'!$I:$I,MATCH('Full Customer List'!$B264,'Revenue by Customer'!$A:$A,0))</f>
        <v>975</v>
      </c>
      <c r="H264" s="250" t="str">
        <f>IFERROR(IF(C264="Active","",INDEX('Client Departures'!$G:$G,MATCH('Full Customer List'!$B264,'Client Departures'!$A:$A,0))),"Unclassified")</f>
        <v/>
      </c>
      <c r="I264" s="191">
        <v>46054</v>
      </c>
      <c r="J264" s="191"/>
      <c r="K264" s="187" t="str">
        <f>INDEX('Revenue by Customer'!K:K,MATCH('Full Customer List'!$B264,'Revenue by Customer'!$A:$A,0))</f>
        <v/>
      </c>
      <c r="L264" s="187" t="str">
        <f>INDEX('Revenue by Customer'!L:L,MATCH('Full Customer List'!$B264,'Revenue by Customer'!$A:$A,0))</f>
        <v/>
      </c>
      <c r="M264" s="187" t="str">
        <f>INDEX('Revenue by Customer'!M:M,MATCH('Full Customer List'!$B264,'Revenue by Customer'!$A:$A,0))</f>
        <v/>
      </c>
      <c r="N264" s="187" t="str">
        <f>INDEX('Revenue by Customer'!N:N,MATCH('Full Customer List'!$B264,'Revenue by Customer'!$A:$A,0))</f>
        <v/>
      </c>
      <c r="O264" s="187" t="str">
        <f>INDEX('Revenue by Customer'!O:O,MATCH('Full Customer List'!$B264,'Revenue by Customer'!$A:$A,0))</f>
        <v/>
      </c>
      <c r="P264" s="187" t="str">
        <f>INDEX('Revenue by Customer'!P:P,MATCH('Full Customer List'!$B264,'Revenue by Customer'!$A:$A,0))</f>
        <v/>
      </c>
      <c r="Q264" s="187" t="str">
        <f>INDEX('Revenue by Customer'!Q:Q,MATCH('Full Customer List'!$B264,'Revenue by Customer'!$A:$A,0))</f>
        <v/>
      </c>
      <c r="R264" s="187" t="str">
        <f>INDEX('Revenue by Customer'!R:R,MATCH('Full Customer List'!$B264,'Revenue by Customer'!$A:$A,0))</f>
        <v/>
      </c>
      <c r="S264" s="187" t="str">
        <f>INDEX('Revenue by Customer'!S:S,MATCH('Full Customer List'!$B264,'Revenue by Customer'!$A:$A,0))</f>
        <v/>
      </c>
      <c r="T264" s="187" t="str">
        <f>INDEX('Revenue by Customer'!T:T,MATCH('Full Customer List'!$B264,'Revenue by Customer'!$A:$A,0))</f>
        <v/>
      </c>
      <c r="U264" s="187" t="str">
        <f>INDEX('Revenue by Customer'!U:U,MATCH('Full Customer List'!$B264,'Revenue by Customer'!$A:$A,0))</f>
        <v/>
      </c>
      <c r="V264" s="187" t="str">
        <f>INDEX('Revenue by Customer'!V:V,MATCH('Full Customer List'!$B264,'Revenue by Customer'!$A:$A,0))</f>
        <v/>
      </c>
      <c r="W264" s="187" t="str">
        <f>INDEX('Revenue by Customer'!W:W,MATCH('Full Customer List'!$B264,'Revenue by Customer'!$A:$A,0))</f>
        <v/>
      </c>
      <c r="X264" s="187">
        <f>INDEX('Revenue by Customer'!X:X,MATCH('Full Customer List'!$B264,'Revenue by Customer'!$A:$A,0))</f>
        <v>975</v>
      </c>
      <c r="Y264" s="187" t="str">
        <f>INDEX('Revenue by Customer'!Y:Y,MATCH('Full Customer List'!$B264,'Revenue by Customer'!$A:$A,0))</f>
        <v/>
      </c>
      <c r="Z264" s="187" t="str">
        <f>INDEX('Revenue by Customer'!Z:Z,MATCH('Full Customer List'!$B264,'Revenue by Customer'!$A:$A,0))</f>
        <v/>
      </c>
      <c r="AA264" s="187" t="str">
        <f>INDEX('Revenue by Customer'!AA:AA,MATCH('Full Customer List'!$B264,'Revenue by Customer'!$A:$A,0))</f>
        <v/>
      </c>
      <c r="AB264" s="187" t="str">
        <f>INDEX('Revenue by Customer'!AB:AB,MATCH('Full Customer List'!$B264,'Revenue by Customer'!$A:$A,0))</f>
        <v/>
      </c>
      <c r="AC264" s="187" t="str">
        <f>INDEX('Revenue by Customer'!AC:AC,MATCH('Full Customer List'!$B264,'Revenue by Customer'!$A:$A,0))</f>
        <v/>
      </c>
    </row>
    <row r="265" spans="2:29" ht="12" customHeight="1">
      <c r="B265" s="171" t="s">
        <v>912</v>
      </c>
      <c r="C265" s="217" t="s">
        <v>497</v>
      </c>
      <c r="D265" s="171" t="str">
        <f>INDEX('Customer List w Software'!$C:$C,MATCH('Full Customer List'!$B265,'Customer List w Software'!$A:$A,0))</f>
        <v>Tax client only</v>
      </c>
      <c r="E265" s="171" t="str">
        <f>INDEX('Customer List Mapping'!$C:$C,MATCH('Full Customer List'!D265,'Customer List Mapping'!$B:$B,0))</f>
        <v>Tax-Only Client</v>
      </c>
      <c r="F265" s="187" t="str">
        <f>INDEX('Customer List w Software'!$K:$K,MATCH('Full Customer List'!$B265,'Customer List w Software'!$A:$A,0))</f>
        <v/>
      </c>
      <c r="G265" s="187">
        <f>INDEX('Revenue by Customer'!$I:$I,MATCH('Full Customer List'!$B265,'Revenue by Customer'!$A:$A,0))</f>
        <v>975</v>
      </c>
      <c r="H265" s="250" t="str">
        <f>IFERROR(IF(C265="Active","",INDEX('Client Departures'!$G:$G,MATCH('Full Customer List'!$B265,'Client Departures'!$A:$A,0))),"Unclassified")</f>
        <v/>
      </c>
      <c r="I265" s="191">
        <v>46054</v>
      </c>
      <c r="J265" s="191"/>
      <c r="K265" s="187" t="str">
        <f>INDEX('Revenue by Customer'!K:K,MATCH('Full Customer List'!$B265,'Revenue by Customer'!$A:$A,0))</f>
        <v/>
      </c>
      <c r="L265" s="187" t="str">
        <f>INDEX('Revenue by Customer'!L:L,MATCH('Full Customer List'!$B265,'Revenue by Customer'!$A:$A,0))</f>
        <v/>
      </c>
      <c r="M265" s="187" t="str">
        <f>INDEX('Revenue by Customer'!M:M,MATCH('Full Customer List'!$B265,'Revenue by Customer'!$A:$A,0))</f>
        <v/>
      </c>
      <c r="N265" s="187" t="str">
        <f>INDEX('Revenue by Customer'!N:N,MATCH('Full Customer List'!$B265,'Revenue by Customer'!$A:$A,0))</f>
        <v/>
      </c>
      <c r="O265" s="187" t="str">
        <f>INDEX('Revenue by Customer'!O:O,MATCH('Full Customer List'!$B265,'Revenue by Customer'!$A:$A,0))</f>
        <v/>
      </c>
      <c r="P265" s="187" t="str">
        <f>INDEX('Revenue by Customer'!P:P,MATCH('Full Customer List'!$B265,'Revenue by Customer'!$A:$A,0))</f>
        <v/>
      </c>
      <c r="Q265" s="187" t="str">
        <f>INDEX('Revenue by Customer'!Q:Q,MATCH('Full Customer List'!$B265,'Revenue by Customer'!$A:$A,0))</f>
        <v/>
      </c>
      <c r="R265" s="187" t="str">
        <f>INDEX('Revenue by Customer'!R:R,MATCH('Full Customer List'!$B265,'Revenue by Customer'!$A:$A,0))</f>
        <v/>
      </c>
      <c r="S265" s="187" t="str">
        <f>INDEX('Revenue by Customer'!S:S,MATCH('Full Customer List'!$B265,'Revenue by Customer'!$A:$A,0))</f>
        <v/>
      </c>
      <c r="T265" s="187" t="str">
        <f>INDEX('Revenue by Customer'!T:T,MATCH('Full Customer List'!$B265,'Revenue by Customer'!$A:$A,0))</f>
        <v/>
      </c>
      <c r="U265" s="187" t="str">
        <f>INDEX('Revenue by Customer'!U:U,MATCH('Full Customer List'!$B265,'Revenue by Customer'!$A:$A,0))</f>
        <v/>
      </c>
      <c r="V265" s="187" t="str">
        <f>INDEX('Revenue by Customer'!V:V,MATCH('Full Customer List'!$B265,'Revenue by Customer'!$A:$A,0))</f>
        <v/>
      </c>
      <c r="W265" s="187" t="str">
        <f>INDEX('Revenue by Customer'!W:W,MATCH('Full Customer List'!$B265,'Revenue by Customer'!$A:$A,0))</f>
        <v/>
      </c>
      <c r="X265" s="187">
        <f>INDEX('Revenue by Customer'!X:X,MATCH('Full Customer List'!$B265,'Revenue by Customer'!$A:$A,0))</f>
        <v>975</v>
      </c>
      <c r="Y265" s="187" t="str">
        <f>INDEX('Revenue by Customer'!Y:Y,MATCH('Full Customer List'!$B265,'Revenue by Customer'!$A:$A,0))</f>
        <v/>
      </c>
      <c r="Z265" s="187" t="str">
        <f>INDEX('Revenue by Customer'!Z:Z,MATCH('Full Customer List'!$B265,'Revenue by Customer'!$A:$A,0))</f>
        <v/>
      </c>
      <c r="AA265" s="187" t="str">
        <f>INDEX('Revenue by Customer'!AA:AA,MATCH('Full Customer List'!$B265,'Revenue by Customer'!$A:$A,0))</f>
        <v/>
      </c>
      <c r="AB265" s="187" t="str">
        <f>INDEX('Revenue by Customer'!AB:AB,MATCH('Full Customer List'!$B265,'Revenue by Customer'!$A:$A,0))</f>
        <v/>
      </c>
      <c r="AC265" s="187" t="str">
        <f>INDEX('Revenue by Customer'!AC:AC,MATCH('Full Customer List'!$B265,'Revenue by Customer'!$A:$A,0))</f>
        <v/>
      </c>
    </row>
    <row r="266" spans="2:29" ht="12" customHeight="1">
      <c r="B266" s="171" t="s">
        <v>913</v>
      </c>
      <c r="C266" s="171" t="str">
        <f>INDEX('Customer List w Software'!$B:$B,MATCH('Full Customer List'!$B266,'Customer List w Software'!$A:$A,0))</f>
        <v>Former client</v>
      </c>
      <c r="D266" s="171" t="str">
        <f>INDEX('Customer List w Software'!$C:$C,MATCH('Full Customer List'!$B266,'Customer List w Software'!$A:$A,0))</f>
        <v>Small business</v>
      </c>
      <c r="E266" s="171" t="str">
        <f>INDEX('Customer List Mapping'!$C:$C,MATCH('Full Customer List'!D266,'Customer List Mapping'!$B:$B,0))</f>
        <v>Small Business</v>
      </c>
      <c r="F266" s="187" t="str">
        <f>INDEX('Customer List w Software'!$K:$K,MATCH('Full Customer List'!$B266,'Customer List w Software'!$A:$A,0))</f>
        <v/>
      </c>
      <c r="G266" s="187">
        <f>INDEX('Revenue by Customer'!$I:$I,MATCH('Full Customer List'!$B266,'Revenue by Customer'!$A:$A,0))</f>
        <v>65.5</v>
      </c>
      <c r="H266" s="250" t="str">
        <f>IFERROR(IF(C266="Active","",INDEX('Client Departures'!$G:$G,MATCH('Full Customer List'!$B266,'Client Departures'!$A:$A,0))),"Unclassified")</f>
        <v>Yes</v>
      </c>
      <c r="I266" s="191">
        <v>44682</v>
      </c>
      <c r="J266" s="191">
        <v>46112</v>
      </c>
      <c r="K266" s="187">
        <f>INDEX('Revenue by Customer'!K:K,MATCH('Full Customer List'!$B266,'Revenue by Customer'!$A:$A,0))</f>
        <v>100</v>
      </c>
      <c r="L266" s="187">
        <f>INDEX('Revenue by Customer'!L:L,MATCH('Full Customer List'!$B266,'Revenue by Customer'!$A:$A,0))</f>
        <v>55</v>
      </c>
      <c r="M266" s="187">
        <f>INDEX('Revenue by Customer'!M:M,MATCH('Full Customer List'!$B266,'Revenue by Customer'!$A:$A,0))</f>
        <v>55</v>
      </c>
      <c r="N266" s="187">
        <f>INDEX('Revenue by Customer'!N:N,MATCH('Full Customer List'!$B266,'Revenue by Customer'!$A:$A,0))</f>
        <v>55</v>
      </c>
      <c r="O266" s="187">
        <f>INDEX('Revenue by Customer'!O:O,MATCH('Full Customer List'!$B266,'Revenue by Customer'!$A:$A,0))</f>
        <v>290</v>
      </c>
      <c r="P266" s="187">
        <f>INDEX('Revenue by Customer'!P:P,MATCH('Full Customer List'!$B266,'Revenue by Customer'!$A:$A,0))</f>
        <v>290</v>
      </c>
      <c r="Q266" s="187">
        <f>INDEX('Revenue by Customer'!Q:Q,MATCH('Full Customer List'!$B266,'Revenue by Customer'!$A:$A,0))</f>
        <v>290</v>
      </c>
      <c r="R266" s="187">
        <f>INDEX('Revenue by Customer'!R:R,MATCH('Full Customer List'!$B266,'Revenue by Customer'!$A:$A,0))</f>
        <v>290</v>
      </c>
      <c r="S266" s="187">
        <f>INDEX('Revenue by Customer'!S:S,MATCH('Full Customer List'!$B266,'Revenue by Customer'!$A:$A,0))</f>
        <v>290</v>
      </c>
      <c r="T266" s="187">
        <f>INDEX('Revenue by Customer'!T:T,MATCH('Full Customer List'!$B266,'Revenue by Customer'!$A:$A,0))</f>
        <v>60</v>
      </c>
      <c r="U266" s="187">
        <f>INDEX('Revenue by Customer'!U:U,MATCH('Full Customer List'!$B266,'Revenue by Customer'!$A:$A,0))</f>
        <v>60</v>
      </c>
      <c r="V266" s="187">
        <f>INDEX('Revenue by Customer'!V:V,MATCH('Full Customer List'!$B266,'Revenue by Customer'!$A:$A,0))</f>
        <v>60</v>
      </c>
      <c r="W266" s="187">
        <f>INDEX('Revenue by Customer'!W:W,MATCH('Full Customer List'!$B266,'Revenue by Customer'!$A:$A,0))</f>
        <v>60</v>
      </c>
      <c r="X266" s="187">
        <f>INDEX('Revenue by Customer'!X:X,MATCH('Full Customer List'!$B266,'Revenue by Customer'!$A:$A,0))</f>
        <v>76.5</v>
      </c>
      <c r="Y266" s="187">
        <f>INDEX('Revenue by Customer'!Y:Y,MATCH('Full Customer List'!$B266,'Revenue by Customer'!$A:$A,0))</f>
        <v>60</v>
      </c>
      <c r="Z266" s="187" t="str">
        <f>INDEX('Revenue by Customer'!Z:Z,MATCH('Full Customer List'!$B266,'Revenue by Customer'!$A:$A,0))</f>
        <v/>
      </c>
      <c r="AA266" s="187" t="str">
        <f>INDEX('Revenue by Customer'!AA:AA,MATCH('Full Customer List'!$B266,'Revenue by Customer'!$A:$A,0))</f>
        <v/>
      </c>
      <c r="AB266" s="187" t="str">
        <f>INDEX('Revenue by Customer'!AB:AB,MATCH('Full Customer List'!$B266,'Revenue by Customer'!$A:$A,0))</f>
        <v/>
      </c>
      <c r="AC266" s="187" t="str">
        <f>INDEX('Revenue by Customer'!AC:AC,MATCH('Full Customer List'!$B266,'Revenue by Customer'!$A:$A,0))</f>
        <v/>
      </c>
    </row>
    <row r="267" spans="2:29" ht="12" customHeight="1">
      <c r="B267" s="171" t="s">
        <v>915</v>
      </c>
      <c r="C267" s="171" t="str">
        <f>INDEX('Customer List w Software'!$B:$B,MATCH('Full Customer List'!$B267,'Customer List w Software'!$A:$A,0))</f>
        <v>Former client</v>
      </c>
      <c r="D267" s="171" t="str">
        <f>INDEX('Customer List w Software'!$C:$C,MATCH('Full Customer List'!$B267,'Customer List w Software'!$A:$A,0))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87" t="str">
        <f>INDEX('Customer List w Software'!$K:$K,MATCH('Full Customer List'!$B267,'Customer List w Software'!$A:$A,0))</f>
        <v/>
      </c>
      <c r="G267" s="187">
        <f>INDEX('Revenue by Customer'!$I:$I,MATCH('Full Customer List'!$B267,'Revenue by Customer'!$A:$A,0))</f>
        <v>450</v>
      </c>
      <c r="H267" s="250" t="str">
        <f>IFERROR(IF(C267="Active","",INDEX('Client Departures'!$G:$G,MATCH('Full Customer List'!$B267,'Client Departures'!$A:$A,0))),"Unclassified")</f>
        <v>Yes</v>
      </c>
      <c r="I267" s="191">
        <v>45536</v>
      </c>
      <c r="J267" s="191">
        <v>45930</v>
      </c>
      <c r="K267" s="187">
        <f>INDEX('Revenue by Customer'!K:K,MATCH('Full Customer List'!$B267,'Revenue by Customer'!$A:$A,0))</f>
        <v>450</v>
      </c>
      <c r="L267" s="187">
        <f>INDEX('Revenue by Customer'!L:L,MATCH('Full Customer List'!$B267,'Revenue by Customer'!$A:$A,0))</f>
        <v>450</v>
      </c>
      <c r="M267" s="187">
        <f>INDEX('Revenue by Customer'!M:M,MATCH('Full Customer List'!$B267,'Revenue by Customer'!$A:$A,0))</f>
        <v>450</v>
      </c>
      <c r="N267" s="187">
        <f>INDEX('Revenue by Customer'!N:N,MATCH('Full Customer List'!$B267,'Revenue by Customer'!$A:$A,0))</f>
        <v>450</v>
      </c>
      <c r="O267" s="187">
        <f>INDEX('Revenue by Customer'!O:O,MATCH('Full Customer List'!$B267,'Revenue by Customer'!$A:$A,0))</f>
        <v>450</v>
      </c>
      <c r="P267" s="187">
        <f>INDEX('Revenue by Customer'!P:P,MATCH('Full Customer List'!$B267,'Revenue by Customer'!$A:$A,0))</f>
        <v>450</v>
      </c>
      <c r="Q267" s="187">
        <f>INDEX('Revenue by Customer'!Q:Q,MATCH('Full Customer List'!$B267,'Revenue by Customer'!$A:$A,0))</f>
        <v>450</v>
      </c>
      <c r="R267" s="187">
        <f>INDEX('Revenue by Customer'!R:R,MATCH('Full Customer List'!$B267,'Revenue by Customer'!$A:$A,0))</f>
        <v>450</v>
      </c>
      <c r="S267" s="187">
        <f>INDEX('Revenue by Customer'!S:S,MATCH('Full Customer List'!$B267,'Revenue by Customer'!$A:$A,0))</f>
        <v>450</v>
      </c>
      <c r="T267" s="187" t="str">
        <f>INDEX('Revenue by Customer'!T:T,MATCH('Full Customer List'!$B267,'Revenue by Customer'!$A:$A,0))</f>
        <v/>
      </c>
      <c r="U267" s="187" t="str">
        <f>INDEX('Revenue by Customer'!U:U,MATCH('Full Customer List'!$B267,'Revenue by Customer'!$A:$A,0))</f>
        <v/>
      </c>
      <c r="V267" s="187" t="str">
        <f>INDEX('Revenue by Customer'!V:V,MATCH('Full Customer List'!$B267,'Revenue by Customer'!$A:$A,0))</f>
        <v/>
      </c>
      <c r="W267" s="187" t="str">
        <f>INDEX('Revenue by Customer'!W:W,MATCH('Full Customer List'!$B267,'Revenue by Customer'!$A:$A,0))</f>
        <v/>
      </c>
      <c r="X267" s="187" t="str">
        <f>INDEX('Revenue by Customer'!X:X,MATCH('Full Customer List'!$B267,'Revenue by Customer'!$A:$A,0))</f>
        <v/>
      </c>
      <c r="Y267" s="187" t="str">
        <f>INDEX('Revenue by Customer'!Y:Y,MATCH('Full Customer List'!$B267,'Revenue by Customer'!$A:$A,0))</f>
        <v/>
      </c>
      <c r="Z267" s="187" t="str">
        <f>INDEX('Revenue by Customer'!Z:Z,MATCH('Full Customer List'!$B267,'Revenue by Customer'!$A:$A,0))</f>
        <v/>
      </c>
      <c r="AA267" s="187" t="str">
        <f>INDEX('Revenue by Customer'!AA:AA,MATCH('Full Customer List'!$B267,'Revenue by Customer'!$A:$A,0))</f>
        <v/>
      </c>
      <c r="AB267" s="187" t="str">
        <f>INDEX('Revenue by Customer'!AB:AB,MATCH('Full Customer List'!$B267,'Revenue by Customer'!$A:$A,0))</f>
        <v/>
      </c>
      <c r="AC267" s="187" t="str">
        <f>INDEX('Revenue by Customer'!AC:AC,MATCH('Full Customer List'!$B267,'Revenue by Customer'!$A:$A,0))</f>
        <v/>
      </c>
    </row>
    <row r="268" spans="2:29" ht="12" customHeight="1">
      <c r="B268" s="171" t="s">
        <v>916</v>
      </c>
      <c r="C268" s="171" t="str">
        <f>INDEX('Customer List w Software'!$B:$B,MATCH('Full Customer List'!$B268,'Customer List w Software'!$A:$A,0))</f>
        <v>Former client</v>
      </c>
      <c r="D268" s="171" t="str">
        <f>INDEX('Customer List w Software'!$C:$C,MATCH('Full Customer List'!$B268,'Customer List w Software'!$A:$A,0))</f>
        <v>Tax client only</v>
      </c>
      <c r="E268" s="171" t="str">
        <f>INDEX('Customer List Mapping'!$C:$C,MATCH('Full Customer List'!D268,'Customer List Mapping'!$B:$B,0))</f>
        <v>Tax-Only Client</v>
      </c>
      <c r="F268" s="187">
        <f>INDEX('Customer List w Software'!$K:$K,MATCH('Full Customer List'!$B268,'Customer List w Software'!$A:$A,0))</f>
        <v>5</v>
      </c>
      <c r="G268" s="187">
        <f>INDEX('Revenue by Customer'!$I:$I,MATCH('Full Customer List'!$B268,'Revenue by Customer'!$A:$A,0))</f>
        <v>425</v>
      </c>
      <c r="H268" s="250" t="str">
        <f>IFERROR(IF(C268="Active","",INDEX('Client Departures'!$G:$G,MATCH('Full Customer List'!$B268,'Client Departures'!$A:$A,0))),"Unclassified")</f>
        <v>Unclassified</v>
      </c>
      <c r="I268" s="191">
        <v>45383</v>
      </c>
      <c r="J268" s="191">
        <v>45930</v>
      </c>
      <c r="K268" s="187">
        <f>INDEX('Revenue by Customer'!K:K,MATCH('Full Customer List'!$B268,'Revenue by Customer'!$A:$A,0))</f>
        <v>485</v>
      </c>
      <c r="L268" s="187">
        <f>INDEX('Revenue by Customer'!L:L,MATCH('Full Customer List'!$B268,'Revenue by Customer'!$A:$A,0))</f>
        <v>395</v>
      </c>
      <c r="M268" s="187">
        <f>INDEX('Revenue by Customer'!M:M,MATCH('Full Customer List'!$B268,'Revenue by Customer'!$A:$A,0))</f>
        <v>395</v>
      </c>
      <c r="N268" s="187">
        <f>INDEX('Revenue by Customer'!N:N,MATCH('Full Customer List'!$B268,'Revenue by Customer'!$A:$A,0))</f>
        <v>400</v>
      </c>
      <c r="O268" s="187">
        <f>INDEX('Revenue by Customer'!O:O,MATCH('Full Customer List'!$B268,'Revenue by Customer'!$A:$A,0))</f>
        <v>400</v>
      </c>
      <c r="P268" s="187">
        <f>INDEX('Revenue by Customer'!P:P,MATCH('Full Customer List'!$B268,'Revenue by Customer'!$A:$A,0))</f>
        <v>400</v>
      </c>
      <c r="Q268" s="187">
        <f>INDEX('Revenue by Customer'!Q:Q,MATCH('Full Customer List'!$B268,'Revenue by Customer'!$A:$A,0))</f>
        <v>400</v>
      </c>
      <c r="R268" s="187">
        <f>INDEX('Revenue by Customer'!R:R,MATCH('Full Customer List'!$B268,'Revenue by Customer'!$A:$A,0))</f>
        <v>400</v>
      </c>
      <c r="S268" s="187">
        <f>INDEX('Revenue by Customer'!S:S,MATCH('Full Customer List'!$B268,'Revenue by Customer'!$A:$A,0))</f>
        <v>475</v>
      </c>
      <c r="T268" s="187" t="str">
        <f>INDEX('Revenue by Customer'!T:T,MATCH('Full Customer List'!$B268,'Revenue by Customer'!$A:$A,0))</f>
        <v/>
      </c>
      <c r="U268" s="187" t="str">
        <f>INDEX('Revenue by Customer'!U:U,MATCH('Full Customer List'!$B268,'Revenue by Customer'!$A:$A,0))</f>
        <v/>
      </c>
      <c r="V268" s="187" t="str">
        <f>INDEX('Revenue by Customer'!V:V,MATCH('Full Customer List'!$B268,'Revenue by Customer'!$A:$A,0))</f>
        <v/>
      </c>
      <c r="W268" s="187" t="str">
        <f>INDEX('Revenue by Customer'!W:W,MATCH('Full Customer List'!$B268,'Revenue by Customer'!$A:$A,0))</f>
        <v/>
      </c>
      <c r="X268" s="187" t="str">
        <f>INDEX('Revenue by Customer'!X:X,MATCH('Full Customer List'!$B268,'Revenue by Customer'!$A:$A,0))</f>
        <v/>
      </c>
      <c r="Y268" s="187" t="str">
        <f>INDEX('Revenue by Customer'!Y:Y,MATCH('Full Customer List'!$B268,'Revenue by Customer'!$A:$A,0))</f>
        <v/>
      </c>
      <c r="Z268" s="187" t="str">
        <f>INDEX('Revenue by Customer'!Z:Z,MATCH('Full Customer List'!$B268,'Revenue by Customer'!$A:$A,0))</f>
        <v/>
      </c>
      <c r="AA268" s="187" t="str">
        <f>INDEX('Revenue by Customer'!AA:AA,MATCH('Full Customer List'!$B268,'Revenue by Customer'!$A:$A,0))</f>
        <v/>
      </c>
      <c r="AB268" s="187" t="str">
        <f>INDEX('Revenue by Customer'!AB:AB,MATCH('Full Customer List'!$B268,'Revenue by Customer'!$A:$A,0))</f>
        <v/>
      </c>
      <c r="AC268" s="187" t="str">
        <f>INDEX('Revenue by Customer'!AC:AC,MATCH('Full Customer List'!$B268,'Revenue by Customer'!$A:$A,0))</f>
        <v/>
      </c>
    </row>
    <row r="269" spans="2:29" ht="12" customHeight="1">
      <c r="B269" s="171" t="s">
        <v>917</v>
      </c>
      <c r="C269" s="171" t="str">
        <f>INDEX('Customer List w Software'!$B:$B,MATCH('Full Customer List'!$B269,'Customer List w Software'!$A:$A,0))</f>
        <v>Former client</v>
      </c>
      <c r="D269" s="171" t="str">
        <f>INDEX('Customer List w Software'!$C:$C,MATCH('Full Customer List'!$B269,'Customer List w Software'!$A:$A,0))</f>
        <v>STR owner</v>
      </c>
      <c r="E269" s="171" t="str">
        <f>INDEX('Customer List Mapping'!$C:$C,MATCH('Full Customer List'!D269,'Customer List Mapping'!$B:$B,0))</f>
        <v>STR Owner</v>
      </c>
      <c r="F269" s="187">
        <f>INDEX('Customer List w Software'!$K:$K,MATCH('Full Customer List'!$B269,'Customer List w Software'!$A:$A,0))</f>
        <v>0</v>
      </c>
      <c r="G269" s="187">
        <f>INDEX('Revenue by Customer'!$I:$I,MATCH('Full Customer List'!$B269,'Revenue by Customer'!$A:$A,0))</f>
        <v>160</v>
      </c>
      <c r="H269" s="250" t="str">
        <f>IFERROR(IF(C269="Active","",INDEX('Client Departures'!$G:$G,MATCH('Full Customer List'!$B269,'Client Departures'!$A:$A,0))),"Unclassified")</f>
        <v>Yes</v>
      </c>
      <c r="I269" s="191">
        <v>46023</v>
      </c>
      <c r="J269" s="191">
        <v>46173</v>
      </c>
      <c r="K269" s="187" t="str">
        <f>INDEX('Revenue by Customer'!K:K,MATCH('Full Customer List'!$B269,'Revenue by Customer'!$A:$A,0))</f>
        <v/>
      </c>
      <c r="L269" s="187" t="str">
        <f>INDEX('Revenue by Customer'!L:L,MATCH('Full Customer List'!$B269,'Revenue by Customer'!$A:$A,0))</f>
        <v/>
      </c>
      <c r="M269" s="187" t="str">
        <f>INDEX('Revenue by Customer'!M:M,MATCH('Full Customer List'!$B269,'Revenue by Customer'!$A:$A,0))</f>
        <v/>
      </c>
      <c r="N269" s="187" t="str">
        <f>INDEX('Revenue by Customer'!N:N,MATCH('Full Customer List'!$B269,'Revenue by Customer'!$A:$A,0))</f>
        <v/>
      </c>
      <c r="O269" s="187" t="str">
        <f>INDEX('Revenue by Customer'!O:O,MATCH('Full Customer List'!$B269,'Revenue by Customer'!$A:$A,0))</f>
        <v/>
      </c>
      <c r="P269" s="187" t="str">
        <f>INDEX('Revenue by Customer'!P:P,MATCH('Full Customer List'!$B269,'Revenue by Customer'!$A:$A,0))</f>
        <v/>
      </c>
      <c r="Q269" s="187" t="str">
        <f>INDEX('Revenue by Customer'!Q:Q,MATCH('Full Customer List'!$B269,'Revenue by Customer'!$A:$A,0))</f>
        <v/>
      </c>
      <c r="R269" s="187" t="str">
        <f>INDEX('Revenue by Customer'!R:R,MATCH('Full Customer List'!$B269,'Revenue by Customer'!$A:$A,0))</f>
        <v/>
      </c>
      <c r="S269" s="187" t="str">
        <f>INDEX('Revenue by Customer'!S:S,MATCH('Full Customer List'!$B269,'Revenue by Customer'!$A:$A,0))</f>
        <v/>
      </c>
      <c r="T269" s="187" t="str">
        <f>INDEX('Revenue by Customer'!T:T,MATCH('Full Customer List'!$B269,'Revenue by Customer'!$A:$A,0))</f>
        <v/>
      </c>
      <c r="U269" s="187" t="str">
        <f>INDEX('Revenue by Customer'!U:U,MATCH('Full Customer List'!$B269,'Revenue by Customer'!$A:$A,0))</f>
        <v/>
      </c>
      <c r="V269" s="187" t="str">
        <f>INDEX('Revenue by Customer'!V:V,MATCH('Full Customer List'!$B269,'Revenue by Customer'!$A:$A,0))</f>
        <v/>
      </c>
      <c r="W269" s="187">
        <f>INDEX('Revenue by Customer'!W:W,MATCH('Full Customer List'!$B269,'Revenue by Customer'!$A:$A,0))</f>
        <v>160</v>
      </c>
      <c r="X269" s="187">
        <f>INDEX('Revenue by Customer'!X:X,MATCH('Full Customer List'!$B269,'Revenue by Customer'!$A:$A,0))</f>
        <v>160</v>
      </c>
      <c r="Y269" s="187">
        <f>INDEX('Revenue by Customer'!Y:Y,MATCH('Full Customer List'!$B269,'Revenue by Customer'!$A:$A,0))</f>
        <v>160</v>
      </c>
      <c r="Z269" s="187">
        <f>INDEX('Revenue by Customer'!Z:Z,MATCH('Full Customer List'!$B269,'Revenue by Customer'!$A:$A,0))</f>
        <v>160</v>
      </c>
      <c r="AA269" s="187">
        <f>INDEX('Revenue by Customer'!AA:AA,MATCH('Full Customer List'!$B269,'Revenue by Customer'!$A:$A,0))</f>
        <v>160</v>
      </c>
      <c r="AB269" s="187" t="str">
        <f>INDEX('Revenue by Customer'!AB:AB,MATCH('Full Customer List'!$B269,'Revenue by Customer'!$A:$A,0))</f>
        <v/>
      </c>
      <c r="AC269" s="187" t="str">
        <f>INDEX('Revenue by Customer'!AC:AC,MATCH('Full Customer List'!$B269,'Revenue by Customer'!$A:$A,0))</f>
        <v/>
      </c>
    </row>
    <row r="270" spans="2:29" ht="12" customHeight="1">
      <c r="B270" s="171" t="s">
        <v>918</v>
      </c>
      <c r="C270" s="171" t="str">
        <f>INDEX('Customer List w Software'!$B:$B,MATCH('Full Customer List'!$B270,'Customer List w Software'!$A:$A,0))</f>
        <v>Former client</v>
      </c>
      <c r="D270" s="171" t="str">
        <f>INDEX('Customer List w Software'!$C:$C,MATCH('Full Customer List'!$B270,'Customer List w Software'!$A:$A,0))</f>
        <v>STR owner</v>
      </c>
      <c r="E270" s="171" t="str">
        <f>INDEX('Customer List Mapping'!$C:$C,MATCH('Full Customer List'!D270,'Customer List Mapping'!$B:$B,0))</f>
        <v>STR Owner</v>
      </c>
      <c r="F270" s="187">
        <f>INDEX('Customer List w Software'!$K:$K,MATCH('Full Customer List'!$B270,'Customer List w Software'!$A:$A,0))</f>
        <v>0</v>
      </c>
      <c r="G270" s="187">
        <f>INDEX('Revenue by Customer'!$I:$I,MATCH('Full Customer List'!$B270,'Revenue by Customer'!$A:$A,0))</f>
        <v>160</v>
      </c>
      <c r="H270" s="250" t="str">
        <f>IFERROR(IF(C270="Active","",INDEX('Client Departures'!$G:$G,MATCH('Full Customer List'!$B270,'Client Departures'!$A:$A,0))),"Unclassified")</f>
        <v>Yes</v>
      </c>
      <c r="I270" s="191">
        <v>46023</v>
      </c>
      <c r="J270" s="191">
        <v>46173</v>
      </c>
      <c r="K270" s="187" t="str">
        <f>INDEX('Revenue by Customer'!K:K,MATCH('Full Customer List'!$B270,'Revenue by Customer'!$A:$A,0))</f>
        <v/>
      </c>
      <c r="L270" s="187" t="str">
        <f>INDEX('Revenue by Customer'!L:L,MATCH('Full Customer List'!$B270,'Revenue by Customer'!$A:$A,0))</f>
        <v/>
      </c>
      <c r="M270" s="187" t="str">
        <f>INDEX('Revenue by Customer'!M:M,MATCH('Full Customer List'!$B270,'Revenue by Customer'!$A:$A,0))</f>
        <v/>
      </c>
      <c r="N270" s="187" t="str">
        <f>INDEX('Revenue by Customer'!N:N,MATCH('Full Customer List'!$B270,'Revenue by Customer'!$A:$A,0))</f>
        <v/>
      </c>
      <c r="O270" s="187" t="str">
        <f>INDEX('Revenue by Customer'!O:O,MATCH('Full Customer List'!$B270,'Revenue by Customer'!$A:$A,0))</f>
        <v/>
      </c>
      <c r="P270" s="187" t="str">
        <f>INDEX('Revenue by Customer'!P:P,MATCH('Full Customer List'!$B270,'Revenue by Customer'!$A:$A,0))</f>
        <v/>
      </c>
      <c r="Q270" s="187" t="str">
        <f>INDEX('Revenue by Customer'!Q:Q,MATCH('Full Customer List'!$B270,'Revenue by Customer'!$A:$A,0))</f>
        <v/>
      </c>
      <c r="R270" s="187" t="str">
        <f>INDEX('Revenue by Customer'!R:R,MATCH('Full Customer List'!$B270,'Revenue by Customer'!$A:$A,0))</f>
        <v/>
      </c>
      <c r="S270" s="187" t="str">
        <f>INDEX('Revenue by Customer'!S:S,MATCH('Full Customer List'!$B270,'Revenue by Customer'!$A:$A,0))</f>
        <v/>
      </c>
      <c r="T270" s="187" t="str">
        <f>INDEX('Revenue by Customer'!T:T,MATCH('Full Customer List'!$B270,'Revenue by Customer'!$A:$A,0))</f>
        <v/>
      </c>
      <c r="U270" s="187" t="str">
        <f>INDEX('Revenue by Customer'!U:U,MATCH('Full Customer List'!$B270,'Revenue by Customer'!$A:$A,0))</f>
        <v/>
      </c>
      <c r="V270" s="187" t="str">
        <f>INDEX('Revenue by Customer'!V:V,MATCH('Full Customer List'!$B270,'Revenue by Customer'!$A:$A,0))</f>
        <v/>
      </c>
      <c r="W270" s="187">
        <f>INDEX('Revenue by Customer'!W:W,MATCH('Full Customer List'!$B270,'Revenue by Customer'!$A:$A,0))</f>
        <v>160</v>
      </c>
      <c r="X270" s="187">
        <f>INDEX('Revenue by Customer'!X:X,MATCH('Full Customer List'!$B270,'Revenue by Customer'!$A:$A,0))</f>
        <v>160</v>
      </c>
      <c r="Y270" s="187">
        <f>INDEX('Revenue by Customer'!Y:Y,MATCH('Full Customer List'!$B270,'Revenue by Customer'!$A:$A,0))</f>
        <v>160</v>
      </c>
      <c r="Z270" s="187">
        <f>INDEX('Revenue by Customer'!Z:Z,MATCH('Full Customer List'!$B270,'Revenue by Customer'!$A:$A,0))</f>
        <v>160</v>
      </c>
      <c r="AA270" s="187">
        <f>INDEX('Revenue by Customer'!AA:AA,MATCH('Full Customer List'!$B270,'Revenue by Customer'!$A:$A,0))</f>
        <v>160</v>
      </c>
      <c r="AB270" s="187" t="str">
        <f>INDEX('Revenue by Customer'!AB:AB,MATCH('Full Customer List'!$B270,'Revenue by Customer'!$A:$A,0))</f>
        <v/>
      </c>
      <c r="AC270" s="187" t="str">
        <f>INDEX('Revenue by Customer'!AC:AC,MATCH('Full Customer List'!$B270,'Revenue by Customer'!$A:$A,0))</f>
        <v/>
      </c>
    </row>
    <row r="271" spans="2:29" ht="12" customHeight="1">
      <c r="B271" s="171" t="s">
        <v>919</v>
      </c>
      <c r="C271" s="171" t="str">
        <f>INDEX('Customer List w Software'!$B:$B,MATCH('Full Customer List'!$B271,'Customer List w Software'!$A:$A,0))</f>
        <v>Former client</v>
      </c>
      <c r="D271" s="171" t="str">
        <f>INDEX('Customer List w Software'!$C:$C,MATCH('Full Customer List'!$B271,'Customer List w Software'!$A:$A,0))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87" t="str">
        <f>INDEX('Customer List w Software'!$K:$K,MATCH('Full Customer List'!$B271,'Customer List w Software'!$A:$A,0))</f>
        <v/>
      </c>
      <c r="G271" s="187">
        <f>INDEX('Revenue by Customer'!$I:$I,MATCH('Full Customer List'!$B271,'Revenue by Customer'!$A:$A,0))</f>
        <v>400</v>
      </c>
      <c r="H271" s="250" t="str">
        <f>IFERROR(IF(C271="Active","",INDEX('Client Departures'!$G:$G,MATCH('Full Customer List'!$B271,'Client Departures'!$A:$A,0))),"Unclassified")</f>
        <v>No</v>
      </c>
      <c r="I271" s="191">
        <v>45870</v>
      </c>
      <c r="J271" s="191">
        <v>45930</v>
      </c>
      <c r="K271" s="187" t="str">
        <f>INDEX('Revenue by Customer'!K:K,MATCH('Full Customer List'!$B271,'Revenue by Customer'!$A:$A,0))</f>
        <v/>
      </c>
      <c r="L271" s="187" t="str">
        <f>INDEX('Revenue by Customer'!L:L,MATCH('Full Customer List'!$B271,'Revenue by Customer'!$A:$A,0))</f>
        <v/>
      </c>
      <c r="M271" s="187" t="str">
        <f>INDEX('Revenue by Customer'!M:M,MATCH('Full Customer List'!$B271,'Revenue by Customer'!$A:$A,0))</f>
        <v/>
      </c>
      <c r="N271" s="187" t="str">
        <f>INDEX('Revenue by Customer'!N:N,MATCH('Full Customer List'!$B271,'Revenue by Customer'!$A:$A,0))</f>
        <v/>
      </c>
      <c r="O271" s="187" t="str">
        <f>INDEX('Revenue by Customer'!O:O,MATCH('Full Customer List'!$B271,'Revenue by Customer'!$A:$A,0))</f>
        <v/>
      </c>
      <c r="P271" s="187" t="str">
        <f>INDEX('Revenue by Customer'!P:P,MATCH('Full Customer List'!$B271,'Revenue by Customer'!$A:$A,0))</f>
        <v/>
      </c>
      <c r="Q271" s="187" t="str">
        <f>INDEX('Revenue by Customer'!Q:Q,MATCH('Full Customer List'!$B271,'Revenue by Customer'!$A:$A,0))</f>
        <v/>
      </c>
      <c r="R271" s="187">
        <f>INDEX('Revenue by Customer'!R:R,MATCH('Full Customer List'!$B271,'Revenue by Customer'!$A:$A,0))</f>
        <v>400</v>
      </c>
      <c r="S271" s="187">
        <f>INDEX('Revenue by Customer'!S:S,MATCH('Full Customer List'!$B271,'Revenue by Customer'!$A:$A,0))</f>
        <v>400</v>
      </c>
      <c r="T271" s="187">
        <f>INDEX('Revenue by Customer'!T:T,MATCH('Full Customer List'!$B271,'Revenue by Customer'!$A:$A,0))</f>
        <v>0</v>
      </c>
      <c r="U271" s="187" t="str">
        <f>INDEX('Revenue by Customer'!U:U,MATCH('Full Customer List'!$B271,'Revenue by Customer'!$A:$A,0))</f>
        <v/>
      </c>
      <c r="V271" s="187" t="str">
        <f>INDEX('Revenue by Customer'!V:V,MATCH('Full Customer List'!$B271,'Revenue by Customer'!$A:$A,0))</f>
        <v/>
      </c>
      <c r="W271" s="187" t="str">
        <f>INDEX('Revenue by Customer'!W:W,MATCH('Full Customer List'!$B271,'Revenue by Customer'!$A:$A,0))</f>
        <v/>
      </c>
      <c r="X271" s="187" t="str">
        <f>INDEX('Revenue by Customer'!X:X,MATCH('Full Customer List'!$B271,'Revenue by Customer'!$A:$A,0))</f>
        <v/>
      </c>
      <c r="Y271" s="187" t="str">
        <f>INDEX('Revenue by Customer'!Y:Y,MATCH('Full Customer List'!$B271,'Revenue by Customer'!$A:$A,0))</f>
        <v/>
      </c>
      <c r="Z271" s="187" t="str">
        <f>INDEX('Revenue by Customer'!Z:Z,MATCH('Full Customer List'!$B271,'Revenue by Customer'!$A:$A,0))</f>
        <v/>
      </c>
      <c r="AA271" s="187" t="str">
        <f>INDEX('Revenue by Customer'!AA:AA,MATCH('Full Customer List'!$B271,'Revenue by Customer'!$A:$A,0))</f>
        <v/>
      </c>
      <c r="AB271" s="187" t="str">
        <f>INDEX('Revenue by Customer'!AB:AB,MATCH('Full Customer List'!$B271,'Revenue by Customer'!$A:$A,0))</f>
        <v/>
      </c>
      <c r="AC271" s="187" t="str">
        <f>INDEX('Revenue by Customer'!AC:AC,MATCH('Full Customer List'!$B271,'Revenue by Customer'!$A:$A,0))</f>
        <v/>
      </c>
    </row>
    <row r="272" spans="2:29" ht="12" customHeight="1">
      <c r="B272" s="171" t="s">
        <v>920</v>
      </c>
      <c r="C272" s="171" t="str">
        <f>INDEX('Customer List w Software'!$B:$B,MATCH('Full Customer List'!$B272,'Customer List w Software'!$A:$A,0))</f>
        <v>Former client</v>
      </c>
      <c r="D272" s="171" t="str">
        <f>INDEX('Customer List w Software'!$C:$C,MATCH('Full Customer List'!$B272,'Customer List w Software'!$A:$A,0))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87" t="str">
        <f>INDEX('Customer List w Software'!$K:$K,MATCH('Full Customer List'!$B272,'Customer List w Software'!$A:$A,0))</f>
        <v/>
      </c>
      <c r="G272" s="187">
        <f>INDEX('Revenue by Customer'!$I:$I,MATCH('Full Customer List'!$B272,'Revenue by Customer'!$A:$A,0))</f>
        <v>400</v>
      </c>
      <c r="H272" s="250" t="str">
        <f>IFERROR(IF(C272="Active","",INDEX('Client Departures'!$G:$G,MATCH('Full Customer List'!$B272,'Client Departures'!$A:$A,0))),"Unclassified")</f>
        <v>No</v>
      </c>
      <c r="I272" s="191">
        <v>45962</v>
      </c>
      <c r="J272" s="191">
        <v>46022</v>
      </c>
      <c r="K272" s="187" t="str">
        <f>INDEX('Revenue by Customer'!K:K,MATCH('Full Customer List'!$B272,'Revenue by Customer'!$A:$A,0))</f>
        <v/>
      </c>
      <c r="L272" s="187" t="str">
        <f>INDEX('Revenue by Customer'!L:L,MATCH('Full Customer List'!$B272,'Revenue by Customer'!$A:$A,0))</f>
        <v/>
      </c>
      <c r="M272" s="187" t="str">
        <f>INDEX('Revenue by Customer'!M:M,MATCH('Full Customer List'!$B272,'Revenue by Customer'!$A:$A,0))</f>
        <v/>
      </c>
      <c r="N272" s="187" t="str">
        <f>INDEX('Revenue by Customer'!N:N,MATCH('Full Customer List'!$B272,'Revenue by Customer'!$A:$A,0))</f>
        <v/>
      </c>
      <c r="O272" s="187" t="str">
        <f>INDEX('Revenue by Customer'!O:O,MATCH('Full Customer List'!$B272,'Revenue by Customer'!$A:$A,0))</f>
        <v/>
      </c>
      <c r="P272" s="187" t="str">
        <f>INDEX('Revenue by Customer'!P:P,MATCH('Full Customer List'!$B272,'Revenue by Customer'!$A:$A,0))</f>
        <v/>
      </c>
      <c r="Q272" s="187" t="str">
        <f>INDEX('Revenue by Customer'!Q:Q,MATCH('Full Customer List'!$B272,'Revenue by Customer'!$A:$A,0))</f>
        <v/>
      </c>
      <c r="R272" s="187" t="str">
        <f>INDEX('Revenue by Customer'!R:R,MATCH('Full Customer List'!$B272,'Revenue by Customer'!$A:$A,0))</f>
        <v/>
      </c>
      <c r="S272" s="187" t="str">
        <f>INDEX('Revenue by Customer'!S:S,MATCH('Full Customer List'!$B272,'Revenue by Customer'!$A:$A,0))</f>
        <v/>
      </c>
      <c r="T272" s="187" t="str">
        <f>INDEX('Revenue by Customer'!T:T,MATCH('Full Customer List'!$B272,'Revenue by Customer'!$A:$A,0))</f>
        <v/>
      </c>
      <c r="U272" s="187">
        <f>INDEX('Revenue by Customer'!U:U,MATCH('Full Customer List'!$B272,'Revenue by Customer'!$A:$A,0))</f>
        <v>100</v>
      </c>
      <c r="V272" s="187">
        <f>INDEX('Revenue by Customer'!V:V,MATCH('Full Customer List'!$B272,'Revenue by Customer'!$A:$A,0))</f>
        <v>700</v>
      </c>
      <c r="W272" s="187">
        <f>INDEX('Revenue by Customer'!W:W,MATCH('Full Customer List'!$B272,'Revenue by Customer'!$A:$A,0))</f>
        <v>0</v>
      </c>
      <c r="X272" s="187" t="str">
        <f>INDEX('Revenue by Customer'!X:X,MATCH('Full Customer List'!$B272,'Revenue by Customer'!$A:$A,0))</f>
        <v/>
      </c>
      <c r="Y272" s="187" t="str">
        <f>INDEX('Revenue by Customer'!Y:Y,MATCH('Full Customer List'!$B272,'Revenue by Customer'!$A:$A,0))</f>
        <v/>
      </c>
      <c r="Z272" s="187" t="str">
        <f>INDEX('Revenue by Customer'!Z:Z,MATCH('Full Customer List'!$B272,'Revenue by Customer'!$A:$A,0))</f>
        <v/>
      </c>
      <c r="AA272" s="187" t="str">
        <f>INDEX('Revenue by Customer'!AA:AA,MATCH('Full Customer List'!$B272,'Revenue by Customer'!$A:$A,0))</f>
        <v/>
      </c>
      <c r="AB272" s="187" t="str">
        <f>INDEX('Revenue by Customer'!AB:AB,MATCH('Full Customer List'!$B272,'Revenue by Customer'!$A:$A,0))</f>
        <v/>
      </c>
      <c r="AC272" s="187" t="str">
        <f>INDEX('Revenue by Customer'!AC:AC,MATCH('Full Customer List'!$B272,'Revenue by Customer'!$A:$A,0))</f>
        <v/>
      </c>
    </row>
    <row r="273" spans="2:29" ht="12" customHeight="1">
      <c r="B273" s="171" t="s">
        <v>921</v>
      </c>
      <c r="C273" s="171" t="str">
        <f>INDEX('Customer List w Software'!$B:$B,MATCH('Full Customer List'!$B273,'Customer List w Software'!$A:$A,0))</f>
        <v>Former client</v>
      </c>
      <c r="D273" s="171" t="str">
        <f>INDEX('Customer List w Software'!$C:$C,MATCH('Full Customer List'!$B273,'Customer List w Software'!$A:$A,0))</f>
        <v>Small business</v>
      </c>
      <c r="E273" s="171" t="str">
        <f>INDEX('Customer List Mapping'!$C:$C,MATCH('Full Customer List'!D273,'Customer List Mapping'!$B:$B,0))</f>
        <v>Small Business</v>
      </c>
      <c r="F273" s="187" t="str">
        <f>INDEX('Customer List w Software'!$K:$K,MATCH('Full Customer List'!$B273,'Customer List w Software'!$A:$A,0))</f>
        <v/>
      </c>
      <c r="G273" s="187">
        <f>INDEX('Revenue by Customer'!$I:$I,MATCH('Full Customer List'!$B273,'Revenue by Customer'!$A:$A,0))</f>
        <v>147</v>
      </c>
      <c r="H273" s="250" t="str">
        <f>IFERROR(IF(C273="Active","",INDEX('Client Departures'!$G:$G,MATCH('Full Customer List'!$B273,'Client Departures'!$A:$A,0))),"Unclassified")</f>
        <v>Yes</v>
      </c>
      <c r="I273" s="191">
        <v>44317</v>
      </c>
      <c r="J273" s="191">
        <v>46022</v>
      </c>
      <c r="K273" s="187">
        <f>INDEX('Revenue by Customer'!K:K,MATCH('Full Customer List'!$B273,'Revenue by Customer'!$A:$A,0))</f>
        <v>192</v>
      </c>
      <c r="L273" s="187">
        <f>INDEX('Revenue by Customer'!L:L,MATCH('Full Customer List'!$B273,'Revenue by Customer'!$A:$A,0))</f>
        <v>147</v>
      </c>
      <c r="M273" s="187">
        <f>INDEX('Revenue by Customer'!M:M,MATCH('Full Customer List'!$B273,'Revenue by Customer'!$A:$A,0))</f>
        <v>147</v>
      </c>
      <c r="N273" s="187">
        <f>INDEX('Revenue by Customer'!N:N,MATCH('Full Customer List'!$B273,'Revenue by Customer'!$A:$A,0))</f>
        <v>147</v>
      </c>
      <c r="O273" s="187">
        <f>INDEX('Revenue by Customer'!O:O,MATCH('Full Customer List'!$B273,'Revenue by Customer'!$A:$A,0))</f>
        <v>147</v>
      </c>
      <c r="P273" s="187">
        <f>INDEX('Revenue by Customer'!P:P,MATCH('Full Customer List'!$B273,'Revenue by Customer'!$A:$A,0))</f>
        <v>147</v>
      </c>
      <c r="Q273" s="187">
        <f>INDEX('Revenue by Customer'!Q:Q,MATCH('Full Customer List'!$B273,'Revenue by Customer'!$A:$A,0))</f>
        <v>147</v>
      </c>
      <c r="R273" s="187">
        <f>INDEX('Revenue by Customer'!R:R,MATCH('Full Customer List'!$B273,'Revenue by Customer'!$A:$A,0))</f>
        <v>147</v>
      </c>
      <c r="S273" s="187">
        <f>INDEX('Revenue by Customer'!S:S,MATCH('Full Customer List'!$B273,'Revenue by Customer'!$A:$A,0))</f>
        <v>147</v>
      </c>
      <c r="T273" s="187">
        <f>INDEX('Revenue by Customer'!T:T,MATCH('Full Customer List'!$B273,'Revenue by Customer'!$A:$A,0))</f>
        <v>147</v>
      </c>
      <c r="U273" s="187">
        <f>INDEX('Revenue by Customer'!U:U,MATCH('Full Customer List'!$B273,'Revenue by Customer'!$A:$A,0))</f>
        <v>147</v>
      </c>
      <c r="V273" s="187">
        <f>INDEX('Revenue by Customer'!V:V,MATCH('Full Customer List'!$B273,'Revenue by Customer'!$A:$A,0))</f>
        <v>147</v>
      </c>
      <c r="W273" s="187" t="str">
        <f>INDEX('Revenue by Customer'!W:W,MATCH('Full Customer List'!$B273,'Revenue by Customer'!$A:$A,0))</f>
        <v/>
      </c>
      <c r="X273" s="187" t="str">
        <f>INDEX('Revenue by Customer'!X:X,MATCH('Full Customer List'!$B273,'Revenue by Customer'!$A:$A,0))</f>
        <v/>
      </c>
      <c r="Y273" s="187" t="str">
        <f>INDEX('Revenue by Customer'!Y:Y,MATCH('Full Customer List'!$B273,'Revenue by Customer'!$A:$A,0))</f>
        <v/>
      </c>
      <c r="Z273" s="187" t="str">
        <f>INDEX('Revenue by Customer'!Z:Z,MATCH('Full Customer List'!$B273,'Revenue by Customer'!$A:$A,0))</f>
        <v/>
      </c>
      <c r="AA273" s="187" t="str">
        <f>INDEX('Revenue by Customer'!AA:AA,MATCH('Full Customer List'!$B273,'Revenue by Customer'!$A:$A,0))</f>
        <v/>
      </c>
      <c r="AB273" s="187" t="str">
        <f>INDEX('Revenue by Customer'!AB:AB,MATCH('Full Customer List'!$B273,'Revenue by Customer'!$A:$A,0))</f>
        <v/>
      </c>
      <c r="AC273" s="187" t="str">
        <f>INDEX('Revenue by Customer'!AC:AC,MATCH('Full Customer List'!$B273,'Revenue by Customer'!$A:$A,0))</f>
        <v/>
      </c>
    </row>
    <row r="274" spans="2:29" ht="12" customHeight="1">
      <c r="B274" s="171" t="s">
        <v>922</v>
      </c>
      <c r="C274" s="171" t="str">
        <f>INDEX('Customer List w Software'!$B:$B,MATCH('Full Customer List'!$B274,'Customer List w Software'!$A:$A,0))</f>
        <v>Former client</v>
      </c>
      <c r="D274" s="171" t="str">
        <f>INDEX('Customer List w Software'!$C:$C,MATCH('Full Customer List'!$B274,'Customer List w Software'!$A:$A,0))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87" t="str">
        <f>INDEX('Customer List w Software'!$K:$K,MATCH('Full Customer List'!$B274,'Customer List w Software'!$A:$A,0))</f>
        <v/>
      </c>
      <c r="G274" s="187">
        <f>INDEX('Revenue by Customer'!$I:$I,MATCH('Full Customer List'!$B274,'Revenue by Customer'!$A:$A,0))</f>
        <v>362.5</v>
      </c>
      <c r="H274" s="250" t="str">
        <f>IFERROR(IF(C274="Active","",INDEX('Client Departures'!$G:$G,MATCH('Full Customer List'!$B274,'Client Departures'!$A:$A,0))),"Unclassified")</f>
        <v>No</v>
      </c>
      <c r="I274" s="191">
        <v>45931</v>
      </c>
      <c r="J274" s="191">
        <v>45991</v>
      </c>
      <c r="K274" s="187" t="str">
        <f>INDEX('Revenue by Customer'!K:K,MATCH('Full Customer List'!$B274,'Revenue by Customer'!$A:$A,0))</f>
        <v/>
      </c>
      <c r="L274" s="187" t="str">
        <f>INDEX('Revenue by Customer'!L:L,MATCH('Full Customer List'!$B274,'Revenue by Customer'!$A:$A,0))</f>
        <v/>
      </c>
      <c r="M274" s="187" t="str">
        <f>INDEX('Revenue by Customer'!M:M,MATCH('Full Customer List'!$B274,'Revenue by Customer'!$A:$A,0))</f>
        <v/>
      </c>
      <c r="N274" s="187" t="str">
        <f>INDEX('Revenue by Customer'!N:N,MATCH('Full Customer List'!$B274,'Revenue by Customer'!$A:$A,0))</f>
        <v/>
      </c>
      <c r="O274" s="187" t="str">
        <f>INDEX('Revenue by Customer'!O:O,MATCH('Full Customer List'!$B274,'Revenue by Customer'!$A:$A,0))</f>
        <v/>
      </c>
      <c r="P274" s="187" t="str">
        <f>INDEX('Revenue by Customer'!P:P,MATCH('Full Customer List'!$B274,'Revenue by Customer'!$A:$A,0))</f>
        <v/>
      </c>
      <c r="Q274" s="187" t="str">
        <f>INDEX('Revenue by Customer'!Q:Q,MATCH('Full Customer List'!$B274,'Revenue by Customer'!$A:$A,0))</f>
        <v/>
      </c>
      <c r="R274" s="187" t="str">
        <f>INDEX('Revenue by Customer'!R:R,MATCH('Full Customer List'!$B274,'Revenue by Customer'!$A:$A,0))</f>
        <v/>
      </c>
      <c r="S274" s="187" t="str">
        <f>INDEX('Revenue by Customer'!S:S,MATCH('Full Customer List'!$B274,'Revenue by Customer'!$A:$A,0))</f>
        <v/>
      </c>
      <c r="T274" s="187">
        <f>INDEX('Revenue by Customer'!T:T,MATCH('Full Customer List'!$B274,'Revenue by Customer'!$A:$A,0))</f>
        <v>400</v>
      </c>
      <c r="U274" s="187">
        <f>INDEX('Revenue by Customer'!U:U,MATCH('Full Customer List'!$B274,'Revenue by Customer'!$A:$A,0))</f>
        <v>325</v>
      </c>
      <c r="V274" s="187" t="str">
        <f>INDEX('Revenue by Customer'!V:V,MATCH('Full Customer List'!$B274,'Revenue by Customer'!$A:$A,0))</f>
        <v/>
      </c>
      <c r="W274" s="187" t="str">
        <f>INDEX('Revenue by Customer'!W:W,MATCH('Full Customer List'!$B274,'Revenue by Customer'!$A:$A,0))</f>
        <v/>
      </c>
      <c r="X274" s="187" t="str">
        <f>INDEX('Revenue by Customer'!X:X,MATCH('Full Customer List'!$B274,'Revenue by Customer'!$A:$A,0))</f>
        <v/>
      </c>
      <c r="Y274" s="187" t="str">
        <f>INDEX('Revenue by Customer'!Y:Y,MATCH('Full Customer List'!$B274,'Revenue by Customer'!$A:$A,0))</f>
        <v/>
      </c>
      <c r="Z274" s="187" t="str">
        <f>INDEX('Revenue by Customer'!Z:Z,MATCH('Full Customer List'!$B274,'Revenue by Customer'!$A:$A,0))</f>
        <v/>
      </c>
      <c r="AA274" s="187" t="str">
        <f>INDEX('Revenue by Customer'!AA:AA,MATCH('Full Customer List'!$B274,'Revenue by Customer'!$A:$A,0))</f>
        <v/>
      </c>
      <c r="AB274" s="187" t="str">
        <f>INDEX('Revenue by Customer'!AB:AB,MATCH('Full Customer List'!$B274,'Revenue by Customer'!$A:$A,0))</f>
        <v/>
      </c>
      <c r="AC274" s="187" t="str">
        <f>INDEX('Revenue by Customer'!AC:AC,MATCH('Full Customer List'!$B274,'Revenue by Customer'!$A:$A,0))</f>
        <v/>
      </c>
    </row>
    <row r="275" spans="2:29" ht="12" customHeight="1">
      <c r="B275" s="171" t="s">
        <v>923</v>
      </c>
      <c r="C275" s="217" t="s">
        <v>497</v>
      </c>
      <c r="D275" s="171" t="str">
        <f>INDEX('Customer List w Software'!$C:$C,MATCH('Full Customer List'!$B275,'Customer List w Software'!$A:$A,0))</f>
        <v>Tax client only</v>
      </c>
      <c r="E275" s="171" t="str">
        <f>INDEX('Customer List Mapping'!$C:$C,MATCH('Full Customer List'!D275,'Customer List Mapping'!$B:$B,0))</f>
        <v>Tax-Only Client</v>
      </c>
      <c r="F275" s="187" t="str">
        <f>INDEX('Customer List w Software'!$K:$K,MATCH('Full Customer List'!$B275,'Customer List w Software'!$A:$A,0))</f>
        <v/>
      </c>
      <c r="G275" s="187">
        <f>INDEX('Revenue by Customer'!$I:$I,MATCH('Full Customer List'!$B275,'Revenue by Customer'!$A:$A,0))</f>
        <v>650</v>
      </c>
      <c r="H275" s="250" t="str">
        <f>IFERROR(IF(C275="Active","",INDEX('Client Departures'!$G:$G,MATCH('Full Customer List'!$B275,'Client Departures'!$A:$A,0))),"Unclassified")</f>
        <v/>
      </c>
      <c r="I275" s="191">
        <v>46054</v>
      </c>
      <c r="J275" s="191"/>
      <c r="K275" s="187" t="str">
        <f>INDEX('Revenue by Customer'!K:K,MATCH('Full Customer List'!$B275,'Revenue by Customer'!$A:$A,0))</f>
        <v/>
      </c>
      <c r="L275" s="187" t="str">
        <f>INDEX('Revenue by Customer'!L:L,MATCH('Full Customer List'!$B275,'Revenue by Customer'!$A:$A,0))</f>
        <v/>
      </c>
      <c r="M275" s="187" t="str">
        <f>INDEX('Revenue by Customer'!M:M,MATCH('Full Customer List'!$B275,'Revenue by Customer'!$A:$A,0))</f>
        <v/>
      </c>
      <c r="N275" s="187" t="str">
        <f>INDEX('Revenue by Customer'!N:N,MATCH('Full Customer List'!$B275,'Revenue by Customer'!$A:$A,0))</f>
        <v/>
      </c>
      <c r="O275" s="187" t="str">
        <f>INDEX('Revenue by Customer'!O:O,MATCH('Full Customer List'!$B275,'Revenue by Customer'!$A:$A,0))</f>
        <v/>
      </c>
      <c r="P275" s="187" t="str">
        <f>INDEX('Revenue by Customer'!P:P,MATCH('Full Customer List'!$B275,'Revenue by Customer'!$A:$A,0))</f>
        <v/>
      </c>
      <c r="Q275" s="187" t="str">
        <f>INDEX('Revenue by Customer'!Q:Q,MATCH('Full Customer List'!$B275,'Revenue by Customer'!$A:$A,0))</f>
        <v/>
      </c>
      <c r="R275" s="187" t="str">
        <f>INDEX('Revenue by Customer'!R:R,MATCH('Full Customer List'!$B275,'Revenue by Customer'!$A:$A,0))</f>
        <v/>
      </c>
      <c r="S275" s="187" t="str">
        <f>INDEX('Revenue by Customer'!S:S,MATCH('Full Customer List'!$B275,'Revenue by Customer'!$A:$A,0))</f>
        <v/>
      </c>
      <c r="T275" s="187" t="str">
        <f>INDEX('Revenue by Customer'!T:T,MATCH('Full Customer List'!$B275,'Revenue by Customer'!$A:$A,0))</f>
        <v/>
      </c>
      <c r="U275" s="187" t="str">
        <f>INDEX('Revenue by Customer'!U:U,MATCH('Full Customer List'!$B275,'Revenue by Customer'!$A:$A,0))</f>
        <v/>
      </c>
      <c r="V275" s="187" t="str">
        <f>INDEX('Revenue by Customer'!V:V,MATCH('Full Customer List'!$B275,'Revenue by Customer'!$A:$A,0))</f>
        <v/>
      </c>
      <c r="W275" s="187" t="str">
        <f>INDEX('Revenue by Customer'!W:W,MATCH('Full Customer List'!$B275,'Revenue by Customer'!$A:$A,0))</f>
        <v/>
      </c>
      <c r="X275" s="187">
        <f>INDEX('Revenue by Customer'!X:X,MATCH('Full Customer List'!$B275,'Revenue by Customer'!$A:$A,0))</f>
        <v>650</v>
      </c>
      <c r="Y275" s="187" t="str">
        <f>INDEX('Revenue by Customer'!Y:Y,MATCH('Full Customer List'!$B275,'Revenue by Customer'!$A:$A,0))</f>
        <v/>
      </c>
      <c r="Z275" s="187" t="str">
        <f>INDEX('Revenue by Customer'!Z:Z,MATCH('Full Customer List'!$B275,'Revenue by Customer'!$A:$A,0))</f>
        <v/>
      </c>
      <c r="AA275" s="187" t="str">
        <f>INDEX('Revenue by Customer'!AA:AA,MATCH('Full Customer List'!$B275,'Revenue by Customer'!$A:$A,0))</f>
        <v/>
      </c>
      <c r="AB275" s="187" t="str">
        <f>INDEX('Revenue by Customer'!AB:AB,MATCH('Full Customer List'!$B275,'Revenue by Customer'!$A:$A,0))</f>
        <v/>
      </c>
      <c r="AC275" s="187" t="str">
        <f>INDEX('Revenue by Customer'!AC:AC,MATCH('Full Customer List'!$B275,'Revenue by Customer'!$A:$A,0))</f>
        <v/>
      </c>
    </row>
    <row r="276" spans="2:29" ht="12" customHeight="1">
      <c r="B276" s="171" t="s">
        <v>924</v>
      </c>
      <c r="C276" s="171" t="str">
        <f>INDEX('Customer List w Software'!$B:$B,MATCH('Full Customer List'!$B276,'Customer List w Software'!$A:$A,0))</f>
        <v>Former client</v>
      </c>
      <c r="D276" s="171" t="str">
        <f>INDEX('Customer List w Software'!$C:$C,MATCH('Full Customer List'!$B276,'Customer List w Software'!$A:$A,0))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87" t="str">
        <f>INDEX('Customer List w Software'!$K:$K,MATCH('Full Customer List'!$B276,'Customer List w Software'!$A:$A,0))</f>
        <v/>
      </c>
      <c r="G276" s="187">
        <f>INDEX('Revenue by Customer'!$I:$I,MATCH('Full Customer List'!$B276,'Revenue by Customer'!$A:$A,0))</f>
        <v>183.33333333333334</v>
      </c>
      <c r="H276" s="250" t="str">
        <f>IFERROR(IF(C276="Active","",INDEX('Client Departures'!$G:$G,MATCH('Full Customer List'!$B276,'Client Departures'!$A:$A,0))),"Unclassified")</f>
        <v>Yes</v>
      </c>
      <c r="I276" s="191">
        <v>45323</v>
      </c>
      <c r="J276" s="191">
        <v>45900</v>
      </c>
      <c r="K276" s="187">
        <f>INDEX('Revenue by Customer'!K:K,MATCH('Full Customer List'!$B276,'Revenue by Customer'!$A:$A,0))</f>
        <v>630</v>
      </c>
      <c r="L276" s="187">
        <f>INDEX('Revenue by Customer'!L:L,MATCH('Full Customer List'!$B276,'Revenue by Customer'!$A:$A,0))</f>
        <v>470</v>
      </c>
      <c r="M276" s="187">
        <f>INDEX('Revenue by Customer'!M:M,MATCH('Full Customer List'!$B276,'Revenue by Customer'!$A:$A,0))</f>
        <v>720</v>
      </c>
      <c r="N276" s="187">
        <f>INDEX('Revenue by Customer'!N:N,MATCH('Full Customer List'!$B276,'Revenue by Customer'!$A:$A,0))</f>
        <v>540</v>
      </c>
      <c r="O276" s="187">
        <f>INDEX('Revenue by Customer'!O:O,MATCH('Full Customer List'!$B276,'Revenue by Customer'!$A:$A,0))</f>
        <v>540</v>
      </c>
      <c r="P276" s="187">
        <f>INDEX('Revenue by Customer'!P:P,MATCH('Full Customer List'!$B276,'Revenue by Customer'!$A:$A,0))</f>
        <v>540</v>
      </c>
      <c r="Q276" s="187">
        <f>INDEX('Revenue by Customer'!Q:Q,MATCH('Full Customer List'!$B276,'Revenue by Customer'!$A:$A,0))</f>
        <v>470</v>
      </c>
      <c r="R276" s="187">
        <f>INDEX('Revenue by Customer'!R:R,MATCH('Full Customer List'!$B276,'Revenue by Customer'!$A:$A,0))</f>
        <v>400</v>
      </c>
      <c r="S276" s="187">
        <f>INDEX('Revenue by Customer'!S:S,MATCH('Full Customer List'!$B276,'Revenue by Customer'!$A:$A,0))</f>
        <v>75</v>
      </c>
      <c r="T276" s="187">
        <f>INDEX('Revenue by Customer'!T:T,MATCH('Full Customer List'!$B276,'Revenue by Customer'!$A:$A,0))</f>
        <v>75</v>
      </c>
      <c r="U276" s="187" t="str">
        <f>INDEX('Revenue by Customer'!U:U,MATCH('Full Customer List'!$B276,'Revenue by Customer'!$A:$A,0))</f>
        <v/>
      </c>
      <c r="V276" s="187" t="str">
        <f>INDEX('Revenue by Customer'!V:V,MATCH('Full Customer List'!$B276,'Revenue by Customer'!$A:$A,0))</f>
        <v/>
      </c>
      <c r="W276" s="187" t="str">
        <f>INDEX('Revenue by Customer'!W:W,MATCH('Full Customer List'!$B276,'Revenue by Customer'!$A:$A,0))</f>
        <v/>
      </c>
      <c r="X276" s="187" t="str">
        <f>INDEX('Revenue by Customer'!X:X,MATCH('Full Customer List'!$B276,'Revenue by Customer'!$A:$A,0))</f>
        <v/>
      </c>
      <c r="Y276" s="187" t="str">
        <f>INDEX('Revenue by Customer'!Y:Y,MATCH('Full Customer List'!$B276,'Revenue by Customer'!$A:$A,0))</f>
        <v/>
      </c>
      <c r="Z276" s="187" t="str">
        <f>INDEX('Revenue by Customer'!Z:Z,MATCH('Full Customer List'!$B276,'Revenue by Customer'!$A:$A,0))</f>
        <v/>
      </c>
      <c r="AA276" s="187" t="str">
        <f>INDEX('Revenue by Customer'!AA:AA,MATCH('Full Customer List'!$B276,'Revenue by Customer'!$A:$A,0))</f>
        <v/>
      </c>
      <c r="AB276" s="187" t="str">
        <f>INDEX('Revenue by Customer'!AB:AB,MATCH('Full Customer List'!$B276,'Revenue by Customer'!$A:$A,0))</f>
        <v/>
      </c>
      <c r="AC276" s="187" t="str">
        <f>INDEX('Revenue by Customer'!AC:AC,MATCH('Full Customer List'!$B276,'Revenue by Customer'!$A:$A,0))</f>
        <v/>
      </c>
    </row>
    <row r="277" spans="2:29" ht="12" customHeight="1">
      <c r="B277" s="171" t="s">
        <v>925</v>
      </c>
      <c r="C277" s="217" t="s">
        <v>497</v>
      </c>
      <c r="D277" s="171" t="str">
        <f>INDEX('Customer List w Software'!$C:$C,MATCH('Full Customer List'!$B277,'Customer List w Software'!$A:$A,0))</f>
        <v>Tax client only</v>
      </c>
      <c r="E277" s="171" t="str">
        <f>INDEX('Customer List Mapping'!$C:$C,MATCH('Full Customer List'!D277,'Customer List Mapping'!$B:$B,0))</f>
        <v>Tax-Only Client</v>
      </c>
      <c r="F277" s="187" t="str">
        <f>INDEX('Customer List w Software'!$K:$K,MATCH('Full Customer List'!$B277,'Customer List w Software'!$A:$A,0))</f>
        <v/>
      </c>
      <c r="G277" s="187">
        <f>INDEX('Revenue by Customer'!$I:$I,MATCH('Full Customer List'!$B277,'Revenue by Customer'!$A:$A,0))</f>
        <v>495</v>
      </c>
      <c r="H277" s="250" t="str">
        <f>IFERROR(IF(C277="Active","",INDEX('Client Departures'!$G:$G,MATCH('Full Customer List'!$B277,'Client Departures'!$A:$A,0))),"Unclassified")</f>
        <v/>
      </c>
      <c r="I277" s="191">
        <v>45931</v>
      </c>
      <c r="J277" s="191"/>
      <c r="K277" s="187" t="str">
        <f>INDEX('Revenue by Customer'!K:K,MATCH('Full Customer List'!$B277,'Revenue by Customer'!$A:$A,0))</f>
        <v/>
      </c>
      <c r="L277" s="187" t="str">
        <f>INDEX('Revenue by Customer'!L:L,MATCH('Full Customer List'!$B277,'Revenue by Customer'!$A:$A,0))</f>
        <v/>
      </c>
      <c r="M277" s="187" t="str">
        <f>INDEX('Revenue by Customer'!M:M,MATCH('Full Customer List'!$B277,'Revenue by Customer'!$A:$A,0))</f>
        <v/>
      </c>
      <c r="N277" s="187" t="str">
        <f>INDEX('Revenue by Customer'!N:N,MATCH('Full Customer List'!$B277,'Revenue by Customer'!$A:$A,0))</f>
        <v/>
      </c>
      <c r="O277" s="187" t="str">
        <f>INDEX('Revenue by Customer'!O:O,MATCH('Full Customer List'!$B277,'Revenue by Customer'!$A:$A,0))</f>
        <v/>
      </c>
      <c r="P277" s="187" t="str">
        <f>INDEX('Revenue by Customer'!P:P,MATCH('Full Customer List'!$B277,'Revenue by Customer'!$A:$A,0))</f>
        <v/>
      </c>
      <c r="Q277" s="187" t="str">
        <f>INDEX('Revenue by Customer'!Q:Q,MATCH('Full Customer List'!$B277,'Revenue by Customer'!$A:$A,0))</f>
        <v/>
      </c>
      <c r="R277" s="187" t="str">
        <f>INDEX('Revenue by Customer'!R:R,MATCH('Full Customer List'!$B277,'Revenue by Customer'!$A:$A,0))</f>
        <v/>
      </c>
      <c r="S277" s="187" t="str">
        <f>INDEX('Revenue by Customer'!S:S,MATCH('Full Customer List'!$B277,'Revenue by Customer'!$A:$A,0))</f>
        <v/>
      </c>
      <c r="T277" s="187">
        <f>INDEX('Revenue by Customer'!T:T,MATCH('Full Customer List'!$B277,'Revenue by Customer'!$A:$A,0))</f>
        <v>495</v>
      </c>
      <c r="U277" s="187" t="str">
        <f>INDEX('Revenue by Customer'!U:U,MATCH('Full Customer List'!$B277,'Revenue by Customer'!$A:$A,0))</f>
        <v/>
      </c>
      <c r="V277" s="187" t="str">
        <f>INDEX('Revenue by Customer'!V:V,MATCH('Full Customer List'!$B277,'Revenue by Customer'!$A:$A,0))</f>
        <v/>
      </c>
      <c r="W277" s="187" t="str">
        <f>INDEX('Revenue by Customer'!W:W,MATCH('Full Customer List'!$B277,'Revenue by Customer'!$A:$A,0))</f>
        <v/>
      </c>
      <c r="X277" s="187" t="str">
        <f>INDEX('Revenue by Customer'!X:X,MATCH('Full Customer List'!$B277,'Revenue by Customer'!$A:$A,0))</f>
        <v/>
      </c>
      <c r="Y277" s="187">
        <f>INDEX('Revenue by Customer'!Y:Y,MATCH('Full Customer List'!$B277,'Revenue by Customer'!$A:$A,0))</f>
        <v>0</v>
      </c>
      <c r="Z277" s="187" t="str">
        <f>INDEX('Revenue by Customer'!Z:Z,MATCH('Full Customer List'!$B277,'Revenue by Customer'!$A:$A,0))</f>
        <v/>
      </c>
      <c r="AA277" s="187" t="str">
        <f>INDEX('Revenue by Customer'!AA:AA,MATCH('Full Customer List'!$B277,'Revenue by Customer'!$A:$A,0))</f>
        <v/>
      </c>
      <c r="AB277" s="187" t="str">
        <f>INDEX('Revenue by Customer'!AB:AB,MATCH('Full Customer List'!$B277,'Revenue by Customer'!$A:$A,0))</f>
        <v/>
      </c>
      <c r="AC277" s="187" t="str">
        <f>INDEX('Revenue by Customer'!AC:AC,MATCH('Full Customer List'!$B277,'Revenue by Customer'!$A:$A,0))</f>
        <v/>
      </c>
    </row>
    <row r="278" spans="2:29" ht="12" customHeight="1">
      <c r="B278" s="171" t="s">
        <v>926</v>
      </c>
      <c r="C278" s="217" t="s">
        <v>497</v>
      </c>
      <c r="D278" s="171" t="str">
        <f>INDEX('Customer List w Software'!$C:$C,MATCH('Full Customer List'!$B278,'Customer List w Software'!$A:$A,0))</f>
        <v>STR owner</v>
      </c>
      <c r="E278" s="171" t="str">
        <f>INDEX('Customer List Mapping'!$C:$C,MATCH('Full Customer List'!D278,'Customer List Mapping'!$B:$B,0))</f>
        <v>STR Owner</v>
      </c>
      <c r="F278" s="187" t="str">
        <f>INDEX('Customer List w Software'!$K:$K,MATCH('Full Customer List'!$B278,'Customer List w Software'!$A:$A,0))</f>
        <v/>
      </c>
      <c r="G278" s="187">
        <f>INDEX('Revenue by Customer'!$I:$I,MATCH('Full Customer List'!$B278,'Revenue by Customer'!$A:$A,0))</f>
        <v>418</v>
      </c>
      <c r="H278" s="250" t="str">
        <f>IFERROR(IF(C278="Active","",INDEX('Client Departures'!$G:$G,MATCH('Full Customer List'!$B278,'Client Departures'!$A:$A,0))),"Unclassified")</f>
        <v/>
      </c>
      <c r="I278" s="191">
        <v>46204</v>
      </c>
      <c r="J278" s="191"/>
      <c r="K278" s="187" t="str">
        <f>INDEX('Revenue by Customer'!K:K,MATCH('Full Customer List'!$B278,'Revenue by Customer'!$A:$A,0))</f>
        <v/>
      </c>
      <c r="L278" s="187" t="str">
        <f>INDEX('Revenue by Customer'!L:L,MATCH('Full Customer List'!$B278,'Revenue by Customer'!$A:$A,0))</f>
        <v/>
      </c>
      <c r="M278" s="187" t="str">
        <f>INDEX('Revenue by Customer'!M:M,MATCH('Full Customer List'!$B278,'Revenue by Customer'!$A:$A,0))</f>
        <v/>
      </c>
      <c r="N278" s="187" t="str">
        <f>INDEX('Revenue by Customer'!N:N,MATCH('Full Customer List'!$B278,'Revenue by Customer'!$A:$A,0))</f>
        <v/>
      </c>
      <c r="O278" s="187" t="str">
        <f>INDEX('Revenue by Customer'!O:O,MATCH('Full Customer List'!$B278,'Revenue by Customer'!$A:$A,0))</f>
        <v/>
      </c>
      <c r="P278" s="187" t="str">
        <f>INDEX('Revenue by Customer'!P:P,MATCH('Full Customer List'!$B278,'Revenue by Customer'!$A:$A,0))</f>
        <v/>
      </c>
      <c r="Q278" s="187" t="str">
        <f>INDEX('Revenue by Customer'!Q:Q,MATCH('Full Customer List'!$B278,'Revenue by Customer'!$A:$A,0))</f>
        <v/>
      </c>
      <c r="R278" s="187" t="str">
        <f>INDEX('Revenue by Customer'!R:R,MATCH('Full Customer List'!$B278,'Revenue by Customer'!$A:$A,0))</f>
        <v/>
      </c>
      <c r="S278" s="187" t="str">
        <f>INDEX('Revenue by Customer'!S:S,MATCH('Full Customer List'!$B278,'Revenue by Customer'!$A:$A,0))</f>
        <v/>
      </c>
      <c r="T278" s="187" t="str">
        <f>INDEX('Revenue by Customer'!T:T,MATCH('Full Customer List'!$B278,'Revenue by Customer'!$A:$A,0))</f>
        <v/>
      </c>
      <c r="U278" s="187" t="str">
        <f>INDEX('Revenue by Customer'!U:U,MATCH('Full Customer List'!$B278,'Revenue by Customer'!$A:$A,0))</f>
        <v/>
      </c>
      <c r="V278" s="187" t="str">
        <f>INDEX('Revenue by Customer'!V:V,MATCH('Full Customer List'!$B278,'Revenue by Customer'!$A:$A,0))</f>
        <v/>
      </c>
      <c r="W278" s="187" t="str">
        <f>INDEX('Revenue by Customer'!W:W,MATCH('Full Customer List'!$B278,'Revenue by Customer'!$A:$A,0))</f>
        <v/>
      </c>
      <c r="X278" s="187" t="str">
        <f>INDEX('Revenue by Customer'!X:X,MATCH('Full Customer List'!$B278,'Revenue by Customer'!$A:$A,0))</f>
        <v/>
      </c>
      <c r="Y278" s="187" t="str">
        <f>INDEX('Revenue by Customer'!Y:Y,MATCH('Full Customer List'!$B278,'Revenue by Customer'!$A:$A,0))</f>
        <v/>
      </c>
      <c r="Z278" s="187" t="str">
        <f>INDEX('Revenue by Customer'!Z:Z,MATCH('Full Customer List'!$B278,'Revenue by Customer'!$A:$A,0))</f>
        <v/>
      </c>
      <c r="AA278" s="187" t="str">
        <f>INDEX('Revenue by Customer'!AA:AA,MATCH('Full Customer List'!$B278,'Revenue by Customer'!$A:$A,0))</f>
        <v/>
      </c>
      <c r="AB278" s="187" t="str">
        <f>INDEX('Revenue by Customer'!AB:AB,MATCH('Full Customer List'!$B278,'Revenue by Customer'!$A:$A,0))</f>
        <v/>
      </c>
      <c r="AC278" s="187">
        <f>INDEX('Revenue by Customer'!AC:AC,MATCH('Full Customer List'!$B278,'Revenue by Customer'!$A:$A,0))</f>
        <v>418</v>
      </c>
    </row>
    <row r="279" spans="2:29" ht="12" customHeight="1">
      <c r="B279" s="171" t="s">
        <v>927</v>
      </c>
      <c r="C279" s="171" t="str">
        <f>INDEX('Customer List w Software'!$B:$B,MATCH('Full Customer List'!$B279,'Customer List w Software'!$A:$A,0))</f>
        <v>Former client</v>
      </c>
      <c r="D279" s="171" t="str">
        <f>INDEX('Customer List w Software'!$C:$C,MATCH('Full Customer List'!$B279,'Customer List w Software'!$A:$A,0))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87" t="str">
        <f>INDEX('Customer List w Software'!$K:$K,MATCH('Full Customer List'!$B279,'Customer List w Software'!$A:$A,0))</f>
        <v/>
      </c>
      <c r="G279" s="187">
        <f>INDEX('Revenue by Customer'!$I:$I,MATCH('Full Customer List'!$B279,'Revenue by Customer'!$A:$A,0))</f>
        <v>395</v>
      </c>
      <c r="H279" s="250" t="str">
        <f>IFERROR(IF(C279="Active","",INDEX('Client Departures'!$G:$G,MATCH('Full Customer List'!$B279,'Client Departures'!$A:$A,0))),"Unclassified")</f>
        <v>Yes</v>
      </c>
      <c r="I279" s="191">
        <v>45536</v>
      </c>
      <c r="J279" s="191">
        <v>45900</v>
      </c>
      <c r="K279" s="187">
        <f>INDEX('Revenue by Customer'!K:K,MATCH('Full Customer List'!$B279,'Revenue by Customer'!$A:$A,0))</f>
        <v>395</v>
      </c>
      <c r="L279" s="187">
        <f>INDEX('Revenue by Customer'!L:L,MATCH('Full Customer List'!$B279,'Revenue by Customer'!$A:$A,0))</f>
        <v>395</v>
      </c>
      <c r="M279" s="187">
        <f>INDEX('Revenue by Customer'!M:M,MATCH('Full Customer List'!$B279,'Revenue by Customer'!$A:$A,0))</f>
        <v>395</v>
      </c>
      <c r="N279" s="187">
        <f>INDEX('Revenue by Customer'!N:N,MATCH('Full Customer List'!$B279,'Revenue by Customer'!$A:$A,0))</f>
        <v>395</v>
      </c>
      <c r="O279" s="187">
        <f>INDEX('Revenue by Customer'!O:O,MATCH('Full Customer List'!$B279,'Revenue by Customer'!$A:$A,0))</f>
        <v>395</v>
      </c>
      <c r="P279" s="187">
        <f>INDEX('Revenue by Customer'!P:P,MATCH('Full Customer List'!$B279,'Revenue by Customer'!$A:$A,0))</f>
        <v>395</v>
      </c>
      <c r="Q279" s="187">
        <f>INDEX('Revenue by Customer'!Q:Q,MATCH('Full Customer List'!$B279,'Revenue by Customer'!$A:$A,0))</f>
        <v>395</v>
      </c>
      <c r="R279" s="187">
        <f>INDEX('Revenue by Customer'!R:R,MATCH('Full Customer List'!$B279,'Revenue by Customer'!$A:$A,0))</f>
        <v>395</v>
      </c>
      <c r="S279" s="187" t="str">
        <f>INDEX('Revenue by Customer'!S:S,MATCH('Full Customer List'!$B279,'Revenue by Customer'!$A:$A,0))</f>
        <v/>
      </c>
      <c r="T279" s="187" t="str">
        <f>INDEX('Revenue by Customer'!T:T,MATCH('Full Customer List'!$B279,'Revenue by Customer'!$A:$A,0))</f>
        <v/>
      </c>
      <c r="U279" s="187" t="str">
        <f>INDEX('Revenue by Customer'!U:U,MATCH('Full Customer List'!$B279,'Revenue by Customer'!$A:$A,0))</f>
        <v/>
      </c>
      <c r="V279" s="187" t="str">
        <f>INDEX('Revenue by Customer'!V:V,MATCH('Full Customer List'!$B279,'Revenue by Customer'!$A:$A,0))</f>
        <v/>
      </c>
      <c r="W279" s="187" t="str">
        <f>INDEX('Revenue by Customer'!W:W,MATCH('Full Customer List'!$B279,'Revenue by Customer'!$A:$A,0))</f>
        <v/>
      </c>
      <c r="X279" s="187" t="str">
        <f>INDEX('Revenue by Customer'!X:X,MATCH('Full Customer List'!$B279,'Revenue by Customer'!$A:$A,0))</f>
        <v/>
      </c>
      <c r="Y279" s="187" t="str">
        <f>INDEX('Revenue by Customer'!Y:Y,MATCH('Full Customer List'!$B279,'Revenue by Customer'!$A:$A,0))</f>
        <v/>
      </c>
      <c r="Z279" s="187" t="str">
        <f>INDEX('Revenue by Customer'!Z:Z,MATCH('Full Customer List'!$B279,'Revenue by Customer'!$A:$A,0))</f>
        <v/>
      </c>
      <c r="AA279" s="187" t="str">
        <f>INDEX('Revenue by Customer'!AA:AA,MATCH('Full Customer List'!$B279,'Revenue by Customer'!$A:$A,0))</f>
        <v/>
      </c>
      <c r="AB279" s="187" t="str">
        <f>INDEX('Revenue by Customer'!AB:AB,MATCH('Full Customer List'!$B279,'Revenue by Customer'!$A:$A,0))</f>
        <v/>
      </c>
      <c r="AC279" s="187" t="str">
        <f>INDEX('Revenue by Customer'!AC:AC,MATCH('Full Customer List'!$B279,'Revenue by Customer'!$A:$A,0))</f>
        <v/>
      </c>
    </row>
    <row r="280" spans="2:29" ht="12" customHeight="1">
      <c r="B280" s="171" t="s">
        <v>928</v>
      </c>
      <c r="C280" s="217" t="s">
        <v>497</v>
      </c>
      <c r="D280" s="171" t="str">
        <f>INDEX('Customer List w Software'!$C:$C,MATCH('Full Customer List'!$B280,'Customer List w Software'!$A:$A,0))</f>
        <v>Tax client only</v>
      </c>
      <c r="E280" s="171" t="str">
        <f>INDEX('Customer List Mapping'!$C:$C,MATCH('Full Customer List'!D280,'Customer List Mapping'!$B:$B,0))</f>
        <v>Tax-Only Client</v>
      </c>
      <c r="F280" s="187" t="str">
        <f>INDEX('Customer List w Software'!$K:$K,MATCH('Full Customer List'!$B280,'Customer List w Software'!$A:$A,0))</f>
        <v/>
      </c>
      <c r="G280" s="187">
        <f>INDEX('Revenue by Customer'!$I:$I,MATCH('Full Customer List'!$B280,'Revenue by Customer'!$A:$A,0))</f>
        <v>380.25</v>
      </c>
      <c r="H280" s="250" t="str">
        <f>IFERROR(IF(C280="Active","",INDEX('Client Departures'!$G:$G,MATCH('Full Customer List'!$B280,'Client Departures'!$A:$A,0))),"Unclassified")</f>
        <v/>
      </c>
      <c r="I280" s="191">
        <v>45931</v>
      </c>
      <c r="J280" s="191"/>
      <c r="K280" s="187" t="str">
        <f>INDEX('Revenue by Customer'!K:K,MATCH('Full Customer List'!$B280,'Revenue by Customer'!$A:$A,0))</f>
        <v/>
      </c>
      <c r="L280" s="187" t="str">
        <f>INDEX('Revenue by Customer'!L:L,MATCH('Full Customer List'!$B280,'Revenue by Customer'!$A:$A,0))</f>
        <v/>
      </c>
      <c r="M280" s="187" t="str">
        <f>INDEX('Revenue by Customer'!M:M,MATCH('Full Customer List'!$B280,'Revenue by Customer'!$A:$A,0))</f>
        <v/>
      </c>
      <c r="N280" s="187" t="str">
        <f>INDEX('Revenue by Customer'!N:N,MATCH('Full Customer List'!$B280,'Revenue by Customer'!$A:$A,0))</f>
        <v/>
      </c>
      <c r="O280" s="187" t="str">
        <f>INDEX('Revenue by Customer'!O:O,MATCH('Full Customer List'!$B280,'Revenue by Customer'!$A:$A,0))</f>
        <v/>
      </c>
      <c r="P280" s="187" t="str">
        <f>INDEX('Revenue by Customer'!P:P,MATCH('Full Customer List'!$B280,'Revenue by Customer'!$A:$A,0))</f>
        <v/>
      </c>
      <c r="Q280" s="187" t="str">
        <f>INDEX('Revenue by Customer'!Q:Q,MATCH('Full Customer List'!$B280,'Revenue by Customer'!$A:$A,0))</f>
        <v/>
      </c>
      <c r="R280" s="187" t="str">
        <f>INDEX('Revenue by Customer'!R:R,MATCH('Full Customer List'!$B280,'Revenue by Customer'!$A:$A,0))</f>
        <v/>
      </c>
      <c r="S280" s="187" t="str">
        <f>INDEX('Revenue by Customer'!S:S,MATCH('Full Customer List'!$B280,'Revenue by Customer'!$A:$A,0))</f>
        <v/>
      </c>
      <c r="T280" s="187">
        <f>INDEX('Revenue by Customer'!T:T,MATCH('Full Customer List'!$B280,'Revenue by Customer'!$A:$A,0))</f>
        <v>380.25</v>
      </c>
      <c r="U280" s="187" t="str">
        <f>INDEX('Revenue by Customer'!U:U,MATCH('Full Customer List'!$B280,'Revenue by Customer'!$A:$A,0))</f>
        <v/>
      </c>
      <c r="V280" s="187" t="str">
        <f>INDEX('Revenue by Customer'!V:V,MATCH('Full Customer List'!$B280,'Revenue by Customer'!$A:$A,0))</f>
        <v/>
      </c>
      <c r="W280" s="187" t="str">
        <f>INDEX('Revenue by Customer'!W:W,MATCH('Full Customer List'!$B280,'Revenue by Customer'!$A:$A,0))</f>
        <v/>
      </c>
      <c r="X280" s="187" t="str">
        <f>INDEX('Revenue by Customer'!X:X,MATCH('Full Customer List'!$B280,'Revenue by Customer'!$A:$A,0))</f>
        <v/>
      </c>
      <c r="Y280" s="187" t="str">
        <f>INDEX('Revenue by Customer'!Y:Y,MATCH('Full Customer List'!$B280,'Revenue by Customer'!$A:$A,0))</f>
        <v/>
      </c>
      <c r="Z280" s="187" t="str">
        <f>INDEX('Revenue by Customer'!Z:Z,MATCH('Full Customer List'!$B280,'Revenue by Customer'!$A:$A,0))</f>
        <v/>
      </c>
      <c r="AA280" s="187" t="str">
        <f>INDEX('Revenue by Customer'!AA:AA,MATCH('Full Customer List'!$B280,'Revenue by Customer'!$A:$A,0))</f>
        <v/>
      </c>
      <c r="AB280" s="187" t="str">
        <f>INDEX('Revenue by Customer'!AB:AB,MATCH('Full Customer List'!$B280,'Revenue by Customer'!$A:$A,0))</f>
        <v/>
      </c>
      <c r="AC280" s="187" t="str">
        <f>INDEX('Revenue by Customer'!AC:AC,MATCH('Full Customer List'!$B280,'Revenue by Customer'!$A:$A,0))</f>
        <v/>
      </c>
    </row>
    <row r="281" spans="2:29" ht="12" customHeight="1">
      <c r="B281" s="171" t="s">
        <v>929</v>
      </c>
      <c r="C281" s="171" t="str">
        <f>INDEX('Customer List w Software'!$B:$B,MATCH('Full Customer List'!$B281,'Customer List w Software'!$A:$A,0))</f>
        <v>Former client</v>
      </c>
      <c r="D281" s="171" t="str">
        <f>INDEX('Customer List w Software'!$C:$C,MATCH('Full Customer List'!$B281,'Customer List w Software'!$A:$A,0))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87" t="str">
        <f>INDEX('Customer List w Software'!$K:$K,MATCH('Full Customer List'!$B281,'Customer List w Software'!$A:$A,0))</f>
        <v/>
      </c>
      <c r="G281" s="187">
        <f>INDEX('Revenue by Customer'!$I:$I,MATCH('Full Customer List'!$B281,'Revenue by Customer'!$A:$A,0))</f>
        <v>90</v>
      </c>
      <c r="H281" s="250" t="str">
        <f>IFERROR(IF(C281="Active","",INDEX('Client Departures'!$G:$G,MATCH('Full Customer List'!$B281,'Client Departures'!$A:$A,0))),"Unclassified")</f>
        <v>No</v>
      </c>
      <c r="I281" s="191">
        <v>45901</v>
      </c>
      <c r="J281" s="191">
        <v>45991</v>
      </c>
      <c r="K281" s="187" t="str">
        <f>INDEX('Revenue by Customer'!K:K,MATCH('Full Customer List'!$B281,'Revenue by Customer'!$A:$A,0))</f>
        <v/>
      </c>
      <c r="L281" s="187" t="str">
        <f>INDEX('Revenue by Customer'!L:L,MATCH('Full Customer List'!$B281,'Revenue by Customer'!$A:$A,0))</f>
        <v/>
      </c>
      <c r="M281" s="187" t="str">
        <f>INDEX('Revenue by Customer'!M:M,MATCH('Full Customer List'!$B281,'Revenue by Customer'!$A:$A,0))</f>
        <v/>
      </c>
      <c r="N281" s="187" t="str">
        <f>INDEX('Revenue by Customer'!N:N,MATCH('Full Customer List'!$B281,'Revenue by Customer'!$A:$A,0))</f>
        <v/>
      </c>
      <c r="O281" s="187" t="str">
        <f>INDEX('Revenue by Customer'!O:O,MATCH('Full Customer List'!$B281,'Revenue by Customer'!$A:$A,0))</f>
        <v/>
      </c>
      <c r="P281" s="187" t="str">
        <f>INDEX('Revenue by Customer'!P:P,MATCH('Full Customer List'!$B281,'Revenue by Customer'!$A:$A,0))</f>
        <v/>
      </c>
      <c r="Q281" s="187" t="str">
        <f>INDEX('Revenue by Customer'!Q:Q,MATCH('Full Customer List'!$B281,'Revenue by Customer'!$A:$A,0))</f>
        <v/>
      </c>
      <c r="R281" s="187" t="str">
        <f>INDEX('Revenue by Customer'!R:R,MATCH('Full Customer List'!$B281,'Revenue by Customer'!$A:$A,0))</f>
        <v/>
      </c>
      <c r="S281" s="187">
        <f>INDEX('Revenue by Customer'!S:S,MATCH('Full Customer List'!$B281,'Revenue by Customer'!$A:$A,0))</f>
        <v>85</v>
      </c>
      <c r="T281" s="187">
        <f>INDEX('Revenue by Customer'!T:T,MATCH('Full Customer List'!$B281,'Revenue by Customer'!$A:$A,0))</f>
        <v>85</v>
      </c>
      <c r="U281" s="187">
        <f>INDEX('Revenue by Customer'!U:U,MATCH('Full Customer List'!$B281,'Revenue by Customer'!$A:$A,0))</f>
        <v>85</v>
      </c>
      <c r="V281" s="187">
        <f>INDEX('Revenue by Customer'!V:V,MATCH('Full Customer List'!$B281,'Revenue by Customer'!$A:$A,0))</f>
        <v>100</v>
      </c>
      <c r="W281" s="187" t="str">
        <f>INDEX('Revenue by Customer'!W:W,MATCH('Full Customer List'!$B281,'Revenue by Customer'!$A:$A,0))</f>
        <v/>
      </c>
      <c r="X281" s="187" t="str">
        <f>INDEX('Revenue by Customer'!X:X,MATCH('Full Customer List'!$B281,'Revenue by Customer'!$A:$A,0))</f>
        <v/>
      </c>
      <c r="Y281" s="187" t="str">
        <f>INDEX('Revenue by Customer'!Y:Y,MATCH('Full Customer List'!$B281,'Revenue by Customer'!$A:$A,0))</f>
        <v/>
      </c>
      <c r="Z281" s="187" t="str">
        <f>INDEX('Revenue by Customer'!Z:Z,MATCH('Full Customer List'!$B281,'Revenue by Customer'!$A:$A,0))</f>
        <v/>
      </c>
      <c r="AA281" s="187" t="str">
        <f>INDEX('Revenue by Customer'!AA:AA,MATCH('Full Customer List'!$B281,'Revenue by Customer'!$A:$A,0))</f>
        <v/>
      </c>
      <c r="AB281" s="187" t="str">
        <f>INDEX('Revenue by Customer'!AB:AB,MATCH('Full Customer List'!$B281,'Revenue by Customer'!$A:$A,0))</f>
        <v/>
      </c>
      <c r="AC281" s="187" t="str">
        <f>INDEX('Revenue by Customer'!AC:AC,MATCH('Full Customer List'!$B281,'Revenue by Customer'!$A:$A,0))</f>
        <v/>
      </c>
    </row>
    <row r="282" spans="2:29" ht="12" customHeight="1">
      <c r="B282" s="171" t="s">
        <v>930</v>
      </c>
      <c r="C282" s="171" t="str">
        <f>INDEX('Customer List w Software'!$B:$B,MATCH('Full Customer List'!$B282,'Customer List w Software'!$A:$A,0))</f>
        <v>Former client</v>
      </c>
      <c r="D282" s="171" t="str">
        <f>INDEX('Customer List w Software'!$C:$C,MATCH('Full Customer List'!$B282,'Customer List w Software'!$A:$A,0))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87" t="str">
        <f>INDEX('Customer List w Software'!$K:$K,MATCH('Full Customer List'!$B282,'Customer List w Software'!$A:$A,0))</f>
        <v/>
      </c>
      <c r="G282" s="187">
        <f>INDEX('Revenue by Customer'!$I:$I,MATCH('Full Customer List'!$B282,'Revenue by Customer'!$A:$A,0))</f>
        <v>200</v>
      </c>
      <c r="H282" s="250" t="str">
        <f>IFERROR(IF(C282="Active","",INDEX('Client Departures'!$G:$G,MATCH('Full Customer List'!$B282,'Client Departures'!$A:$A,0))),"Unclassified")</f>
        <v>No</v>
      </c>
      <c r="I282" s="191">
        <v>45992</v>
      </c>
      <c r="J282" s="191">
        <v>46022</v>
      </c>
      <c r="K282" s="187" t="str">
        <f>INDEX('Revenue by Customer'!K:K,MATCH('Full Customer List'!$B282,'Revenue by Customer'!$A:$A,0))</f>
        <v/>
      </c>
      <c r="L282" s="187" t="str">
        <f>INDEX('Revenue by Customer'!L:L,MATCH('Full Customer List'!$B282,'Revenue by Customer'!$A:$A,0))</f>
        <v/>
      </c>
      <c r="M282" s="187" t="str">
        <f>INDEX('Revenue by Customer'!M:M,MATCH('Full Customer List'!$B282,'Revenue by Customer'!$A:$A,0))</f>
        <v/>
      </c>
      <c r="N282" s="187" t="str">
        <f>INDEX('Revenue by Customer'!N:N,MATCH('Full Customer List'!$B282,'Revenue by Customer'!$A:$A,0))</f>
        <v/>
      </c>
      <c r="O282" s="187" t="str">
        <f>INDEX('Revenue by Customer'!O:O,MATCH('Full Customer List'!$B282,'Revenue by Customer'!$A:$A,0))</f>
        <v/>
      </c>
      <c r="P282" s="187" t="str">
        <f>INDEX('Revenue by Customer'!P:P,MATCH('Full Customer List'!$B282,'Revenue by Customer'!$A:$A,0))</f>
        <v/>
      </c>
      <c r="Q282" s="187" t="str">
        <f>INDEX('Revenue by Customer'!Q:Q,MATCH('Full Customer List'!$B282,'Revenue by Customer'!$A:$A,0))</f>
        <v/>
      </c>
      <c r="R282" s="187" t="str">
        <f>INDEX('Revenue by Customer'!R:R,MATCH('Full Customer List'!$B282,'Revenue by Customer'!$A:$A,0))</f>
        <v/>
      </c>
      <c r="S282" s="187" t="str">
        <f>INDEX('Revenue by Customer'!S:S,MATCH('Full Customer List'!$B282,'Revenue by Customer'!$A:$A,0))</f>
        <v/>
      </c>
      <c r="T282" s="187" t="str">
        <f>INDEX('Revenue by Customer'!T:T,MATCH('Full Customer List'!$B282,'Revenue by Customer'!$A:$A,0))</f>
        <v/>
      </c>
      <c r="U282" s="187" t="str">
        <f>INDEX('Revenue by Customer'!U:U,MATCH('Full Customer List'!$B282,'Revenue by Customer'!$A:$A,0))</f>
        <v/>
      </c>
      <c r="V282" s="187">
        <f>INDEX('Revenue by Customer'!V:V,MATCH('Full Customer List'!$B282,'Revenue by Customer'!$A:$A,0))</f>
        <v>200</v>
      </c>
      <c r="W282" s="187">
        <f>INDEX('Revenue by Customer'!W:W,MATCH('Full Customer List'!$B282,'Revenue by Customer'!$A:$A,0))</f>
        <v>0</v>
      </c>
      <c r="X282" s="187" t="str">
        <f>INDEX('Revenue by Customer'!X:X,MATCH('Full Customer List'!$B282,'Revenue by Customer'!$A:$A,0))</f>
        <v/>
      </c>
      <c r="Y282" s="187" t="str">
        <f>INDEX('Revenue by Customer'!Y:Y,MATCH('Full Customer List'!$B282,'Revenue by Customer'!$A:$A,0))</f>
        <v/>
      </c>
      <c r="Z282" s="187" t="str">
        <f>INDEX('Revenue by Customer'!Z:Z,MATCH('Full Customer List'!$B282,'Revenue by Customer'!$A:$A,0))</f>
        <v/>
      </c>
      <c r="AA282" s="187" t="str">
        <f>INDEX('Revenue by Customer'!AA:AA,MATCH('Full Customer List'!$B282,'Revenue by Customer'!$A:$A,0))</f>
        <v/>
      </c>
      <c r="AB282" s="187" t="str">
        <f>INDEX('Revenue by Customer'!AB:AB,MATCH('Full Customer List'!$B282,'Revenue by Customer'!$A:$A,0))</f>
        <v/>
      </c>
      <c r="AC282" s="187" t="str">
        <f>INDEX('Revenue by Customer'!AC:AC,MATCH('Full Customer List'!$B282,'Revenue by Customer'!$A:$A,0))</f>
        <v/>
      </c>
    </row>
    <row r="283" spans="2:29" ht="12" customHeight="1">
      <c r="B283" s="171" t="s">
        <v>931</v>
      </c>
      <c r="C283" s="171" t="str">
        <f>INDEX('Customer List w Software'!$B:$B,MATCH('Full Customer List'!$B283,'Customer List w Software'!$A:$A,0))</f>
        <v>Former client</v>
      </c>
      <c r="D283" s="171" t="str">
        <f>INDEX('Customer List w Software'!$C:$C,MATCH('Full Customer List'!$B283,'Customer List w Software'!$A:$A,0))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87" t="str">
        <f>INDEX('Customer List w Software'!$K:$K,MATCH('Full Customer List'!$B283,'Customer List w Software'!$A:$A,0))</f>
        <v/>
      </c>
      <c r="G283" s="187">
        <f>INDEX('Revenue by Customer'!$I:$I,MATCH('Full Customer List'!$B283,'Revenue by Customer'!$A:$A,0))</f>
        <v>488.33333333333331</v>
      </c>
      <c r="H283" s="250" t="str">
        <f>IFERROR(IF(C283="Active","",INDEX('Client Departures'!$G:$G,MATCH('Full Customer List'!$B283,'Client Departures'!$A:$A,0))),"Unclassified")</f>
        <v>Yes</v>
      </c>
      <c r="I283" s="191">
        <v>45352</v>
      </c>
      <c r="J283" s="191">
        <v>45838</v>
      </c>
      <c r="K283" s="187">
        <f>INDEX('Revenue by Customer'!K:K,MATCH('Full Customer List'!$B283,'Revenue by Customer'!$A:$A,0))</f>
        <v>948</v>
      </c>
      <c r="L283" s="187">
        <f>INDEX('Revenue by Customer'!L:L,MATCH('Full Customer List'!$B283,'Revenue by Customer'!$A:$A,0))</f>
        <v>1075</v>
      </c>
      <c r="M283" s="187">
        <f>INDEX('Revenue by Customer'!M:M,MATCH('Full Customer List'!$B283,'Revenue by Customer'!$A:$A,0))</f>
        <v>940</v>
      </c>
      <c r="N283" s="187">
        <f>INDEX('Revenue by Customer'!N:N,MATCH('Full Customer List'!$B283,'Revenue by Customer'!$A:$A,0))</f>
        <v>925</v>
      </c>
      <c r="O283" s="187">
        <f>INDEX('Revenue by Customer'!O:O,MATCH('Full Customer List'!$B283,'Revenue by Customer'!$A:$A,0))</f>
        <v>1225</v>
      </c>
      <c r="P283" s="187">
        <f>INDEX('Revenue by Customer'!P:P,MATCH('Full Customer List'!$B283,'Revenue by Customer'!$A:$A,0))</f>
        <v>1375</v>
      </c>
      <c r="Q283" s="187" t="str">
        <f>INDEX('Revenue by Customer'!Q:Q,MATCH('Full Customer List'!$B283,'Revenue by Customer'!$A:$A,0))</f>
        <v/>
      </c>
      <c r="R283" s="187" t="str">
        <f>INDEX('Revenue by Customer'!R:R,MATCH('Full Customer List'!$B283,'Revenue by Customer'!$A:$A,0))</f>
        <v/>
      </c>
      <c r="S283" s="187" t="str">
        <f>INDEX('Revenue by Customer'!S:S,MATCH('Full Customer List'!$B283,'Revenue by Customer'!$A:$A,0))</f>
        <v/>
      </c>
      <c r="T283" s="187" t="str">
        <f>INDEX('Revenue by Customer'!T:T,MATCH('Full Customer List'!$B283,'Revenue by Customer'!$A:$A,0))</f>
        <v/>
      </c>
      <c r="U283" s="187" t="str">
        <f>INDEX('Revenue by Customer'!U:U,MATCH('Full Customer List'!$B283,'Revenue by Customer'!$A:$A,0))</f>
        <v/>
      </c>
      <c r="V283" s="187" t="str">
        <f>INDEX('Revenue by Customer'!V:V,MATCH('Full Customer List'!$B283,'Revenue by Customer'!$A:$A,0))</f>
        <v/>
      </c>
      <c r="W283" s="187">
        <f>INDEX('Revenue by Customer'!W:W,MATCH('Full Customer List'!$B283,'Revenue by Customer'!$A:$A,0))</f>
        <v>75</v>
      </c>
      <c r="X283" s="187">
        <f>INDEX('Revenue by Customer'!X:X,MATCH('Full Customer List'!$B283,'Revenue by Customer'!$A:$A,0))</f>
        <v>15</v>
      </c>
      <c r="Y283" s="187" t="str">
        <f>INDEX('Revenue by Customer'!Y:Y,MATCH('Full Customer List'!$B283,'Revenue by Customer'!$A:$A,0))</f>
        <v/>
      </c>
      <c r="Z283" s="187" t="str">
        <f>INDEX('Revenue by Customer'!Z:Z,MATCH('Full Customer List'!$B283,'Revenue by Customer'!$A:$A,0))</f>
        <v/>
      </c>
      <c r="AA283" s="187" t="str">
        <f>INDEX('Revenue by Customer'!AA:AA,MATCH('Full Customer List'!$B283,'Revenue by Customer'!$A:$A,0))</f>
        <v/>
      </c>
      <c r="AB283" s="187" t="str">
        <f>INDEX('Revenue by Customer'!AB:AB,MATCH('Full Customer List'!$B283,'Revenue by Customer'!$A:$A,0))</f>
        <v/>
      </c>
      <c r="AC283" s="187" t="str">
        <f>INDEX('Revenue by Customer'!AC:AC,MATCH('Full Customer List'!$B283,'Revenue by Customer'!$A:$A,0))</f>
        <v/>
      </c>
    </row>
    <row r="284" spans="2:29" ht="12" customHeight="1">
      <c r="B284" s="171" t="s">
        <v>932</v>
      </c>
      <c r="C284" s="171" t="str">
        <f>INDEX('Customer List w Software'!$B:$B,MATCH('Full Customer List'!$B284,'Customer List w Software'!$A:$A,0))</f>
        <v>Former client</v>
      </c>
      <c r="D284" s="171" t="str">
        <f>INDEX('Customer List w Software'!$C:$C,MATCH('Full Customer List'!$B284,'Customer List w Software'!$A:$A,0))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87" t="str">
        <f>INDEX('Customer List w Software'!$K:$K,MATCH('Full Customer List'!$B284,'Customer List w Software'!$A:$A,0))</f>
        <v/>
      </c>
      <c r="G284" s="187">
        <f>INDEX('Revenue by Customer'!$I:$I,MATCH('Full Customer List'!$B284,'Revenue by Customer'!$A:$A,0))</f>
        <v>1076.6666666666667</v>
      </c>
      <c r="H284" s="250" t="str">
        <f>IFERROR(IF(C284="Active","",INDEX('Client Departures'!$G:$G,MATCH('Full Customer List'!$B284,'Client Departures'!$A:$A,0))),"Unclassified")</f>
        <v>Yes</v>
      </c>
      <c r="I284" s="191">
        <v>45413</v>
      </c>
      <c r="J284" s="191">
        <v>45777</v>
      </c>
      <c r="K284" s="187">
        <f>INDEX('Revenue by Customer'!K:K,MATCH('Full Customer List'!$B284,'Revenue by Customer'!$A:$A,0))</f>
        <v>1400</v>
      </c>
      <c r="L284" s="187">
        <f>INDEX('Revenue by Customer'!L:L,MATCH('Full Customer List'!$B284,'Revenue by Customer'!$A:$A,0))</f>
        <v>1400</v>
      </c>
      <c r="M284" s="187">
        <f>INDEX('Revenue by Customer'!M:M,MATCH('Full Customer List'!$B284,'Revenue by Customer'!$A:$A,0))</f>
        <v>1400</v>
      </c>
      <c r="N284" s="187">
        <f>INDEX('Revenue by Customer'!N:N,MATCH('Full Customer List'!$B284,'Revenue by Customer'!$A:$A,0))</f>
        <v>1330</v>
      </c>
      <c r="O284" s="187" t="str">
        <f>INDEX('Revenue by Customer'!O:O,MATCH('Full Customer List'!$B284,'Revenue by Customer'!$A:$A,0))</f>
        <v/>
      </c>
      <c r="P284" s="187">
        <f>INDEX('Revenue by Customer'!P:P,MATCH('Full Customer List'!$B284,'Revenue by Customer'!$A:$A,0))</f>
        <v>500</v>
      </c>
      <c r="Q284" s="187" t="str">
        <f>INDEX('Revenue by Customer'!Q:Q,MATCH('Full Customer List'!$B284,'Revenue by Customer'!$A:$A,0))</f>
        <v/>
      </c>
      <c r="R284" s="187" t="str">
        <f>INDEX('Revenue by Customer'!R:R,MATCH('Full Customer List'!$B284,'Revenue by Customer'!$A:$A,0))</f>
        <v/>
      </c>
      <c r="S284" s="187" t="str">
        <f>INDEX('Revenue by Customer'!S:S,MATCH('Full Customer List'!$B284,'Revenue by Customer'!$A:$A,0))</f>
        <v/>
      </c>
      <c r="T284" s="187" t="str">
        <f>INDEX('Revenue by Customer'!T:T,MATCH('Full Customer List'!$B284,'Revenue by Customer'!$A:$A,0))</f>
        <v/>
      </c>
      <c r="U284" s="187" t="str">
        <f>INDEX('Revenue by Customer'!U:U,MATCH('Full Customer List'!$B284,'Revenue by Customer'!$A:$A,0))</f>
        <v/>
      </c>
      <c r="V284" s="187" t="str">
        <f>INDEX('Revenue by Customer'!V:V,MATCH('Full Customer List'!$B284,'Revenue by Customer'!$A:$A,0))</f>
        <v/>
      </c>
      <c r="W284" s="187" t="str">
        <f>INDEX('Revenue by Customer'!W:W,MATCH('Full Customer List'!$B284,'Revenue by Customer'!$A:$A,0))</f>
        <v/>
      </c>
      <c r="X284" s="187" t="str">
        <f>INDEX('Revenue by Customer'!X:X,MATCH('Full Customer List'!$B284,'Revenue by Customer'!$A:$A,0))</f>
        <v/>
      </c>
      <c r="Y284" s="187" t="str">
        <f>INDEX('Revenue by Customer'!Y:Y,MATCH('Full Customer List'!$B284,'Revenue by Customer'!$A:$A,0))</f>
        <v/>
      </c>
      <c r="Z284" s="187" t="str">
        <f>INDEX('Revenue by Customer'!Z:Z,MATCH('Full Customer List'!$B284,'Revenue by Customer'!$A:$A,0))</f>
        <v/>
      </c>
      <c r="AA284" s="187" t="str">
        <f>INDEX('Revenue by Customer'!AA:AA,MATCH('Full Customer List'!$B284,'Revenue by Customer'!$A:$A,0))</f>
        <v/>
      </c>
      <c r="AB284" s="187" t="str">
        <f>INDEX('Revenue by Customer'!AB:AB,MATCH('Full Customer List'!$B284,'Revenue by Customer'!$A:$A,0))</f>
        <v/>
      </c>
      <c r="AC284" s="187" t="str">
        <f>INDEX('Revenue by Customer'!AC:AC,MATCH('Full Customer List'!$B284,'Revenue by Customer'!$A:$A,0))</f>
        <v/>
      </c>
    </row>
    <row r="285" spans="2:29" ht="12" customHeight="1">
      <c r="B285" s="171" t="s">
        <v>933</v>
      </c>
      <c r="C285" s="171" t="str">
        <f>INDEX('Customer List w Software'!$B:$B,MATCH('Full Customer List'!$B285,'Customer List w Software'!$A:$A,0))</f>
        <v>Former client</v>
      </c>
      <c r="D285" s="171" t="str">
        <f>INDEX('Customer List w Software'!$C:$C,MATCH('Full Customer List'!$B285,'Customer List w Software'!$A:$A,0))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87" t="str">
        <f>INDEX('Customer List w Software'!$K:$K,MATCH('Full Customer List'!$B285,'Customer List w Software'!$A:$A,0))</f>
        <v/>
      </c>
      <c r="G285" s="187">
        <f>INDEX('Revenue by Customer'!$I:$I,MATCH('Full Customer List'!$B285,'Revenue by Customer'!$A:$A,0))</f>
        <v>710</v>
      </c>
      <c r="H285" s="250" t="str">
        <f>IFERROR(IF(C285="Active","",INDEX('Client Departures'!$G:$G,MATCH('Full Customer List'!$B285,'Client Departures'!$A:$A,0))),"Unclassified")</f>
        <v>Yes</v>
      </c>
      <c r="I285" s="191">
        <v>44317</v>
      </c>
      <c r="J285" s="191">
        <v>45869</v>
      </c>
      <c r="K285" s="187">
        <f>INDEX('Revenue by Customer'!K:K,MATCH('Full Customer List'!$B285,'Revenue by Customer'!$A:$A,0))</f>
        <v>950</v>
      </c>
      <c r="L285" s="187">
        <f>INDEX('Revenue by Customer'!L:L,MATCH('Full Customer List'!$B285,'Revenue by Customer'!$A:$A,0))</f>
        <v>710</v>
      </c>
      <c r="M285" s="187">
        <f>INDEX('Revenue by Customer'!M:M,MATCH('Full Customer List'!$B285,'Revenue by Customer'!$A:$A,0))</f>
        <v>710</v>
      </c>
      <c r="N285" s="187">
        <f>INDEX('Revenue by Customer'!N:N,MATCH('Full Customer List'!$B285,'Revenue by Customer'!$A:$A,0))</f>
        <v>710</v>
      </c>
      <c r="O285" s="187">
        <f>INDEX('Revenue by Customer'!O:O,MATCH('Full Customer List'!$B285,'Revenue by Customer'!$A:$A,0))</f>
        <v>710</v>
      </c>
      <c r="P285" s="187">
        <f>INDEX('Revenue by Customer'!P:P,MATCH('Full Customer List'!$B285,'Revenue by Customer'!$A:$A,0))</f>
        <v>710</v>
      </c>
      <c r="Q285" s="187">
        <f>INDEX('Revenue by Customer'!Q:Q,MATCH('Full Customer List'!$B285,'Revenue by Customer'!$A:$A,0))</f>
        <v>710</v>
      </c>
      <c r="R285" s="187" t="str">
        <f>INDEX('Revenue by Customer'!R:R,MATCH('Full Customer List'!$B285,'Revenue by Customer'!$A:$A,0))</f>
        <v/>
      </c>
      <c r="S285" s="187" t="str">
        <f>INDEX('Revenue by Customer'!S:S,MATCH('Full Customer List'!$B285,'Revenue by Customer'!$A:$A,0))</f>
        <v/>
      </c>
      <c r="T285" s="187" t="str">
        <f>INDEX('Revenue by Customer'!T:T,MATCH('Full Customer List'!$B285,'Revenue by Customer'!$A:$A,0))</f>
        <v/>
      </c>
      <c r="U285" s="187" t="str">
        <f>INDEX('Revenue by Customer'!U:U,MATCH('Full Customer List'!$B285,'Revenue by Customer'!$A:$A,0))</f>
        <v/>
      </c>
      <c r="V285" s="187" t="str">
        <f>INDEX('Revenue by Customer'!V:V,MATCH('Full Customer List'!$B285,'Revenue by Customer'!$A:$A,0))</f>
        <v/>
      </c>
      <c r="W285" s="187" t="str">
        <f>INDEX('Revenue by Customer'!W:W,MATCH('Full Customer List'!$B285,'Revenue by Customer'!$A:$A,0))</f>
        <v/>
      </c>
      <c r="X285" s="187" t="str">
        <f>INDEX('Revenue by Customer'!X:X,MATCH('Full Customer List'!$B285,'Revenue by Customer'!$A:$A,0))</f>
        <v/>
      </c>
      <c r="Y285" s="187" t="str">
        <f>INDEX('Revenue by Customer'!Y:Y,MATCH('Full Customer List'!$B285,'Revenue by Customer'!$A:$A,0))</f>
        <v/>
      </c>
      <c r="Z285" s="187" t="str">
        <f>INDEX('Revenue by Customer'!Z:Z,MATCH('Full Customer List'!$B285,'Revenue by Customer'!$A:$A,0))</f>
        <v/>
      </c>
      <c r="AA285" s="187" t="str">
        <f>INDEX('Revenue by Customer'!AA:AA,MATCH('Full Customer List'!$B285,'Revenue by Customer'!$A:$A,0))</f>
        <v/>
      </c>
      <c r="AB285" s="187" t="str">
        <f>INDEX('Revenue by Customer'!AB:AB,MATCH('Full Customer List'!$B285,'Revenue by Customer'!$A:$A,0))</f>
        <v/>
      </c>
      <c r="AC285" s="187" t="str">
        <f>INDEX('Revenue by Customer'!AC:AC,MATCH('Full Customer List'!$B285,'Revenue by Customer'!$A:$A,0))</f>
        <v/>
      </c>
    </row>
    <row r="286" spans="2:29" ht="12" customHeight="1">
      <c r="B286" s="171" t="s">
        <v>934</v>
      </c>
      <c r="C286" s="171" t="str">
        <f>INDEX('Customer List w Software'!$B:$B,MATCH('Full Customer List'!$B286,'Customer List w Software'!$A:$A,0))</f>
        <v>Former client</v>
      </c>
      <c r="D286" s="171" t="str">
        <f>INDEX('Customer List w Software'!$C:$C,MATCH('Full Customer List'!$B286,'Customer List w Software'!$A:$A,0))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87" t="str">
        <f>INDEX('Customer List w Software'!$K:$K,MATCH('Full Customer List'!$B286,'Customer List w Software'!$A:$A,0))</f>
        <v/>
      </c>
      <c r="G286" s="187">
        <f>INDEX('Revenue by Customer'!$I:$I,MATCH('Full Customer List'!$B286,'Revenue by Customer'!$A:$A,0))</f>
        <v>842.66666666666663</v>
      </c>
      <c r="H286" s="250" t="str">
        <f>IFERROR(IF(C286="Active","",INDEX('Client Departures'!$G:$G,MATCH('Full Customer List'!$B286,'Client Departures'!$A:$A,0))),"Unclassified")</f>
        <v>Yes</v>
      </c>
      <c r="I286" s="191">
        <v>45536</v>
      </c>
      <c r="J286" s="191">
        <v>45838</v>
      </c>
      <c r="K286" s="187">
        <f>INDEX('Revenue by Customer'!K:K,MATCH('Full Customer List'!$B286,'Revenue by Customer'!$A:$A,0))</f>
        <v>790</v>
      </c>
      <c r="L286" s="187">
        <f>INDEX('Revenue by Customer'!L:L,MATCH('Full Customer List'!$B286,'Revenue by Customer'!$A:$A,0))</f>
        <v>816</v>
      </c>
      <c r="M286" s="187">
        <f>INDEX('Revenue by Customer'!M:M,MATCH('Full Customer List'!$B286,'Revenue by Customer'!$A:$A,0))</f>
        <v>948</v>
      </c>
      <c r="N286" s="187">
        <f>INDEX('Revenue by Customer'!N:N,MATCH('Full Customer List'!$B286,'Revenue by Customer'!$A:$A,0))</f>
        <v>790</v>
      </c>
      <c r="O286" s="187">
        <f>INDEX('Revenue by Customer'!O:O,MATCH('Full Customer List'!$B286,'Revenue by Customer'!$A:$A,0))</f>
        <v>869</v>
      </c>
      <c r="P286" s="187">
        <f>INDEX('Revenue by Customer'!P:P,MATCH('Full Customer List'!$B286,'Revenue by Customer'!$A:$A,0))</f>
        <v>869</v>
      </c>
      <c r="Q286" s="187" t="str">
        <f>INDEX('Revenue by Customer'!Q:Q,MATCH('Full Customer List'!$B286,'Revenue by Customer'!$A:$A,0))</f>
        <v/>
      </c>
      <c r="R286" s="187" t="str">
        <f>INDEX('Revenue by Customer'!R:R,MATCH('Full Customer List'!$B286,'Revenue by Customer'!$A:$A,0))</f>
        <v/>
      </c>
      <c r="S286" s="187" t="str">
        <f>INDEX('Revenue by Customer'!S:S,MATCH('Full Customer List'!$B286,'Revenue by Customer'!$A:$A,0))</f>
        <v/>
      </c>
      <c r="T286" s="187" t="str">
        <f>INDEX('Revenue by Customer'!T:T,MATCH('Full Customer List'!$B286,'Revenue by Customer'!$A:$A,0))</f>
        <v/>
      </c>
      <c r="U286" s="187" t="str">
        <f>INDEX('Revenue by Customer'!U:U,MATCH('Full Customer List'!$B286,'Revenue by Customer'!$A:$A,0))</f>
        <v/>
      </c>
      <c r="V286" s="187" t="str">
        <f>INDEX('Revenue by Customer'!V:V,MATCH('Full Customer List'!$B286,'Revenue by Customer'!$A:$A,0))</f>
        <v/>
      </c>
      <c r="W286" s="187" t="str">
        <f>INDEX('Revenue by Customer'!W:W,MATCH('Full Customer List'!$B286,'Revenue by Customer'!$A:$A,0))</f>
        <v/>
      </c>
      <c r="X286" s="187" t="str">
        <f>INDEX('Revenue by Customer'!X:X,MATCH('Full Customer List'!$B286,'Revenue by Customer'!$A:$A,0))</f>
        <v/>
      </c>
      <c r="Y286" s="187" t="str">
        <f>INDEX('Revenue by Customer'!Y:Y,MATCH('Full Customer List'!$B286,'Revenue by Customer'!$A:$A,0))</f>
        <v/>
      </c>
      <c r="Z286" s="187" t="str">
        <f>INDEX('Revenue by Customer'!Z:Z,MATCH('Full Customer List'!$B286,'Revenue by Customer'!$A:$A,0))</f>
        <v/>
      </c>
      <c r="AA286" s="187" t="str">
        <f>INDEX('Revenue by Customer'!AA:AA,MATCH('Full Customer List'!$B286,'Revenue by Customer'!$A:$A,0))</f>
        <v/>
      </c>
      <c r="AB286" s="187" t="str">
        <f>INDEX('Revenue by Customer'!AB:AB,MATCH('Full Customer List'!$B286,'Revenue by Customer'!$A:$A,0))</f>
        <v/>
      </c>
      <c r="AC286" s="187" t="str">
        <f>INDEX('Revenue by Customer'!AC:AC,MATCH('Full Customer List'!$B286,'Revenue by Customer'!$A:$A,0))</f>
        <v/>
      </c>
    </row>
    <row r="287" spans="2:29" ht="12" customHeight="1">
      <c r="B287" s="171" t="s">
        <v>935</v>
      </c>
      <c r="C287" s="171" t="str">
        <f>INDEX('Customer List w Software'!$B:$B,MATCH('Full Customer List'!$B287,'Customer List w Software'!$A:$A,0))</f>
        <v>Former client</v>
      </c>
      <c r="D287" s="171" t="str">
        <f>INDEX('Customer List w Software'!$C:$C,MATCH('Full Customer List'!$B287,'Customer List w Software'!$A:$A,0))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87" t="str">
        <f>INDEX('Customer List w Software'!$K:$K,MATCH('Full Customer List'!$B287,'Customer List w Software'!$A:$A,0))</f>
        <v/>
      </c>
      <c r="G287" s="187">
        <f>INDEX('Revenue by Customer'!$I:$I,MATCH('Full Customer List'!$B287,'Revenue by Customer'!$A:$A,0))</f>
        <v>336.66666666666669</v>
      </c>
      <c r="H287" s="250" t="str">
        <f>IFERROR(IF(C287="Active","",INDEX('Client Departures'!$G:$G,MATCH('Full Customer List'!$B287,'Client Departures'!$A:$A,0))),"Unclassified")</f>
        <v>No</v>
      </c>
      <c r="I287" s="191">
        <v>45292</v>
      </c>
      <c r="J287" s="191">
        <v>45838</v>
      </c>
      <c r="K287" s="187">
        <f>INDEX('Revenue by Customer'!K:K,MATCH('Full Customer List'!$B287,'Revenue by Customer'!$A:$A,0))</f>
        <v>520</v>
      </c>
      <c r="L287" s="187">
        <f>INDEX('Revenue by Customer'!L:L,MATCH('Full Customer List'!$B287,'Revenue by Customer'!$A:$A,0))</f>
        <v>430</v>
      </c>
      <c r="M287" s="187">
        <f>INDEX('Revenue by Customer'!M:M,MATCH('Full Customer List'!$B287,'Revenue by Customer'!$A:$A,0))</f>
        <v>430</v>
      </c>
      <c r="N287" s="187">
        <f>INDEX('Revenue by Customer'!N:N,MATCH('Full Customer List'!$B287,'Revenue by Customer'!$A:$A,0))</f>
        <v>430</v>
      </c>
      <c r="O287" s="187">
        <f>INDEX('Revenue by Customer'!O:O,MATCH('Full Customer List'!$B287,'Revenue by Customer'!$A:$A,0))</f>
        <v>430</v>
      </c>
      <c r="P287" s="187">
        <f>INDEX('Revenue by Customer'!P:P,MATCH('Full Customer List'!$B287,'Revenue by Customer'!$A:$A,0))</f>
        <v>150</v>
      </c>
      <c r="Q287" s="187" t="str">
        <f>INDEX('Revenue by Customer'!Q:Q,MATCH('Full Customer List'!$B287,'Revenue by Customer'!$A:$A,0))</f>
        <v/>
      </c>
      <c r="R287" s="187" t="str">
        <f>INDEX('Revenue by Customer'!R:R,MATCH('Full Customer List'!$B287,'Revenue by Customer'!$A:$A,0))</f>
        <v/>
      </c>
      <c r="S287" s="187" t="str">
        <f>INDEX('Revenue by Customer'!S:S,MATCH('Full Customer List'!$B287,'Revenue by Customer'!$A:$A,0))</f>
        <v/>
      </c>
      <c r="T287" s="187" t="str">
        <f>INDEX('Revenue by Customer'!T:T,MATCH('Full Customer List'!$B287,'Revenue by Customer'!$A:$A,0))</f>
        <v/>
      </c>
      <c r="U287" s="187" t="str">
        <f>INDEX('Revenue by Customer'!U:U,MATCH('Full Customer List'!$B287,'Revenue by Customer'!$A:$A,0))</f>
        <v/>
      </c>
      <c r="V287" s="187" t="str">
        <f>INDEX('Revenue by Customer'!V:V,MATCH('Full Customer List'!$B287,'Revenue by Customer'!$A:$A,0))</f>
        <v/>
      </c>
      <c r="W287" s="187" t="str">
        <f>INDEX('Revenue by Customer'!W:W,MATCH('Full Customer List'!$B287,'Revenue by Customer'!$A:$A,0))</f>
        <v/>
      </c>
      <c r="X287" s="187" t="str">
        <f>INDEX('Revenue by Customer'!X:X,MATCH('Full Customer List'!$B287,'Revenue by Customer'!$A:$A,0))</f>
        <v/>
      </c>
      <c r="Y287" s="187" t="str">
        <f>INDEX('Revenue by Customer'!Y:Y,MATCH('Full Customer List'!$B287,'Revenue by Customer'!$A:$A,0))</f>
        <v/>
      </c>
      <c r="Z287" s="187" t="str">
        <f>INDEX('Revenue by Customer'!Z:Z,MATCH('Full Customer List'!$B287,'Revenue by Customer'!$A:$A,0))</f>
        <v/>
      </c>
      <c r="AA287" s="187" t="str">
        <f>INDEX('Revenue by Customer'!AA:AA,MATCH('Full Customer List'!$B287,'Revenue by Customer'!$A:$A,0))</f>
        <v/>
      </c>
      <c r="AB287" s="187" t="str">
        <f>INDEX('Revenue by Customer'!AB:AB,MATCH('Full Customer List'!$B287,'Revenue by Customer'!$A:$A,0))</f>
        <v/>
      </c>
      <c r="AC287" s="187" t="str">
        <f>INDEX('Revenue by Customer'!AC:AC,MATCH('Full Customer List'!$B287,'Revenue by Customer'!$A:$A,0))</f>
        <v/>
      </c>
    </row>
    <row r="288" spans="2:29" ht="12" customHeight="1">
      <c r="B288" s="171" t="s">
        <v>936</v>
      </c>
      <c r="C288" s="171" t="str">
        <f>INDEX('Customer List w Software'!$B:$B,MATCH('Full Customer List'!$B288,'Customer List w Software'!$A:$A,0))</f>
        <v>Former client</v>
      </c>
      <c r="D288" s="171" t="str">
        <f>INDEX('Customer List w Software'!$C:$C,MATCH('Full Customer List'!$B288,'Customer List w Software'!$A:$A,0))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87" t="str">
        <f>INDEX('Customer List w Software'!$K:$K,MATCH('Full Customer List'!$B288,'Customer List w Software'!$A:$A,0))</f>
        <v/>
      </c>
      <c r="G288" s="187">
        <f>INDEX('Revenue by Customer'!$I:$I,MATCH('Full Customer List'!$B288,'Revenue by Customer'!$A:$A,0))</f>
        <v>360</v>
      </c>
      <c r="H288" s="250" t="str">
        <f>IFERROR(IF(C288="Active","",INDEX('Client Departures'!$G:$G,MATCH('Full Customer List'!$B288,'Client Departures'!$A:$A,0))),"Unclassified")</f>
        <v>Yes</v>
      </c>
      <c r="I288" s="191">
        <v>45627</v>
      </c>
      <c r="J288" s="191">
        <v>45838</v>
      </c>
      <c r="K288" s="187">
        <f>INDEX('Revenue by Customer'!K:K,MATCH('Full Customer List'!$B288,'Revenue by Customer'!$A:$A,0))</f>
        <v>360</v>
      </c>
      <c r="L288" s="187">
        <f>INDEX('Revenue by Customer'!L:L,MATCH('Full Customer List'!$B288,'Revenue by Customer'!$A:$A,0))</f>
        <v>360</v>
      </c>
      <c r="M288" s="187">
        <f>INDEX('Revenue by Customer'!M:M,MATCH('Full Customer List'!$B288,'Revenue by Customer'!$A:$A,0))</f>
        <v>360</v>
      </c>
      <c r="N288" s="187">
        <f>INDEX('Revenue by Customer'!N:N,MATCH('Full Customer List'!$B288,'Revenue by Customer'!$A:$A,0))</f>
        <v>360</v>
      </c>
      <c r="O288" s="187">
        <f>INDEX('Revenue by Customer'!O:O,MATCH('Full Customer List'!$B288,'Revenue by Customer'!$A:$A,0))</f>
        <v>360</v>
      </c>
      <c r="P288" s="187">
        <f>INDEX('Revenue by Customer'!P:P,MATCH('Full Customer List'!$B288,'Revenue by Customer'!$A:$A,0))</f>
        <v>360</v>
      </c>
      <c r="Q288" s="187" t="str">
        <f>INDEX('Revenue by Customer'!Q:Q,MATCH('Full Customer List'!$B288,'Revenue by Customer'!$A:$A,0))</f>
        <v/>
      </c>
      <c r="R288" s="187" t="str">
        <f>INDEX('Revenue by Customer'!R:R,MATCH('Full Customer List'!$B288,'Revenue by Customer'!$A:$A,0))</f>
        <v/>
      </c>
      <c r="S288" s="187" t="str">
        <f>INDEX('Revenue by Customer'!S:S,MATCH('Full Customer List'!$B288,'Revenue by Customer'!$A:$A,0))</f>
        <v/>
      </c>
      <c r="T288" s="187" t="str">
        <f>INDEX('Revenue by Customer'!T:T,MATCH('Full Customer List'!$B288,'Revenue by Customer'!$A:$A,0))</f>
        <v/>
      </c>
      <c r="U288" s="187" t="str">
        <f>INDEX('Revenue by Customer'!U:U,MATCH('Full Customer List'!$B288,'Revenue by Customer'!$A:$A,0))</f>
        <v/>
      </c>
      <c r="V288" s="187" t="str">
        <f>INDEX('Revenue by Customer'!V:V,MATCH('Full Customer List'!$B288,'Revenue by Customer'!$A:$A,0))</f>
        <v/>
      </c>
      <c r="W288" s="187" t="str">
        <f>INDEX('Revenue by Customer'!W:W,MATCH('Full Customer List'!$B288,'Revenue by Customer'!$A:$A,0))</f>
        <v/>
      </c>
      <c r="X288" s="187" t="str">
        <f>INDEX('Revenue by Customer'!X:X,MATCH('Full Customer List'!$B288,'Revenue by Customer'!$A:$A,0))</f>
        <v/>
      </c>
      <c r="Y288" s="187" t="str">
        <f>INDEX('Revenue by Customer'!Y:Y,MATCH('Full Customer List'!$B288,'Revenue by Customer'!$A:$A,0))</f>
        <v/>
      </c>
      <c r="Z288" s="187" t="str">
        <f>INDEX('Revenue by Customer'!Z:Z,MATCH('Full Customer List'!$B288,'Revenue by Customer'!$A:$A,0))</f>
        <v/>
      </c>
      <c r="AA288" s="187" t="str">
        <f>INDEX('Revenue by Customer'!AA:AA,MATCH('Full Customer List'!$B288,'Revenue by Customer'!$A:$A,0))</f>
        <v/>
      </c>
      <c r="AB288" s="187" t="str">
        <f>INDEX('Revenue by Customer'!AB:AB,MATCH('Full Customer List'!$B288,'Revenue by Customer'!$A:$A,0))</f>
        <v/>
      </c>
      <c r="AC288" s="187" t="str">
        <f>INDEX('Revenue by Customer'!AC:AC,MATCH('Full Customer List'!$B288,'Revenue by Customer'!$A:$A,0))</f>
        <v/>
      </c>
    </row>
    <row r="289" spans="2:29" ht="12" customHeight="1">
      <c r="B289" s="171" t="s">
        <v>937</v>
      </c>
      <c r="C289" s="171" t="str">
        <f>INDEX('Customer List w Software'!$B:$B,MATCH('Full Customer List'!$B289,'Customer List w Software'!$A:$A,0))</f>
        <v>Former client</v>
      </c>
      <c r="D289" s="171" t="str">
        <f>INDEX('Customer List w Software'!$C:$C,MATCH('Full Customer List'!$B289,'Customer List w Software'!$A:$A,0))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87" t="str">
        <f>INDEX('Customer List w Software'!$K:$K,MATCH('Full Customer List'!$B289,'Customer List w Software'!$A:$A,0))</f>
        <v/>
      </c>
      <c r="G289" s="187">
        <f>INDEX('Revenue by Customer'!$I:$I,MATCH('Full Customer List'!$B289,'Revenue by Customer'!$A:$A,0))</f>
        <v>427.5</v>
      </c>
      <c r="H289" s="250" t="str">
        <f>IFERROR(IF(C289="Active","",INDEX('Client Departures'!$G:$G,MATCH('Full Customer List'!$B289,'Client Departures'!$A:$A,0))),"Unclassified")</f>
        <v>Yes</v>
      </c>
      <c r="I289" s="191">
        <v>45748</v>
      </c>
      <c r="J289" s="191">
        <v>45838</v>
      </c>
      <c r="K289" s="187" t="str">
        <f>INDEX('Revenue by Customer'!K:K,MATCH('Full Customer List'!$B289,'Revenue by Customer'!$A:$A,0))</f>
        <v/>
      </c>
      <c r="L289" s="187" t="str">
        <f>INDEX('Revenue by Customer'!L:L,MATCH('Full Customer List'!$B289,'Revenue by Customer'!$A:$A,0))</f>
        <v/>
      </c>
      <c r="M289" s="187" t="str">
        <f>INDEX('Revenue by Customer'!M:M,MATCH('Full Customer List'!$B289,'Revenue by Customer'!$A:$A,0))</f>
        <v/>
      </c>
      <c r="N289" s="187">
        <f>INDEX('Revenue by Customer'!N:N,MATCH('Full Customer List'!$B289,'Revenue by Customer'!$A:$A,0))</f>
        <v>778.75</v>
      </c>
      <c r="O289" s="187">
        <f>INDEX('Revenue by Customer'!O:O,MATCH('Full Customer List'!$B289,'Revenue by Customer'!$A:$A,0))</f>
        <v>403.75</v>
      </c>
      <c r="P289" s="187">
        <f>INDEX('Revenue by Customer'!P:P,MATCH('Full Customer List'!$B289,'Revenue by Customer'!$A:$A,0))</f>
        <v>403.75</v>
      </c>
      <c r="Q289" s="187">
        <f>INDEX('Revenue by Customer'!Q:Q,MATCH('Full Customer List'!$B289,'Revenue by Customer'!$A:$A,0))</f>
        <v>475</v>
      </c>
      <c r="R289" s="187" t="str">
        <f>INDEX('Revenue by Customer'!R:R,MATCH('Full Customer List'!$B289,'Revenue by Customer'!$A:$A,0))</f>
        <v/>
      </c>
      <c r="S289" s="187" t="str">
        <f>INDEX('Revenue by Customer'!S:S,MATCH('Full Customer List'!$B289,'Revenue by Customer'!$A:$A,0))</f>
        <v/>
      </c>
      <c r="T289" s="187" t="str">
        <f>INDEX('Revenue by Customer'!T:T,MATCH('Full Customer List'!$B289,'Revenue by Customer'!$A:$A,0))</f>
        <v/>
      </c>
      <c r="U289" s="187" t="str">
        <f>INDEX('Revenue by Customer'!U:U,MATCH('Full Customer List'!$B289,'Revenue by Customer'!$A:$A,0))</f>
        <v/>
      </c>
      <c r="V289" s="187" t="str">
        <f>INDEX('Revenue by Customer'!V:V,MATCH('Full Customer List'!$B289,'Revenue by Customer'!$A:$A,0))</f>
        <v/>
      </c>
      <c r="W289" s="187" t="str">
        <f>INDEX('Revenue by Customer'!W:W,MATCH('Full Customer List'!$B289,'Revenue by Customer'!$A:$A,0))</f>
        <v/>
      </c>
      <c r="X289" s="187" t="str">
        <f>INDEX('Revenue by Customer'!X:X,MATCH('Full Customer List'!$B289,'Revenue by Customer'!$A:$A,0))</f>
        <v/>
      </c>
      <c r="Y289" s="187" t="str">
        <f>INDEX('Revenue by Customer'!Y:Y,MATCH('Full Customer List'!$B289,'Revenue by Customer'!$A:$A,0))</f>
        <v/>
      </c>
      <c r="Z289" s="187" t="str">
        <f>INDEX('Revenue by Customer'!Z:Z,MATCH('Full Customer List'!$B289,'Revenue by Customer'!$A:$A,0))</f>
        <v/>
      </c>
      <c r="AA289" s="187" t="str">
        <f>INDEX('Revenue by Customer'!AA:AA,MATCH('Full Customer List'!$B289,'Revenue by Customer'!$A:$A,0))</f>
        <v/>
      </c>
      <c r="AB289" s="187" t="str">
        <f>INDEX('Revenue by Customer'!AB:AB,MATCH('Full Customer List'!$B289,'Revenue by Customer'!$A:$A,0))</f>
        <v/>
      </c>
      <c r="AC289" s="187" t="str">
        <f>INDEX('Revenue by Customer'!AC:AC,MATCH('Full Customer List'!$B289,'Revenue by Customer'!$A:$A,0))</f>
        <v/>
      </c>
    </row>
    <row r="290" spans="2:29" ht="12" customHeight="1">
      <c r="B290" s="171" t="s">
        <v>938</v>
      </c>
      <c r="C290" s="171" t="str">
        <f>INDEX('Customer List w Software'!$B:$B,MATCH('Full Customer List'!$B290,'Customer List w Software'!$A:$A,0))</f>
        <v>Former client</v>
      </c>
      <c r="D290" s="171" t="str">
        <f>INDEX('Customer List w Software'!$C:$C,MATCH('Full Customer List'!$B290,'Customer List w Software'!$A:$A,0))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87" t="str">
        <f>INDEX('Customer List w Software'!$K:$K,MATCH('Full Customer List'!$B290,'Customer List w Software'!$A:$A,0))</f>
        <v/>
      </c>
      <c r="G290" s="187">
        <f>INDEX('Revenue by Customer'!$I:$I,MATCH('Full Customer List'!$B290,'Revenue by Customer'!$A:$A,0))</f>
        <v>303.33333333333331</v>
      </c>
      <c r="H290" s="250" t="str">
        <f>IFERROR(IF(C290="Active","",INDEX('Client Departures'!$G:$G,MATCH('Full Customer List'!$B290,'Client Departures'!$A:$A,0))),"Unclassified")</f>
        <v>Yes</v>
      </c>
      <c r="I290" s="191">
        <v>44287</v>
      </c>
      <c r="J290" s="191">
        <v>45838</v>
      </c>
      <c r="K290" s="187">
        <f>INDEX('Revenue by Customer'!K:K,MATCH('Full Customer List'!$B290,'Revenue by Customer'!$A:$A,0))</f>
        <v>405</v>
      </c>
      <c r="L290" s="187">
        <f>INDEX('Revenue by Customer'!L:L,MATCH('Full Customer List'!$B290,'Revenue by Customer'!$A:$A,0))</f>
        <v>360</v>
      </c>
      <c r="M290" s="187">
        <f>INDEX('Revenue by Customer'!M:M,MATCH('Full Customer List'!$B290,'Revenue by Customer'!$A:$A,0))</f>
        <v>360</v>
      </c>
      <c r="N290" s="187">
        <f>INDEX('Revenue by Customer'!N:N,MATCH('Full Customer List'!$B290,'Revenue by Customer'!$A:$A,0))</f>
        <v>360</v>
      </c>
      <c r="O290" s="187">
        <f>INDEX('Revenue by Customer'!O:O,MATCH('Full Customer List'!$B290,'Revenue by Customer'!$A:$A,0))</f>
        <v>275</v>
      </c>
      <c r="P290" s="187">
        <f>INDEX('Revenue by Customer'!P:P,MATCH('Full Customer List'!$B290,'Revenue by Customer'!$A:$A,0))</f>
        <v>275</v>
      </c>
      <c r="Q290" s="187" t="str">
        <f>INDEX('Revenue by Customer'!Q:Q,MATCH('Full Customer List'!$B290,'Revenue by Customer'!$A:$A,0))</f>
        <v/>
      </c>
      <c r="R290" s="187" t="str">
        <f>INDEX('Revenue by Customer'!R:R,MATCH('Full Customer List'!$B290,'Revenue by Customer'!$A:$A,0))</f>
        <v/>
      </c>
      <c r="S290" s="187" t="str">
        <f>INDEX('Revenue by Customer'!S:S,MATCH('Full Customer List'!$B290,'Revenue by Customer'!$A:$A,0))</f>
        <v/>
      </c>
      <c r="T290" s="187" t="str">
        <f>INDEX('Revenue by Customer'!T:T,MATCH('Full Customer List'!$B290,'Revenue by Customer'!$A:$A,0))</f>
        <v/>
      </c>
      <c r="U290" s="187" t="str">
        <f>INDEX('Revenue by Customer'!U:U,MATCH('Full Customer List'!$B290,'Revenue by Customer'!$A:$A,0))</f>
        <v/>
      </c>
      <c r="V290" s="187" t="str">
        <f>INDEX('Revenue by Customer'!V:V,MATCH('Full Customer List'!$B290,'Revenue by Customer'!$A:$A,0))</f>
        <v/>
      </c>
      <c r="W290" s="187" t="str">
        <f>INDEX('Revenue by Customer'!W:W,MATCH('Full Customer List'!$B290,'Revenue by Customer'!$A:$A,0))</f>
        <v/>
      </c>
      <c r="X290" s="187" t="str">
        <f>INDEX('Revenue by Customer'!X:X,MATCH('Full Customer List'!$B290,'Revenue by Customer'!$A:$A,0))</f>
        <v/>
      </c>
      <c r="Y290" s="187" t="str">
        <f>INDEX('Revenue by Customer'!Y:Y,MATCH('Full Customer List'!$B290,'Revenue by Customer'!$A:$A,0))</f>
        <v/>
      </c>
      <c r="Z290" s="187" t="str">
        <f>INDEX('Revenue by Customer'!Z:Z,MATCH('Full Customer List'!$B290,'Revenue by Customer'!$A:$A,0))</f>
        <v/>
      </c>
      <c r="AA290" s="187" t="str">
        <f>INDEX('Revenue by Customer'!AA:AA,MATCH('Full Customer List'!$B290,'Revenue by Customer'!$A:$A,0))</f>
        <v/>
      </c>
      <c r="AB290" s="187" t="str">
        <f>INDEX('Revenue by Customer'!AB:AB,MATCH('Full Customer List'!$B290,'Revenue by Customer'!$A:$A,0))</f>
        <v/>
      </c>
      <c r="AC290" s="187" t="str">
        <f>INDEX('Revenue by Customer'!AC:AC,MATCH('Full Customer List'!$B290,'Revenue by Customer'!$A:$A,0))</f>
        <v/>
      </c>
    </row>
    <row r="291" spans="2:29" ht="12" customHeight="1">
      <c r="B291" s="171" t="s">
        <v>940</v>
      </c>
      <c r="C291" s="171" t="str">
        <f>INDEX('Customer List w Software'!$B:$B,MATCH('Full Customer List'!$B291,'Customer List w Software'!$A:$A,0))</f>
        <v>Former client</v>
      </c>
      <c r="D291" s="171" t="str">
        <f>INDEX('Customer List w Software'!$C:$C,MATCH('Full Customer List'!$B291,'Customer List w Software'!$A:$A,0))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87" t="str">
        <f>INDEX('Customer List w Software'!$K:$K,MATCH('Full Customer List'!$B291,'Customer List w Software'!$A:$A,0))</f>
        <v/>
      </c>
      <c r="G291" s="187">
        <f>INDEX('Revenue by Customer'!$I:$I,MATCH('Full Customer List'!$B291,'Revenue by Customer'!$A:$A,0))</f>
        <v>366.66666666666669</v>
      </c>
      <c r="H291" s="250" t="str">
        <f>IFERROR(IF(C291="Active","",INDEX('Client Departures'!$G:$G,MATCH('Full Customer List'!$B291,'Client Departures'!$A:$A,0))),"Unclassified")</f>
        <v>Yes</v>
      </c>
      <c r="I291" s="191">
        <v>45689</v>
      </c>
      <c r="J291" s="191">
        <v>45838</v>
      </c>
      <c r="K291" s="187" t="str">
        <f>INDEX('Revenue by Customer'!K:K,MATCH('Full Customer List'!$B291,'Revenue by Customer'!$A:$A,0))</f>
        <v/>
      </c>
      <c r="L291" s="187">
        <f>INDEX('Revenue by Customer'!L:L,MATCH('Full Customer List'!$B291,'Revenue by Customer'!$A:$A,0))</f>
        <v>350</v>
      </c>
      <c r="M291" s="187">
        <f>INDEX('Revenue by Customer'!M:M,MATCH('Full Customer List'!$B291,'Revenue by Customer'!$A:$A,0))</f>
        <v>420</v>
      </c>
      <c r="N291" s="187">
        <f>INDEX('Revenue by Customer'!N:N,MATCH('Full Customer List'!$B291,'Revenue by Customer'!$A:$A,0))</f>
        <v>340</v>
      </c>
      <c r="O291" s="187">
        <f>INDEX('Revenue by Customer'!O:O,MATCH('Full Customer List'!$B291,'Revenue by Customer'!$A:$A,0))</f>
        <v>380</v>
      </c>
      <c r="P291" s="187">
        <f>INDEX('Revenue by Customer'!P:P,MATCH('Full Customer List'!$B291,'Revenue by Customer'!$A:$A,0))</f>
        <v>380</v>
      </c>
      <c r="Q291" s="187" t="str">
        <f>INDEX('Revenue by Customer'!Q:Q,MATCH('Full Customer List'!$B291,'Revenue by Customer'!$A:$A,0))</f>
        <v/>
      </c>
      <c r="R291" s="187" t="str">
        <f>INDEX('Revenue by Customer'!R:R,MATCH('Full Customer List'!$B291,'Revenue by Customer'!$A:$A,0))</f>
        <v/>
      </c>
      <c r="S291" s="187" t="str">
        <f>INDEX('Revenue by Customer'!S:S,MATCH('Full Customer List'!$B291,'Revenue by Customer'!$A:$A,0))</f>
        <v/>
      </c>
      <c r="T291" s="187" t="str">
        <f>INDEX('Revenue by Customer'!T:T,MATCH('Full Customer List'!$B291,'Revenue by Customer'!$A:$A,0))</f>
        <v/>
      </c>
      <c r="U291" s="187" t="str">
        <f>INDEX('Revenue by Customer'!U:U,MATCH('Full Customer List'!$B291,'Revenue by Customer'!$A:$A,0))</f>
        <v/>
      </c>
      <c r="V291" s="187" t="str">
        <f>INDEX('Revenue by Customer'!V:V,MATCH('Full Customer List'!$B291,'Revenue by Customer'!$A:$A,0))</f>
        <v/>
      </c>
      <c r="W291" s="187" t="str">
        <f>INDEX('Revenue by Customer'!W:W,MATCH('Full Customer List'!$B291,'Revenue by Customer'!$A:$A,0))</f>
        <v/>
      </c>
      <c r="X291" s="187" t="str">
        <f>INDEX('Revenue by Customer'!X:X,MATCH('Full Customer List'!$B291,'Revenue by Customer'!$A:$A,0))</f>
        <v/>
      </c>
      <c r="Y291" s="187" t="str">
        <f>INDEX('Revenue by Customer'!Y:Y,MATCH('Full Customer List'!$B291,'Revenue by Customer'!$A:$A,0))</f>
        <v/>
      </c>
      <c r="Z291" s="187" t="str">
        <f>INDEX('Revenue by Customer'!Z:Z,MATCH('Full Customer List'!$B291,'Revenue by Customer'!$A:$A,0))</f>
        <v/>
      </c>
      <c r="AA291" s="187" t="str">
        <f>INDEX('Revenue by Customer'!AA:AA,MATCH('Full Customer List'!$B291,'Revenue by Customer'!$A:$A,0))</f>
        <v/>
      </c>
      <c r="AB291" s="187" t="str">
        <f>INDEX('Revenue by Customer'!AB:AB,MATCH('Full Customer List'!$B291,'Revenue by Customer'!$A:$A,0))</f>
        <v/>
      </c>
      <c r="AC291" s="187" t="str">
        <f>INDEX('Revenue by Customer'!AC:AC,MATCH('Full Customer List'!$B291,'Revenue by Customer'!$A:$A,0))</f>
        <v/>
      </c>
    </row>
    <row r="292" spans="2:29" ht="12" customHeight="1">
      <c r="B292" s="171" t="s">
        <v>941</v>
      </c>
      <c r="C292" s="171" t="str">
        <f>INDEX('Customer List w Software'!$B:$B,MATCH('Full Customer List'!$B292,'Customer List w Software'!$A:$A,0))</f>
        <v>Former client</v>
      </c>
      <c r="D292" s="171" t="str">
        <f>INDEX('Customer List w Software'!$C:$C,MATCH('Full Customer List'!$B292,'Customer List w Software'!$A:$A,0))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87" t="str">
        <f>INDEX('Customer List w Software'!$K:$K,MATCH('Full Customer List'!$B292,'Customer List w Software'!$A:$A,0))</f>
        <v/>
      </c>
      <c r="G292" s="187">
        <f>INDEX('Revenue by Customer'!$I:$I,MATCH('Full Customer List'!$B292,'Revenue by Customer'!$A:$A,0))</f>
        <v>453.33333333333331</v>
      </c>
      <c r="H292" s="250" t="str">
        <f>IFERROR(IF(C292="Active","",INDEX('Client Departures'!$G:$G,MATCH('Full Customer List'!$B292,'Client Departures'!$A:$A,0))),"Unclassified")</f>
        <v>Yes</v>
      </c>
      <c r="I292" s="191">
        <v>45323</v>
      </c>
      <c r="J292" s="191">
        <v>45777</v>
      </c>
      <c r="K292" s="187">
        <f>INDEX('Revenue by Customer'!K:K,MATCH('Full Customer List'!$B292,'Revenue by Customer'!$A:$A,0))</f>
        <v>375</v>
      </c>
      <c r="L292" s="187">
        <f>INDEX('Revenue by Customer'!L:L,MATCH('Full Customer List'!$B292,'Revenue by Customer'!$A:$A,0))</f>
        <v>480</v>
      </c>
      <c r="M292" s="187">
        <f>INDEX('Revenue by Customer'!M:M,MATCH('Full Customer List'!$B292,'Revenue by Customer'!$A:$A,0))</f>
        <v>480</v>
      </c>
      <c r="N292" s="187">
        <f>INDEX('Revenue by Customer'!N:N,MATCH('Full Customer List'!$B292,'Revenue by Customer'!$A:$A,0))</f>
        <v>400</v>
      </c>
      <c r="O292" s="187" t="str">
        <f>INDEX('Revenue by Customer'!O:O,MATCH('Full Customer List'!$B292,'Revenue by Customer'!$A:$A,0))</f>
        <v/>
      </c>
      <c r="P292" s="187" t="str">
        <f>INDEX('Revenue by Customer'!P:P,MATCH('Full Customer List'!$B292,'Revenue by Customer'!$A:$A,0))</f>
        <v/>
      </c>
      <c r="Q292" s="187" t="str">
        <f>INDEX('Revenue by Customer'!Q:Q,MATCH('Full Customer List'!$B292,'Revenue by Customer'!$A:$A,0))</f>
        <v/>
      </c>
      <c r="R292" s="187" t="str">
        <f>INDEX('Revenue by Customer'!R:R,MATCH('Full Customer List'!$B292,'Revenue by Customer'!$A:$A,0))</f>
        <v/>
      </c>
      <c r="S292" s="187" t="str">
        <f>INDEX('Revenue by Customer'!S:S,MATCH('Full Customer List'!$B292,'Revenue by Customer'!$A:$A,0))</f>
        <v/>
      </c>
      <c r="T292" s="187" t="str">
        <f>INDEX('Revenue by Customer'!T:T,MATCH('Full Customer List'!$B292,'Revenue by Customer'!$A:$A,0))</f>
        <v/>
      </c>
      <c r="U292" s="187" t="str">
        <f>INDEX('Revenue by Customer'!U:U,MATCH('Full Customer List'!$B292,'Revenue by Customer'!$A:$A,0))</f>
        <v/>
      </c>
      <c r="V292" s="187" t="str">
        <f>INDEX('Revenue by Customer'!V:V,MATCH('Full Customer List'!$B292,'Revenue by Customer'!$A:$A,0))</f>
        <v/>
      </c>
      <c r="W292" s="187" t="str">
        <f>INDEX('Revenue by Customer'!W:W,MATCH('Full Customer List'!$B292,'Revenue by Customer'!$A:$A,0))</f>
        <v/>
      </c>
      <c r="X292" s="187" t="str">
        <f>INDEX('Revenue by Customer'!X:X,MATCH('Full Customer List'!$B292,'Revenue by Customer'!$A:$A,0))</f>
        <v/>
      </c>
      <c r="Y292" s="187" t="str">
        <f>INDEX('Revenue by Customer'!Y:Y,MATCH('Full Customer List'!$B292,'Revenue by Customer'!$A:$A,0))</f>
        <v/>
      </c>
      <c r="Z292" s="187" t="str">
        <f>INDEX('Revenue by Customer'!Z:Z,MATCH('Full Customer List'!$B292,'Revenue by Customer'!$A:$A,0))</f>
        <v/>
      </c>
      <c r="AA292" s="187" t="str">
        <f>INDEX('Revenue by Customer'!AA:AA,MATCH('Full Customer List'!$B292,'Revenue by Customer'!$A:$A,0))</f>
        <v/>
      </c>
      <c r="AB292" s="187" t="str">
        <f>INDEX('Revenue by Customer'!AB:AB,MATCH('Full Customer List'!$B292,'Revenue by Customer'!$A:$A,0))</f>
        <v/>
      </c>
      <c r="AC292" s="187" t="str">
        <f>INDEX('Revenue by Customer'!AC:AC,MATCH('Full Customer List'!$B292,'Revenue by Customer'!$A:$A,0))</f>
        <v/>
      </c>
    </row>
    <row r="293" spans="2:29" ht="12" customHeight="1">
      <c r="B293" s="171" t="s">
        <v>942</v>
      </c>
      <c r="C293" s="171" t="str">
        <f>INDEX('Customer List w Software'!$B:$B,MATCH('Full Customer List'!$B293,'Customer List w Software'!$A:$A,0))</f>
        <v>Former client</v>
      </c>
      <c r="D293" s="171" t="str">
        <f>INDEX('Customer List w Software'!$C:$C,MATCH('Full Customer List'!$B293,'Customer List w Software'!$A:$A,0))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87" t="str">
        <f>INDEX('Customer List w Software'!$K:$K,MATCH('Full Customer List'!$B293,'Customer List w Software'!$A:$A,0))</f>
        <v/>
      </c>
      <c r="G293" s="187">
        <f>INDEX('Revenue by Customer'!$I:$I,MATCH('Full Customer List'!$B293,'Revenue by Customer'!$A:$A,0))</f>
        <v>335</v>
      </c>
      <c r="H293" s="250" t="str">
        <f>IFERROR(IF(C293="Active","",INDEX('Client Departures'!$G:$G,MATCH('Full Customer List'!$B293,'Client Departures'!$A:$A,0))),"Unclassified")</f>
        <v>No</v>
      </c>
      <c r="I293" s="191">
        <v>44743</v>
      </c>
      <c r="J293" s="191">
        <v>45808</v>
      </c>
      <c r="K293" s="187">
        <f>INDEX('Revenue by Customer'!K:K,MATCH('Full Customer List'!$B293,'Revenue by Customer'!$A:$A,0))</f>
        <v>330</v>
      </c>
      <c r="L293" s="187">
        <f>INDEX('Revenue by Customer'!L:L,MATCH('Full Customer List'!$B293,'Revenue by Customer'!$A:$A,0))</f>
        <v>330</v>
      </c>
      <c r="M293" s="187">
        <f>INDEX('Revenue by Customer'!M:M,MATCH('Full Customer List'!$B293,'Revenue by Customer'!$A:$A,0))</f>
        <v>330</v>
      </c>
      <c r="N293" s="187">
        <f>INDEX('Revenue by Customer'!N:N,MATCH('Full Customer List'!$B293,'Revenue by Customer'!$A:$A,0))</f>
        <v>330</v>
      </c>
      <c r="O293" s="187">
        <f>INDEX('Revenue by Customer'!O:O,MATCH('Full Customer List'!$B293,'Revenue by Customer'!$A:$A,0))</f>
        <v>345</v>
      </c>
      <c r="P293" s="187" t="str">
        <f>INDEX('Revenue by Customer'!P:P,MATCH('Full Customer List'!$B293,'Revenue by Customer'!$A:$A,0))</f>
        <v/>
      </c>
      <c r="Q293" s="187" t="str">
        <f>INDEX('Revenue by Customer'!Q:Q,MATCH('Full Customer List'!$B293,'Revenue by Customer'!$A:$A,0))</f>
        <v/>
      </c>
      <c r="R293" s="187" t="str">
        <f>INDEX('Revenue by Customer'!R:R,MATCH('Full Customer List'!$B293,'Revenue by Customer'!$A:$A,0))</f>
        <v/>
      </c>
      <c r="S293" s="187" t="str">
        <f>INDEX('Revenue by Customer'!S:S,MATCH('Full Customer List'!$B293,'Revenue by Customer'!$A:$A,0))</f>
        <v/>
      </c>
      <c r="T293" s="187" t="str">
        <f>INDEX('Revenue by Customer'!T:T,MATCH('Full Customer List'!$B293,'Revenue by Customer'!$A:$A,0))</f>
        <v/>
      </c>
      <c r="U293" s="187" t="str">
        <f>INDEX('Revenue by Customer'!U:U,MATCH('Full Customer List'!$B293,'Revenue by Customer'!$A:$A,0))</f>
        <v/>
      </c>
      <c r="V293" s="187" t="str">
        <f>INDEX('Revenue by Customer'!V:V,MATCH('Full Customer List'!$B293,'Revenue by Customer'!$A:$A,0))</f>
        <v/>
      </c>
      <c r="W293" s="187" t="str">
        <f>INDEX('Revenue by Customer'!W:W,MATCH('Full Customer List'!$B293,'Revenue by Customer'!$A:$A,0))</f>
        <v/>
      </c>
      <c r="X293" s="187" t="str">
        <f>INDEX('Revenue by Customer'!X:X,MATCH('Full Customer List'!$B293,'Revenue by Customer'!$A:$A,0))</f>
        <v/>
      </c>
      <c r="Y293" s="187" t="str">
        <f>INDEX('Revenue by Customer'!Y:Y,MATCH('Full Customer List'!$B293,'Revenue by Customer'!$A:$A,0))</f>
        <v/>
      </c>
      <c r="Z293" s="187" t="str">
        <f>INDEX('Revenue by Customer'!Z:Z,MATCH('Full Customer List'!$B293,'Revenue by Customer'!$A:$A,0))</f>
        <v/>
      </c>
      <c r="AA293" s="187" t="str">
        <f>INDEX('Revenue by Customer'!AA:AA,MATCH('Full Customer List'!$B293,'Revenue by Customer'!$A:$A,0))</f>
        <v/>
      </c>
      <c r="AB293" s="187" t="str">
        <f>INDEX('Revenue by Customer'!AB:AB,MATCH('Full Customer List'!$B293,'Revenue by Customer'!$A:$A,0))</f>
        <v/>
      </c>
      <c r="AC293" s="187" t="str">
        <f>INDEX('Revenue by Customer'!AC:AC,MATCH('Full Customer List'!$B293,'Revenue by Customer'!$A:$A,0))</f>
        <v/>
      </c>
    </row>
    <row r="294" spans="2:29" ht="12" customHeight="1">
      <c r="B294" s="171" t="s">
        <v>943</v>
      </c>
      <c r="C294" s="171" t="str">
        <f>INDEX('Customer List w Software'!$B:$B,MATCH('Full Customer List'!$B294,'Customer List w Software'!$A:$A,0))</f>
        <v>Former client</v>
      </c>
      <c r="D294" s="171" t="str">
        <f>INDEX('Customer List w Software'!$C:$C,MATCH('Full Customer List'!$B294,'Customer List w Software'!$A:$A,0))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87" t="str">
        <f>INDEX('Customer List w Software'!$K:$K,MATCH('Full Customer List'!$B294,'Customer List w Software'!$A:$A,0))</f>
        <v/>
      </c>
      <c r="G294" s="187">
        <f>INDEX('Revenue by Customer'!$I:$I,MATCH('Full Customer List'!$B294,'Revenue by Customer'!$A:$A,0))</f>
        <v>408.33333333333331</v>
      </c>
      <c r="H294" s="250" t="str">
        <f>IFERROR(IF(C294="Active","",INDEX('Client Departures'!$G:$G,MATCH('Full Customer List'!$B294,'Client Departures'!$A:$A,0))),"Unclassified")</f>
        <v>Yes</v>
      </c>
      <c r="I294" s="191">
        <v>45383</v>
      </c>
      <c r="J294" s="191">
        <v>45777</v>
      </c>
      <c r="K294" s="187">
        <f>INDEX('Revenue by Customer'!K:K,MATCH('Full Customer List'!$B294,'Revenue by Customer'!$A:$A,0))</f>
        <v>430</v>
      </c>
      <c r="L294" s="187">
        <f>INDEX('Revenue by Customer'!L:L,MATCH('Full Customer List'!$B294,'Revenue by Customer'!$A:$A,0))</f>
        <v>325</v>
      </c>
      <c r="M294" s="187">
        <f>INDEX('Revenue by Customer'!M:M,MATCH('Full Customer List'!$B294,'Revenue by Customer'!$A:$A,0))</f>
        <v>575</v>
      </c>
      <c r="N294" s="187">
        <f>INDEX('Revenue by Customer'!N:N,MATCH('Full Customer List'!$B294,'Revenue by Customer'!$A:$A,0))</f>
        <v>325</v>
      </c>
      <c r="O294" s="187" t="str">
        <f>INDEX('Revenue by Customer'!O:O,MATCH('Full Customer List'!$B294,'Revenue by Customer'!$A:$A,0))</f>
        <v/>
      </c>
      <c r="P294" s="187" t="str">
        <f>INDEX('Revenue by Customer'!P:P,MATCH('Full Customer List'!$B294,'Revenue by Customer'!$A:$A,0))</f>
        <v/>
      </c>
      <c r="Q294" s="187" t="str">
        <f>INDEX('Revenue by Customer'!Q:Q,MATCH('Full Customer List'!$B294,'Revenue by Customer'!$A:$A,0))</f>
        <v/>
      </c>
      <c r="R294" s="187" t="str">
        <f>INDEX('Revenue by Customer'!R:R,MATCH('Full Customer List'!$B294,'Revenue by Customer'!$A:$A,0))</f>
        <v/>
      </c>
      <c r="S294" s="187" t="str">
        <f>INDEX('Revenue by Customer'!S:S,MATCH('Full Customer List'!$B294,'Revenue by Customer'!$A:$A,0))</f>
        <v/>
      </c>
      <c r="T294" s="187" t="str">
        <f>INDEX('Revenue by Customer'!T:T,MATCH('Full Customer List'!$B294,'Revenue by Customer'!$A:$A,0))</f>
        <v/>
      </c>
      <c r="U294" s="187" t="str">
        <f>INDEX('Revenue by Customer'!U:U,MATCH('Full Customer List'!$B294,'Revenue by Customer'!$A:$A,0))</f>
        <v/>
      </c>
      <c r="V294" s="187" t="str">
        <f>INDEX('Revenue by Customer'!V:V,MATCH('Full Customer List'!$B294,'Revenue by Customer'!$A:$A,0))</f>
        <v/>
      </c>
      <c r="W294" s="187" t="str">
        <f>INDEX('Revenue by Customer'!W:W,MATCH('Full Customer List'!$B294,'Revenue by Customer'!$A:$A,0))</f>
        <v/>
      </c>
      <c r="X294" s="187" t="str">
        <f>INDEX('Revenue by Customer'!X:X,MATCH('Full Customer List'!$B294,'Revenue by Customer'!$A:$A,0))</f>
        <v/>
      </c>
      <c r="Y294" s="187" t="str">
        <f>INDEX('Revenue by Customer'!Y:Y,MATCH('Full Customer List'!$B294,'Revenue by Customer'!$A:$A,0))</f>
        <v/>
      </c>
      <c r="Z294" s="187" t="str">
        <f>INDEX('Revenue by Customer'!Z:Z,MATCH('Full Customer List'!$B294,'Revenue by Customer'!$A:$A,0))</f>
        <v/>
      </c>
      <c r="AA294" s="187" t="str">
        <f>INDEX('Revenue by Customer'!AA:AA,MATCH('Full Customer List'!$B294,'Revenue by Customer'!$A:$A,0))</f>
        <v/>
      </c>
      <c r="AB294" s="187" t="str">
        <f>INDEX('Revenue by Customer'!AB:AB,MATCH('Full Customer List'!$B294,'Revenue by Customer'!$A:$A,0))</f>
        <v/>
      </c>
      <c r="AC294" s="187" t="str">
        <f>INDEX('Revenue by Customer'!AC:AC,MATCH('Full Customer List'!$B294,'Revenue by Customer'!$A:$A,0))</f>
        <v/>
      </c>
    </row>
    <row r="295" spans="2:29" ht="12" customHeight="1">
      <c r="B295" s="171" t="s">
        <v>944</v>
      </c>
      <c r="C295" s="171" t="str">
        <f>INDEX('Customer List w Software'!$B:$B,MATCH('Full Customer List'!$B295,'Customer List w Software'!$A:$A,0))</f>
        <v>Former client</v>
      </c>
      <c r="D295" s="171" t="str">
        <f>INDEX('Customer List w Software'!$C:$C,MATCH('Full Customer List'!$B295,'Customer List w Software'!$A:$A,0))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87" t="str">
        <f>INDEX('Customer List w Software'!$K:$K,MATCH('Full Customer List'!$B295,'Customer List w Software'!$A:$A,0))</f>
        <v/>
      </c>
      <c r="G295" s="187">
        <f>INDEX('Revenue by Customer'!$I:$I,MATCH('Full Customer List'!$B295,'Revenue by Customer'!$A:$A,0))</f>
        <v>395</v>
      </c>
      <c r="H295" s="250" t="str">
        <f>IFERROR(IF(C295="Active","",INDEX('Client Departures'!$G:$G,MATCH('Full Customer List'!$B295,'Client Departures'!$A:$A,0))),"Unclassified")</f>
        <v>No</v>
      </c>
      <c r="I295" s="191">
        <v>45566</v>
      </c>
      <c r="J295" s="191">
        <v>45777</v>
      </c>
      <c r="K295" s="187">
        <f>INDEX('Revenue by Customer'!K:K,MATCH('Full Customer List'!$B295,'Revenue by Customer'!$A:$A,0))</f>
        <v>395</v>
      </c>
      <c r="L295" s="187">
        <f>INDEX('Revenue by Customer'!L:L,MATCH('Full Customer List'!$B295,'Revenue by Customer'!$A:$A,0))</f>
        <v>395</v>
      </c>
      <c r="M295" s="187">
        <f>INDEX('Revenue by Customer'!M:M,MATCH('Full Customer List'!$B295,'Revenue by Customer'!$A:$A,0))</f>
        <v>395</v>
      </c>
      <c r="N295" s="187">
        <f>INDEX('Revenue by Customer'!N:N,MATCH('Full Customer List'!$B295,'Revenue by Customer'!$A:$A,0))</f>
        <v>395</v>
      </c>
      <c r="O295" s="187" t="str">
        <f>INDEX('Revenue by Customer'!O:O,MATCH('Full Customer List'!$B295,'Revenue by Customer'!$A:$A,0))</f>
        <v/>
      </c>
      <c r="P295" s="187" t="str">
        <f>INDEX('Revenue by Customer'!P:P,MATCH('Full Customer List'!$B295,'Revenue by Customer'!$A:$A,0))</f>
        <v/>
      </c>
      <c r="Q295" s="187" t="str">
        <f>INDEX('Revenue by Customer'!Q:Q,MATCH('Full Customer List'!$B295,'Revenue by Customer'!$A:$A,0))</f>
        <v/>
      </c>
      <c r="R295" s="187" t="str">
        <f>INDEX('Revenue by Customer'!R:R,MATCH('Full Customer List'!$B295,'Revenue by Customer'!$A:$A,0))</f>
        <v/>
      </c>
      <c r="S295" s="187" t="str">
        <f>INDEX('Revenue by Customer'!S:S,MATCH('Full Customer List'!$B295,'Revenue by Customer'!$A:$A,0))</f>
        <v/>
      </c>
      <c r="T295" s="187" t="str">
        <f>INDEX('Revenue by Customer'!T:T,MATCH('Full Customer List'!$B295,'Revenue by Customer'!$A:$A,0))</f>
        <v/>
      </c>
      <c r="U295" s="187" t="str">
        <f>INDEX('Revenue by Customer'!U:U,MATCH('Full Customer List'!$B295,'Revenue by Customer'!$A:$A,0))</f>
        <v/>
      </c>
      <c r="V295" s="187" t="str">
        <f>INDEX('Revenue by Customer'!V:V,MATCH('Full Customer List'!$B295,'Revenue by Customer'!$A:$A,0))</f>
        <v/>
      </c>
      <c r="W295" s="187" t="str">
        <f>INDEX('Revenue by Customer'!W:W,MATCH('Full Customer List'!$B295,'Revenue by Customer'!$A:$A,0))</f>
        <v/>
      </c>
      <c r="X295" s="187" t="str">
        <f>INDEX('Revenue by Customer'!X:X,MATCH('Full Customer List'!$B295,'Revenue by Customer'!$A:$A,0))</f>
        <v/>
      </c>
      <c r="Y295" s="187" t="str">
        <f>INDEX('Revenue by Customer'!Y:Y,MATCH('Full Customer List'!$B295,'Revenue by Customer'!$A:$A,0))</f>
        <v/>
      </c>
      <c r="Z295" s="187" t="str">
        <f>INDEX('Revenue by Customer'!Z:Z,MATCH('Full Customer List'!$B295,'Revenue by Customer'!$A:$A,0))</f>
        <v/>
      </c>
      <c r="AA295" s="187" t="str">
        <f>INDEX('Revenue by Customer'!AA:AA,MATCH('Full Customer List'!$B295,'Revenue by Customer'!$A:$A,0))</f>
        <v/>
      </c>
      <c r="AB295" s="187" t="str">
        <f>INDEX('Revenue by Customer'!AB:AB,MATCH('Full Customer List'!$B295,'Revenue by Customer'!$A:$A,0))</f>
        <v/>
      </c>
      <c r="AC295" s="187" t="str">
        <f>INDEX('Revenue by Customer'!AC:AC,MATCH('Full Customer List'!$B295,'Revenue by Customer'!$A:$A,0))</f>
        <v/>
      </c>
    </row>
    <row r="296" spans="2:29" ht="12" customHeight="1">
      <c r="B296" s="171" t="s">
        <v>945</v>
      </c>
      <c r="C296" s="171" t="str">
        <f>INDEX('Customer List w Software'!$B:$B,MATCH('Full Customer List'!$B296,'Customer List w Software'!$A:$A,0))</f>
        <v>Former client</v>
      </c>
      <c r="D296" s="171" t="str">
        <f>INDEX('Customer List w Software'!$C:$C,MATCH('Full Customer List'!$B296,'Customer List w Software'!$A:$A,0))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87" t="str">
        <f>INDEX('Customer List w Software'!$K:$K,MATCH('Full Customer List'!$B296,'Customer List w Software'!$A:$A,0))</f>
        <v/>
      </c>
      <c r="G296" s="187">
        <f>INDEX('Revenue by Customer'!$I:$I,MATCH('Full Customer List'!$B296,'Revenue by Customer'!$A:$A,0))</f>
        <v>300</v>
      </c>
      <c r="H296" s="250" t="str">
        <f>IFERROR(IF(C296="Active","",INDEX('Client Departures'!$G:$G,MATCH('Full Customer List'!$B296,'Client Departures'!$A:$A,0))),"Unclassified")</f>
        <v>Yes</v>
      </c>
      <c r="I296" s="191">
        <v>44317</v>
      </c>
      <c r="J296" s="191">
        <v>45808</v>
      </c>
      <c r="K296" s="187">
        <f>INDEX('Revenue by Customer'!K:K,MATCH('Full Customer List'!$B296,'Revenue by Customer'!$A:$A,0))</f>
        <v>345</v>
      </c>
      <c r="L296" s="187">
        <f>INDEX('Revenue by Customer'!L:L,MATCH('Full Customer List'!$B296,'Revenue by Customer'!$A:$A,0))</f>
        <v>300</v>
      </c>
      <c r="M296" s="187">
        <f>INDEX('Revenue by Customer'!M:M,MATCH('Full Customer List'!$B296,'Revenue by Customer'!$A:$A,0))</f>
        <v>300</v>
      </c>
      <c r="N296" s="187">
        <f>INDEX('Revenue by Customer'!N:N,MATCH('Full Customer List'!$B296,'Revenue by Customer'!$A:$A,0))</f>
        <v>300</v>
      </c>
      <c r="O296" s="187">
        <f>INDEX('Revenue by Customer'!O:O,MATCH('Full Customer List'!$B296,'Revenue by Customer'!$A:$A,0))</f>
        <v>300</v>
      </c>
      <c r="P296" s="187" t="str">
        <f>INDEX('Revenue by Customer'!P:P,MATCH('Full Customer List'!$B296,'Revenue by Customer'!$A:$A,0))</f>
        <v/>
      </c>
      <c r="Q296" s="187" t="str">
        <f>INDEX('Revenue by Customer'!Q:Q,MATCH('Full Customer List'!$B296,'Revenue by Customer'!$A:$A,0))</f>
        <v/>
      </c>
      <c r="R296" s="187" t="str">
        <f>INDEX('Revenue by Customer'!R:R,MATCH('Full Customer List'!$B296,'Revenue by Customer'!$A:$A,0))</f>
        <v/>
      </c>
      <c r="S296" s="187" t="str">
        <f>INDEX('Revenue by Customer'!S:S,MATCH('Full Customer List'!$B296,'Revenue by Customer'!$A:$A,0))</f>
        <v/>
      </c>
      <c r="T296" s="187" t="str">
        <f>INDEX('Revenue by Customer'!T:T,MATCH('Full Customer List'!$B296,'Revenue by Customer'!$A:$A,0))</f>
        <v/>
      </c>
      <c r="U296" s="187" t="str">
        <f>INDEX('Revenue by Customer'!U:U,MATCH('Full Customer List'!$B296,'Revenue by Customer'!$A:$A,0))</f>
        <v/>
      </c>
      <c r="V296" s="187" t="str">
        <f>INDEX('Revenue by Customer'!V:V,MATCH('Full Customer List'!$B296,'Revenue by Customer'!$A:$A,0))</f>
        <v/>
      </c>
      <c r="W296" s="187" t="str">
        <f>INDEX('Revenue by Customer'!W:W,MATCH('Full Customer List'!$B296,'Revenue by Customer'!$A:$A,0))</f>
        <v/>
      </c>
      <c r="X296" s="187" t="str">
        <f>INDEX('Revenue by Customer'!X:X,MATCH('Full Customer List'!$B296,'Revenue by Customer'!$A:$A,0))</f>
        <v/>
      </c>
      <c r="Y296" s="187" t="str">
        <f>INDEX('Revenue by Customer'!Y:Y,MATCH('Full Customer List'!$B296,'Revenue by Customer'!$A:$A,0))</f>
        <v/>
      </c>
      <c r="Z296" s="187" t="str">
        <f>INDEX('Revenue by Customer'!Z:Z,MATCH('Full Customer List'!$B296,'Revenue by Customer'!$A:$A,0))</f>
        <v/>
      </c>
      <c r="AA296" s="187" t="str">
        <f>INDEX('Revenue by Customer'!AA:AA,MATCH('Full Customer List'!$B296,'Revenue by Customer'!$A:$A,0))</f>
        <v/>
      </c>
      <c r="AB296" s="187" t="str">
        <f>INDEX('Revenue by Customer'!AB:AB,MATCH('Full Customer List'!$B296,'Revenue by Customer'!$A:$A,0))</f>
        <v/>
      </c>
      <c r="AC296" s="187" t="str">
        <f>INDEX('Revenue by Customer'!AC:AC,MATCH('Full Customer List'!$B296,'Revenue by Customer'!$A:$A,0))</f>
        <v/>
      </c>
    </row>
    <row r="297" spans="2:29" ht="12" customHeight="1">
      <c r="B297" s="171" t="s">
        <v>946</v>
      </c>
      <c r="C297" s="171" t="str">
        <f>INDEX('Customer List w Software'!$B:$B,MATCH('Full Customer List'!$B297,'Customer List w Software'!$A:$A,0))</f>
        <v>Former client</v>
      </c>
      <c r="D297" s="171" t="str">
        <f>INDEX('Customer List w Software'!$C:$C,MATCH('Full Customer List'!$B297,'Customer List w Software'!$A:$A,0))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87" t="str">
        <f>INDEX('Customer List w Software'!$K:$K,MATCH('Full Customer List'!$B297,'Customer List w Software'!$A:$A,0))</f>
        <v/>
      </c>
      <c r="G297" s="187">
        <f>INDEX('Revenue by Customer'!$I:$I,MATCH('Full Customer List'!$B297,'Revenue by Customer'!$A:$A,0))</f>
        <v>395</v>
      </c>
      <c r="H297" s="250" t="str">
        <f>IFERROR(IF(C297="Active","",INDEX('Client Departures'!$G:$G,MATCH('Full Customer List'!$B297,'Client Departures'!$A:$A,0))),"Unclassified")</f>
        <v>Yes</v>
      </c>
      <c r="I297" s="191">
        <v>45383</v>
      </c>
      <c r="J297" s="191">
        <v>45747</v>
      </c>
      <c r="K297" s="187">
        <f>INDEX('Revenue by Customer'!K:K,MATCH('Full Customer List'!$B297,'Revenue by Customer'!$A:$A,0))</f>
        <v>395</v>
      </c>
      <c r="L297" s="187">
        <f>INDEX('Revenue by Customer'!L:L,MATCH('Full Customer List'!$B297,'Revenue by Customer'!$A:$A,0))</f>
        <v>395</v>
      </c>
      <c r="M297" s="187">
        <f>INDEX('Revenue by Customer'!M:M,MATCH('Full Customer List'!$B297,'Revenue by Customer'!$A:$A,0))</f>
        <v>395</v>
      </c>
      <c r="N297" s="187" t="str">
        <f>INDEX('Revenue by Customer'!N:N,MATCH('Full Customer List'!$B297,'Revenue by Customer'!$A:$A,0))</f>
        <v/>
      </c>
      <c r="O297" s="187" t="str">
        <f>INDEX('Revenue by Customer'!O:O,MATCH('Full Customer List'!$B297,'Revenue by Customer'!$A:$A,0))</f>
        <v/>
      </c>
      <c r="P297" s="187" t="str">
        <f>INDEX('Revenue by Customer'!P:P,MATCH('Full Customer List'!$B297,'Revenue by Customer'!$A:$A,0))</f>
        <v/>
      </c>
      <c r="Q297" s="187" t="str">
        <f>INDEX('Revenue by Customer'!Q:Q,MATCH('Full Customer List'!$B297,'Revenue by Customer'!$A:$A,0))</f>
        <v/>
      </c>
      <c r="R297" s="187" t="str">
        <f>INDEX('Revenue by Customer'!R:R,MATCH('Full Customer List'!$B297,'Revenue by Customer'!$A:$A,0))</f>
        <v/>
      </c>
      <c r="S297" s="187" t="str">
        <f>INDEX('Revenue by Customer'!S:S,MATCH('Full Customer List'!$B297,'Revenue by Customer'!$A:$A,0))</f>
        <v/>
      </c>
      <c r="T297" s="187" t="str">
        <f>INDEX('Revenue by Customer'!T:T,MATCH('Full Customer List'!$B297,'Revenue by Customer'!$A:$A,0))</f>
        <v/>
      </c>
      <c r="U297" s="187" t="str">
        <f>INDEX('Revenue by Customer'!U:U,MATCH('Full Customer List'!$B297,'Revenue by Customer'!$A:$A,0))</f>
        <v/>
      </c>
      <c r="V297" s="187" t="str">
        <f>INDEX('Revenue by Customer'!V:V,MATCH('Full Customer List'!$B297,'Revenue by Customer'!$A:$A,0))</f>
        <v/>
      </c>
      <c r="W297" s="187" t="str">
        <f>INDEX('Revenue by Customer'!W:W,MATCH('Full Customer List'!$B297,'Revenue by Customer'!$A:$A,0))</f>
        <v/>
      </c>
      <c r="X297" s="187" t="str">
        <f>INDEX('Revenue by Customer'!X:X,MATCH('Full Customer List'!$B297,'Revenue by Customer'!$A:$A,0))</f>
        <v/>
      </c>
      <c r="Y297" s="187" t="str">
        <f>INDEX('Revenue by Customer'!Y:Y,MATCH('Full Customer List'!$B297,'Revenue by Customer'!$A:$A,0))</f>
        <v/>
      </c>
      <c r="Z297" s="187" t="str">
        <f>INDEX('Revenue by Customer'!Z:Z,MATCH('Full Customer List'!$B297,'Revenue by Customer'!$A:$A,0))</f>
        <v/>
      </c>
      <c r="AA297" s="187" t="str">
        <f>INDEX('Revenue by Customer'!AA:AA,MATCH('Full Customer List'!$B297,'Revenue by Customer'!$A:$A,0))</f>
        <v/>
      </c>
      <c r="AB297" s="187" t="str">
        <f>INDEX('Revenue by Customer'!AB:AB,MATCH('Full Customer List'!$B297,'Revenue by Customer'!$A:$A,0))</f>
        <v/>
      </c>
      <c r="AC297" s="187" t="str">
        <f>INDEX('Revenue by Customer'!AC:AC,MATCH('Full Customer List'!$B297,'Revenue by Customer'!$A:$A,0))</f>
        <v/>
      </c>
    </row>
    <row r="298" spans="2:29" ht="12" customHeight="1">
      <c r="B298" s="171" t="s">
        <v>947</v>
      </c>
      <c r="C298" s="171" t="str">
        <f>INDEX('Customer List w Software'!$B:$B,MATCH('Full Customer List'!$B298,'Customer List w Software'!$A:$A,0))</f>
        <v>Former client</v>
      </c>
      <c r="D298" s="171" t="str">
        <f>INDEX('Customer List w Software'!$C:$C,MATCH('Full Customer List'!$B298,'Customer List w Software'!$A:$A,0))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87" t="str">
        <f>INDEX('Customer List w Software'!$K:$K,MATCH('Full Customer List'!$B298,'Customer List w Software'!$A:$A,0))</f>
        <v/>
      </c>
      <c r="G298" s="187">
        <f>INDEX('Revenue by Customer'!$I:$I,MATCH('Full Customer List'!$B298,'Revenue by Customer'!$A:$A,0))</f>
        <v>375.25</v>
      </c>
      <c r="H298" s="250" t="str">
        <f>IFERROR(IF(C298="Active","",INDEX('Client Departures'!$G:$G,MATCH('Full Customer List'!$B298,'Client Departures'!$A:$A,0))),"Unclassified")</f>
        <v>No</v>
      </c>
      <c r="I298" s="191">
        <v>45627</v>
      </c>
      <c r="J298" s="191">
        <v>45747</v>
      </c>
      <c r="K298" s="187">
        <f>INDEX('Revenue by Customer'!K:K,MATCH('Full Customer List'!$B298,'Revenue by Customer'!$A:$A,0))</f>
        <v>335.75</v>
      </c>
      <c r="L298" s="187">
        <f>INDEX('Revenue by Customer'!L:L,MATCH('Full Customer List'!$B298,'Revenue by Customer'!$A:$A,0))</f>
        <v>395</v>
      </c>
      <c r="M298" s="187">
        <f>INDEX('Revenue by Customer'!M:M,MATCH('Full Customer List'!$B298,'Revenue by Customer'!$A:$A,0))</f>
        <v>395</v>
      </c>
      <c r="N298" s="187" t="str">
        <f>INDEX('Revenue by Customer'!N:N,MATCH('Full Customer List'!$B298,'Revenue by Customer'!$A:$A,0))</f>
        <v/>
      </c>
      <c r="O298" s="187" t="str">
        <f>INDEX('Revenue by Customer'!O:O,MATCH('Full Customer List'!$B298,'Revenue by Customer'!$A:$A,0))</f>
        <v/>
      </c>
      <c r="P298" s="187" t="str">
        <f>INDEX('Revenue by Customer'!P:P,MATCH('Full Customer List'!$B298,'Revenue by Customer'!$A:$A,0))</f>
        <v/>
      </c>
      <c r="Q298" s="187" t="str">
        <f>INDEX('Revenue by Customer'!Q:Q,MATCH('Full Customer List'!$B298,'Revenue by Customer'!$A:$A,0))</f>
        <v/>
      </c>
      <c r="R298" s="187" t="str">
        <f>INDEX('Revenue by Customer'!R:R,MATCH('Full Customer List'!$B298,'Revenue by Customer'!$A:$A,0))</f>
        <v/>
      </c>
      <c r="S298" s="187" t="str">
        <f>INDEX('Revenue by Customer'!S:S,MATCH('Full Customer List'!$B298,'Revenue by Customer'!$A:$A,0))</f>
        <v/>
      </c>
      <c r="T298" s="187" t="str">
        <f>INDEX('Revenue by Customer'!T:T,MATCH('Full Customer List'!$B298,'Revenue by Customer'!$A:$A,0))</f>
        <v/>
      </c>
      <c r="U298" s="187" t="str">
        <f>INDEX('Revenue by Customer'!U:U,MATCH('Full Customer List'!$B298,'Revenue by Customer'!$A:$A,0))</f>
        <v/>
      </c>
      <c r="V298" s="187" t="str">
        <f>INDEX('Revenue by Customer'!V:V,MATCH('Full Customer List'!$B298,'Revenue by Customer'!$A:$A,0))</f>
        <v/>
      </c>
      <c r="W298" s="187" t="str">
        <f>INDEX('Revenue by Customer'!W:W,MATCH('Full Customer List'!$B298,'Revenue by Customer'!$A:$A,0))</f>
        <v/>
      </c>
      <c r="X298" s="187" t="str">
        <f>INDEX('Revenue by Customer'!X:X,MATCH('Full Customer List'!$B298,'Revenue by Customer'!$A:$A,0))</f>
        <v/>
      </c>
      <c r="Y298" s="187" t="str">
        <f>INDEX('Revenue by Customer'!Y:Y,MATCH('Full Customer List'!$B298,'Revenue by Customer'!$A:$A,0))</f>
        <v/>
      </c>
      <c r="Z298" s="187" t="str">
        <f>INDEX('Revenue by Customer'!Z:Z,MATCH('Full Customer List'!$B298,'Revenue by Customer'!$A:$A,0))</f>
        <v/>
      </c>
      <c r="AA298" s="187" t="str">
        <f>INDEX('Revenue by Customer'!AA:AA,MATCH('Full Customer List'!$B298,'Revenue by Customer'!$A:$A,0))</f>
        <v/>
      </c>
      <c r="AB298" s="187" t="str">
        <f>INDEX('Revenue by Customer'!AB:AB,MATCH('Full Customer List'!$B298,'Revenue by Customer'!$A:$A,0))</f>
        <v/>
      </c>
      <c r="AC298" s="187" t="str">
        <f>INDEX('Revenue by Customer'!AC:AC,MATCH('Full Customer List'!$B298,'Revenue by Customer'!$A:$A,0))</f>
        <v/>
      </c>
    </row>
    <row r="299" spans="2:29" ht="12" customHeight="1">
      <c r="B299" s="171" t="s">
        <v>948</v>
      </c>
      <c r="C299" s="171" t="str">
        <f>INDEX('Customer List w Software'!$B:$B,MATCH('Full Customer List'!$B299,'Customer List w Software'!$A:$A,0))</f>
        <v>Former client</v>
      </c>
      <c r="D299" s="171" t="str">
        <f>INDEX('Customer List w Software'!$C:$C,MATCH('Full Customer List'!$B299,'Customer List w Software'!$A:$A,0))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87" t="str">
        <f>INDEX('Customer List w Software'!$K:$K,MATCH('Full Customer List'!$B299,'Customer List w Software'!$A:$A,0))</f>
        <v/>
      </c>
      <c r="G299" s="187">
        <f>INDEX('Revenue by Customer'!$I:$I,MATCH('Full Customer List'!$B299,'Revenue by Customer'!$A:$A,0))</f>
        <v>875</v>
      </c>
      <c r="H299" s="250" t="str">
        <f>IFERROR(IF(C299="Active","",INDEX('Client Departures'!$G:$G,MATCH('Full Customer List'!$B299,'Client Departures'!$A:$A,0))),"Unclassified")</f>
        <v>Yes</v>
      </c>
      <c r="I299" s="191">
        <v>44958</v>
      </c>
      <c r="J299" s="191">
        <v>45688</v>
      </c>
      <c r="K299" s="187">
        <f>INDEX('Revenue by Customer'!K:K,MATCH('Full Customer List'!$B299,'Revenue by Customer'!$A:$A,0))</f>
        <v>875</v>
      </c>
      <c r="L299" s="187" t="str">
        <f>INDEX('Revenue by Customer'!L:L,MATCH('Full Customer List'!$B299,'Revenue by Customer'!$A:$A,0))</f>
        <v/>
      </c>
      <c r="M299" s="187" t="str">
        <f>INDEX('Revenue by Customer'!M:M,MATCH('Full Customer List'!$B299,'Revenue by Customer'!$A:$A,0))</f>
        <v/>
      </c>
      <c r="N299" s="187" t="str">
        <f>INDEX('Revenue by Customer'!N:N,MATCH('Full Customer List'!$B299,'Revenue by Customer'!$A:$A,0))</f>
        <v/>
      </c>
      <c r="O299" s="187" t="str">
        <f>INDEX('Revenue by Customer'!O:O,MATCH('Full Customer List'!$B299,'Revenue by Customer'!$A:$A,0))</f>
        <v/>
      </c>
      <c r="P299" s="187" t="str">
        <f>INDEX('Revenue by Customer'!P:P,MATCH('Full Customer List'!$B299,'Revenue by Customer'!$A:$A,0))</f>
        <v/>
      </c>
      <c r="Q299" s="187" t="str">
        <f>INDEX('Revenue by Customer'!Q:Q,MATCH('Full Customer List'!$B299,'Revenue by Customer'!$A:$A,0))</f>
        <v/>
      </c>
      <c r="R299" s="187" t="str">
        <f>INDEX('Revenue by Customer'!R:R,MATCH('Full Customer List'!$B299,'Revenue by Customer'!$A:$A,0))</f>
        <v/>
      </c>
      <c r="S299" s="187" t="str">
        <f>INDEX('Revenue by Customer'!S:S,MATCH('Full Customer List'!$B299,'Revenue by Customer'!$A:$A,0))</f>
        <v/>
      </c>
      <c r="T299" s="187" t="str">
        <f>INDEX('Revenue by Customer'!T:T,MATCH('Full Customer List'!$B299,'Revenue by Customer'!$A:$A,0))</f>
        <v/>
      </c>
      <c r="U299" s="187" t="str">
        <f>INDEX('Revenue by Customer'!U:U,MATCH('Full Customer List'!$B299,'Revenue by Customer'!$A:$A,0))</f>
        <v/>
      </c>
      <c r="V299" s="187" t="str">
        <f>INDEX('Revenue by Customer'!V:V,MATCH('Full Customer List'!$B299,'Revenue by Customer'!$A:$A,0))</f>
        <v/>
      </c>
      <c r="W299" s="187" t="str">
        <f>INDEX('Revenue by Customer'!W:W,MATCH('Full Customer List'!$B299,'Revenue by Customer'!$A:$A,0))</f>
        <v/>
      </c>
      <c r="X299" s="187" t="str">
        <f>INDEX('Revenue by Customer'!X:X,MATCH('Full Customer List'!$B299,'Revenue by Customer'!$A:$A,0))</f>
        <v/>
      </c>
      <c r="Y299" s="187" t="str">
        <f>INDEX('Revenue by Customer'!Y:Y,MATCH('Full Customer List'!$B299,'Revenue by Customer'!$A:$A,0))</f>
        <v/>
      </c>
      <c r="Z299" s="187" t="str">
        <f>INDEX('Revenue by Customer'!Z:Z,MATCH('Full Customer List'!$B299,'Revenue by Customer'!$A:$A,0))</f>
        <v/>
      </c>
      <c r="AA299" s="187" t="str">
        <f>INDEX('Revenue by Customer'!AA:AA,MATCH('Full Customer List'!$B299,'Revenue by Customer'!$A:$A,0))</f>
        <v/>
      </c>
      <c r="AB299" s="187" t="str">
        <f>INDEX('Revenue by Customer'!AB:AB,MATCH('Full Customer List'!$B299,'Revenue by Customer'!$A:$A,0))</f>
        <v/>
      </c>
      <c r="AC299" s="187" t="str">
        <f>INDEX('Revenue by Customer'!AC:AC,MATCH('Full Customer List'!$B299,'Revenue by Customer'!$A:$A,0))</f>
        <v/>
      </c>
    </row>
    <row r="300" spans="2:29" ht="12" customHeight="1">
      <c r="B300" s="171" t="s">
        <v>949</v>
      </c>
      <c r="C300" s="171" t="str">
        <f>INDEX('Customer List w Software'!$B:$B,MATCH('Full Customer List'!$B300,'Customer List w Software'!$A:$A,0))</f>
        <v>Former client</v>
      </c>
      <c r="D300" s="171" t="str">
        <f>INDEX('Customer List w Software'!$C:$C,MATCH('Full Customer List'!$B300,'Customer List w Software'!$A:$A,0))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87" t="str">
        <f>INDEX('Customer List w Software'!$K:$K,MATCH('Full Customer List'!$B300,'Customer List w Software'!$A:$A,0))</f>
        <v/>
      </c>
      <c r="G300" s="187">
        <f>INDEX('Revenue by Customer'!$I:$I,MATCH('Full Customer List'!$B300,'Revenue by Customer'!$A:$A,0))</f>
        <v>430</v>
      </c>
      <c r="H300" s="250" t="str">
        <f>IFERROR(IF(C300="Active","",INDEX('Client Departures'!$G:$G,MATCH('Full Customer List'!$B300,'Client Departures'!$A:$A,0))),"Unclassified")</f>
        <v>Yes</v>
      </c>
      <c r="I300" s="191">
        <v>45383</v>
      </c>
      <c r="J300" s="191">
        <v>45716</v>
      </c>
      <c r="K300" s="187">
        <f>INDEX('Revenue by Customer'!K:K,MATCH('Full Customer List'!$B300,'Revenue by Customer'!$A:$A,0))</f>
        <v>400</v>
      </c>
      <c r="L300" s="187">
        <f>INDEX('Revenue by Customer'!L:L,MATCH('Full Customer List'!$B300,'Revenue by Customer'!$A:$A,0))</f>
        <v>460</v>
      </c>
      <c r="M300" s="187" t="str">
        <f>INDEX('Revenue by Customer'!M:M,MATCH('Full Customer List'!$B300,'Revenue by Customer'!$A:$A,0))</f>
        <v/>
      </c>
      <c r="N300" s="187" t="str">
        <f>INDEX('Revenue by Customer'!N:N,MATCH('Full Customer List'!$B300,'Revenue by Customer'!$A:$A,0))</f>
        <v/>
      </c>
      <c r="O300" s="187" t="str">
        <f>INDEX('Revenue by Customer'!O:O,MATCH('Full Customer List'!$B300,'Revenue by Customer'!$A:$A,0))</f>
        <v/>
      </c>
      <c r="P300" s="187" t="str">
        <f>INDEX('Revenue by Customer'!P:P,MATCH('Full Customer List'!$B300,'Revenue by Customer'!$A:$A,0))</f>
        <v/>
      </c>
      <c r="Q300" s="187" t="str">
        <f>INDEX('Revenue by Customer'!Q:Q,MATCH('Full Customer List'!$B300,'Revenue by Customer'!$A:$A,0))</f>
        <v/>
      </c>
      <c r="R300" s="187" t="str">
        <f>INDEX('Revenue by Customer'!R:R,MATCH('Full Customer List'!$B300,'Revenue by Customer'!$A:$A,0))</f>
        <v/>
      </c>
      <c r="S300" s="187" t="str">
        <f>INDEX('Revenue by Customer'!S:S,MATCH('Full Customer List'!$B300,'Revenue by Customer'!$A:$A,0))</f>
        <v/>
      </c>
      <c r="T300" s="187" t="str">
        <f>INDEX('Revenue by Customer'!T:T,MATCH('Full Customer List'!$B300,'Revenue by Customer'!$A:$A,0))</f>
        <v/>
      </c>
      <c r="U300" s="187" t="str">
        <f>INDEX('Revenue by Customer'!U:U,MATCH('Full Customer List'!$B300,'Revenue by Customer'!$A:$A,0))</f>
        <v/>
      </c>
      <c r="V300" s="187" t="str">
        <f>INDEX('Revenue by Customer'!V:V,MATCH('Full Customer List'!$B300,'Revenue by Customer'!$A:$A,0))</f>
        <v/>
      </c>
      <c r="W300" s="187" t="str">
        <f>INDEX('Revenue by Customer'!W:W,MATCH('Full Customer List'!$B300,'Revenue by Customer'!$A:$A,0))</f>
        <v/>
      </c>
      <c r="X300" s="187" t="str">
        <f>INDEX('Revenue by Customer'!X:X,MATCH('Full Customer List'!$B300,'Revenue by Customer'!$A:$A,0))</f>
        <v/>
      </c>
      <c r="Y300" s="187" t="str">
        <f>INDEX('Revenue by Customer'!Y:Y,MATCH('Full Customer List'!$B300,'Revenue by Customer'!$A:$A,0))</f>
        <v/>
      </c>
      <c r="Z300" s="187" t="str">
        <f>INDEX('Revenue by Customer'!Z:Z,MATCH('Full Customer List'!$B300,'Revenue by Customer'!$A:$A,0))</f>
        <v/>
      </c>
      <c r="AA300" s="187" t="str">
        <f>INDEX('Revenue by Customer'!AA:AA,MATCH('Full Customer List'!$B300,'Revenue by Customer'!$A:$A,0))</f>
        <v/>
      </c>
      <c r="AB300" s="187" t="str">
        <f>INDEX('Revenue by Customer'!AB:AB,MATCH('Full Customer List'!$B300,'Revenue by Customer'!$A:$A,0))</f>
        <v/>
      </c>
      <c r="AC300" s="187" t="str">
        <f>INDEX('Revenue by Customer'!AC:AC,MATCH('Full Customer List'!$B300,'Revenue by Customer'!$A:$A,0))</f>
        <v/>
      </c>
    </row>
    <row r="301" spans="2:29" ht="12" customHeight="1">
      <c r="B301" s="171" t="s">
        <v>950</v>
      </c>
      <c r="C301" s="171" t="str">
        <f>INDEX('Customer List w Software'!$B:$B,MATCH('Full Customer List'!$B301,'Customer List w Software'!$A:$A,0))</f>
        <v>Former client</v>
      </c>
      <c r="D301" s="171" t="str">
        <f>INDEX('Customer List w Software'!$C:$C,MATCH('Full Customer List'!$B301,'Customer List w Software'!$A:$A,0))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87" t="str">
        <f>INDEX('Customer List w Software'!$K:$K,MATCH('Full Customer List'!$B301,'Customer List w Software'!$A:$A,0))</f>
        <v/>
      </c>
      <c r="G301" s="187">
        <f>INDEX('Revenue by Customer'!$I:$I,MATCH('Full Customer List'!$B301,'Revenue by Customer'!$A:$A,0))</f>
        <v>400</v>
      </c>
      <c r="H301" s="250" t="str">
        <f>IFERROR(IF(C301="Active","",INDEX('Client Departures'!$G:$G,MATCH('Full Customer List'!$B301,'Client Departures'!$A:$A,0))),"Unclassified")</f>
        <v>No</v>
      </c>
      <c r="I301" s="191">
        <v>45627</v>
      </c>
      <c r="J301" s="191">
        <v>45716</v>
      </c>
      <c r="K301" s="187">
        <f>INDEX('Revenue by Customer'!K:K,MATCH('Full Customer List'!$B301,'Revenue by Customer'!$A:$A,0))</f>
        <v>400</v>
      </c>
      <c r="L301" s="187">
        <f>INDEX('Revenue by Customer'!L:L,MATCH('Full Customer List'!$B301,'Revenue by Customer'!$A:$A,0))</f>
        <v>400</v>
      </c>
      <c r="M301" s="187" t="str">
        <f>INDEX('Revenue by Customer'!M:M,MATCH('Full Customer List'!$B301,'Revenue by Customer'!$A:$A,0))</f>
        <v/>
      </c>
      <c r="N301" s="187" t="str">
        <f>INDEX('Revenue by Customer'!N:N,MATCH('Full Customer List'!$B301,'Revenue by Customer'!$A:$A,0))</f>
        <v/>
      </c>
      <c r="O301" s="187" t="str">
        <f>INDEX('Revenue by Customer'!O:O,MATCH('Full Customer List'!$B301,'Revenue by Customer'!$A:$A,0))</f>
        <v/>
      </c>
      <c r="P301" s="187" t="str">
        <f>INDEX('Revenue by Customer'!P:P,MATCH('Full Customer List'!$B301,'Revenue by Customer'!$A:$A,0))</f>
        <v/>
      </c>
      <c r="Q301" s="187" t="str">
        <f>INDEX('Revenue by Customer'!Q:Q,MATCH('Full Customer List'!$B301,'Revenue by Customer'!$A:$A,0))</f>
        <v/>
      </c>
      <c r="R301" s="187" t="str">
        <f>INDEX('Revenue by Customer'!R:R,MATCH('Full Customer List'!$B301,'Revenue by Customer'!$A:$A,0))</f>
        <v/>
      </c>
      <c r="S301" s="187" t="str">
        <f>INDEX('Revenue by Customer'!S:S,MATCH('Full Customer List'!$B301,'Revenue by Customer'!$A:$A,0))</f>
        <v/>
      </c>
      <c r="T301" s="187" t="str">
        <f>INDEX('Revenue by Customer'!T:T,MATCH('Full Customer List'!$B301,'Revenue by Customer'!$A:$A,0))</f>
        <v/>
      </c>
      <c r="U301" s="187" t="str">
        <f>INDEX('Revenue by Customer'!U:U,MATCH('Full Customer List'!$B301,'Revenue by Customer'!$A:$A,0))</f>
        <v/>
      </c>
      <c r="V301" s="187" t="str">
        <f>INDEX('Revenue by Customer'!V:V,MATCH('Full Customer List'!$B301,'Revenue by Customer'!$A:$A,0))</f>
        <v/>
      </c>
      <c r="W301" s="187" t="str">
        <f>INDEX('Revenue by Customer'!W:W,MATCH('Full Customer List'!$B301,'Revenue by Customer'!$A:$A,0))</f>
        <v/>
      </c>
      <c r="X301" s="187" t="str">
        <f>INDEX('Revenue by Customer'!X:X,MATCH('Full Customer List'!$B301,'Revenue by Customer'!$A:$A,0))</f>
        <v/>
      </c>
      <c r="Y301" s="187" t="str">
        <f>INDEX('Revenue by Customer'!Y:Y,MATCH('Full Customer List'!$B301,'Revenue by Customer'!$A:$A,0))</f>
        <v/>
      </c>
      <c r="Z301" s="187" t="str">
        <f>INDEX('Revenue by Customer'!Z:Z,MATCH('Full Customer List'!$B301,'Revenue by Customer'!$A:$A,0))</f>
        <v/>
      </c>
      <c r="AA301" s="187" t="str">
        <f>INDEX('Revenue by Customer'!AA:AA,MATCH('Full Customer List'!$B301,'Revenue by Customer'!$A:$A,0))</f>
        <v/>
      </c>
      <c r="AB301" s="187" t="str">
        <f>INDEX('Revenue by Customer'!AB:AB,MATCH('Full Customer List'!$B301,'Revenue by Customer'!$A:$A,0))</f>
        <v/>
      </c>
      <c r="AC301" s="187" t="str">
        <f>INDEX('Revenue by Customer'!AC:AC,MATCH('Full Customer List'!$B301,'Revenue by Customer'!$A:$A,0))</f>
        <v/>
      </c>
    </row>
    <row r="302" spans="2:29" ht="12" customHeight="1">
      <c r="B302" s="171" t="s">
        <v>951</v>
      </c>
      <c r="C302" s="171" t="str">
        <f>INDEX('Customer List w Software'!$B:$B,MATCH('Full Customer List'!$B302,'Customer List w Software'!$A:$A,0))</f>
        <v>Former client</v>
      </c>
      <c r="D302" s="171" t="str">
        <f>INDEX('Customer List w Software'!$C:$C,MATCH('Full Customer List'!$B302,'Customer List w Software'!$A:$A,0))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87" t="str">
        <f>INDEX('Customer List w Software'!$K:$K,MATCH('Full Customer List'!$B302,'Customer List w Software'!$A:$A,0))</f>
        <v/>
      </c>
      <c r="G302" s="187">
        <f>INDEX('Revenue by Customer'!$I:$I,MATCH('Full Customer List'!$B302,'Revenue by Customer'!$A:$A,0))</f>
        <v>395</v>
      </c>
      <c r="H302" s="250" t="str">
        <f>IFERROR(IF(C302="Active","",INDEX('Client Departures'!$G:$G,MATCH('Full Customer List'!$B302,'Client Departures'!$A:$A,0))),"Unclassified")</f>
        <v>Yes</v>
      </c>
      <c r="I302" s="191">
        <v>45566</v>
      </c>
      <c r="J302" s="191">
        <v>45716</v>
      </c>
      <c r="K302" s="187">
        <f>INDEX('Revenue by Customer'!K:K,MATCH('Full Customer List'!$B302,'Revenue by Customer'!$A:$A,0))</f>
        <v>395</v>
      </c>
      <c r="L302" s="187">
        <f>INDEX('Revenue by Customer'!L:L,MATCH('Full Customer List'!$B302,'Revenue by Customer'!$A:$A,0))</f>
        <v>395</v>
      </c>
      <c r="M302" s="187" t="str">
        <f>INDEX('Revenue by Customer'!M:M,MATCH('Full Customer List'!$B302,'Revenue by Customer'!$A:$A,0))</f>
        <v/>
      </c>
      <c r="N302" s="187" t="str">
        <f>INDEX('Revenue by Customer'!N:N,MATCH('Full Customer List'!$B302,'Revenue by Customer'!$A:$A,0))</f>
        <v/>
      </c>
      <c r="O302" s="187" t="str">
        <f>INDEX('Revenue by Customer'!O:O,MATCH('Full Customer List'!$B302,'Revenue by Customer'!$A:$A,0))</f>
        <v/>
      </c>
      <c r="P302" s="187" t="str">
        <f>INDEX('Revenue by Customer'!P:P,MATCH('Full Customer List'!$B302,'Revenue by Customer'!$A:$A,0))</f>
        <v/>
      </c>
      <c r="Q302" s="187" t="str">
        <f>INDEX('Revenue by Customer'!Q:Q,MATCH('Full Customer List'!$B302,'Revenue by Customer'!$A:$A,0))</f>
        <v/>
      </c>
      <c r="R302" s="187" t="str">
        <f>INDEX('Revenue by Customer'!R:R,MATCH('Full Customer List'!$B302,'Revenue by Customer'!$A:$A,0))</f>
        <v/>
      </c>
      <c r="S302" s="187" t="str">
        <f>INDEX('Revenue by Customer'!S:S,MATCH('Full Customer List'!$B302,'Revenue by Customer'!$A:$A,0))</f>
        <v/>
      </c>
      <c r="T302" s="187" t="str">
        <f>INDEX('Revenue by Customer'!T:T,MATCH('Full Customer List'!$B302,'Revenue by Customer'!$A:$A,0))</f>
        <v/>
      </c>
      <c r="U302" s="187" t="str">
        <f>INDEX('Revenue by Customer'!U:U,MATCH('Full Customer List'!$B302,'Revenue by Customer'!$A:$A,0))</f>
        <v/>
      </c>
      <c r="V302" s="187" t="str">
        <f>INDEX('Revenue by Customer'!V:V,MATCH('Full Customer List'!$B302,'Revenue by Customer'!$A:$A,0))</f>
        <v/>
      </c>
      <c r="W302" s="187" t="str">
        <f>INDEX('Revenue by Customer'!W:W,MATCH('Full Customer List'!$B302,'Revenue by Customer'!$A:$A,0))</f>
        <v/>
      </c>
      <c r="X302" s="187" t="str">
        <f>INDEX('Revenue by Customer'!X:X,MATCH('Full Customer List'!$B302,'Revenue by Customer'!$A:$A,0))</f>
        <v/>
      </c>
      <c r="Y302" s="187" t="str">
        <f>INDEX('Revenue by Customer'!Y:Y,MATCH('Full Customer List'!$B302,'Revenue by Customer'!$A:$A,0))</f>
        <v/>
      </c>
      <c r="Z302" s="187" t="str">
        <f>INDEX('Revenue by Customer'!Z:Z,MATCH('Full Customer List'!$B302,'Revenue by Customer'!$A:$A,0))</f>
        <v/>
      </c>
      <c r="AA302" s="187" t="str">
        <f>INDEX('Revenue by Customer'!AA:AA,MATCH('Full Customer List'!$B302,'Revenue by Customer'!$A:$A,0))</f>
        <v/>
      </c>
      <c r="AB302" s="187" t="str">
        <f>INDEX('Revenue by Customer'!AB:AB,MATCH('Full Customer List'!$B302,'Revenue by Customer'!$A:$A,0))</f>
        <v/>
      </c>
      <c r="AC302" s="187" t="str">
        <f>INDEX('Revenue by Customer'!AC:AC,MATCH('Full Customer List'!$B302,'Revenue by Customer'!$A:$A,0))</f>
        <v/>
      </c>
    </row>
    <row r="303" spans="2:29" ht="12" customHeight="1">
      <c r="B303" s="171" t="s">
        <v>952</v>
      </c>
      <c r="C303" s="171" t="str">
        <f>INDEX('Customer List w Software'!$B:$B,MATCH('Full Customer List'!$B303,'Customer List w Software'!$A:$A,0))</f>
        <v>Former client</v>
      </c>
      <c r="D303" s="171" t="str">
        <f>INDEX('Customer List w Software'!$C:$C,MATCH('Full Customer List'!$B303,'Customer List w Software'!$A:$A,0))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87" t="str">
        <f>INDEX('Customer List w Software'!$K:$K,MATCH('Full Customer List'!$B303,'Customer List w Software'!$A:$A,0))</f>
        <v/>
      </c>
      <c r="G303" s="187">
        <f>INDEX('Revenue by Customer'!$I:$I,MATCH('Full Customer List'!$B303,'Revenue by Customer'!$A:$A,0))</f>
        <v>380</v>
      </c>
      <c r="H303" s="250" t="str">
        <f>IFERROR(IF(C303="Active","",INDEX('Client Departures'!$G:$G,MATCH('Full Customer List'!$B303,'Client Departures'!$A:$A,0))),"Unclassified")</f>
        <v>No</v>
      </c>
      <c r="I303" s="191">
        <v>45597</v>
      </c>
      <c r="J303" s="191">
        <v>45688</v>
      </c>
      <c r="K303" s="187">
        <f>INDEX('Revenue by Customer'!K:K,MATCH('Full Customer List'!$B303,'Revenue by Customer'!$A:$A,0))</f>
        <v>625</v>
      </c>
      <c r="L303" s="187">
        <f>INDEX('Revenue by Customer'!L:L,MATCH('Full Customer List'!$B303,'Revenue by Customer'!$A:$A,0))</f>
        <v>135</v>
      </c>
      <c r="M303" s="187" t="str">
        <f>INDEX('Revenue by Customer'!M:M,MATCH('Full Customer List'!$B303,'Revenue by Customer'!$A:$A,0))</f>
        <v/>
      </c>
      <c r="N303" s="187" t="str">
        <f>INDEX('Revenue by Customer'!N:N,MATCH('Full Customer List'!$B303,'Revenue by Customer'!$A:$A,0))</f>
        <v/>
      </c>
      <c r="O303" s="187" t="str">
        <f>INDEX('Revenue by Customer'!O:O,MATCH('Full Customer List'!$B303,'Revenue by Customer'!$A:$A,0))</f>
        <v/>
      </c>
      <c r="P303" s="187" t="str">
        <f>INDEX('Revenue by Customer'!P:P,MATCH('Full Customer List'!$B303,'Revenue by Customer'!$A:$A,0))</f>
        <v/>
      </c>
      <c r="Q303" s="187" t="str">
        <f>INDEX('Revenue by Customer'!Q:Q,MATCH('Full Customer List'!$B303,'Revenue by Customer'!$A:$A,0))</f>
        <v/>
      </c>
      <c r="R303" s="187" t="str">
        <f>INDEX('Revenue by Customer'!R:R,MATCH('Full Customer List'!$B303,'Revenue by Customer'!$A:$A,0))</f>
        <v/>
      </c>
      <c r="S303" s="187" t="str">
        <f>INDEX('Revenue by Customer'!S:S,MATCH('Full Customer List'!$B303,'Revenue by Customer'!$A:$A,0))</f>
        <v/>
      </c>
      <c r="T303" s="187" t="str">
        <f>INDEX('Revenue by Customer'!T:T,MATCH('Full Customer List'!$B303,'Revenue by Customer'!$A:$A,0))</f>
        <v/>
      </c>
      <c r="U303" s="187" t="str">
        <f>INDEX('Revenue by Customer'!U:U,MATCH('Full Customer List'!$B303,'Revenue by Customer'!$A:$A,0))</f>
        <v/>
      </c>
      <c r="V303" s="187" t="str">
        <f>INDEX('Revenue by Customer'!V:V,MATCH('Full Customer List'!$B303,'Revenue by Customer'!$A:$A,0))</f>
        <v/>
      </c>
      <c r="W303" s="187" t="str">
        <f>INDEX('Revenue by Customer'!W:W,MATCH('Full Customer List'!$B303,'Revenue by Customer'!$A:$A,0))</f>
        <v/>
      </c>
      <c r="X303" s="187" t="str">
        <f>INDEX('Revenue by Customer'!X:X,MATCH('Full Customer List'!$B303,'Revenue by Customer'!$A:$A,0))</f>
        <v/>
      </c>
      <c r="Y303" s="187" t="str">
        <f>INDEX('Revenue by Customer'!Y:Y,MATCH('Full Customer List'!$B303,'Revenue by Customer'!$A:$A,0))</f>
        <v/>
      </c>
      <c r="Z303" s="187" t="str">
        <f>INDEX('Revenue by Customer'!Z:Z,MATCH('Full Customer List'!$B303,'Revenue by Customer'!$A:$A,0))</f>
        <v/>
      </c>
      <c r="AA303" s="187" t="str">
        <f>INDEX('Revenue by Customer'!AA:AA,MATCH('Full Customer List'!$B303,'Revenue by Customer'!$A:$A,0))</f>
        <v/>
      </c>
      <c r="AB303" s="187" t="str">
        <f>INDEX('Revenue by Customer'!AB:AB,MATCH('Full Customer List'!$B303,'Revenue by Customer'!$A:$A,0))</f>
        <v/>
      </c>
      <c r="AC303" s="187" t="str">
        <f>INDEX('Revenue by Customer'!AC:AC,MATCH('Full Customer List'!$B303,'Revenue by Customer'!$A:$A,0))</f>
        <v/>
      </c>
    </row>
    <row r="304" spans="2:29" ht="12" customHeight="1">
      <c r="B304" s="171" t="s">
        <v>953</v>
      </c>
      <c r="C304" s="171" t="str">
        <f>INDEX('Customer List w Software'!$B:$B,MATCH('Full Customer List'!$B304,'Customer List w Software'!$A:$A,0))</f>
        <v>Former client</v>
      </c>
      <c r="D304" s="171" t="str">
        <f>INDEX('Customer List w Software'!$C:$C,MATCH('Full Customer List'!$B304,'Customer List w Software'!$A:$A,0))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87" t="str">
        <f>INDEX('Customer List w Software'!$K:$K,MATCH('Full Customer List'!$B304,'Customer List w Software'!$A:$A,0))</f>
        <v/>
      </c>
      <c r="G304" s="187">
        <f>INDEX('Revenue by Customer'!$I:$I,MATCH('Full Customer List'!$B304,'Revenue by Customer'!$A:$A,0))</f>
        <v>135</v>
      </c>
      <c r="H304" s="250" t="str">
        <f>IFERROR(IF(C304="Active","",INDEX('Client Departures'!$G:$G,MATCH('Full Customer List'!$B304,'Client Departures'!$A:$A,0))),"Unclassified")</f>
        <v>No</v>
      </c>
      <c r="I304" s="191">
        <v>45292</v>
      </c>
      <c r="J304" s="191">
        <v>45808</v>
      </c>
      <c r="K304" s="187">
        <f>INDEX('Revenue by Customer'!K:K,MATCH('Full Customer List'!$B304,'Revenue by Customer'!$A:$A,0))</f>
        <v>135</v>
      </c>
      <c r="L304" s="187">
        <f>INDEX('Revenue by Customer'!L:L,MATCH('Full Customer List'!$B304,'Revenue by Customer'!$A:$A,0))</f>
        <v>120</v>
      </c>
      <c r="M304" s="187">
        <f>INDEX('Revenue by Customer'!M:M,MATCH('Full Customer List'!$B304,'Revenue by Customer'!$A:$A,0))</f>
        <v>135</v>
      </c>
      <c r="N304" s="187">
        <f>INDEX('Revenue by Customer'!N:N,MATCH('Full Customer List'!$B304,'Revenue by Customer'!$A:$A,0))</f>
        <v>135</v>
      </c>
      <c r="O304" s="187">
        <f>INDEX('Revenue by Customer'!O:O,MATCH('Full Customer List'!$B304,'Revenue by Customer'!$A:$A,0))</f>
        <v>135</v>
      </c>
      <c r="P304" s="187" t="str">
        <f>INDEX('Revenue by Customer'!P:P,MATCH('Full Customer List'!$B304,'Revenue by Customer'!$A:$A,0))</f>
        <v/>
      </c>
      <c r="Q304" s="187" t="str">
        <f>INDEX('Revenue by Customer'!Q:Q,MATCH('Full Customer List'!$B304,'Revenue by Customer'!$A:$A,0))</f>
        <v/>
      </c>
      <c r="R304" s="187" t="str">
        <f>INDEX('Revenue by Customer'!R:R,MATCH('Full Customer List'!$B304,'Revenue by Customer'!$A:$A,0))</f>
        <v/>
      </c>
      <c r="S304" s="187" t="str">
        <f>INDEX('Revenue by Customer'!S:S,MATCH('Full Customer List'!$B304,'Revenue by Customer'!$A:$A,0))</f>
        <v/>
      </c>
      <c r="T304" s="187" t="str">
        <f>INDEX('Revenue by Customer'!T:T,MATCH('Full Customer List'!$B304,'Revenue by Customer'!$A:$A,0))</f>
        <v/>
      </c>
      <c r="U304" s="187" t="str">
        <f>INDEX('Revenue by Customer'!U:U,MATCH('Full Customer List'!$B304,'Revenue by Customer'!$A:$A,0))</f>
        <v/>
      </c>
      <c r="V304" s="187" t="str">
        <f>INDEX('Revenue by Customer'!V:V,MATCH('Full Customer List'!$B304,'Revenue by Customer'!$A:$A,0))</f>
        <v/>
      </c>
      <c r="W304" s="187" t="str">
        <f>INDEX('Revenue by Customer'!W:W,MATCH('Full Customer List'!$B304,'Revenue by Customer'!$A:$A,0))</f>
        <v/>
      </c>
      <c r="X304" s="187" t="str">
        <f>INDEX('Revenue by Customer'!X:X,MATCH('Full Customer List'!$B304,'Revenue by Customer'!$A:$A,0))</f>
        <v/>
      </c>
      <c r="Y304" s="187" t="str">
        <f>INDEX('Revenue by Customer'!Y:Y,MATCH('Full Customer List'!$B304,'Revenue by Customer'!$A:$A,0))</f>
        <v/>
      </c>
      <c r="Z304" s="187" t="str">
        <f>INDEX('Revenue by Customer'!Z:Z,MATCH('Full Customer List'!$B304,'Revenue by Customer'!$A:$A,0))</f>
        <v/>
      </c>
      <c r="AA304" s="187" t="str">
        <f>INDEX('Revenue by Customer'!AA:AA,MATCH('Full Customer List'!$B304,'Revenue by Customer'!$A:$A,0))</f>
        <v/>
      </c>
      <c r="AB304" s="187" t="str">
        <f>INDEX('Revenue by Customer'!AB:AB,MATCH('Full Customer List'!$B304,'Revenue by Customer'!$A:$A,0))</f>
        <v/>
      </c>
      <c r="AC304" s="187" t="str">
        <f>INDEX('Revenue by Customer'!AC:AC,MATCH('Full Customer List'!$B304,'Revenue by Customer'!$A:$A,0))</f>
        <v/>
      </c>
    </row>
    <row r="305" spans="2:29" ht="12" customHeight="1">
      <c r="B305" s="171" t="s">
        <v>954</v>
      </c>
      <c r="C305" s="171" t="str">
        <f>INDEX('Customer List w Software'!$B:$B,MATCH('Full Customer List'!$B305,'Customer List w Software'!$A:$A,0))</f>
        <v>Former client</v>
      </c>
      <c r="D305" s="171" t="str">
        <f>INDEX('Customer List w Software'!$C:$C,MATCH('Full Customer List'!$B305,'Customer List w Software'!$A:$A,0))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87" t="str">
        <f>INDEX('Customer List w Software'!$K:$K,MATCH('Full Customer List'!$B305,'Customer List w Software'!$A:$A,0))</f>
        <v/>
      </c>
      <c r="G305" s="187">
        <f>INDEX('Revenue by Customer'!$I:$I,MATCH('Full Customer List'!$B305,'Revenue by Customer'!$A:$A,0))</f>
        <v>280.625</v>
      </c>
      <c r="H305" s="250" t="str">
        <f>IFERROR(IF(C305="Active","",INDEX('Client Departures'!$G:$G,MATCH('Full Customer List'!$B305,'Client Departures'!$A:$A,0))),"Unclassified")</f>
        <v>No</v>
      </c>
      <c r="I305" s="191">
        <v>45597</v>
      </c>
      <c r="J305" s="191">
        <v>45688</v>
      </c>
      <c r="K305" s="187">
        <f>INDEX('Revenue by Customer'!K:K,MATCH('Full Customer List'!$B305,'Revenue by Customer'!$A:$A,0))</f>
        <v>531.25</v>
      </c>
      <c r="L305" s="187">
        <f>INDEX('Revenue by Customer'!L:L,MATCH('Full Customer List'!$B305,'Revenue by Customer'!$A:$A,0))</f>
        <v>30</v>
      </c>
      <c r="M305" s="187" t="str">
        <f>INDEX('Revenue by Customer'!M:M,MATCH('Full Customer List'!$B305,'Revenue by Customer'!$A:$A,0))</f>
        <v/>
      </c>
      <c r="N305" s="187" t="str">
        <f>INDEX('Revenue by Customer'!N:N,MATCH('Full Customer List'!$B305,'Revenue by Customer'!$A:$A,0))</f>
        <v/>
      </c>
      <c r="O305" s="187" t="str">
        <f>INDEX('Revenue by Customer'!O:O,MATCH('Full Customer List'!$B305,'Revenue by Customer'!$A:$A,0))</f>
        <v/>
      </c>
      <c r="P305" s="187" t="str">
        <f>INDEX('Revenue by Customer'!P:P,MATCH('Full Customer List'!$B305,'Revenue by Customer'!$A:$A,0))</f>
        <v/>
      </c>
      <c r="Q305" s="187" t="str">
        <f>INDEX('Revenue by Customer'!Q:Q,MATCH('Full Customer List'!$B305,'Revenue by Customer'!$A:$A,0))</f>
        <v/>
      </c>
      <c r="R305" s="187" t="str">
        <f>INDEX('Revenue by Customer'!R:R,MATCH('Full Customer List'!$B305,'Revenue by Customer'!$A:$A,0))</f>
        <v/>
      </c>
      <c r="S305" s="187" t="str">
        <f>INDEX('Revenue by Customer'!S:S,MATCH('Full Customer List'!$B305,'Revenue by Customer'!$A:$A,0))</f>
        <v/>
      </c>
      <c r="T305" s="187" t="str">
        <f>INDEX('Revenue by Customer'!T:T,MATCH('Full Customer List'!$B305,'Revenue by Customer'!$A:$A,0))</f>
        <v/>
      </c>
      <c r="U305" s="187" t="str">
        <f>INDEX('Revenue by Customer'!U:U,MATCH('Full Customer List'!$B305,'Revenue by Customer'!$A:$A,0))</f>
        <v/>
      </c>
      <c r="V305" s="187" t="str">
        <f>INDEX('Revenue by Customer'!V:V,MATCH('Full Customer List'!$B305,'Revenue by Customer'!$A:$A,0))</f>
        <v/>
      </c>
      <c r="W305" s="187" t="str">
        <f>INDEX('Revenue by Customer'!W:W,MATCH('Full Customer List'!$B305,'Revenue by Customer'!$A:$A,0))</f>
        <v/>
      </c>
      <c r="X305" s="187" t="str">
        <f>INDEX('Revenue by Customer'!X:X,MATCH('Full Customer List'!$B305,'Revenue by Customer'!$A:$A,0))</f>
        <v/>
      </c>
      <c r="Y305" s="187" t="str">
        <f>INDEX('Revenue by Customer'!Y:Y,MATCH('Full Customer List'!$B305,'Revenue by Customer'!$A:$A,0))</f>
        <v/>
      </c>
      <c r="Z305" s="187" t="str">
        <f>INDEX('Revenue by Customer'!Z:Z,MATCH('Full Customer List'!$B305,'Revenue by Customer'!$A:$A,0))</f>
        <v/>
      </c>
      <c r="AA305" s="187" t="str">
        <f>INDEX('Revenue by Customer'!AA:AA,MATCH('Full Customer List'!$B305,'Revenue by Customer'!$A:$A,0))</f>
        <v/>
      </c>
      <c r="AB305" s="187" t="str">
        <f>INDEX('Revenue by Customer'!AB:AB,MATCH('Full Customer List'!$B305,'Revenue by Customer'!$A:$A,0))</f>
        <v/>
      </c>
      <c r="AC305" s="187" t="str">
        <f>INDEX('Revenue by Customer'!AC:AC,MATCH('Full Customer List'!$B305,'Revenue by Customer'!$A:$A,0))</f>
        <v/>
      </c>
    </row>
    <row r="306" spans="2:29" ht="12" customHeight="1">
      <c r="B306" s="171" t="s">
        <v>955</v>
      </c>
      <c r="C306" s="171" t="str">
        <f>INDEX('Customer List w Software'!$B:$B,MATCH('Full Customer List'!$B306,'Customer List w Software'!$A:$A,0))</f>
        <v>Former client</v>
      </c>
      <c r="D306" s="171" t="str">
        <f>INDEX('Customer List w Software'!$C:$C,MATCH('Full Customer List'!$B306,'Customer List w Software'!$A:$A,0))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87" t="str">
        <f>INDEX('Customer List w Software'!$K:$K,MATCH('Full Customer List'!$B306,'Customer List w Software'!$A:$A,0))</f>
        <v/>
      </c>
      <c r="G306" s="187">
        <f>INDEX('Revenue by Customer'!$I:$I,MATCH('Full Customer List'!$B306,'Revenue by Customer'!$A:$A,0))</f>
        <v>510</v>
      </c>
      <c r="H306" s="250" t="str">
        <f>IFERROR(IF(C306="Active","",INDEX('Client Departures'!$G:$G,MATCH('Full Customer List'!$B306,'Client Departures'!$A:$A,0))),"Unclassified")</f>
        <v>No</v>
      </c>
      <c r="I306" s="191">
        <v>45323</v>
      </c>
      <c r="J306" s="191">
        <v>45688</v>
      </c>
      <c r="K306" s="187">
        <f>INDEX('Revenue by Customer'!K:K,MATCH('Full Customer List'!$B306,'Revenue by Customer'!$A:$A,0))</f>
        <v>510</v>
      </c>
      <c r="L306" s="187" t="str">
        <f>INDEX('Revenue by Customer'!L:L,MATCH('Full Customer List'!$B306,'Revenue by Customer'!$A:$A,0))</f>
        <v/>
      </c>
      <c r="M306" s="187" t="str">
        <f>INDEX('Revenue by Customer'!M:M,MATCH('Full Customer List'!$B306,'Revenue by Customer'!$A:$A,0))</f>
        <v/>
      </c>
      <c r="N306" s="187" t="str">
        <f>INDEX('Revenue by Customer'!N:N,MATCH('Full Customer List'!$B306,'Revenue by Customer'!$A:$A,0))</f>
        <v/>
      </c>
      <c r="O306" s="187" t="str">
        <f>INDEX('Revenue by Customer'!O:O,MATCH('Full Customer List'!$B306,'Revenue by Customer'!$A:$A,0))</f>
        <v/>
      </c>
      <c r="P306" s="187" t="str">
        <f>INDEX('Revenue by Customer'!P:P,MATCH('Full Customer List'!$B306,'Revenue by Customer'!$A:$A,0))</f>
        <v/>
      </c>
      <c r="Q306" s="187" t="str">
        <f>INDEX('Revenue by Customer'!Q:Q,MATCH('Full Customer List'!$B306,'Revenue by Customer'!$A:$A,0))</f>
        <v/>
      </c>
      <c r="R306" s="187" t="str">
        <f>INDEX('Revenue by Customer'!R:R,MATCH('Full Customer List'!$B306,'Revenue by Customer'!$A:$A,0))</f>
        <v/>
      </c>
      <c r="S306" s="187" t="str">
        <f>INDEX('Revenue by Customer'!S:S,MATCH('Full Customer List'!$B306,'Revenue by Customer'!$A:$A,0))</f>
        <v/>
      </c>
      <c r="T306" s="187" t="str">
        <f>INDEX('Revenue by Customer'!T:T,MATCH('Full Customer List'!$B306,'Revenue by Customer'!$A:$A,0))</f>
        <v/>
      </c>
      <c r="U306" s="187" t="str">
        <f>INDEX('Revenue by Customer'!U:U,MATCH('Full Customer List'!$B306,'Revenue by Customer'!$A:$A,0))</f>
        <v/>
      </c>
      <c r="V306" s="187" t="str">
        <f>INDEX('Revenue by Customer'!V:V,MATCH('Full Customer List'!$B306,'Revenue by Customer'!$A:$A,0))</f>
        <v/>
      </c>
      <c r="W306" s="187" t="str">
        <f>INDEX('Revenue by Customer'!W:W,MATCH('Full Customer List'!$B306,'Revenue by Customer'!$A:$A,0))</f>
        <v/>
      </c>
      <c r="X306" s="187" t="str">
        <f>INDEX('Revenue by Customer'!X:X,MATCH('Full Customer List'!$B306,'Revenue by Customer'!$A:$A,0))</f>
        <v/>
      </c>
      <c r="Y306" s="187" t="str">
        <f>INDEX('Revenue by Customer'!Y:Y,MATCH('Full Customer List'!$B306,'Revenue by Customer'!$A:$A,0))</f>
        <v/>
      </c>
      <c r="Z306" s="187" t="str">
        <f>INDEX('Revenue by Customer'!Z:Z,MATCH('Full Customer List'!$B306,'Revenue by Customer'!$A:$A,0))</f>
        <v/>
      </c>
      <c r="AA306" s="187" t="str">
        <f>INDEX('Revenue by Customer'!AA:AA,MATCH('Full Customer List'!$B306,'Revenue by Customer'!$A:$A,0))</f>
        <v/>
      </c>
      <c r="AB306" s="187" t="str">
        <f>INDEX('Revenue by Customer'!AB:AB,MATCH('Full Customer List'!$B306,'Revenue by Customer'!$A:$A,0))</f>
        <v/>
      </c>
      <c r="AC306" s="187" t="str">
        <f>INDEX('Revenue by Customer'!AC:AC,MATCH('Full Customer List'!$B306,'Revenue by Customer'!$A:$A,0))</f>
        <v/>
      </c>
    </row>
    <row r="307" spans="2:29" ht="12" customHeight="1">
      <c r="B307" s="171" t="s">
        <v>956</v>
      </c>
      <c r="C307" s="171" t="str">
        <f>INDEX('Customer List w Software'!$B:$B,MATCH('Full Customer List'!$B307,'Customer List w Software'!$A:$A,0))</f>
        <v>Former client</v>
      </c>
      <c r="D307" s="171" t="str">
        <f>INDEX('Customer List w Software'!$C:$C,MATCH('Full Customer List'!$B307,'Customer List w Software'!$A:$A,0))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87" t="str">
        <f>INDEX('Customer List w Software'!$K:$K,MATCH('Full Customer List'!$B307,'Customer List w Software'!$A:$A,0))</f>
        <v/>
      </c>
      <c r="G307" s="187">
        <f>INDEX('Revenue by Customer'!$I:$I,MATCH('Full Customer List'!$B307,'Revenue by Customer'!$A:$A,0))</f>
        <v>375</v>
      </c>
      <c r="H307" s="250" t="str">
        <f>IFERROR(IF(C307="Active","",INDEX('Client Departures'!$G:$G,MATCH('Full Customer List'!$B307,'Client Departures'!$A:$A,0))),"Unclassified")</f>
        <v>No</v>
      </c>
      <c r="I307" s="191">
        <v>45352</v>
      </c>
      <c r="J307" s="191">
        <v>45688</v>
      </c>
      <c r="K307" s="187">
        <f>INDEX('Revenue by Customer'!K:K,MATCH('Full Customer List'!$B307,'Revenue by Customer'!$A:$A,0))</f>
        <v>375</v>
      </c>
      <c r="L307" s="187" t="str">
        <f>INDEX('Revenue by Customer'!L:L,MATCH('Full Customer List'!$B307,'Revenue by Customer'!$A:$A,0))</f>
        <v/>
      </c>
      <c r="M307" s="187" t="str">
        <f>INDEX('Revenue by Customer'!M:M,MATCH('Full Customer List'!$B307,'Revenue by Customer'!$A:$A,0))</f>
        <v/>
      </c>
      <c r="N307" s="187" t="str">
        <f>INDEX('Revenue by Customer'!N:N,MATCH('Full Customer List'!$B307,'Revenue by Customer'!$A:$A,0))</f>
        <v/>
      </c>
      <c r="O307" s="187" t="str">
        <f>INDEX('Revenue by Customer'!O:O,MATCH('Full Customer List'!$B307,'Revenue by Customer'!$A:$A,0))</f>
        <v/>
      </c>
      <c r="P307" s="187" t="str">
        <f>INDEX('Revenue by Customer'!P:P,MATCH('Full Customer List'!$B307,'Revenue by Customer'!$A:$A,0))</f>
        <v/>
      </c>
      <c r="Q307" s="187" t="str">
        <f>INDEX('Revenue by Customer'!Q:Q,MATCH('Full Customer List'!$B307,'Revenue by Customer'!$A:$A,0))</f>
        <v/>
      </c>
      <c r="R307" s="187" t="str">
        <f>INDEX('Revenue by Customer'!R:R,MATCH('Full Customer List'!$B307,'Revenue by Customer'!$A:$A,0))</f>
        <v/>
      </c>
      <c r="S307" s="187" t="str">
        <f>INDEX('Revenue by Customer'!S:S,MATCH('Full Customer List'!$B307,'Revenue by Customer'!$A:$A,0))</f>
        <v/>
      </c>
      <c r="T307" s="187" t="str">
        <f>INDEX('Revenue by Customer'!T:T,MATCH('Full Customer List'!$B307,'Revenue by Customer'!$A:$A,0))</f>
        <v/>
      </c>
      <c r="U307" s="187" t="str">
        <f>INDEX('Revenue by Customer'!U:U,MATCH('Full Customer List'!$B307,'Revenue by Customer'!$A:$A,0))</f>
        <v/>
      </c>
      <c r="V307" s="187" t="str">
        <f>INDEX('Revenue by Customer'!V:V,MATCH('Full Customer List'!$B307,'Revenue by Customer'!$A:$A,0))</f>
        <v/>
      </c>
      <c r="W307" s="187" t="str">
        <f>INDEX('Revenue by Customer'!W:W,MATCH('Full Customer List'!$B307,'Revenue by Customer'!$A:$A,0))</f>
        <v/>
      </c>
      <c r="X307" s="187" t="str">
        <f>INDEX('Revenue by Customer'!X:X,MATCH('Full Customer List'!$B307,'Revenue by Customer'!$A:$A,0))</f>
        <v/>
      </c>
      <c r="Y307" s="187" t="str">
        <f>INDEX('Revenue by Customer'!Y:Y,MATCH('Full Customer List'!$B307,'Revenue by Customer'!$A:$A,0))</f>
        <v/>
      </c>
      <c r="Z307" s="187" t="str">
        <f>INDEX('Revenue by Customer'!Z:Z,MATCH('Full Customer List'!$B307,'Revenue by Customer'!$A:$A,0))</f>
        <v/>
      </c>
      <c r="AA307" s="187" t="str">
        <f>INDEX('Revenue by Customer'!AA:AA,MATCH('Full Customer List'!$B307,'Revenue by Customer'!$A:$A,0))</f>
        <v/>
      </c>
      <c r="AB307" s="187" t="str">
        <f>INDEX('Revenue by Customer'!AB:AB,MATCH('Full Customer List'!$B307,'Revenue by Customer'!$A:$A,0))</f>
        <v/>
      </c>
      <c r="AC307" s="187" t="str">
        <f>INDEX('Revenue by Customer'!AC:AC,MATCH('Full Customer List'!$B307,'Revenue by Customer'!$A:$A,0))</f>
        <v/>
      </c>
    </row>
    <row r="308" spans="2:29" ht="12" customHeight="1">
      <c r="B308" s="171" t="s">
        <v>957</v>
      </c>
      <c r="C308" s="171" t="str">
        <f>INDEX('Customer List w Software'!$B:$B,MATCH('Full Customer List'!$B308,'Customer List w Software'!$A:$A,0))</f>
        <v>Former client</v>
      </c>
      <c r="D308" s="171" t="str">
        <f>INDEX('Customer List w Software'!$C:$C,MATCH('Full Customer List'!$B308,'Customer List w Software'!$A:$A,0))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87" t="str">
        <f>INDEX('Customer List w Software'!$K:$K,MATCH('Full Customer List'!$B308,'Customer List w Software'!$A:$A,0))</f>
        <v/>
      </c>
      <c r="G308" s="187">
        <f>INDEX('Revenue by Customer'!$I:$I,MATCH('Full Customer List'!$B308,'Revenue by Customer'!$A:$A,0))</f>
        <v>360</v>
      </c>
      <c r="H308" s="250" t="str">
        <f>IFERROR(IF(C308="Active","",INDEX('Client Departures'!$G:$G,MATCH('Full Customer List'!$B308,'Client Departures'!$A:$A,0))),"Unclassified")</f>
        <v>No</v>
      </c>
      <c r="I308" s="191">
        <v>45627</v>
      </c>
      <c r="J308" s="191">
        <v>45688</v>
      </c>
      <c r="K308" s="187">
        <f>INDEX('Revenue by Customer'!K:K,MATCH('Full Customer List'!$B308,'Revenue by Customer'!$A:$A,0))</f>
        <v>360</v>
      </c>
      <c r="L308" s="187" t="str">
        <f>INDEX('Revenue by Customer'!L:L,MATCH('Full Customer List'!$B308,'Revenue by Customer'!$A:$A,0))</f>
        <v/>
      </c>
      <c r="M308" s="187" t="str">
        <f>INDEX('Revenue by Customer'!M:M,MATCH('Full Customer List'!$B308,'Revenue by Customer'!$A:$A,0))</f>
        <v/>
      </c>
      <c r="N308" s="187" t="str">
        <f>INDEX('Revenue by Customer'!N:N,MATCH('Full Customer List'!$B308,'Revenue by Customer'!$A:$A,0))</f>
        <v/>
      </c>
      <c r="O308" s="187" t="str">
        <f>INDEX('Revenue by Customer'!O:O,MATCH('Full Customer List'!$B308,'Revenue by Customer'!$A:$A,0))</f>
        <v/>
      </c>
      <c r="P308" s="187" t="str">
        <f>INDEX('Revenue by Customer'!P:P,MATCH('Full Customer List'!$B308,'Revenue by Customer'!$A:$A,0))</f>
        <v/>
      </c>
      <c r="Q308" s="187" t="str">
        <f>INDEX('Revenue by Customer'!Q:Q,MATCH('Full Customer List'!$B308,'Revenue by Customer'!$A:$A,0))</f>
        <v/>
      </c>
      <c r="R308" s="187" t="str">
        <f>INDEX('Revenue by Customer'!R:R,MATCH('Full Customer List'!$B308,'Revenue by Customer'!$A:$A,0))</f>
        <v/>
      </c>
      <c r="S308" s="187" t="str">
        <f>INDEX('Revenue by Customer'!S:S,MATCH('Full Customer List'!$B308,'Revenue by Customer'!$A:$A,0))</f>
        <v/>
      </c>
      <c r="T308" s="187" t="str">
        <f>INDEX('Revenue by Customer'!T:T,MATCH('Full Customer List'!$B308,'Revenue by Customer'!$A:$A,0))</f>
        <v/>
      </c>
      <c r="U308" s="187" t="str">
        <f>INDEX('Revenue by Customer'!U:U,MATCH('Full Customer List'!$B308,'Revenue by Customer'!$A:$A,0))</f>
        <v/>
      </c>
      <c r="V308" s="187" t="str">
        <f>INDEX('Revenue by Customer'!V:V,MATCH('Full Customer List'!$B308,'Revenue by Customer'!$A:$A,0))</f>
        <v/>
      </c>
      <c r="W308" s="187" t="str">
        <f>INDEX('Revenue by Customer'!W:W,MATCH('Full Customer List'!$B308,'Revenue by Customer'!$A:$A,0))</f>
        <v/>
      </c>
      <c r="X308" s="187" t="str">
        <f>INDEX('Revenue by Customer'!X:X,MATCH('Full Customer List'!$B308,'Revenue by Customer'!$A:$A,0))</f>
        <v/>
      </c>
      <c r="Y308" s="187" t="str">
        <f>INDEX('Revenue by Customer'!Y:Y,MATCH('Full Customer List'!$B308,'Revenue by Customer'!$A:$A,0))</f>
        <v/>
      </c>
      <c r="Z308" s="187" t="str">
        <f>INDEX('Revenue by Customer'!Z:Z,MATCH('Full Customer List'!$B308,'Revenue by Customer'!$A:$A,0))</f>
        <v/>
      </c>
      <c r="AA308" s="187" t="str">
        <f>INDEX('Revenue by Customer'!AA:AA,MATCH('Full Customer List'!$B308,'Revenue by Customer'!$A:$A,0))</f>
        <v/>
      </c>
      <c r="AB308" s="187" t="str">
        <f>INDEX('Revenue by Customer'!AB:AB,MATCH('Full Customer List'!$B308,'Revenue by Customer'!$A:$A,0))</f>
        <v/>
      </c>
      <c r="AC308" s="187" t="str">
        <f>INDEX('Revenue by Customer'!AC:AC,MATCH('Full Customer List'!$B308,'Revenue by Customer'!$A:$A,0))</f>
        <v/>
      </c>
    </row>
    <row r="309" spans="2:29" ht="12" customHeight="1">
      <c r="B309" s="171" t="s">
        <v>958</v>
      </c>
      <c r="C309" s="171" t="str">
        <f>INDEX('Customer List w Software'!$B:$B,MATCH('Full Customer List'!$B309,'Customer List w Software'!$A:$A,0))</f>
        <v>Former client</v>
      </c>
      <c r="D309" s="171" t="str">
        <f>INDEX('Customer List w Software'!$C:$C,MATCH('Full Customer List'!$B309,'Customer List w Software'!$A:$A,0))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87" t="str">
        <f>INDEX('Customer List w Software'!$K:$K,MATCH('Full Customer List'!$B309,'Customer List w Software'!$A:$A,0))</f>
        <v/>
      </c>
      <c r="G309" s="187">
        <f>INDEX('Revenue by Customer'!$I:$I,MATCH('Full Customer List'!$B309,'Revenue by Customer'!$A:$A,0))</f>
        <v>350</v>
      </c>
      <c r="H309" s="250" t="str">
        <f>IFERROR(IF(C309="Active","",INDEX('Client Departures'!$G:$G,MATCH('Full Customer List'!$B309,'Client Departures'!$A:$A,0))),"Unclassified")</f>
        <v>No</v>
      </c>
      <c r="I309" s="191">
        <v>45597</v>
      </c>
      <c r="J309" s="191">
        <v>45688</v>
      </c>
      <c r="K309" s="187">
        <f>INDEX('Revenue by Customer'!K:K,MATCH('Full Customer List'!$B309,'Revenue by Customer'!$A:$A,0))</f>
        <v>350</v>
      </c>
      <c r="L309" s="187" t="str">
        <f>INDEX('Revenue by Customer'!L:L,MATCH('Full Customer List'!$B309,'Revenue by Customer'!$A:$A,0))</f>
        <v/>
      </c>
      <c r="M309" s="187" t="str">
        <f>INDEX('Revenue by Customer'!M:M,MATCH('Full Customer List'!$B309,'Revenue by Customer'!$A:$A,0))</f>
        <v/>
      </c>
      <c r="N309" s="187" t="str">
        <f>INDEX('Revenue by Customer'!N:N,MATCH('Full Customer List'!$B309,'Revenue by Customer'!$A:$A,0))</f>
        <v/>
      </c>
      <c r="O309" s="187" t="str">
        <f>INDEX('Revenue by Customer'!O:O,MATCH('Full Customer List'!$B309,'Revenue by Customer'!$A:$A,0))</f>
        <v/>
      </c>
      <c r="P309" s="187" t="str">
        <f>INDEX('Revenue by Customer'!P:P,MATCH('Full Customer List'!$B309,'Revenue by Customer'!$A:$A,0))</f>
        <v/>
      </c>
      <c r="Q309" s="187" t="str">
        <f>INDEX('Revenue by Customer'!Q:Q,MATCH('Full Customer List'!$B309,'Revenue by Customer'!$A:$A,0))</f>
        <v/>
      </c>
      <c r="R309" s="187" t="str">
        <f>INDEX('Revenue by Customer'!R:R,MATCH('Full Customer List'!$B309,'Revenue by Customer'!$A:$A,0))</f>
        <v/>
      </c>
      <c r="S309" s="187" t="str">
        <f>INDEX('Revenue by Customer'!S:S,MATCH('Full Customer List'!$B309,'Revenue by Customer'!$A:$A,0))</f>
        <v/>
      </c>
      <c r="T309" s="187" t="str">
        <f>INDEX('Revenue by Customer'!T:T,MATCH('Full Customer List'!$B309,'Revenue by Customer'!$A:$A,0))</f>
        <v/>
      </c>
      <c r="U309" s="187" t="str">
        <f>INDEX('Revenue by Customer'!U:U,MATCH('Full Customer List'!$B309,'Revenue by Customer'!$A:$A,0))</f>
        <v/>
      </c>
      <c r="V309" s="187" t="str">
        <f>INDEX('Revenue by Customer'!V:V,MATCH('Full Customer List'!$B309,'Revenue by Customer'!$A:$A,0))</f>
        <v/>
      </c>
      <c r="W309" s="187" t="str">
        <f>INDEX('Revenue by Customer'!W:W,MATCH('Full Customer List'!$B309,'Revenue by Customer'!$A:$A,0))</f>
        <v/>
      </c>
      <c r="X309" s="187" t="str">
        <f>INDEX('Revenue by Customer'!X:X,MATCH('Full Customer List'!$B309,'Revenue by Customer'!$A:$A,0))</f>
        <v/>
      </c>
      <c r="Y309" s="187" t="str">
        <f>INDEX('Revenue by Customer'!Y:Y,MATCH('Full Customer List'!$B309,'Revenue by Customer'!$A:$A,0))</f>
        <v/>
      </c>
      <c r="Z309" s="187" t="str">
        <f>INDEX('Revenue by Customer'!Z:Z,MATCH('Full Customer List'!$B309,'Revenue by Customer'!$A:$A,0))</f>
        <v/>
      </c>
      <c r="AA309" s="187" t="str">
        <f>INDEX('Revenue by Customer'!AA:AA,MATCH('Full Customer List'!$B309,'Revenue by Customer'!$A:$A,0))</f>
        <v/>
      </c>
      <c r="AB309" s="187" t="str">
        <f>INDEX('Revenue by Customer'!AB:AB,MATCH('Full Customer List'!$B309,'Revenue by Customer'!$A:$A,0))</f>
        <v/>
      </c>
      <c r="AC309" s="187" t="str">
        <f>INDEX('Revenue by Customer'!AC:AC,MATCH('Full Customer List'!$B309,'Revenue by Customer'!$A:$A,0))</f>
        <v/>
      </c>
    </row>
    <row r="310" spans="2:29" ht="12" customHeight="1">
      <c r="B310" s="171" t="s">
        <v>959</v>
      </c>
      <c r="C310" s="171" t="str">
        <f>INDEX('Customer List w Software'!$B:$B,MATCH('Full Customer List'!$B310,'Customer List w Software'!$A:$A,0))</f>
        <v>Former client</v>
      </c>
      <c r="D310" s="171" t="str">
        <f>INDEX('Customer List w Software'!$C:$C,MATCH('Full Customer List'!$B310,'Customer List w Software'!$A:$A,0))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87" t="str">
        <f>INDEX('Customer List w Software'!$K:$K,MATCH('Full Customer List'!$B310,'Customer List w Software'!$A:$A,0))</f>
        <v/>
      </c>
      <c r="G310" s="187">
        <f>INDEX('Revenue by Customer'!$I:$I,MATCH('Full Customer List'!$B310,'Revenue by Customer'!$A:$A,0))</f>
        <v>76.5</v>
      </c>
      <c r="H310" s="250" t="str">
        <f>IFERROR(IF(C310="Active","",INDEX('Client Departures'!$G:$G,MATCH('Full Customer List'!$B310,'Client Departures'!$A:$A,0))),"Unclassified")</f>
        <v>Yes</v>
      </c>
      <c r="I310" s="191">
        <v>45383</v>
      </c>
      <c r="J310" s="191">
        <v>45626</v>
      </c>
      <c r="K310" s="187">
        <f>INDEX('Revenue by Customer'!K:K,MATCH('Full Customer List'!$B310,'Revenue by Customer'!$A:$A,0))</f>
        <v>59.5</v>
      </c>
      <c r="L310" s="187">
        <f>INDEX('Revenue by Customer'!L:L,MATCH('Full Customer List'!$B310,'Revenue by Customer'!$A:$A,0))</f>
        <v>85</v>
      </c>
      <c r="M310" s="187">
        <f>INDEX('Revenue by Customer'!M:M,MATCH('Full Customer List'!$B310,'Revenue by Customer'!$A:$A,0))</f>
        <v>85</v>
      </c>
      <c r="N310" s="187" t="str">
        <f>INDEX('Revenue by Customer'!N:N,MATCH('Full Customer List'!$B310,'Revenue by Customer'!$A:$A,0))</f>
        <v/>
      </c>
      <c r="O310" s="187" t="str">
        <f>INDEX('Revenue by Customer'!O:O,MATCH('Full Customer List'!$B310,'Revenue by Customer'!$A:$A,0))</f>
        <v/>
      </c>
      <c r="P310" s="187" t="str">
        <f>INDEX('Revenue by Customer'!P:P,MATCH('Full Customer List'!$B310,'Revenue by Customer'!$A:$A,0))</f>
        <v/>
      </c>
      <c r="Q310" s="187" t="str">
        <f>INDEX('Revenue by Customer'!Q:Q,MATCH('Full Customer List'!$B310,'Revenue by Customer'!$A:$A,0))</f>
        <v/>
      </c>
      <c r="R310" s="187" t="str">
        <f>INDEX('Revenue by Customer'!R:R,MATCH('Full Customer List'!$B310,'Revenue by Customer'!$A:$A,0))</f>
        <v/>
      </c>
      <c r="S310" s="187" t="str">
        <f>INDEX('Revenue by Customer'!S:S,MATCH('Full Customer List'!$B310,'Revenue by Customer'!$A:$A,0))</f>
        <v/>
      </c>
      <c r="T310" s="187" t="str">
        <f>INDEX('Revenue by Customer'!T:T,MATCH('Full Customer List'!$B310,'Revenue by Customer'!$A:$A,0))</f>
        <v/>
      </c>
      <c r="U310" s="187" t="str">
        <f>INDEX('Revenue by Customer'!U:U,MATCH('Full Customer List'!$B310,'Revenue by Customer'!$A:$A,0))</f>
        <v/>
      </c>
      <c r="V310" s="187" t="str">
        <f>INDEX('Revenue by Customer'!V:V,MATCH('Full Customer List'!$B310,'Revenue by Customer'!$A:$A,0))</f>
        <v/>
      </c>
      <c r="W310" s="187" t="str">
        <f>INDEX('Revenue by Customer'!W:W,MATCH('Full Customer List'!$B310,'Revenue by Customer'!$A:$A,0))</f>
        <v/>
      </c>
      <c r="X310" s="187" t="str">
        <f>INDEX('Revenue by Customer'!X:X,MATCH('Full Customer List'!$B310,'Revenue by Customer'!$A:$A,0))</f>
        <v/>
      </c>
      <c r="Y310" s="187" t="str">
        <f>INDEX('Revenue by Customer'!Y:Y,MATCH('Full Customer List'!$B310,'Revenue by Customer'!$A:$A,0))</f>
        <v/>
      </c>
      <c r="Z310" s="187" t="str">
        <f>INDEX('Revenue by Customer'!Z:Z,MATCH('Full Customer List'!$B310,'Revenue by Customer'!$A:$A,0))</f>
        <v/>
      </c>
      <c r="AA310" s="187" t="str">
        <f>INDEX('Revenue by Customer'!AA:AA,MATCH('Full Customer List'!$B310,'Revenue by Customer'!$A:$A,0))</f>
        <v/>
      </c>
      <c r="AB310" s="187" t="str">
        <f>INDEX('Revenue by Customer'!AB:AB,MATCH('Full Customer List'!$B310,'Revenue by Customer'!$A:$A,0))</f>
        <v/>
      </c>
      <c r="AC310" s="187" t="str">
        <f>INDEX('Revenue by Customer'!AC:AC,MATCH('Full Customer List'!$B310,'Revenue by Customer'!$A:$A,0))</f>
        <v/>
      </c>
    </row>
    <row r="311" spans="2:29" ht="12" customHeight="1">
      <c r="B311" s="171" t="s">
        <v>960</v>
      </c>
      <c r="C311" s="171" t="str">
        <f>INDEX('Customer List w Software'!$B:$B,MATCH('Full Customer List'!$B311,'Customer List w Software'!$A:$A,0))</f>
        <v>Former client</v>
      </c>
      <c r="D311" s="171" t="str">
        <f>INDEX('Customer List w Software'!$C:$C,MATCH('Full Customer List'!$B311,'Customer List w Software'!$A:$A,0))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87" t="str">
        <f>INDEX('Customer List w Software'!$K:$K,MATCH('Full Customer List'!$B311,'Customer List w Software'!$A:$A,0))</f>
        <v/>
      </c>
      <c r="G311" s="187">
        <f>INDEX('Revenue by Customer'!$I:$I,MATCH('Full Customer List'!$B311,'Revenue by Customer'!$A:$A,0))</f>
        <v>210</v>
      </c>
      <c r="H311" s="250" t="str">
        <f>IFERROR(IF(C311="Active","",INDEX('Client Departures'!$G:$G,MATCH('Full Customer List'!$B311,'Client Departures'!$A:$A,0))),"Unclassified")</f>
        <v>Yes</v>
      </c>
      <c r="I311" s="191">
        <v>45261</v>
      </c>
      <c r="J311" s="191">
        <v>45657</v>
      </c>
      <c r="K311" s="187">
        <f>INDEX('Revenue by Customer'!K:K,MATCH('Full Customer List'!$B311,'Revenue by Customer'!$A:$A,0))</f>
        <v>210</v>
      </c>
      <c r="L311" s="187" t="str">
        <f>INDEX('Revenue by Customer'!L:L,MATCH('Full Customer List'!$B311,'Revenue by Customer'!$A:$A,0))</f>
        <v/>
      </c>
      <c r="M311" s="187" t="str">
        <f>INDEX('Revenue by Customer'!M:M,MATCH('Full Customer List'!$B311,'Revenue by Customer'!$A:$A,0))</f>
        <v/>
      </c>
      <c r="N311" s="187" t="str">
        <f>INDEX('Revenue by Customer'!N:N,MATCH('Full Customer List'!$B311,'Revenue by Customer'!$A:$A,0))</f>
        <v/>
      </c>
      <c r="O311" s="187" t="str">
        <f>INDEX('Revenue by Customer'!O:O,MATCH('Full Customer List'!$B311,'Revenue by Customer'!$A:$A,0))</f>
        <v/>
      </c>
      <c r="P311" s="187" t="str">
        <f>INDEX('Revenue by Customer'!P:P,MATCH('Full Customer List'!$B311,'Revenue by Customer'!$A:$A,0))</f>
        <v/>
      </c>
      <c r="Q311" s="187" t="str">
        <f>INDEX('Revenue by Customer'!Q:Q,MATCH('Full Customer List'!$B311,'Revenue by Customer'!$A:$A,0))</f>
        <v/>
      </c>
      <c r="R311" s="187" t="str">
        <f>INDEX('Revenue by Customer'!R:R,MATCH('Full Customer List'!$B311,'Revenue by Customer'!$A:$A,0))</f>
        <v/>
      </c>
      <c r="S311" s="187" t="str">
        <f>INDEX('Revenue by Customer'!S:S,MATCH('Full Customer List'!$B311,'Revenue by Customer'!$A:$A,0))</f>
        <v/>
      </c>
      <c r="T311" s="187" t="str">
        <f>INDEX('Revenue by Customer'!T:T,MATCH('Full Customer List'!$B311,'Revenue by Customer'!$A:$A,0))</f>
        <v/>
      </c>
      <c r="U311" s="187" t="str">
        <f>INDEX('Revenue by Customer'!U:U,MATCH('Full Customer List'!$B311,'Revenue by Customer'!$A:$A,0))</f>
        <v/>
      </c>
      <c r="V311" s="187" t="str">
        <f>INDEX('Revenue by Customer'!V:V,MATCH('Full Customer List'!$B311,'Revenue by Customer'!$A:$A,0))</f>
        <v/>
      </c>
      <c r="W311" s="187" t="str">
        <f>INDEX('Revenue by Customer'!W:W,MATCH('Full Customer List'!$B311,'Revenue by Customer'!$A:$A,0))</f>
        <v/>
      </c>
      <c r="X311" s="187" t="str">
        <f>INDEX('Revenue by Customer'!X:X,MATCH('Full Customer List'!$B311,'Revenue by Customer'!$A:$A,0))</f>
        <v/>
      </c>
      <c r="Y311" s="187" t="str">
        <f>INDEX('Revenue by Customer'!Y:Y,MATCH('Full Customer List'!$B311,'Revenue by Customer'!$A:$A,0))</f>
        <v/>
      </c>
      <c r="Z311" s="187" t="str">
        <f>INDEX('Revenue by Customer'!Z:Z,MATCH('Full Customer List'!$B311,'Revenue by Customer'!$A:$A,0))</f>
        <v/>
      </c>
      <c r="AA311" s="187" t="str">
        <f>INDEX('Revenue by Customer'!AA:AA,MATCH('Full Customer List'!$B311,'Revenue by Customer'!$A:$A,0))</f>
        <v/>
      </c>
      <c r="AB311" s="187" t="str">
        <f>INDEX('Revenue by Customer'!AB:AB,MATCH('Full Customer List'!$B311,'Revenue by Customer'!$A:$A,0))</f>
        <v/>
      </c>
      <c r="AC311" s="187" t="str">
        <f>INDEX('Revenue by Customer'!AC:AC,MATCH('Full Customer List'!$B311,'Revenue by Customer'!$A:$A,0))</f>
        <v/>
      </c>
    </row>
    <row r="312" spans="2:29" ht="12" customHeight="1">
      <c r="B312" s="171" t="s">
        <v>961</v>
      </c>
      <c r="C312" s="171" t="str">
        <f>INDEX('Customer List w Software'!$B:$B,MATCH('Full Customer List'!$B312,'Customer List w Software'!$A:$A,0))</f>
        <v>Former client</v>
      </c>
      <c r="D312" s="171" t="str">
        <f>INDEX('Customer List w Software'!$C:$C,MATCH('Full Customer List'!$B312,'Customer List w Software'!$A:$A,0))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87" t="str">
        <f>INDEX('Customer List w Software'!$K:$K,MATCH('Full Customer List'!$B312,'Customer List w Software'!$A:$A,0))</f>
        <v/>
      </c>
      <c r="G312" s="187">
        <f>INDEX('Revenue by Customer'!$I:$I,MATCH('Full Customer List'!$B312,'Revenue by Customer'!$A:$A,0))</f>
        <v>85</v>
      </c>
      <c r="H312" s="250" t="str">
        <f>IFERROR(IF(C312="Active","",INDEX('Client Departures'!$G:$G,MATCH('Full Customer List'!$B312,'Client Departures'!$A:$A,0))),"Unclassified")</f>
        <v>No</v>
      </c>
      <c r="I312" s="191">
        <v>45689</v>
      </c>
      <c r="J312" s="191">
        <v>45716</v>
      </c>
      <c r="K312" s="187" t="str">
        <f>INDEX('Revenue by Customer'!K:K,MATCH('Full Customer List'!$B312,'Revenue by Customer'!$A:$A,0))</f>
        <v/>
      </c>
      <c r="L312" s="187">
        <f>INDEX('Revenue by Customer'!L:L,MATCH('Full Customer List'!$B312,'Revenue by Customer'!$A:$A,0))</f>
        <v>85</v>
      </c>
      <c r="M312" s="187" t="str">
        <f>INDEX('Revenue by Customer'!M:M,MATCH('Full Customer List'!$B312,'Revenue by Customer'!$A:$A,0))</f>
        <v/>
      </c>
      <c r="N312" s="187" t="str">
        <f>INDEX('Revenue by Customer'!N:N,MATCH('Full Customer List'!$B312,'Revenue by Customer'!$A:$A,0))</f>
        <v/>
      </c>
      <c r="O312" s="187" t="str">
        <f>INDEX('Revenue by Customer'!O:O,MATCH('Full Customer List'!$B312,'Revenue by Customer'!$A:$A,0))</f>
        <v/>
      </c>
      <c r="P312" s="187" t="str">
        <f>INDEX('Revenue by Customer'!P:P,MATCH('Full Customer List'!$B312,'Revenue by Customer'!$A:$A,0))</f>
        <v/>
      </c>
      <c r="Q312" s="187" t="str">
        <f>INDEX('Revenue by Customer'!Q:Q,MATCH('Full Customer List'!$B312,'Revenue by Customer'!$A:$A,0))</f>
        <v/>
      </c>
      <c r="R312" s="187" t="str">
        <f>INDEX('Revenue by Customer'!R:R,MATCH('Full Customer List'!$B312,'Revenue by Customer'!$A:$A,0))</f>
        <v/>
      </c>
      <c r="S312" s="187" t="str">
        <f>INDEX('Revenue by Customer'!S:S,MATCH('Full Customer List'!$B312,'Revenue by Customer'!$A:$A,0))</f>
        <v/>
      </c>
      <c r="T312" s="187" t="str">
        <f>INDEX('Revenue by Customer'!T:T,MATCH('Full Customer List'!$B312,'Revenue by Customer'!$A:$A,0))</f>
        <v/>
      </c>
      <c r="U312" s="187" t="str">
        <f>INDEX('Revenue by Customer'!U:U,MATCH('Full Customer List'!$B312,'Revenue by Customer'!$A:$A,0))</f>
        <v/>
      </c>
      <c r="V312" s="187" t="str">
        <f>INDEX('Revenue by Customer'!V:V,MATCH('Full Customer List'!$B312,'Revenue by Customer'!$A:$A,0))</f>
        <v/>
      </c>
      <c r="W312" s="187" t="str">
        <f>INDEX('Revenue by Customer'!W:W,MATCH('Full Customer List'!$B312,'Revenue by Customer'!$A:$A,0))</f>
        <v/>
      </c>
      <c r="X312" s="187" t="str">
        <f>INDEX('Revenue by Customer'!X:X,MATCH('Full Customer List'!$B312,'Revenue by Customer'!$A:$A,0))</f>
        <v/>
      </c>
      <c r="Y312" s="187" t="str">
        <f>INDEX('Revenue by Customer'!Y:Y,MATCH('Full Customer List'!$B312,'Revenue by Customer'!$A:$A,0))</f>
        <v/>
      </c>
      <c r="Z312" s="187" t="str">
        <f>INDEX('Revenue by Customer'!Z:Z,MATCH('Full Customer List'!$B312,'Revenue by Customer'!$A:$A,0))</f>
        <v/>
      </c>
      <c r="AA312" s="187" t="str">
        <f>INDEX('Revenue by Customer'!AA:AA,MATCH('Full Customer List'!$B312,'Revenue by Customer'!$A:$A,0))</f>
        <v/>
      </c>
      <c r="AB312" s="187" t="str">
        <f>INDEX('Revenue by Customer'!AB:AB,MATCH('Full Customer List'!$B312,'Revenue by Customer'!$A:$A,0))</f>
        <v/>
      </c>
      <c r="AC312" s="187" t="str">
        <f>INDEX('Revenue by Customer'!AC:AC,MATCH('Full Customer List'!$B312,'Revenue by Customer'!$A:$A,0))</f>
        <v/>
      </c>
    </row>
    <row r="313" spans="2:29" ht="12" customHeight="1">
      <c r="B313" s="171" t="s">
        <v>962</v>
      </c>
      <c r="C313" s="171" t="str">
        <f>INDEX('Customer List w Software'!$B:$B,MATCH('Full Customer List'!$B313,'Customer List w Software'!$A:$A,0))</f>
        <v>Former client</v>
      </c>
      <c r="D313" s="171" t="str">
        <f>INDEX('Customer List w Software'!$C:$C,MATCH('Full Customer List'!$B313,'Customer List w Software'!$A:$A,0))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87" t="str">
        <f>INDEX('Customer List w Software'!$K:$K,MATCH('Full Customer List'!$B313,'Customer List w Software'!$A:$A,0))</f>
        <v/>
      </c>
      <c r="G313" s="187">
        <f>INDEX('Revenue by Customer'!$I:$I,MATCH('Full Customer List'!$B313,'Revenue by Customer'!$A:$A,0))</f>
        <v>15</v>
      </c>
      <c r="H313" s="250" t="str">
        <f>IFERROR(IF(C313="Active","",INDEX('Client Departures'!$G:$G,MATCH('Full Customer List'!$B313,'Client Departures'!$A:$A,0))),"Unclassified")</f>
        <v>Yes</v>
      </c>
      <c r="I313" s="191">
        <v>44470</v>
      </c>
      <c r="J313" s="191">
        <v>45657</v>
      </c>
      <c r="K313" s="187">
        <f>INDEX('Revenue by Customer'!K:K,MATCH('Full Customer List'!$B313,'Revenue by Customer'!$A:$A,0))</f>
        <v>15</v>
      </c>
      <c r="L313" s="187" t="str">
        <f>INDEX('Revenue by Customer'!L:L,MATCH('Full Customer List'!$B313,'Revenue by Customer'!$A:$A,0))</f>
        <v/>
      </c>
      <c r="M313" s="187" t="str">
        <f>INDEX('Revenue by Customer'!M:M,MATCH('Full Customer List'!$B313,'Revenue by Customer'!$A:$A,0))</f>
        <v/>
      </c>
      <c r="N313" s="187" t="str">
        <f>INDEX('Revenue by Customer'!N:N,MATCH('Full Customer List'!$B313,'Revenue by Customer'!$A:$A,0))</f>
        <v/>
      </c>
      <c r="O313" s="187" t="str">
        <f>INDEX('Revenue by Customer'!O:O,MATCH('Full Customer List'!$B313,'Revenue by Customer'!$A:$A,0))</f>
        <v/>
      </c>
      <c r="P313" s="187" t="str">
        <f>INDEX('Revenue by Customer'!P:P,MATCH('Full Customer List'!$B313,'Revenue by Customer'!$A:$A,0))</f>
        <v/>
      </c>
      <c r="Q313" s="187" t="str">
        <f>INDEX('Revenue by Customer'!Q:Q,MATCH('Full Customer List'!$B313,'Revenue by Customer'!$A:$A,0))</f>
        <v/>
      </c>
      <c r="R313" s="187" t="str">
        <f>INDEX('Revenue by Customer'!R:R,MATCH('Full Customer List'!$B313,'Revenue by Customer'!$A:$A,0))</f>
        <v/>
      </c>
      <c r="S313" s="187" t="str">
        <f>INDEX('Revenue by Customer'!S:S,MATCH('Full Customer List'!$B313,'Revenue by Customer'!$A:$A,0))</f>
        <v/>
      </c>
      <c r="T313" s="187" t="str">
        <f>INDEX('Revenue by Customer'!T:T,MATCH('Full Customer List'!$B313,'Revenue by Customer'!$A:$A,0))</f>
        <v/>
      </c>
      <c r="U313" s="187" t="str">
        <f>INDEX('Revenue by Customer'!U:U,MATCH('Full Customer List'!$B313,'Revenue by Customer'!$A:$A,0))</f>
        <v/>
      </c>
      <c r="V313" s="187" t="str">
        <f>INDEX('Revenue by Customer'!V:V,MATCH('Full Customer List'!$B313,'Revenue by Customer'!$A:$A,0))</f>
        <v/>
      </c>
      <c r="W313" s="187" t="str">
        <f>INDEX('Revenue by Customer'!W:W,MATCH('Full Customer List'!$B313,'Revenue by Customer'!$A:$A,0))</f>
        <v/>
      </c>
      <c r="X313" s="187" t="str">
        <f>INDEX('Revenue by Customer'!X:X,MATCH('Full Customer List'!$B313,'Revenue by Customer'!$A:$A,0))</f>
        <v/>
      </c>
      <c r="Y313" s="187" t="str">
        <f>INDEX('Revenue by Customer'!Y:Y,MATCH('Full Customer List'!$B313,'Revenue by Customer'!$A:$A,0))</f>
        <v/>
      </c>
      <c r="Z313" s="187" t="str">
        <f>INDEX('Revenue by Customer'!Z:Z,MATCH('Full Customer List'!$B313,'Revenue by Customer'!$A:$A,0))</f>
        <v/>
      </c>
      <c r="AA313" s="187" t="str">
        <f>INDEX('Revenue by Customer'!AA:AA,MATCH('Full Customer List'!$B313,'Revenue by Customer'!$A:$A,0))</f>
        <v/>
      </c>
      <c r="AB313" s="187" t="str">
        <f>INDEX('Revenue by Customer'!AB:AB,MATCH('Full Customer List'!$B313,'Revenue by Customer'!$A:$A,0))</f>
        <v/>
      </c>
      <c r="AC313" s="187" t="str">
        <f>INDEX('Revenue by Customer'!AC:AC,MATCH('Full Customer List'!$B313,'Revenue by Customer'!$A:$A,0))</f>
        <v/>
      </c>
    </row>
    <row r="314" spans="2:29">
      <c r="B314" s="217" t="s">
        <v>1520</v>
      </c>
      <c r="C314" s="217" t="s">
        <v>497</v>
      </c>
      <c r="D314" s="217" t="s">
        <v>498</v>
      </c>
      <c r="E314" s="217" t="s">
        <v>1300</v>
      </c>
      <c r="G314" s="82">
        <v>1902</v>
      </c>
      <c r="H314" s="250" t="str">
        <f>IFERROR(IF(C314="Active","",INDEX('Client Departures'!$G:$G,MATCH('Full Customer List'!$B314,'Client Departures'!$A:$A,0))),"Unclassified")</f>
        <v/>
      </c>
      <c r="I314" s="242">
        <v>46235</v>
      </c>
    </row>
    <row r="315" spans="2:29">
      <c r="B315" s="217" t="s">
        <v>1521</v>
      </c>
      <c r="C315" s="217" t="s">
        <v>497</v>
      </c>
      <c r="D315" s="217" t="s">
        <v>498</v>
      </c>
      <c r="E315" s="217" t="s">
        <v>1300</v>
      </c>
      <c r="G315" s="82">
        <v>1410</v>
      </c>
      <c r="H315" s="250" t="str">
        <f>IFERROR(IF(C315="Active","",INDEX('Client Departures'!$G:$G,MATCH('Full Customer List'!$B315,'Client Departures'!$A:$A,0))),"Unclassified")</f>
        <v/>
      </c>
      <c r="I315" s="242">
        <v>46235</v>
      </c>
    </row>
    <row r="316" spans="2:29">
      <c r="B316" s="217" t="s">
        <v>1522</v>
      </c>
      <c r="C316" s="217" t="s">
        <v>497</v>
      </c>
      <c r="D316" s="217" t="s">
        <v>498</v>
      </c>
      <c r="E316" s="217" t="s">
        <v>1300</v>
      </c>
      <c r="G316" s="82">
        <v>1566</v>
      </c>
      <c r="H316" s="250" t="str">
        <f>IFERROR(IF(C316="Active","",INDEX('Client Departures'!$G:$G,MATCH('Full Customer List'!$B316,'Client Departures'!$A:$A,0))),"Unclassified")</f>
        <v/>
      </c>
      <c r="I316" s="242">
        <v>46235</v>
      </c>
    </row>
    <row r="317" spans="2:29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82">
        <v>850</v>
      </c>
      <c r="H317" s="250" t="str">
        <f>IFERROR(IF(C317="Active","",INDEX('Client Departures'!$G:$G,MATCH('Full Customer List'!$B317,'Client Departures'!$A:$A,0))),"Unclassified")</f>
        <v/>
      </c>
      <c r="I317" s="242">
        <v>46266</v>
      </c>
    </row>
    <row r="318" spans="2:29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82">
        <v>145</v>
      </c>
      <c r="H318" s="250" t="str">
        <f>IFERROR(IF(C318="Active","",INDEX('Client Departures'!$G:$G,MATCH('Full Customer List'!$B318,'Client Departures'!$A:$A,0))),"Unclassified")</f>
        <v/>
      </c>
      <c r="I318" s="242">
        <v>46266</v>
      </c>
    </row>
    <row r="319" spans="2:29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82">
        <v>910</v>
      </c>
      <c r="H319" s="250" t="str">
        <f>IFERROR(IF(C319="Active","",INDEX('Client Departures'!$G:$G,MATCH('Full Customer List'!$B319,'Client Departures'!$A:$A,0))),"Unclassified")</f>
        <v/>
      </c>
      <c r="I319" s="242">
        <v>46266</v>
      </c>
    </row>
    <row r="320" spans="2:29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82">
        <v>3990</v>
      </c>
      <c r="H320" s="250" t="str">
        <f>IFERROR(IF(C320="Active","",INDEX('Client Departures'!$G:$G,MATCH('Full Customer List'!$B320,'Client Departures'!$A:$A,0))),"Unclassified")</f>
        <v/>
      </c>
      <c r="I320" s="242">
        <v>46266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47">
        <f t="shared" ref="I1:X1" si="0">EOMONTH(I6,0)</f>
        <v>45688</v>
      </c>
      <c r="J1" s="247">
        <f t="shared" si="0"/>
        <v>45716</v>
      </c>
      <c r="K1" s="247">
        <f t="shared" si="0"/>
        <v>45747</v>
      </c>
      <c r="L1" s="247">
        <f t="shared" si="0"/>
        <v>45777</v>
      </c>
      <c r="M1" s="247">
        <f t="shared" si="0"/>
        <v>45808</v>
      </c>
      <c r="N1" s="247">
        <f t="shared" si="0"/>
        <v>45838</v>
      </c>
      <c r="O1" s="247">
        <f t="shared" si="0"/>
        <v>45869</v>
      </c>
      <c r="P1" s="247">
        <f t="shared" si="0"/>
        <v>45900</v>
      </c>
      <c r="Q1" s="247">
        <f t="shared" si="0"/>
        <v>45930</v>
      </c>
      <c r="R1" s="247">
        <f t="shared" si="0"/>
        <v>45961</v>
      </c>
      <c r="S1" s="247">
        <f t="shared" si="0"/>
        <v>45991</v>
      </c>
      <c r="T1" s="247">
        <f t="shared" si="0"/>
        <v>46022</v>
      </c>
      <c r="U1" s="247">
        <f t="shared" si="0"/>
        <v>46053</v>
      </c>
      <c r="V1" s="247">
        <f t="shared" si="0"/>
        <v>46081</v>
      </c>
      <c r="W1" s="247">
        <f t="shared" si="0"/>
        <v>46112</v>
      </c>
      <c r="X1" s="247">
        <f t="shared" si="0"/>
        <v>46142</v>
      </c>
      <c r="Y1" s="247">
        <f>EOMONTH(Y6,0)</f>
        <v>46173</v>
      </c>
      <c r="Z1" s="247">
        <f>EOMONTH(Z6,0)</f>
        <v>46203</v>
      </c>
      <c r="AA1" s="247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198"/>
      <c r="C5" s="198"/>
      <c r="D5" s="74" t="s">
        <v>1185</v>
      </c>
      <c r="E5" s="200"/>
      <c r="F5" s="201"/>
      <c r="G5" s="74" t="s">
        <v>1310</v>
      </c>
      <c r="H5" s="200"/>
      <c r="I5" s="74" t="s">
        <v>1309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86" t="s">
        <v>1311</v>
      </c>
      <c r="H6" s="199" t="s">
        <v>1312</v>
      </c>
      <c r="I6" s="185">
        <v>45658</v>
      </c>
      <c r="J6" s="185">
        <v>45689</v>
      </c>
      <c r="K6" s="185">
        <v>45717</v>
      </c>
      <c r="L6" s="185">
        <v>45748</v>
      </c>
      <c r="M6" s="185">
        <v>45778</v>
      </c>
      <c r="N6" s="185">
        <v>45809</v>
      </c>
      <c r="O6" s="185">
        <v>45839</v>
      </c>
      <c r="P6" s="185">
        <v>45870</v>
      </c>
      <c r="Q6" s="185">
        <v>45901</v>
      </c>
      <c r="R6" s="185">
        <v>45931</v>
      </c>
      <c r="S6" s="185">
        <v>45962</v>
      </c>
      <c r="T6" s="185">
        <v>45992</v>
      </c>
      <c r="U6" s="185">
        <v>46023</v>
      </c>
      <c r="V6" s="185">
        <v>46054</v>
      </c>
      <c r="W6" s="185">
        <v>46082</v>
      </c>
      <c r="X6" s="185">
        <v>46113</v>
      </c>
      <c r="Y6" s="185">
        <v>46143</v>
      </c>
      <c r="Z6" s="185">
        <v>46174</v>
      </c>
      <c r="AA6" s="185">
        <v>46204</v>
      </c>
    </row>
    <row r="7" spans="2:37" ht="12" hidden="1" customHeight="1">
      <c r="B7" s="171" t="s">
        <v>496</v>
      </c>
      <c r="C7" s="171" t="s">
        <v>497</v>
      </c>
      <c r="D7" s="171" t="s">
        <v>498</v>
      </c>
      <c r="E7" s="171" t="s">
        <v>1300</v>
      </c>
      <c r="F7" s="187">
        <v>206</v>
      </c>
      <c r="G7" s="191">
        <v>45597</v>
      </c>
      <c r="H7" s="191"/>
      <c r="I7" s="187">
        <v>4290</v>
      </c>
      <c r="J7" s="187">
        <v>6665</v>
      </c>
      <c r="K7" s="187">
        <v>15</v>
      </c>
      <c r="L7" s="187">
        <v>4840</v>
      </c>
      <c r="M7" s="187">
        <v>4810</v>
      </c>
      <c r="N7" s="187">
        <v>4840</v>
      </c>
      <c r="O7" s="187">
        <v>5030</v>
      </c>
      <c r="P7" s="187">
        <v>5120</v>
      </c>
      <c r="Q7" s="187">
        <v>6282.5</v>
      </c>
      <c r="R7" s="187">
        <v>5310</v>
      </c>
      <c r="S7" s="187">
        <v>6845</v>
      </c>
      <c r="T7" s="187">
        <v>7910</v>
      </c>
      <c r="U7" s="187">
        <v>8715</v>
      </c>
      <c r="V7" s="187">
        <v>11895</v>
      </c>
      <c r="W7" s="187">
        <v>8670</v>
      </c>
      <c r="X7" s="187">
        <v>9380</v>
      </c>
      <c r="Y7" s="187">
        <v>8829.09</v>
      </c>
      <c r="Z7" s="187">
        <v>9260</v>
      </c>
      <c r="AA7" s="187">
        <v>9490</v>
      </c>
    </row>
    <row r="8" spans="2:37" ht="12" hidden="1" customHeight="1">
      <c r="B8" s="171" t="s">
        <v>512</v>
      </c>
      <c r="C8" s="171" t="s">
        <v>497</v>
      </c>
      <c r="D8" s="171" t="s">
        <v>498</v>
      </c>
      <c r="E8" s="171" t="s">
        <v>1300</v>
      </c>
      <c r="F8" s="187">
        <v>163</v>
      </c>
      <c r="G8" s="191">
        <v>45931</v>
      </c>
      <c r="H8" s="191"/>
      <c r="I8" s="187" t="s">
        <v>338</v>
      </c>
      <c r="J8" s="187" t="s">
        <v>338</v>
      </c>
      <c r="K8" s="187" t="s">
        <v>338</v>
      </c>
      <c r="L8" s="187" t="s">
        <v>338</v>
      </c>
      <c r="M8" s="187" t="s">
        <v>338</v>
      </c>
      <c r="N8" s="187" t="s">
        <v>338</v>
      </c>
      <c r="O8" s="187" t="s">
        <v>338</v>
      </c>
      <c r="P8" s="187" t="s">
        <v>338</v>
      </c>
      <c r="Q8" s="187" t="s">
        <v>338</v>
      </c>
      <c r="R8" s="187">
        <v>7884</v>
      </c>
      <c r="S8" s="187">
        <v>7301</v>
      </c>
      <c r="T8" s="187">
        <v>9160</v>
      </c>
      <c r="U8" s="187">
        <v>6887</v>
      </c>
      <c r="V8" s="187">
        <v>11121</v>
      </c>
      <c r="W8" s="187">
        <v>8269</v>
      </c>
      <c r="X8" s="187">
        <v>8209</v>
      </c>
      <c r="Y8" s="187">
        <v>8633</v>
      </c>
      <c r="Z8" s="187">
        <v>8633</v>
      </c>
      <c r="AA8" s="187">
        <v>8792</v>
      </c>
    </row>
    <row r="9" spans="2:37" ht="12" hidden="1" customHeight="1">
      <c r="B9" s="171" t="s">
        <v>519</v>
      </c>
      <c r="C9" s="171" t="s">
        <v>497</v>
      </c>
      <c r="D9" s="171" t="s">
        <v>498</v>
      </c>
      <c r="E9" s="171" t="s">
        <v>1300</v>
      </c>
      <c r="F9" s="187">
        <v>85</v>
      </c>
      <c r="G9" s="191">
        <v>44531</v>
      </c>
      <c r="H9" s="191"/>
      <c r="I9" s="187">
        <v>4835</v>
      </c>
      <c r="J9" s="187">
        <v>3850</v>
      </c>
      <c r="K9" s="187">
        <v>4200</v>
      </c>
      <c r="L9" s="187">
        <v>4400</v>
      </c>
      <c r="M9" s="187">
        <v>4450</v>
      </c>
      <c r="N9" s="187">
        <v>4850</v>
      </c>
      <c r="O9" s="187">
        <v>4800</v>
      </c>
      <c r="P9" s="187">
        <v>4900</v>
      </c>
      <c r="Q9" s="187">
        <v>4800</v>
      </c>
      <c r="R9" s="187">
        <v>4600</v>
      </c>
      <c r="S9" s="187">
        <v>4500</v>
      </c>
      <c r="T9" s="187">
        <v>4350</v>
      </c>
      <c r="U9" s="187">
        <v>3470</v>
      </c>
      <c r="V9" s="187">
        <v>5120</v>
      </c>
      <c r="W9" s="187">
        <v>3680</v>
      </c>
      <c r="X9" s="187">
        <v>3722</v>
      </c>
      <c r="Y9" s="187">
        <v>3722</v>
      </c>
      <c r="Z9" s="187">
        <v>3638</v>
      </c>
      <c r="AA9" s="187">
        <v>3890</v>
      </c>
    </row>
    <row r="10" spans="2:37" ht="12" hidden="1" customHeight="1">
      <c r="B10" s="171" t="s">
        <v>524</v>
      </c>
      <c r="C10" s="171" t="s">
        <v>497</v>
      </c>
      <c r="D10" s="171" t="s">
        <v>498</v>
      </c>
      <c r="E10" s="171" t="s">
        <v>1300</v>
      </c>
      <c r="F10" s="187">
        <v>99</v>
      </c>
      <c r="G10" s="191">
        <v>45717</v>
      </c>
      <c r="H10" s="191"/>
      <c r="I10" s="187" t="s">
        <v>338</v>
      </c>
      <c r="J10" s="187" t="s">
        <v>338</v>
      </c>
      <c r="K10" s="187">
        <v>6672</v>
      </c>
      <c r="L10" s="187">
        <v>3572</v>
      </c>
      <c r="M10" s="187">
        <v>6728</v>
      </c>
      <c r="N10" s="187">
        <v>3684</v>
      </c>
      <c r="O10" s="187">
        <v>3796</v>
      </c>
      <c r="P10" s="187">
        <v>3852</v>
      </c>
      <c r="Q10" s="187">
        <v>3908</v>
      </c>
      <c r="R10" s="187">
        <v>4188</v>
      </c>
      <c r="S10" s="187">
        <v>4132</v>
      </c>
      <c r="T10" s="187">
        <v>4412</v>
      </c>
      <c r="U10" s="187">
        <v>4636</v>
      </c>
      <c r="V10" s="187">
        <v>5891</v>
      </c>
      <c r="W10" s="187">
        <v>3381</v>
      </c>
      <c r="X10" s="187">
        <v>3625</v>
      </c>
      <c r="Y10" s="187">
        <v>3736</v>
      </c>
      <c r="Z10" s="187">
        <v>3736</v>
      </c>
      <c r="AA10" s="187">
        <v>3847</v>
      </c>
    </row>
    <row r="11" spans="2:37" ht="12" hidden="1" customHeight="1">
      <c r="B11" s="171" t="s">
        <v>528</v>
      </c>
      <c r="C11" s="171" t="s">
        <v>497</v>
      </c>
      <c r="D11" s="171" t="s">
        <v>498</v>
      </c>
      <c r="E11" s="171" t="s">
        <v>1300</v>
      </c>
      <c r="F11" s="187">
        <v>73</v>
      </c>
      <c r="G11" s="191">
        <v>44713</v>
      </c>
      <c r="H11" s="191"/>
      <c r="I11" s="187">
        <v>4020</v>
      </c>
      <c r="J11" s="187">
        <v>3060</v>
      </c>
      <c r="K11" s="187">
        <v>3240</v>
      </c>
      <c r="L11" s="187">
        <v>3120</v>
      </c>
      <c r="M11" s="187">
        <v>3240</v>
      </c>
      <c r="N11" s="187">
        <v>3120</v>
      </c>
      <c r="O11" s="187">
        <v>3480</v>
      </c>
      <c r="P11" s="187">
        <v>3480</v>
      </c>
      <c r="Q11" s="187">
        <v>3780</v>
      </c>
      <c r="R11" s="187">
        <v>3840</v>
      </c>
      <c r="S11" s="187">
        <v>3900</v>
      </c>
      <c r="T11" s="187">
        <v>4020</v>
      </c>
      <c r="U11" s="187">
        <v>4020</v>
      </c>
      <c r="V11" s="187">
        <v>5280</v>
      </c>
      <c r="W11" s="187">
        <v>4155</v>
      </c>
      <c r="X11" s="187">
        <v>3900</v>
      </c>
      <c r="Y11" s="187">
        <v>4200</v>
      </c>
      <c r="Z11" s="187">
        <v>3400</v>
      </c>
      <c r="AA11" s="187">
        <v>3353</v>
      </c>
    </row>
    <row r="12" spans="2:37" ht="12" hidden="1" customHeight="1">
      <c r="B12" s="171" t="s">
        <v>534</v>
      </c>
      <c r="C12" s="171" t="s">
        <v>497</v>
      </c>
      <c r="D12" s="171" t="s">
        <v>498</v>
      </c>
      <c r="E12" s="171" t="s">
        <v>1300</v>
      </c>
      <c r="F12" s="187">
        <v>54</v>
      </c>
      <c r="G12" s="191">
        <v>45444</v>
      </c>
      <c r="H12" s="191"/>
      <c r="I12" s="187">
        <v>3221</v>
      </c>
      <c r="J12" s="187">
        <v>3920</v>
      </c>
      <c r="K12" s="187">
        <v>3290</v>
      </c>
      <c r="L12" s="187">
        <v>3384</v>
      </c>
      <c r="M12" s="187">
        <v>3572</v>
      </c>
      <c r="N12" s="187">
        <v>3216</v>
      </c>
      <c r="O12" s="187">
        <v>3298</v>
      </c>
      <c r="P12" s="187">
        <v>3216</v>
      </c>
      <c r="Q12" s="187">
        <v>3462</v>
      </c>
      <c r="R12" s="187">
        <v>3626</v>
      </c>
      <c r="S12" s="187">
        <v>4036</v>
      </c>
      <c r="T12" s="187">
        <v>4061</v>
      </c>
      <c r="U12" s="187">
        <v>4036</v>
      </c>
      <c r="V12" s="187">
        <v>4921</v>
      </c>
      <c r="W12" s="187">
        <v>4133</v>
      </c>
      <c r="X12" s="187">
        <v>3805</v>
      </c>
      <c r="Y12" s="187">
        <v>3872</v>
      </c>
      <c r="Z12" s="187">
        <v>3272</v>
      </c>
      <c r="AA12" s="187">
        <v>3318</v>
      </c>
    </row>
    <row r="13" spans="2:37" ht="12" hidden="1" customHeight="1">
      <c r="B13" s="171" t="s">
        <v>537</v>
      </c>
      <c r="C13" s="171" t="s">
        <v>497</v>
      </c>
      <c r="D13" s="171" t="s">
        <v>498</v>
      </c>
      <c r="E13" s="171" t="s">
        <v>1300</v>
      </c>
      <c r="F13" s="187">
        <v>81</v>
      </c>
      <c r="G13" s="191">
        <v>45717</v>
      </c>
      <c r="H13" s="191"/>
      <c r="I13" s="187" t="s">
        <v>338</v>
      </c>
      <c r="J13" s="187" t="s">
        <v>338</v>
      </c>
      <c r="K13" s="187">
        <v>3040</v>
      </c>
      <c r="L13" s="187">
        <v>2445</v>
      </c>
      <c r="M13" s="187">
        <v>2090</v>
      </c>
      <c r="N13" s="187">
        <v>2090</v>
      </c>
      <c r="O13" s="187">
        <v>1980</v>
      </c>
      <c r="P13" s="187">
        <v>1870</v>
      </c>
      <c r="Q13" s="187">
        <v>2090</v>
      </c>
      <c r="R13" s="187">
        <v>2180</v>
      </c>
      <c r="S13" s="187">
        <v>2289</v>
      </c>
      <c r="T13" s="187">
        <v>2071</v>
      </c>
      <c r="U13" s="187">
        <v>2071</v>
      </c>
      <c r="V13" s="187">
        <v>3100</v>
      </c>
      <c r="W13" s="187">
        <v>2124</v>
      </c>
      <c r="X13" s="187">
        <v>2124</v>
      </c>
      <c r="Y13" s="187">
        <v>6260</v>
      </c>
      <c r="Z13" s="187">
        <v>6254</v>
      </c>
      <c r="AA13" s="187">
        <v>6557</v>
      </c>
    </row>
    <row r="14" spans="2:37" ht="12" hidden="1" customHeight="1">
      <c r="B14" s="171" t="s">
        <v>539</v>
      </c>
      <c r="C14" s="171" t="s">
        <v>497</v>
      </c>
      <c r="D14" s="171" t="s">
        <v>498</v>
      </c>
      <c r="E14" s="171" t="s">
        <v>1300</v>
      </c>
      <c r="F14" s="187">
        <v>33</v>
      </c>
      <c r="G14" s="191">
        <v>45323</v>
      </c>
      <c r="H14" s="191"/>
      <c r="I14" s="187">
        <v>2370</v>
      </c>
      <c r="J14" s="187">
        <v>2399</v>
      </c>
      <c r="K14" s="187">
        <v>2399</v>
      </c>
      <c r="L14" s="187">
        <v>2399</v>
      </c>
      <c r="M14" s="187">
        <v>1906</v>
      </c>
      <c r="N14" s="187">
        <v>2447</v>
      </c>
      <c r="O14" s="187">
        <v>2420</v>
      </c>
      <c r="P14" s="187">
        <v>2514</v>
      </c>
      <c r="Q14" s="187">
        <v>2467</v>
      </c>
      <c r="R14" s="187">
        <v>2634</v>
      </c>
      <c r="S14" s="187">
        <v>2618</v>
      </c>
      <c r="T14" s="187">
        <v>2694</v>
      </c>
      <c r="U14" s="187">
        <v>2694</v>
      </c>
      <c r="V14" s="187">
        <v>3802</v>
      </c>
      <c r="W14" s="187">
        <v>2708</v>
      </c>
      <c r="X14" s="187">
        <v>2834</v>
      </c>
      <c r="Y14" s="187">
        <v>2606</v>
      </c>
      <c r="Z14" s="187">
        <v>2839</v>
      </c>
      <c r="AA14" s="187">
        <v>2813</v>
      </c>
    </row>
    <row r="15" spans="2:37" ht="12" hidden="1" customHeight="1">
      <c r="B15" s="171" t="s">
        <v>542</v>
      </c>
      <c r="C15" s="171" t="s">
        <v>497</v>
      </c>
      <c r="D15" s="171" t="s">
        <v>498</v>
      </c>
      <c r="E15" s="171" t="s">
        <v>1300</v>
      </c>
      <c r="F15" s="187">
        <v>36</v>
      </c>
      <c r="G15" s="191">
        <v>44713</v>
      </c>
      <c r="H15" s="191"/>
      <c r="I15" s="187">
        <v>3206</v>
      </c>
      <c r="J15" s="187">
        <v>2201</v>
      </c>
      <c r="K15" s="187">
        <v>2485</v>
      </c>
      <c r="L15" s="187">
        <v>2201</v>
      </c>
      <c r="M15" s="187">
        <v>2130</v>
      </c>
      <c r="N15" s="187">
        <v>2514</v>
      </c>
      <c r="O15" s="187">
        <v>2534</v>
      </c>
      <c r="P15" s="187">
        <v>2645</v>
      </c>
      <c r="Q15" s="187">
        <v>2574</v>
      </c>
      <c r="R15" s="187">
        <v>2880</v>
      </c>
      <c r="S15" s="187">
        <v>2880</v>
      </c>
      <c r="T15" s="187">
        <v>2880</v>
      </c>
      <c r="U15" s="187">
        <v>2329.52</v>
      </c>
      <c r="V15" s="187">
        <v>2941.11</v>
      </c>
      <c r="W15" s="187">
        <v>2730</v>
      </c>
      <c r="X15" s="187">
        <v>2655</v>
      </c>
      <c r="Y15" s="187">
        <v>2861</v>
      </c>
      <c r="Z15" s="187">
        <v>2800</v>
      </c>
      <c r="AA15" s="187">
        <v>2465.35</v>
      </c>
    </row>
    <row r="16" spans="2:37" ht="12" hidden="1" customHeight="1">
      <c r="B16" s="171" t="s">
        <v>544</v>
      </c>
      <c r="C16" s="171" t="s">
        <v>497</v>
      </c>
      <c r="D16" s="171" t="s">
        <v>498</v>
      </c>
      <c r="E16" s="171" t="s">
        <v>1300</v>
      </c>
      <c r="F16" s="187">
        <v>38</v>
      </c>
      <c r="G16" s="191">
        <v>45413</v>
      </c>
      <c r="H16" s="191"/>
      <c r="I16" s="187">
        <v>2388.75</v>
      </c>
      <c r="J16" s="187">
        <v>1850</v>
      </c>
      <c r="K16" s="187">
        <v>1385</v>
      </c>
      <c r="L16" s="187">
        <v>1370</v>
      </c>
      <c r="M16" s="187">
        <v>1240</v>
      </c>
      <c r="N16" s="187">
        <v>1175</v>
      </c>
      <c r="O16" s="187">
        <v>1305</v>
      </c>
      <c r="P16" s="187">
        <v>1370</v>
      </c>
      <c r="Q16" s="187">
        <v>1435</v>
      </c>
      <c r="R16" s="187">
        <v>1370</v>
      </c>
      <c r="S16" s="187">
        <v>1530</v>
      </c>
      <c r="T16" s="187">
        <v>1500</v>
      </c>
      <c r="U16" s="187">
        <v>3800</v>
      </c>
      <c r="V16" s="187">
        <v>4895</v>
      </c>
      <c r="W16" s="187">
        <v>3450</v>
      </c>
      <c r="X16" s="187">
        <v>3650</v>
      </c>
      <c r="Y16" s="187">
        <v>3200</v>
      </c>
      <c r="Z16" s="187">
        <v>3050</v>
      </c>
      <c r="AA16" s="187">
        <v>2975</v>
      </c>
    </row>
    <row r="17" spans="2:27" ht="12" hidden="1" customHeight="1">
      <c r="B17" s="171" t="s">
        <v>547</v>
      </c>
      <c r="C17" s="171" t="s">
        <v>497</v>
      </c>
      <c r="D17" s="171" t="s">
        <v>498</v>
      </c>
      <c r="E17" s="171" t="s">
        <v>1300</v>
      </c>
      <c r="F17" s="187">
        <v>61</v>
      </c>
      <c r="G17" s="191">
        <v>45200</v>
      </c>
      <c r="H17" s="191"/>
      <c r="I17" s="187">
        <v>1650</v>
      </c>
      <c r="J17" s="187">
        <v>2085</v>
      </c>
      <c r="K17" s="187">
        <v>1650</v>
      </c>
      <c r="L17" s="187">
        <v>1800</v>
      </c>
      <c r="M17" s="187">
        <v>1875</v>
      </c>
      <c r="N17" s="187">
        <v>1917</v>
      </c>
      <c r="O17" s="187">
        <v>1501</v>
      </c>
      <c r="P17" s="187">
        <v>2010</v>
      </c>
      <c r="Q17" s="187">
        <v>2010</v>
      </c>
      <c r="R17" s="187">
        <v>2020</v>
      </c>
      <c r="S17" s="187">
        <v>2148</v>
      </c>
      <c r="T17" s="187">
        <v>2404</v>
      </c>
      <c r="U17" s="187">
        <v>2468</v>
      </c>
      <c r="V17" s="187">
        <v>2922</v>
      </c>
      <c r="W17" s="187">
        <v>2468</v>
      </c>
      <c r="X17" s="187">
        <v>2532</v>
      </c>
      <c r="Y17" s="187">
        <v>2824</v>
      </c>
      <c r="Z17" s="187">
        <v>2843</v>
      </c>
      <c r="AA17" s="187">
        <v>2978</v>
      </c>
    </row>
    <row r="18" spans="2:27" ht="12" hidden="1" customHeight="1">
      <c r="B18" s="171" t="s">
        <v>551</v>
      </c>
      <c r="C18" s="171" t="s">
        <v>497</v>
      </c>
      <c r="D18" s="171" t="s">
        <v>498</v>
      </c>
      <c r="E18" s="171" t="s">
        <v>1300</v>
      </c>
      <c r="F18" s="187">
        <v>27</v>
      </c>
      <c r="G18" s="191">
        <v>45383</v>
      </c>
      <c r="H18" s="191"/>
      <c r="I18" s="187">
        <v>2252</v>
      </c>
      <c r="J18" s="187">
        <v>3817</v>
      </c>
      <c r="K18" s="187">
        <v>1738</v>
      </c>
      <c r="L18" s="187">
        <v>2380</v>
      </c>
      <c r="M18" s="187">
        <v>2285</v>
      </c>
      <c r="N18" s="187">
        <v>2190</v>
      </c>
      <c r="O18" s="187">
        <v>2285</v>
      </c>
      <c r="P18" s="187">
        <v>2285</v>
      </c>
      <c r="Q18" s="187">
        <v>2285</v>
      </c>
      <c r="R18" s="187">
        <v>2285</v>
      </c>
      <c r="S18" s="187">
        <v>2362</v>
      </c>
      <c r="T18" s="187">
        <v>2362</v>
      </c>
      <c r="U18" s="187">
        <v>2449</v>
      </c>
      <c r="V18" s="187">
        <v>2654</v>
      </c>
      <c r="W18" s="187">
        <v>2362</v>
      </c>
      <c r="X18" s="187">
        <v>2609</v>
      </c>
      <c r="Y18" s="187">
        <v>2202.62</v>
      </c>
      <c r="Z18" s="187">
        <v>2502</v>
      </c>
      <c r="AA18" s="187">
        <v>2594</v>
      </c>
    </row>
    <row r="19" spans="2:27" ht="12" hidden="1" customHeight="1">
      <c r="B19" s="171" t="s">
        <v>552</v>
      </c>
      <c r="C19" s="171" t="s">
        <v>497</v>
      </c>
      <c r="D19" s="171" t="s">
        <v>498</v>
      </c>
      <c r="E19" s="171" t="s">
        <v>1300</v>
      </c>
      <c r="F19" s="187">
        <v>21</v>
      </c>
      <c r="G19" s="191">
        <v>45474</v>
      </c>
      <c r="H19" s="191"/>
      <c r="I19" s="187">
        <v>2775</v>
      </c>
      <c r="J19" s="187">
        <v>3645</v>
      </c>
      <c r="K19" s="187">
        <v>2265</v>
      </c>
      <c r="L19" s="187">
        <v>5125</v>
      </c>
      <c r="M19" s="187">
        <v>2550</v>
      </c>
      <c r="N19" s="187">
        <v>1432.5</v>
      </c>
      <c r="O19" s="187">
        <v>2579</v>
      </c>
      <c r="P19" s="187">
        <v>2378</v>
      </c>
      <c r="Q19" s="187">
        <v>2378</v>
      </c>
      <c r="R19" s="187">
        <v>2378</v>
      </c>
      <c r="S19" s="187">
        <v>2311</v>
      </c>
      <c r="T19" s="187">
        <v>2311</v>
      </c>
      <c r="U19" s="187">
        <v>2445</v>
      </c>
      <c r="V19" s="187">
        <v>3149</v>
      </c>
      <c r="W19" s="187">
        <v>3023</v>
      </c>
      <c r="X19" s="187">
        <v>2393</v>
      </c>
      <c r="Y19" s="187">
        <v>2378</v>
      </c>
      <c r="Z19" s="187">
        <v>1877</v>
      </c>
      <c r="AA19" s="187">
        <v>1852</v>
      </c>
    </row>
    <row r="20" spans="2:27" ht="12" hidden="1" customHeight="1">
      <c r="B20" s="171" t="s">
        <v>554</v>
      </c>
      <c r="C20" s="171" t="s">
        <v>497</v>
      </c>
      <c r="D20" s="171" t="s">
        <v>498</v>
      </c>
      <c r="E20" s="171" t="s">
        <v>1300</v>
      </c>
      <c r="F20" s="187">
        <v>25</v>
      </c>
      <c r="G20" s="191">
        <v>45292</v>
      </c>
      <c r="H20" s="191"/>
      <c r="I20" s="187">
        <v>2000</v>
      </c>
      <c r="J20" s="187">
        <v>2225</v>
      </c>
      <c r="K20" s="187">
        <v>2095</v>
      </c>
      <c r="L20" s="187">
        <v>2285</v>
      </c>
      <c r="M20" s="187">
        <v>2356.25</v>
      </c>
      <c r="N20" s="187">
        <v>2380</v>
      </c>
      <c r="O20" s="187">
        <v>2193.75</v>
      </c>
      <c r="P20" s="187">
        <v>2275</v>
      </c>
      <c r="Q20" s="187">
        <v>2275</v>
      </c>
      <c r="R20" s="187">
        <v>2275</v>
      </c>
      <c r="S20" s="187">
        <v>2525</v>
      </c>
      <c r="T20" s="187">
        <v>2275</v>
      </c>
      <c r="U20" s="187">
        <v>2285</v>
      </c>
      <c r="V20" s="187">
        <v>2585</v>
      </c>
      <c r="W20" s="187">
        <v>2285</v>
      </c>
      <c r="X20" s="187">
        <v>2285</v>
      </c>
      <c r="Y20" s="187">
        <v>2285</v>
      </c>
      <c r="Z20" s="187">
        <v>2285</v>
      </c>
      <c r="AA20" s="187">
        <v>2285</v>
      </c>
    </row>
    <row r="21" spans="2:27" ht="12" hidden="1" customHeight="1">
      <c r="B21" s="171" t="s">
        <v>559</v>
      </c>
      <c r="C21" s="171" t="s">
        <v>497</v>
      </c>
      <c r="D21" s="171" t="s">
        <v>498</v>
      </c>
      <c r="E21" s="171" t="s">
        <v>1300</v>
      </c>
      <c r="F21" s="187">
        <v>60</v>
      </c>
      <c r="G21" s="191">
        <v>45778</v>
      </c>
      <c r="H21" s="191"/>
      <c r="I21" s="187" t="s">
        <v>338</v>
      </c>
      <c r="J21" s="187" t="s">
        <v>338</v>
      </c>
      <c r="K21" s="187" t="s">
        <v>338</v>
      </c>
      <c r="L21" s="187" t="s">
        <v>338</v>
      </c>
      <c r="M21" s="187">
        <v>2925</v>
      </c>
      <c r="N21" s="187">
        <v>1675</v>
      </c>
      <c r="O21" s="187">
        <v>1864</v>
      </c>
      <c r="P21" s="187">
        <v>1927</v>
      </c>
      <c r="Q21" s="187">
        <v>1990</v>
      </c>
      <c r="R21" s="187">
        <v>2053</v>
      </c>
      <c r="S21" s="187">
        <v>2179</v>
      </c>
      <c r="T21" s="187">
        <v>1801</v>
      </c>
      <c r="U21" s="187">
        <v>2656</v>
      </c>
      <c r="V21" s="187">
        <v>1612</v>
      </c>
      <c r="W21" s="187">
        <v>2431</v>
      </c>
      <c r="X21" s="187">
        <v>2557</v>
      </c>
      <c r="Y21" s="187">
        <v>2460</v>
      </c>
      <c r="Z21" s="187">
        <v>2732</v>
      </c>
      <c r="AA21" s="187">
        <v>2742</v>
      </c>
    </row>
    <row r="22" spans="2:27" ht="12" hidden="1" customHeight="1">
      <c r="B22" s="171" t="s">
        <v>561</v>
      </c>
      <c r="C22" s="171" t="s">
        <v>562</v>
      </c>
      <c r="D22" s="171" t="s">
        <v>498</v>
      </c>
      <c r="E22" s="171" t="s">
        <v>1300</v>
      </c>
      <c r="F22" s="187">
        <v>73</v>
      </c>
      <c r="G22" s="191">
        <v>45870</v>
      </c>
      <c r="H22" s="191">
        <v>46142</v>
      </c>
      <c r="I22" s="187" t="s">
        <v>338</v>
      </c>
      <c r="J22" s="187" t="s">
        <v>338</v>
      </c>
      <c r="K22" s="187" t="s">
        <v>338</v>
      </c>
      <c r="L22" s="187" t="s">
        <v>338</v>
      </c>
      <c r="M22" s="187" t="s">
        <v>338</v>
      </c>
      <c r="N22" s="187" t="s">
        <v>338</v>
      </c>
      <c r="O22" s="187" t="s">
        <v>338</v>
      </c>
      <c r="P22" s="187">
        <v>2800</v>
      </c>
      <c r="Q22" s="187">
        <v>2800</v>
      </c>
      <c r="R22" s="187">
        <v>3699.5</v>
      </c>
      <c r="S22" s="187">
        <v>2540</v>
      </c>
      <c r="T22" s="187">
        <v>2540</v>
      </c>
      <c r="U22" s="187">
        <v>2620</v>
      </c>
      <c r="V22" s="187">
        <v>3180</v>
      </c>
      <c r="W22" s="187">
        <v>2820</v>
      </c>
      <c r="X22" s="187">
        <v>3020</v>
      </c>
      <c r="Y22" s="187" t="s">
        <v>338</v>
      </c>
      <c r="Z22" s="187" t="s">
        <v>338</v>
      </c>
      <c r="AA22" s="187" t="s">
        <v>338</v>
      </c>
    </row>
    <row r="23" spans="2:27" ht="12" hidden="1" customHeight="1">
      <c r="B23" s="171" t="s">
        <v>567</v>
      </c>
      <c r="C23" s="171" t="s">
        <v>497</v>
      </c>
      <c r="D23" s="171" t="s">
        <v>498</v>
      </c>
      <c r="E23" s="171" t="s">
        <v>1300</v>
      </c>
      <c r="F23" s="187">
        <v>42</v>
      </c>
      <c r="G23" s="191">
        <v>45839</v>
      </c>
      <c r="H23" s="191"/>
      <c r="I23" s="187" t="s">
        <v>338</v>
      </c>
      <c r="J23" s="187" t="s">
        <v>338</v>
      </c>
      <c r="K23" s="187" t="s">
        <v>338</v>
      </c>
      <c r="L23" s="187" t="s">
        <v>338</v>
      </c>
      <c r="M23" s="187" t="s">
        <v>338</v>
      </c>
      <c r="N23" s="187" t="s">
        <v>338</v>
      </c>
      <c r="O23" s="187">
        <v>3840</v>
      </c>
      <c r="P23" s="187">
        <v>2025</v>
      </c>
      <c r="Q23" s="187">
        <v>1970</v>
      </c>
      <c r="R23" s="187">
        <v>2025</v>
      </c>
      <c r="S23" s="187">
        <v>1970</v>
      </c>
      <c r="T23" s="187">
        <v>2080</v>
      </c>
      <c r="U23" s="187">
        <v>1970</v>
      </c>
      <c r="V23" s="187">
        <v>2235</v>
      </c>
      <c r="W23" s="187">
        <v>2135</v>
      </c>
      <c r="X23" s="187">
        <v>2135</v>
      </c>
      <c r="Y23" s="187">
        <v>2410</v>
      </c>
      <c r="Z23" s="187">
        <v>2355</v>
      </c>
      <c r="AA23" s="187">
        <v>2242</v>
      </c>
    </row>
    <row r="24" spans="2:27" ht="12" hidden="1" customHeight="1">
      <c r="B24" s="171" t="s">
        <v>569</v>
      </c>
      <c r="C24" s="171" t="s">
        <v>497</v>
      </c>
      <c r="D24" s="171" t="s">
        <v>498</v>
      </c>
      <c r="E24" s="171" t="s">
        <v>1300</v>
      </c>
      <c r="F24" s="187">
        <v>47</v>
      </c>
      <c r="G24" s="191">
        <v>45231</v>
      </c>
      <c r="H24" s="191"/>
      <c r="I24" s="187">
        <v>733</v>
      </c>
      <c r="J24" s="187">
        <v>869</v>
      </c>
      <c r="K24" s="187">
        <v>869</v>
      </c>
      <c r="L24" s="187">
        <v>926</v>
      </c>
      <c r="M24" s="187">
        <v>1055</v>
      </c>
      <c r="N24" s="187">
        <v>1189</v>
      </c>
      <c r="O24" s="187">
        <v>1457</v>
      </c>
      <c r="P24" s="187">
        <v>1524</v>
      </c>
      <c r="Q24" s="187">
        <v>1524</v>
      </c>
      <c r="R24" s="187">
        <v>1524</v>
      </c>
      <c r="S24" s="187">
        <v>1658</v>
      </c>
      <c r="T24" s="187">
        <v>1658</v>
      </c>
      <c r="U24" s="187">
        <v>1658</v>
      </c>
      <c r="V24" s="187">
        <v>2197</v>
      </c>
      <c r="W24" s="187">
        <v>1993</v>
      </c>
      <c r="X24" s="187">
        <v>2003</v>
      </c>
      <c r="Y24" s="187">
        <v>2333</v>
      </c>
      <c r="Z24" s="187">
        <v>4666</v>
      </c>
      <c r="AA24" s="187">
        <v>2789</v>
      </c>
    </row>
    <row r="25" spans="2:27" ht="12" hidden="1" customHeight="1">
      <c r="B25" s="171" t="s">
        <v>571</v>
      </c>
      <c r="C25" s="171" t="s">
        <v>497</v>
      </c>
      <c r="D25" s="171" t="s">
        <v>498</v>
      </c>
      <c r="E25" s="171" t="s">
        <v>1300</v>
      </c>
      <c r="F25" s="187">
        <v>26</v>
      </c>
      <c r="G25" s="191">
        <v>44958</v>
      </c>
      <c r="H25" s="191"/>
      <c r="I25" s="187">
        <v>1767</v>
      </c>
      <c r="J25" s="187">
        <v>1415</v>
      </c>
      <c r="K25" s="187">
        <v>1325</v>
      </c>
      <c r="L25" s="187">
        <v>1325</v>
      </c>
      <c r="M25" s="187">
        <v>1400</v>
      </c>
      <c r="N25" s="187">
        <v>1400</v>
      </c>
      <c r="O25" s="187">
        <v>1475</v>
      </c>
      <c r="P25" s="187">
        <v>1625</v>
      </c>
      <c r="Q25" s="187">
        <v>1730</v>
      </c>
      <c r="R25" s="187">
        <v>2186</v>
      </c>
      <c r="S25" s="187">
        <v>2097</v>
      </c>
      <c r="T25" s="187">
        <v>2102</v>
      </c>
      <c r="U25" s="187">
        <v>2254</v>
      </c>
      <c r="V25" s="187">
        <v>2774</v>
      </c>
      <c r="W25" s="187">
        <v>2279</v>
      </c>
      <c r="X25" s="187">
        <v>1975</v>
      </c>
      <c r="Y25" s="187">
        <v>2042</v>
      </c>
      <c r="Z25" s="187">
        <v>2194</v>
      </c>
      <c r="AA25" s="187">
        <v>2051</v>
      </c>
    </row>
    <row r="26" spans="2:27" ht="12" hidden="1" customHeight="1">
      <c r="B26" s="171" t="s">
        <v>575</v>
      </c>
      <c r="C26" s="171" t="s">
        <v>497</v>
      </c>
      <c r="D26" s="171" t="s">
        <v>498</v>
      </c>
      <c r="E26" s="171" t="s">
        <v>1300</v>
      </c>
      <c r="F26" s="187">
        <v>26</v>
      </c>
      <c r="G26" s="191">
        <v>45658</v>
      </c>
      <c r="H26" s="191"/>
      <c r="I26" s="187">
        <v>2168</v>
      </c>
      <c r="J26" s="187">
        <v>1466</v>
      </c>
      <c r="K26" s="187">
        <v>1466</v>
      </c>
      <c r="L26" s="187">
        <v>1466</v>
      </c>
      <c r="M26" s="187">
        <v>1565</v>
      </c>
      <c r="N26" s="187">
        <v>1620</v>
      </c>
      <c r="O26" s="187">
        <v>1660</v>
      </c>
      <c r="P26" s="187">
        <v>1755</v>
      </c>
      <c r="Q26" s="187">
        <v>1660</v>
      </c>
      <c r="R26" s="187">
        <v>1993</v>
      </c>
      <c r="S26" s="187">
        <v>2211</v>
      </c>
      <c r="T26" s="187">
        <v>2320</v>
      </c>
      <c r="U26" s="187">
        <v>2211</v>
      </c>
      <c r="V26" s="187">
        <v>3246</v>
      </c>
      <c r="W26" s="187">
        <v>2429</v>
      </c>
      <c r="X26" s="187">
        <v>1630.2</v>
      </c>
      <c r="Y26" s="187">
        <v>1816</v>
      </c>
      <c r="Z26" s="187">
        <v>1724</v>
      </c>
      <c r="AA26" s="187">
        <v>1885</v>
      </c>
    </row>
    <row r="27" spans="2:27" ht="12" hidden="1" customHeight="1">
      <c r="B27" s="171" t="s">
        <v>577</v>
      </c>
      <c r="C27" s="171" t="s">
        <v>497</v>
      </c>
      <c r="D27" s="171" t="s">
        <v>498</v>
      </c>
      <c r="E27" s="171" t="s">
        <v>1300</v>
      </c>
      <c r="F27" s="187">
        <v>34</v>
      </c>
      <c r="G27" s="191">
        <v>45231</v>
      </c>
      <c r="H27" s="191"/>
      <c r="I27" s="187">
        <v>1350</v>
      </c>
      <c r="J27" s="187">
        <v>1620</v>
      </c>
      <c r="K27" s="187">
        <v>1425</v>
      </c>
      <c r="L27" s="187">
        <v>1575</v>
      </c>
      <c r="M27" s="187">
        <v>1650</v>
      </c>
      <c r="N27" s="187">
        <v>1725</v>
      </c>
      <c r="O27" s="187">
        <v>1800</v>
      </c>
      <c r="P27" s="187">
        <v>1800</v>
      </c>
      <c r="Q27" s="187">
        <v>1800</v>
      </c>
      <c r="R27" s="187">
        <v>1650</v>
      </c>
      <c r="S27" s="187">
        <v>1595</v>
      </c>
      <c r="T27" s="187">
        <v>1660</v>
      </c>
      <c r="U27" s="187">
        <v>1920</v>
      </c>
      <c r="V27" s="187">
        <v>2215</v>
      </c>
      <c r="W27" s="187">
        <v>3965</v>
      </c>
      <c r="X27" s="187">
        <v>1860</v>
      </c>
      <c r="Y27" s="187">
        <v>2135</v>
      </c>
      <c r="Z27" s="187">
        <v>2025</v>
      </c>
      <c r="AA27" s="187">
        <v>1640</v>
      </c>
    </row>
    <row r="28" spans="2:27" ht="12" hidden="1" customHeight="1">
      <c r="B28" s="171" t="s">
        <v>578</v>
      </c>
      <c r="C28" s="171" t="s">
        <v>497</v>
      </c>
      <c r="D28" s="171" t="s">
        <v>498</v>
      </c>
      <c r="E28" s="171" t="s">
        <v>1300</v>
      </c>
      <c r="F28" s="187">
        <v>28</v>
      </c>
      <c r="G28" s="191">
        <v>44958</v>
      </c>
      <c r="H28" s="191"/>
      <c r="I28" s="187">
        <v>2775</v>
      </c>
      <c r="J28" s="187">
        <v>3285</v>
      </c>
      <c r="K28" s="187">
        <v>2570</v>
      </c>
      <c r="L28" s="187">
        <v>2507</v>
      </c>
      <c r="M28" s="187">
        <v>2696</v>
      </c>
      <c r="N28" s="187">
        <v>2570</v>
      </c>
      <c r="O28" s="187">
        <v>2129</v>
      </c>
      <c r="P28" s="187">
        <v>2066</v>
      </c>
      <c r="Q28" s="187">
        <v>2129</v>
      </c>
      <c r="R28" s="187">
        <v>1814</v>
      </c>
      <c r="S28" s="187">
        <v>1814</v>
      </c>
      <c r="T28" s="187">
        <v>1814</v>
      </c>
      <c r="U28" s="187">
        <v>1940</v>
      </c>
      <c r="V28" s="187">
        <v>2541</v>
      </c>
      <c r="W28" s="187">
        <v>2013</v>
      </c>
      <c r="X28" s="187">
        <v>2013</v>
      </c>
      <c r="Y28" s="187">
        <v>2018</v>
      </c>
      <c r="Z28" s="187">
        <v>1951</v>
      </c>
      <c r="AA28" s="187">
        <v>1951</v>
      </c>
    </row>
    <row r="29" spans="2:27" ht="12" hidden="1" customHeight="1">
      <c r="B29" s="171" t="s">
        <v>582</v>
      </c>
      <c r="C29" s="171" t="s">
        <v>497</v>
      </c>
      <c r="D29" s="171" t="s">
        <v>498</v>
      </c>
      <c r="E29" s="171" t="s">
        <v>1300</v>
      </c>
      <c r="F29" s="187">
        <v>24</v>
      </c>
      <c r="G29" s="191">
        <v>45108</v>
      </c>
      <c r="H29" s="191"/>
      <c r="I29" s="187">
        <v>1335</v>
      </c>
      <c r="J29" s="187">
        <v>2234</v>
      </c>
      <c r="K29" s="187">
        <v>1424</v>
      </c>
      <c r="L29" s="187">
        <v>1424</v>
      </c>
      <c r="M29" s="187">
        <v>1424</v>
      </c>
      <c r="N29" s="187">
        <v>1513</v>
      </c>
      <c r="O29" s="187">
        <v>1545</v>
      </c>
      <c r="P29" s="187">
        <v>1715</v>
      </c>
      <c r="Q29" s="187">
        <v>1800</v>
      </c>
      <c r="R29" s="187">
        <v>1715</v>
      </c>
      <c r="S29" s="187">
        <v>1800</v>
      </c>
      <c r="T29" s="187">
        <v>1800</v>
      </c>
      <c r="U29" s="187">
        <v>2455</v>
      </c>
      <c r="V29" s="187">
        <v>2055</v>
      </c>
      <c r="W29" s="187">
        <v>2055</v>
      </c>
      <c r="X29" s="187">
        <v>2055</v>
      </c>
      <c r="Y29" s="187">
        <v>2055</v>
      </c>
      <c r="Z29" s="187">
        <v>2140</v>
      </c>
      <c r="AA29" s="187">
        <v>1958</v>
      </c>
    </row>
    <row r="30" spans="2:27" ht="12" hidden="1" customHeight="1">
      <c r="B30" s="171" t="s">
        <v>585</v>
      </c>
      <c r="C30" s="171" t="s">
        <v>497</v>
      </c>
      <c r="D30" s="171" t="s">
        <v>498</v>
      </c>
      <c r="E30" s="171" t="s">
        <v>1300</v>
      </c>
      <c r="F30" s="187">
        <v>30</v>
      </c>
      <c r="G30" s="191">
        <v>45778</v>
      </c>
      <c r="H30" s="191"/>
      <c r="I30" s="187" t="s">
        <v>338</v>
      </c>
      <c r="J30" s="187" t="s">
        <v>338</v>
      </c>
      <c r="K30" s="187" t="s">
        <v>338</v>
      </c>
      <c r="L30" s="187" t="s">
        <v>338</v>
      </c>
      <c r="M30" s="187">
        <v>2860</v>
      </c>
      <c r="N30" s="187">
        <v>1480</v>
      </c>
      <c r="O30" s="187">
        <v>1480</v>
      </c>
      <c r="P30" s="187">
        <v>1480</v>
      </c>
      <c r="Q30" s="187">
        <v>1480</v>
      </c>
      <c r="R30" s="187">
        <v>1480</v>
      </c>
      <c r="S30" s="187">
        <v>1867</v>
      </c>
      <c r="T30" s="187">
        <v>1576</v>
      </c>
      <c r="U30" s="187">
        <v>1627</v>
      </c>
      <c r="V30" s="187">
        <v>2086</v>
      </c>
      <c r="W30" s="187">
        <v>2098</v>
      </c>
      <c r="X30" s="187">
        <v>2098</v>
      </c>
      <c r="Y30" s="187">
        <v>2434</v>
      </c>
      <c r="Z30" s="187">
        <v>2434</v>
      </c>
      <c r="AA30" s="187">
        <v>2515</v>
      </c>
    </row>
    <row r="31" spans="2:27" ht="12" hidden="1" customHeight="1">
      <c r="B31" s="171" t="s">
        <v>586</v>
      </c>
      <c r="C31" s="171" t="s">
        <v>497</v>
      </c>
      <c r="D31" s="171" t="s">
        <v>498</v>
      </c>
      <c r="E31" s="171" t="s">
        <v>1300</v>
      </c>
      <c r="F31" s="187">
        <v>18</v>
      </c>
      <c r="G31" s="191">
        <v>45261</v>
      </c>
      <c r="H31" s="191"/>
      <c r="I31" s="187">
        <v>1729.5</v>
      </c>
      <c r="J31" s="187">
        <v>729.5</v>
      </c>
      <c r="K31" s="187">
        <v>695.5</v>
      </c>
      <c r="L31" s="187">
        <v>712.5</v>
      </c>
      <c r="M31" s="187">
        <v>704</v>
      </c>
      <c r="N31" s="187">
        <v>2043</v>
      </c>
      <c r="O31" s="187">
        <v>2043</v>
      </c>
      <c r="P31" s="187">
        <v>2125</v>
      </c>
      <c r="Q31" s="187">
        <v>2125</v>
      </c>
      <c r="R31" s="187">
        <v>1909</v>
      </c>
      <c r="S31" s="187">
        <v>2096</v>
      </c>
      <c r="T31" s="187">
        <v>2243</v>
      </c>
      <c r="U31" s="187">
        <v>1845</v>
      </c>
      <c r="V31" s="187">
        <v>1905</v>
      </c>
      <c r="W31" s="187">
        <v>2130</v>
      </c>
      <c r="X31" s="187">
        <v>1810</v>
      </c>
      <c r="Y31" s="187">
        <v>1905</v>
      </c>
      <c r="Z31" s="187">
        <v>1478</v>
      </c>
      <c r="AA31" s="187">
        <v>1406</v>
      </c>
    </row>
    <row r="32" spans="2:27" ht="12" hidden="1" customHeight="1">
      <c r="B32" s="171" t="s">
        <v>590</v>
      </c>
      <c r="C32" s="171" t="s">
        <v>497</v>
      </c>
      <c r="D32" s="171" t="s">
        <v>498</v>
      </c>
      <c r="E32" s="171" t="s">
        <v>1300</v>
      </c>
      <c r="F32" s="187">
        <v>55</v>
      </c>
      <c r="G32" s="191">
        <v>45992</v>
      </c>
      <c r="H32" s="191"/>
      <c r="I32" s="187" t="s">
        <v>338</v>
      </c>
      <c r="J32" s="187" t="s">
        <v>338</v>
      </c>
      <c r="K32" s="187" t="s">
        <v>338</v>
      </c>
      <c r="L32" s="187" t="s">
        <v>338</v>
      </c>
      <c r="M32" s="187" t="s">
        <v>338</v>
      </c>
      <c r="N32" s="187" t="s">
        <v>338</v>
      </c>
      <c r="O32" s="187" t="s">
        <v>338</v>
      </c>
      <c r="P32" s="187" t="s">
        <v>338</v>
      </c>
      <c r="Q32" s="187" t="s">
        <v>338</v>
      </c>
      <c r="R32" s="187" t="s">
        <v>338</v>
      </c>
      <c r="S32" s="187" t="s">
        <v>338</v>
      </c>
      <c r="T32" s="187">
        <v>3748</v>
      </c>
      <c r="U32" s="187">
        <v>2836</v>
      </c>
      <c r="V32" s="187">
        <v>2236</v>
      </c>
      <c r="W32" s="187">
        <v>2427</v>
      </c>
      <c r="X32" s="187">
        <v>3343</v>
      </c>
      <c r="Y32" s="187">
        <v>2212</v>
      </c>
      <c r="Z32" s="187">
        <v>2994</v>
      </c>
      <c r="AA32" s="187">
        <v>3148</v>
      </c>
    </row>
    <row r="33" spans="2:27" ht="12" hidden="1" customHeight="1">
      <c r="B33" s="171" t="s">
        <v>592</v>
      </c>
      <c r="C33" s="171" t="s">
        <v>497</v>
      </c>
      <c r="D33" s="171" t="s">
        <v>498</v>
      </c>
      <c r="E33" s="171" t="s">
        <v>1300</v>
      </c>
      <c r="F33" s="187">
        <v>34</v>
      </c>
      <c r="G33" s="191">
        <v>45566</v>
      </c>
      <c r="H33" s="191"/>
      <c r="I33" s="187">
        <v>519</v>
      </c>
      <c r="J33" s="187">
        <v>632</v>
      </c>
      <c r="K33" s="187">
        <v>869</v>
      </c>
      <c r="L33" s="187">
        <v>1106</v>
      </c>
      <c r="M33" s="187">
        <v>1106</v>
      </c>
      <c r="N33" s="187">
        <v>1363</v>
      </c>
      <c r="O33" s="187">
        <v>1442</v>
      </c>
      <c r="P33" s="187">
        <v>1600</v>
      </c>
      <c r="Q33" s="187">
        <v>1980</v>
      </c>
      <c r="R33" s="187">
        <v>1485</v>
      </c>
      <c r="S33" s="187">
        <v>1550</v>
      </c>
      <c r="T33" s="187">
        <v>1765</v>
      </c>
      <c r="U33" s="187">
        <v>1830</v>
      </c>
      <c r="V33" s="187">
        <v>2990</v>
      </c>
      <c r="W33" s="187">
        <v>1835</v>
      </c>
      <c r="X33" s="187">
        <v>2025</v>
      </c>
      <c r="Y33" s="187">
        <v>1845</v>
      </c>
      <c r="Z33" s="187">
        <v>1790</v>
      </c>
      <c r="AA33" s="187">
        <v>1845</v>
      </c>
    </row>
    <row r="34" spans="2:27" ht="12" hidden="1" customHeight="1">
      <c r="B34" s="171" t="s">
        <v>593</v>
      </c>
      <c r="C34" s="171" t="s">
        <v>497</v>
      </c>
      <c r="D34" s="171" t="s">
        <v>498</v>
      </c>
      <c r="E34" s="171" t="s">
        <v>1300</v>
      </c>
      <c r="F34" s="187">
        <v>90</v>
      </c>
      <c r="G34" s="191">
        <v>45108</v>
      </c>
      <c r="H34" s="191"/>
      <c r="I34" s="187">
        <v>1887.5</v>
      </c>
      <c r="J34" s="187">
        <v>1913</v>
      </c>
      <c r="K34" s="187">
        <v>1913</v>
      </c>
      <c r="L34" s="187">
        <v>1904.5</v>
      </c>
      <c r="M34" s="187">
        <v>1896</v>
      </c>
      <c r="N34" s="187">
        <v>1913</v>
      </c>
      <c r="O34" s="187">
        <v>1921.5</v>
      </c>
      <c r="P34" s="187">
        <v>1947</v>
      </c>
      <c r="Q34" s="187">
        <v>1921.5</v>
      </c>
      <c r="R34" s="187">
        <v>1930</v>
      </c>
      <c r="S34" s="187">
        <v>1904.5</v>
      </c>
      <c r="T34" s="187">
        <v>1938.5</v>
      </c>
      <c r="U34" s="187">
        <v>1930</v>
      </c>
      <c r="V34" s="187">
        <v>1930</v>
      </c>
      <c r="W34" s="187">
        <v>1930</v>
      </c>
      <c r="X34" s="187">
        <v>1938.5</v>
      </c>
      <c r="Y34" s="187">
        <v>1680</v>
      </c>
      <c r="Z34" s="187">
        <v>1700</v>
      </c>
      <c r="AA34" s="187">
        <v>1540</v>
      </c>
    </row>
    <row r="35" spans="2:27" ht="12" hidden="1" customHeight="1">
      <c r="B35" s="171" t="s">
        <v>596</v>
      </c>
      <c r="C35" s="171" t="s">
        <v>497</v>
      </c>
      <c r="D35" s="171" t="s">
        <v>498</v>
      </c>
      <c r="E35" s="171" t="s">
        <v>1300</v>
      </c>
      <c r="F35" s="187">
        <v>22</v>
      </c>
      <c r="G35" s="191">
        <v>45170</v>
      </c>
      <c r="H35" s="191"/>
      <c r="I35" s="187">
        <v>2030</v>
      </c>
      <c r="J35" s="187">
        <v>1659</v>
      </c>
      <c r="K35" s="187">
        <v>1817</v>
      </c>
      <c r="L35" s="187">
        <v>1738</v>
      </c>
      <c r="M35" s="187">
        <v>1738</v>
      </c>
      <c r="N35" s="187">
        <v>1738</v>
      </c>
      <c r="O35" s="187">
        <v>1738</v>
      </c>
      <c r="P35" s="187">
        <v>1738</v>
      </c>
      <c r="Q35" s="187">
        <v>1750</v>
      </c>
      <c r="R35" s="187">
        <v>1750</v>
      </c>
      <c r="S35" s="187">
        <v>1825</v>
      </c>
      <c r="T35" s="187">
        <v>1825</v>
      </c>
      <c r="U35" s="187">
        <v>1825</v>
      </c>
      <c r="V35" s="187">
        <v>2305</v>
      </c>
      <c r="W35" s="187">
        <v>1825</v>
      </c>
      <c r="X35" s="187">
        <v>1825</v>
      </c>
      <c r="Y35" s="187">
        <v>1825</v>
      </c>
      <c r="Z35" s="187">
        <v>1900</v>
      </c>
      <c r="AA35" s="187">
        <v>1750</v>
      </c>
    </row>
    <row r="36" spans="2:27" ht="12" hidden="1" customHeight="1">
      <c r="B36" s="171" t="s">
        <v>599</v>
      </c>
      <c r="C36" s="171" t="s">
        <v>497</v>
      </c>
      <c r="D36" s="171" t="s">
        <v>498</v>
      </c>
      <c r="E36" s="171" t="s">
        <v>1300</v>
      </c>
      <c r="F36" s="187">
        <v>32</v>
      </c>
      <c r="G36" s="191">
        <v>45566</v>
      </c>
      <c r="H36" s="191"/>
      <c r="I36" s="187">
        <v>752</v>
      </c>
      <c r="J36" s="187">
        <v>474</v>
      </c>
      <c r="K36" s="187">
        <v>869</v>
      </c>
      <c r="L36" s="187">
        <v>948</v>
      </c>
      <c r="M36" s="187">
        <v>1027</v>
      </c>
      <c r="N36" s="187">
        <v>1106</v>
      </c>
      <c r="O36" s="187">
        <v>1185</v>
      </c>
      <c r="P36" s="187">
        <v>1343</v>
      </c>
      <c r="Q36" s="187">
        <v>1422</v>
      </c>
      <c r="R36" s="187">
        <v>1358</v>
      </c>
      <c r="S36" s="187">
        <v>1580</v>
      </c>
      <c r="T36" s="187">
        <v>1654</v>
      </c>
      <c r="U36" s="187">
        <v>2267</v>
      </c>
      <c r="V36" s="187">
        <v>1728</v>
      </c>
      <c r="W36" s="187">
        <v>1950</v>
      </c>
      <c r="X36" s="187">
        <v>2098</v>
      </c>
      <c r="Y36" s="187">
        <v>2172</v>
      </c>
      <c r="Z36" s="187">
        <v>2255</v>
      </c>
      <c r="AA36" s="187">
        <v>2102</v>
      </c>
    </row>
    <row r="37" spans="2:27" ht="12" customHeight="1">
      <c r="B37" s="171" t="s">
        <v>773</v>
      </c>
      <c r="C37" s="171" t="s">
        <v>562</v>
      </c>
      <c r="D37" s="171" t="s">
        <v>632</v>
      </c>
      <c r="E37" s="171" t="s">
        <v>1301</v>
      </c>
      <c r="F37" s="187" t="s">
        <v>338</v>
      </c>
      <c r="G37" s="191">
        <v>44317</v>
      </c>
      <c r="H37" s="191">
        <v>46234</v>
      </c>
      <c r="I37" s="187">
        <v>495</v>
      </c>
      <c r="J37" s="187">
        <v>435</v>
      </c>
      <c r="K37" s="187">
        <v>435</v>
      </c>
      <c r="L37" s="187">
        <v>435</v>
      </c>
      <c r="M37" s="187">
        <v>435</v>
      </c>
      <c r="N37" s="187">
        <v>435</v>
      </c>
      <c r="O37" s="187">
        <v>435</v>
      </c>
      <c r="P37" s="187">
        <v>435</v>
      </c>
      <c r="Q37" s="187">
        <v>435</v>
      </c>
      <c r="R37" s="187">
        <v>435</v>
      </c>
      <c r="S37" s="187">
        <v>455</v>
      </c>
      <c r="T37" s="187">
        <v>455</v>
      </c>
      <c r="U37" s="187">
        <v>455</v>
      </c>
      <c r="V37" s="187">
        <v>455</v>
      </c>
      <c r="W37" s="187">
        <v>455</v>
      </c>
      <c r="X37" s="187">
        <v>455</v>
      </c>
      <c r="Y37" s="187">
        <v>455</v>
      </c>
      <c r="Z37" s="187">
        <v>455</v>
      </c>
      <c r="AA37" s="187">
        <v>455</v>
      </c>
    </row>
    <row r="38" spans="2:27" ht="12" customHeight="1">
      <c r="B38" s="171" t="s">
        <v>868</v>
      </c>
      <c r="C38" s="171" t="s">
        <v>562</v>
      </c>
      <c r="D38" s="249" t="s">
        <v>498</v>
      </c>
      <c r="E38" s="249" t="s">
        <v>1300</v>
      </c>
      <c r="F38" s="187">
        <v>20</v>
      </c>
      <c r="G38" s="191">
        <v>46143</v>
      </c>
      <c r="H38" s="191">
        <v>46234</v>
      </c>
      <c r="I38" s="187" t="s">
        <v>338</v>
      </c>
      <c r="J38" s="187" t="s">
        <v>338</v>
      </c>
      <c r="K38" s="187" t="s">
        <v>338</v>
      </c>
      <c r="L38" s="187" t="s">
        <v>338</v>
      </c>
      <c r="M38" s="187" t="s">
        <v>338</v>
      </c>
      <c r="N38" s="187" t="s">
        <v>338</v>
      </c>
      <c r="O38" s="187" t="s">
        <v>338</v>
      </c>
      <c r="P38" s="187" t="s">
        <v>338</v>
      </c>
      <c r="Q38" s="187" t="s">
        <v>338</v>
      </c>
      <c r="R38" s="187" t="s">
        <v>338</v>
      </c>
      <c r="S38" s="187" t="s">
        <v>338</v>
      </c>
      <c r="T38" s="187" t="s">
        <v>338</v>
      </c>
      <c r="U38" s="187" t="s">
        <v>338</v>
      </c>
      <c r="V38" s="187" t="s">
        <v>338</v>
      </c>
      <c r="W38" s="187" t="s">
        <v>338</v>
      </c>
      <c r="X38" s="187" t="s">
        <v>338</v>
      </c>
      <c r="Y38" s="187">
        <v>0</v>
      </c>
      <c r="Z38" s="187">
        <v>1097</v>
      </c>
      <c r="AA38" s="187">
        <v>1097</v>
      </c>
    </row>
    <row r="39" spans="2:27" ht="12" hidden="1" customHeight="1">
      <c r="B39" s="171" t="s">
        <v>604</v>
      </c>
      <c r="C39" s="171" t="s">
        <v>497</v>
      </c>
      <c r="D39" s="171" t="s">
        <v>498</v>
      </c>
      <c r="E39" s="171" t="s">
        <v>1300</v>
      </c>
      <c r="F39" s="187">
        <v>16</v>
      </c>
      <c r="G39" s="191">
        <v>45292</v>
      </c>
      <c r="H39" s="191"/>
      <c r="I39" s="187">
        <v>810</v>
      </c>
      <c r="J39" s="187">
        <v>600</v>
      </c>
      <c r="K39" s="187">
        <v>850</v>
      </c>
      <c r="L39" s="187">
        <v>2690</v>
      </c>
      <c r="M39" s="187">
        <v>2871.5</v>
      </c>
      <c r="N39" s="187">
        <v>2682.5</v>
      </c>
      <c r="O39" s="187">
        <v>2808</v>
      </c>
      <c r="P39" s="187">
        <v>2705</v>
      </c>
      <c r="Q39" s="187">
        <v>2705</v>
      </c>
      <c r="R39" s="187">
        <v>1023.5</v>
      </c>
      <c r="S39" s="187">
        <v>1150</v>
      </c>
      <c r="T39" s="187">
        <v>1350</v>
      </c>
      <c r="U39" s="187">
        <v>1801</v>
      </c>
      <c r="V39" s="187">
        <v>1364</v>
      </c>
      <c r="W39" s="187">
        <v>1578</v>
      </c>
      <c r="X39" s="187">
        <v>1535</v>
      </c>
      <c r="Y39" s="187">
        <v>1578</v>
      </c>
      <c r="Z39" s="187">
        <v>1632</v>
      </c>
      <c r="AA39" s="187">
        <v>1535</v>
      </c>
    </row>
    <row r="40" spans="2:27" ht="12" hidden="1" customHeight="1">
      <c r="B40" s="171" t="s">
        <v>605</v>
      </c>
      <c r="C40" s="171" t="s">
        <v>497</v>
      </c>
      <c r="D40" s="171" t="s">
        <v>498</v>
      </c>
      <c r="E40" s="171" t="s">
        <v>1300</v>
      </c>
      <c r="F40" s="187">
        <v>84</v>
      </c>
      <c r="G40" s="191">
        <v>45962</v>
      </c>
      <c r="H40" s="191"/>
      <c r="I40" s="187" t="s">
        <v>338</v>
      </c>
      <c r="J40" s="187" t="s">
        <v>338</v>
      </c>
      <c r="K40" s="187" t="s">
        <v>338</v>
      </c>
      <c r="L40" s="187" t="s">
        <v>338</v>
      </c>
      <c r="M40" s="187" t="s">
        <v>338</v>
      </c>
      <c r="N40" s="187" t="s">
        <v>338</v>
      </c>
      <c r="O40" s="187" t="s">
        <v>338</v>
      </c>
      <c r="P40" s="187" t="s">
        <v>338</v>
      </c>
      <c r="Q40" s="187" t="s">
        <v>338</v>
      </c>
      <c r="R40" s="187" t="s">
        <v>338</v>
      </c>
      <c r="S40" s="187" t="s">
        <v>338</v>
      </c>
      <c r="T40" s="187" t="s">
        <v>338</v>
      </c>
      <c r="U40" s="187" t="s">
        <v>338</v>
      </c>
      <c r="V40" s="187">
        <v>5420</v>
      </c>
      <c r="W40" s="187">
        <v>2795</v>
      </c>
      <c r="X40" s="187">
        <v>2865</v>
      </c>
      <c r="Y40" s="187">
        <v>2865</v>
      </c>
      <c r="Z40" s="187">
        <v>2935</v>
      </c>
      <c r="AA40" s="187">
        <v>3005</v>
      </c>
    </row>
    <row r="41" spans="2:27" ht="12" hidden="1" customHeight="1">
      <c r="B41" s="171" t="s">
        <v>606</v>
      </c>
      <c r="C41" s="171" t="s">
        <v>497</v>
      </c>
      <c r="D41" s="171" t="s">
        <v>498</v>
      </c>
      <c r="E41" s="171" t="s">
        <v>1300</v>
      </c>
      <c r="F41" s="187">
        <v>66</v>
      </c>
      <c r="G41" s="191">
        <v>45352</v>
      </c>
      <c r="H41" s="191"/>
      <c r="I41" s="187">
        <v>950</v>
      </c>
      <c r="J41" s="187">
        <v>950</v>
      </c>
      <c r="K41" s="187">
        <v>2055</v>
      </c>
      <c r="L41" s="187">
        <v>950</v>
      </c>
      <c r="M41" s="187">
        <v>2700</v>
      </c>
      <c r="N41" s="187">
        <v>950</v>
      </c>
      <c r="O41" s="187">
        <v>950</v>
      </c>
      <c r="P41" s="187">
        <v>950</v>
      </c>
      <c r="Q41" s="187">
        <v>950</v>
      </c>
      <c r="R41" s="187">
        <v>950</v>
      </c>
      <c r="S41" s="187">
        <v>2250</v>
      </c>
      <c r="T41" s="187">
        <v>1275</v>
      </c>
      <c r="U41" s="187">
        <v>1195</v>
      </c>
      <c r="V41" s="187">
        <v>2369</v>
      </c>
      <c r="W41" s="187">
        <v>1375</v>
      </c>
      <c r="X41" s="187">
        <v>1400</v>
      </c>
      <c r="Y41" s="187">
        <v>1475</v>
      </c>
      <c r="Z41" s="187">
        <v>3650</v>
      </c>
      <c r="AA41" s="187">
        <v>1550</v>
      </c>
    </row>
    <row r="42" spans="2:27" ht="12" hidden="1" customHeight="1">
      <c r="B42" s="171" t="s">
        <v>609</v>
      </c>
      <c r="C42" s="171" t="s">
        <v>497</v>
      </c>
      <c r="D42" s="171" t="s">
        <v>498</v>
      </c>
      <c r="E42" s="171" t="s">
        <v>1300</v>
      </c>
      <c r="F42" s="187">
        <v>39</v>
      </c>
      <c r="G42" s="191">
        <v>45901</v>
      </c>
      <c r="H42" s="191"/>
      <c r="I42" s="187" t="s">
        <v>338</v>
      </c>
      <c r="J42" s="187" t="s">
        <v>338</v>
      </c>
      <c r="K42" s="187" t="s">
        <v>338</v>
      </c>
      <c r="L42" s="187" t="s">
        <v>338</v>
      </c>
      <c r="M42" s="187" t="s">
        <v>338</v>
      </c>
      <c r="N42" s="187" t="s">
        <v>338</v>
      </c>
      <c r="O42" s="187" t="s">
        <v>338</v>
      </c>
      <c r="P42" s="187" t="s">
        <v>338</v>
      </c>
      <c r="Q42" s="187" t="s">
        <v>338</v>
      </c>
      <c r="R42" s="187" t="s">
        <v>338</v>
      </c>
      <c r="S42" s="187">
        <v>3730</v>
      </c>
      <c r="T42" s="187">
        <v>1915</v>
      </c>
      <c r="U42" s="187">
        <v>1805</v>
      </c>
      <c r="V42" s="187">
        <v>1960</v>
      </c>
      <c r="W42" s="187">
        <v>1780</v>
      </c>
      <c r="X42" s="187">
        <v>1695</v>
      </c>
      <c r="Y42" s="187">
        <v>1915</v>
      </c>
      <c r="Z42" s="187">
        <v>1860</v>
      </c>
      <c r="AA42" s="187">
        <v>1970</v>
      </c>
    </row>
    <row r="43" spans="2:27" ht="12" hidden="1" customHeight="1">
      <c r="B43" s="171" t="s">
        <v>611</v>
      </c>
      <c r="C43" s="171" t="s">
        <v>497</v>
      </c>
      <c r="D43" s="171" t="s">
        <v>498</v>
      </c>
      <c r="E43" s="171" t="s">
        <v>1300</v>
      </c>
      <c r="F43" s="187">
        <v>45</v>
      </c>
      <c r="G43" s="191">
        <v>46023</v>
      </c>
      <c r="H43" s="191"/>
      <c r="I43" s="187" t="s">
        <v>338</v>
      </c>
      <c r="J43" s="187" t="s">
        <v>338</v>
      </c>
      <c r="K43" s="187" t="s">
        <v>338</v>
      </c>
      <c r="L43" s="187" t="s">
        <v>338</v>
      </c>
      <c r="M43" s="187" t="s">
        <v>338</v>
      </c>
      <c r="N43" s="187" t="s">
        <v>338</v>
      </c>
      <c r="O43" s="187" t="s">
        <v>338</v>
      </c>
      <c r="P43" s="187" t="s">
        <v>338</v>
      </c>
      <c r="Q43" s="187" t="s">
        <v>338</v>
      </c>
      <c r="R43" s="187" t="s">
        <v>338</v>
      </c>
      <c r="S43" s="187" t="s">
        <v>338</v>
      </c>
      <c r="T43" s="187" t="s">
        <v>338</v>
      </c>
      <c r="U43" s="187">
        <v>4257</v>
      </c>
      <c r="V43" s="187">
        <v>2216</v>
      </c>
      <c r="W43" s="187">
        <v>2378</v>
      </c>
      <c r="X43" s="187">
        <v>2378</v>
      </c>
      <c r="Y43" s="187">
        <v>3271</v>
      </c>
      <c r="Z43" s="187">
        <v>3231</v>
      </c>
      <c r="AA43" s="187">
        <v>872</v>
      </c>
    </row>
    <row r="44" spans="2:27" ht="12" hidden="1" customHeight="1">
      <c r="B44" s="171" t="s">
        <v>614</v>
      </c>
      <c r="C44" s="171" t="s">
        <v>497</v>
      </c>
      <c r="D44" s="171" t="s">
        <v>498</v>
      </c>
      <c r="E44" s="171" t="s">
        <v>1300</v>
      </c>
      <c r="F44" s="187">
        <v>18</v>
      </c>
      <c r="G44" s="191">
        <v>45444</v>
      </c>
      <c r="H44" s="191"/>
      <c r="I44" s="187">
        <v>790</v>
      </c>
      <c r="J44" s="187">
        <v>1196</v>
      </c>
      <c r="K44" s="187">
        <v>1264</v>
      </c>
      <c r="L44" s="187">
        <v>948</v>
      </c>
      <c r="M44" s="187">
        <v>1264</v>
      </c>
      <c r="N44" s="187">
        <v>1370</v>
      </c>
      <c r="O44" s="187">
        <v>1445</v>
      </c>
      <c r="P44" s="187">
        <v>1280</v>
      </c>
      <c r="Q44" s="187">
        <v>1430</v>
      </c>
      <c r="R44" s="187">
        <v>1335</v>
      </c>
      <c r="S44" s="187">
        <v>1410</v>
      </c>
      <c r="T44" s="187">
        <v>1560</v>
      </c>
      <c r="U44" s="187">
        <v>1635</v>
      </c>
      <c r="V44" s="187">
        <v>1485</v>
      </c>
      <c r="W44" s="187">
        <v>1410</v>
      </c>
      <c r="X44" s="187">
        <v>1635</v>
      </c>
      <c r="Y44" s="187">
        <v>1635</v>
      </c>
      <c r="Z44" s="187">
        <v>1509</v>
      </c>
      <c r="AA44" s="187">
        <v>1509</v>
      </c>
    </row>
    <row r="45" spans="2:27" ht="12" hidden="1" customHeight="1">
      <c r="B45" s="171" t="s">
        <v>615</v>
      </c>
      <c r="C45" s="171" t="s">
        <v>497</v>
      </c>
      <c r="D45" s="171" t="s">
        <v>498</v>
      </c>
      <c r="E45" s="171" t="s">
        <v>1300</v>
      </c>
      <c r="F45" s="187">
        <v>48</v>
      </c>
      <c r="G45" s="191">
        <v>45992</v>
      </c>
      <c r="H45" s="191"/>
      <c r="I45" s="187" t="s">
        <v>338</v>
      </c>
      <c r="J45" s="187" t="s">
        <v>338</v>
      </c>
      <c r="K45" s="187" t="s">
        <v>338</v>
      </c>
      <c r="L45" s="187" t="s">
        <v>338</v>
      </c>
      <c r="M45" s="187" t="s">
        <v>338</v>
      </c>
      <c r="N45" s="187" t="s">
        <v>338</v>
      </c>
      <c r="O45" s="187" t="s">
        <v>338</v>
      </c>
      <c r="P45" s="187" t="s">
        <v>338</v>
      </c>
      <c r="Q45" s="187" t="s">
        <v>338</v>
      </c>
      <c r="R45" s="187" t="s">
        <v>338</v>
      </c>
      <c r="S45" s="187" t="s">
        <v>338</v>
      </c>
      <c r="T45" s="187">
        <v>1805</v>
      </c>
      <c r="U45" s="187">
        <v>2337.5500000000002</v>
      </c>
      <c r="V45" s="187">
        <v>2185.9</v>
      </c>
      <c r="W45" s="187">
        <v>1702</v>
      </c>
      <c r="X45" s="187">
        <v>2360</v>
      </c>
      <c r="Y45" s="187">
        <v>2516</v>
      </c>
      <c r="Z45" s="187">
        <v>2448.4499999999998</v>
      </c>
      <c r="AA45" s="187">
        <v>2464</v>
      </c>
    </row>
    <row r="46" spans="2:27" ht="12" hidden="1" customHeight="1">
      <c r="B46" s="171" t="s">
        <v>618</v>
      </c>
      <c r="C46" s="171" t="s">
        <v>497</v>
      </c>
      <c r="D46" s="171" t="s">
        <v>498</v>
      </c>
      <c r="E46" s="171" t="s">
        <v>1300</v>
      </c>
      <c r="F46" s="187">
        <v>20</v>
      </c>
      <c r="G46" s="191">
        <v>45352</v>
      </c>
      <c r="H46" s="191"/>
      <c r="I46" s="187" t="s">
        <v>338</v>
      </c>
      <c r="J46" s="187" t="s">
        <v>338</v>
      </c>
      <c r="K46" s="187" t="s">
        <v>338</v>
      </c>
      <c r="L46" s="187" t="s">
        <v>338</v>
      </c>
      <c r="M46" s="187">
        <v>2350</v>
      </c>
      <c r="N46" s="187">
        <v>2702.5</v>
      </c>
      <c r="O46" s="187">
        <v>1075</v>
      </c>
      <c r="P46" s="187">
        <v>1075</v>
      </c>
      <c r="Q46" s="187">
        <v>1150</v>
      </c>
      <c r="R46" s="187">
        <v>1150</v>
      </c>
      <c r="S46" s="187">
        <v>1150</v>
      </c>
      <c r="T46" s="187">
        <v>1150</v>
      </c>
      <c r="U46" s="187">
        <v>1425</v>
      </c>
      <c r="V46" s="187">
        <v>1785</v>
      </c>
      <c r="W46" s="187">
        <v>1500</v>
      </c>
      <c r="X46" s="187">
        <v>1500</v>
      </c>
      <c r="Y46" s="187">
        <v>1674</v>
      </c>
      <c r="Z46" s="187">
        <v>2038</v>
      </c>
      <c r="AA46" s="187">
        <v>2130</v>
      </c>
    </row>
    <row r="47" spans="2:27" ht="12" hidden="1" customHeight="1">
      <c r="B47" s="171" t="s">
        <v>619</v>
      </c>
      <c r="C47" s="171" t="s">
        <v>497</v>
      </c>
      <c r="D47" s="171" t="s">
        <v>498</v>
      </c>
      <c r="E47" s="171" t="s">
        <v>1300</v>
      </c>
      <c r="F47" s="187">
        <v>24</v>
      </c>
      <c r="G47" s="191">
        <v>44743</v>
      </c>
      <c r="H47" s="191"/>
      <c r="I47" s="187">
        <v>1222</v>
      </c>
      <c r="J47" s="187">
        <v>1025</v>
      </c>
      <c r="K47" s="187">
        <v>1175</v>
      </c>
      <c r="L47" s="187">
        <v>1325</v>
      </c>
      <c r="M47" s="187">
        <v>1325</v>
      </c>
      <c r="N47" s="187">
        <v>1400</v>
      </c>
      <c r="O47" s="187">
        <v>1400</v>
      </c>
      <c r="P47" s="187">
        <v>1400</v>
      </c>
      <c r="Q47" s="187">
        <v>1325</v>
      </c>
      <c r="R47" s="187">
        <v>1325</v>
      </c>
      <c r="S47" s="187">
        <v>1250</v>
      </c>
      <c r="T47" s="187">
        <v>1325</v>
      </c>
      <c r="U47" s="187">
        <v>1730</v>
      </c>
      <c r="V47" s="187">
        <v>1316</v>
      </c>
      <c r="W47" s="187">
        <v>1517</v>
      </c>
      <c r="X47" s="187">
        <v>1584</v>
      </c>
      <c r="Y47" s="187">
        <v>1584</v>
      </c>
      <c r="Z47" s="187">
        <v>1651</v>
      </c>
      <c r="AA47" s="187">
        <v>1718</v>
      </c>
    </row>
    <row r="48" spans="2:27" ht="12" hidden="1" customHeight="1">
      <c r="B48" s="171" t="s">
        <v>621</v>
      </c>
      <c r="C48" s="171" t="s">
        <v>562</v>
      </c>
      <c r="D48" s="171" t="s">
        <v>498</v>
      </c>
      <c r="E48" s="171" t="s">
        <v>1300</v>
      </c>
      <c r="F48" s="187">
        <v>26</v>
      </c>
      <c r="G48" s="191">
        <v>45658</v>
      </c>
      <c r="H48" s="191">
        <v>46234</v>
      </c>
      <c r="I48" s="187">
        <v>640</v>
      </c>
      <c r="J48" s="187">
        <v>340</v>
      </c>
      <c r="K48" s="187">
        <v>340</v>
      </c>
      <c r="L48" s="187">
        <v>400</v>
      </c>
      <c r="M48" s="187">
        <v>400</v>
      </c>
      <c r="N48" s="187">
        <v>625</v>
      </c>
      <c r="O48" s="187">
        <v>625</v>
      </c>
      <c r="P48" s="187">
        <v>625</v>
      </c>
      <c r="Q48" s="187">
        <v>625</v>
      </c>
      <c r="R48" s="187">
        <v>625</v>
      </c>
      <c r="S48" s="187">
        <v>625</v>
      </c>
      <c r="T48" s="187">
        <v>625</v>
      </c>
      <c r="U48" s="187">
        <v>1376</v>
      </c>
      <c r="V48" s="187">
        <v>1514</v>
      </c>
      <c r="W48" s="187">
        <v>1912</v>
      </c>
      <c r="X48" s="187">
        <v>1912</v>
      </c>
      <c r="Y48" s="187">
        <v>2441</v>
      </c>
      <c r="Z48" s="187">
        <v>2566</v>
      </c>
      <c r="AA48" s="187">
        <v>2663</v>
      </c>
    </row>
    <row r="49" spans="2:27" ht="12" hidden="1" customHeight="1">
      <c r="B49" s="171" t="s">
        <v>623</v>
      </c>
      <c r="C49" s="171" t="s">
        <v>497</v>
      </c>
      <c r="D49" s="171" t="s">
        <v>498</v>
      </c>
      <c r="E49" s="171" t="s">
        <v>1300</v>
      </c>
      <c r="F49" s="187">
        <v>26</v>
      </c>
      <c r="G49" s="191">
        <v>45658</v>
      </c>
      <c r="H49" s="191"/>
      <c r="I49" s="187">
        <v>1348.75</v>
      </c>
      <c r="J49" s="187">
        <v>688.75</v>
      </c>
      <c r="K49" s="187">
        <v>896.25</v>
      </c>
      <c r="L49" s="187">
        <v>1035</v>
      </c>
      <c r="M49" s="187">
        <v>1035</v>
      </c>
      <c r="N49" s="187">
        <v>1035</v>
      </c>
      <c r="O49" s="187">
        <v>1120</v>
      </c>
      <c r="P49" s="187">
        <v>1120</v>
      </c>
      <c r="Q49" s="187">
        <v>1120</v>
      </c>
      <c r="R49" s="187">
        <v>1290</v>
      </c>
      <c r="S49" s="187">
        <v>1375</v>
      </c>
      <c r="T49" s="187">
        <v>1604</v>
      </c>
      <c r="U49" s="187">
        <v>1402</v>
      </c>
      <c r="V49" s="187">
        <v>1567</v>
      </c>
      <c r="W49" s="187">
        <v>1554</v>
      </c>
      <c r="X49" s="187">
        <v>1326</v>
      </c>
      <c r="Y49" s="187">
        <v>1514</v>
      </c>
      <c r="Z49" s="187">
        <v>1728.99</v>
      </c>
      <c r="AA49" s="187">
        <v>1894</v>
      </c>
    </row>
    <row r="50" spans="2:27" ht="12" hidden="1" customHeight="1">
      <c r="B50" s="171" t="s">
        <v>625</v>
      </c>
      <c r="C50" s="171" t="s">
        <v>497</v>
      </c>
      <c r="D50" s="171" t="s">
        <v>498</v>
      </c>
      <c r="E50" s="171" t="s">
        <v>1300</v>
      </c>
      <c r="F50" s="187">
        <v>15</v>
      </c>
      <c r="G50" s="191">
        <v>45292</v>
      </c>
      <c r="H50" s="191"/>
      <c r="I50" s="187">
        <v>770</v>
      </c>
      <c r="J50" s="187">
        <v>620</v>
      </c>
      <c r="K50" s="187">
        <v>620</v>
      </c>
      <c r="L50" s="187">
        <v>620</v>
      </c>
      <c r="M50" s="187">
        <v>810</v>
      </c>
      <c r="N50" s="187">
        <v>905</v>
      </c>
      <c r="O50" s="187">
        <v>905</v>
      </c>
      <c r="P50" s="187">
        <v>1000</v>
      </c>
      <c r="Q50" s="187">
        <v>3848</v>
      </c>
      <c r="R50" s="187">
        <v>1040</v>
      </c>
      <c r="S50" s="187">
        <v>1040</v>
      </c>
      <c r="T50" s="187">
        <v>1040</v>
      </c>
      <c r="U50" s="187">
        <v>1586</v>
      </c>
      <c r="V50" s="187">
        <v>1271</v>
      </c>
      <c r="W50" s="187">
        <v>1271</v>
      </c>
      <c r="X50" s="187">
        <v>1363</v>
      </c>
      <c r="Y50" s="187">
        <v>1290</v>
      </c>
      <c r="Z50" s="187">
        <v>1290</v>
      </c>
      <c r="AA50" s="187">
        <v>1290</v>
      </c>
    </row>
    <row r="51" spans="2:27" ht="12" hidden="1" customHeight="1">
      <c r="B51" s="171" t="s">
        <v>627</v>
      </c>
      <c r="C51" s="171" t="s">
        <v>497</v>
      </c>
      <c r="D51" s="171" t="s">
        <v>498</v>
      </c>
      <c r="E51" s="171" t="s">
        <v>1300</v>
      </c>
      <c r="F51" s="187">
        <v>18</v>
      </c>
      <c r="G51" s="191">
        <v>45809</v>
      </c>
      <c r="H51" s="191"/>
      <c r="I51" s="187" t="s">
        <v>338</v>
      </c>
      <c r="J51" s="187" t="s">
        <v>338</v>
      </c>
      <c r="K51" s="187" t="s">
        <v>338</v>
      </c>
      <c r="L51" s="187" t="s">
        <v>338</v>
      </c>
      <c r="M51" s="187" t="s">
        <v>338</v>
      </c>
      <c r="N51" s="187">
        <v>3345</v>
      </c>
      <c r="O51" s="187">
        <v>1927.5</v>
      </c>
      <c r="P51" s="187">
        <v>1843.75</v>
      </c>
      <c r="Q51" s="187">
        <v>2000</v>
      </c>
      <c r="R51" s="187">
        <v>1905</v>
      </c>
      <c r="S51" s="187">
        <v>2000</v>
      </c>
      <c r="T51" s="187">
        <v>1715</v>
      </c>
      <c r="U51" s="187">
        <v>1620</v>
      </c>
      <c r="V51" s="187">
        <v>1620</v>
      </c>
      <c r="W51" s="187">
        <v>980</v>
      </c>
      <c r="X51" s="187">
        <v>880</v>
      </c>
      <c r="Y51" s="187">
        <v>835</v>
      </c>
      <c r="Z51" s="187">
        <v>935</v>
      </c>
      <c r="AA51" s="187">
        <v>935</v>
      </c>
    </row>
    <row r="52" spans="2:27" ht="12" hidden="1" customHeight="1">
      <c r="B52" s="171" t="s">
        <v>628</v>
      </c>
      <c r="C52" s="171" t="s">
        <v>497</v>
      </c>
      <c r="D52" s="171" t="s">
        <v>498</v>
      </c>
      <c r="E52" s="171" t="s">
        <v>1300</v>
      </c>
      <c r="F52" s="187">
        <v>120</v>
      </c>
      <c r="G52" s="191">
        <v>46143</v>
      </c>
      <c r="H52" s="191"/>
      <c r="I52" s="187" t="s">
        <v>338</v>
      </c>
      <c r="J52" s="187" t="s">
        <v>338</v>
      </c>
      <c r="K52" s="187" t="s">
        <v>338</v>
      </c>
      <c r="L52" s="187" t="s">
        <v>338</v>
      </c>
      <c r="M52" s="187" t="s">
        <v>338</v>
      </c>
      <c r="N52" s="187" t="s">
        <v>338</v>
      </c>
      <c r="O52" s="187" t="s">
        <v>338</v>
      </c>
      <c r="P52" s="187" t="s">
        <v>338</v>
      </c>
      <c r="Q52" s="187" t="s">
        <v>338</v>
      </c>
      <c r="R52" s="187" t="s">
        <v>338</v>
      </c>
      <c r="S52" s="187" t="s">
        <v>338</v>
      </c>
      <c r="T52" s="187" t="s">
        <v>338</v>
      </c>
      <c r="U52" s="187" t="s">
        <v>338</v>
      </c>
      <c r="V52" s="187" t="s">
        <v>338</v>
      </c>
      <c r="W52" s="187" t="s">
        <v>338</v>
      </c>
      <c r="X52" s="187" t="s">
        <v>338</v>
      </c>
      <c r="Y52" s="187">
        <v>7806</v>
      </c>
      <c r="Z52" s="187">
        <v>5163</v>
      </c>
      <c r="AA52" s="187">
        <v>4217</v>
      </c>
    </row>
    <row r="53" spans="2:27" ht="12" hidden="1" customHeight="1">
      <c r="B53" s="171" t="s">
        <v>629</v>
      </c>
      <c r="C53" s="171" t="s">
        <v>497</v>
      </c>
      <c r="D53" s="171" t="s">
        <v>498</v>
      </c>
      <c r="E53" s="171" t="s">
        <v>1300</v>
      </c>
      <c r="F53" s="187">
        <v>26</v>
      </c>
      <c r="G53" s="191">
        <v>45778</v>
      </c>
      <c r="H53" s="191"/>
      <c r="I53" s="187" t="s">
        <v>338</v>
      </c>
      <c r="J53" s="187" t="s">
        <v>338</v>
      </c>
      <c r="K53" s="187" t="s">
        <v>338</v>
      </c>
      <c r="L53" s="187" t="s">
        <v>338</v>
      </c>
      <c r="M53" s="187">
        <v>1907.5</v>
      </c>
      <c r="N53" s="187">
        <v>1257.5</v>
      </c>
      <c r="O53" s="187">
        <v>1257.5</v>
      </c>
      <c r="P53" s="187">
        <v>1335</v>
      </c>
      <c r="Q53" s="187">
        <v>1050</v>
      </c>
      <c r="R53" s="187">
        <v>1050</v>
      </c>
      <c r="S53" s="187">
        <v>1050</v>
      </c>
      <c r="T53" s="187">
        <v>1050</v>
      </c>
      <c r="U53" s="187">
        <v>1145</v>
      </c>
      <c r="V53" s="187">
        <v>1700</v>
      </c>
      <c r="W53" s="187">
        <v>1430</v>
      </c>
      <c r="X53" s="187">
        <v>1525</v>
      </c>
      <c r="Y53" s="187">
        <v>1490</v>
      </c>
      <c r="Z53" s="187">
        <v>1858</v>
      </c>
      <c r="AA53" s="187">
        <v>2134</v>
      </c>
    </row>
    <row r="54" spans="2:27" ht="12" hidden="1" customHeight="1">
      <c r="B54" s="171" t="s">
        <v>630</v>
      </c>
      <c r="C54" s="171" t="s">
        <v>497</v>
      </c>
      <c r="D54" s="171" t="s">
        <v>498</v>
      </c>
      <c r="E54" s="171" t="s">
        <v>1300</v>
      </c>
      <c r="F54" s="187">
        <v>22</v>
      </c>
      <c r="G54" s="191">
        <v>46023</v>
      </c>
      <c r="H54" s="191"/>
      <c r="I54" s="187" t="s">
        <v>338</v>
      </c>
      <c r="J54" s="187" t="s">
        <v>338</v>
      </c>
      <c r="K54" s="187" t="s">
        <v>338</v>
      </c>
      <c r="L54" s="187" t="s">
        <v>338</v>
      </c>
      <c r="M54" s="187" t="s">
        <v>338</v>
      </c>
      <c r="N54" s="187" t="s">
        <v>338</v>
      </c>
      <c r="O54" s="187" t="s">
        <v>338</v>
      </c>
      <c r="P54" s="187" t="s">
        <v>338</v>
      </c>
      <c r="Q54" s="187" t="s">
        <v>338</v>
      </c>
      <c r="R54" s="187" t="s">
        <v>338</v>
      </c>
      <c r="S54" s="187" t="s">
        <v>338</v>
      </c>
      <c r="T54" s="187" t="s">
        <v>338</v>
      </c>
      <c r="U54" s="187">
        <v>3268</v>
      </c>
      <c r="V54" s="187">
        <v>1759</v>
      </c>
      <c r="W54" s="187">
        <v>1759</v>
      </c>
      <c r="X54" s="187">
        <v>1838</v>
      </c>
      <c r="Y54" s="187">
        <v>2498</v>
      </c>
      <c r="Z54" s="187">
        <v>2498</v>
      </c>
      <c r="AA54" s="187">
        <v>2498</v>
      </c>
    </row>
    <row r="55" spans="2:27" ht="12" hidden="1" customHeight="1">
      <c r="B55" s="171" t="s">
        <v>631</v>
      </c>
      <c r="C55" s="171" t="s">
        <v>562</v>
      </c>
      <c r="D55" s="171" t="s">
        <v>632</v>
      </c>
      <c r="E55" s="171" t="s">
        <v>1301</v>
      </c>
      <c r="F55" s="187" t="s">
        <v>338</v>
      </c>
      <c r="G55" s="191">
        <v>44317</v>
      </c>
      <c r="H55" s="191">
        <v>46234</v>
      </c>
      <c r="I55" s="187">
        <v>1390</v>
      </c>
      <c r="J55" s="187">
        <v>1300</v>
      </c>
      <c r="K55" s="187">
        <v>1300</v>
      </c>
      <c r="L55" s="187">
        <v>1300</v>
      </c>
      <c r="M55" s="187">
        <v>1300</v>
      </c>
      <c r="N55" s="187">
        <v>1300</v>
      </c>
      <c r="O55" s="187">
        <v>1300</v>
      </c>
      <c r="P55" s="187">
        <v>1300</v>
      </c>
      <c r="Q55" s="187">
        <v>1300</v>
      </c>
      <c r="R55" s="187">
        <v>1300</v>
      </c>
      <c r="S55" s="187">
        <v>1300</v>
      </c>
      <c r="T55" s="187">
        <v>1300</v>
      </c>
      <c r="U55" s="187">
        <v>1330</v>
      </c>
      <c r="V55" s="187">
        <v>1375</v>
      </c>
      <c r="W55" s="187">
        <v>1345</v>
      </c>
      <c r="X55" s="187">
        <v>1330</v>
      </c>
      <c r="Y55" s="187">
        <v>1330</v>
      </c>
      <c r="Z55" s="187">
        <v>1330</v>
      </c>
      <c r="AA55" s="187">
        <v>1330</v>
      </c>
    </row>
    <row r="56" spans="2:27" ht="12" hidden="1" customHeight="1">
      <c r="B56" s="171" t="s">
        <v>639</v>
      </c>
      <c r="C56" s="171" t="s">
        <v>497</v>
      </c>
      <c r="D56" s="171" t="s">
        <v>498</v>
      </c>
      <c r="E56" s="171" t="s">
        <v>1300</v>
      </c>
      <c r="F56" s="187">
        <v>42</v>
      </c>
      <c r="G56" s="191">
        <v>45658</v>
      </c>
      <c r="H56" s="191"/>
      <c r="I56" s="187">
        <v>1195</v>
      </c>
      <c r="J56" s="187">
        <v>595</v>
      </c>
      <c r="K56" s="187">
        <v>595</v>
      </c>
      <c r="L56" s="187">
        <v>700</v>
      </c>
      <c r="M56" s="187">
        <v>700</v>
      </c>
      <c r="N56" s="187">
        <v>700</v>
      </c>
      <c r="O56" s="187">
        <v>700</v>
      </c>
      <c r="P56" s="187">
        <v>850</v>
      </c>
      <c r="Q56" s="187">
        <v>1075</v>
      </c>
      <c r="R56" s="187">
        <v>1075</v>
      </c>
      <c r="S56" s="187">
        <v>1075</v>
      </c>
      <c r="T56" s="187">
        <v>1150</v>
      </c>
      <c r="U56" s="187">
        <v>1182</v>
      </c>
      <c r="V56" s="187">
        <v>1512</v>
      </c>
      <c r="W56" s="187">
        <v>1115</v>
      </c>
      <c r="X56" s="187">
        <v>1249</v>
      </c>
      <c r="Y56" s="187">
        <v>1584</v>
      </c>
      <c r="Z56" s="187">
        <v>1881</v>
      </c>
      <c r="AA56" s="187">
        <v>2120</v>
      </c>
    </row>
    <row r="57" spans="2:27" ht="12" hidden="1" customHeight="1">
      <c r="B57" s="171" t="s">
        <v>641</v>
      </c>
      <c r="C57" s="171" t="s">
        <v>497</v>
      </c>
      <c r="D57" s="171" t="s">
        <v>498</v>
      </c>
      <c r="E57" s="171" t="s">
        <v>1300</v>
      </c>
      <c r="F57" s="187">
        <v>16</v>
      </c>
      <c r="G57" s="191">
        <v>45597</v>
      </c>
      <c r="H57" s="191"/>
      <c r="I57" s="187">
        <v>1168.75</v>
      </c>
      <c r="J57" s="187">
        <v>1450</v>
      </c>
      <c r="K57" s="187">
        <v>1450</v>
      </c>
      <c r="L57" s="187">
        <v>1300</v>
      </c>
      <c r="M57" s="187">
        <v>1525</v>
      </c>
      <c r="N57" s="187">
        <v>1525</v>
      </c>
      <c r="O57" s="187">
        <v>1300</v>
      </c>
      <c r="P57" s="187">
        <v>1300</v>
      </c>
      <c r="Q57" s="187">
        <v>1450</v>
      </c>
      <c r="R57" s="187">
        <v>1450</v>
      </c>
      <c r="S57" s="187">
        <v>1280</v>
      </c>
      <c r="T57" s="187">
        <v>1215</v>
      </c>
      <c r="U57" s="187">
        <v>1085</v>
      </c>
      <c r="V57" s="187">
        <v>1225</v>
      </c>
      <c r="W57" s="187">
        <v>1150</v>
      </c>
      <c r="X57" s="187">
        <v>1225</v>
      </c>
      <c r="Y57" s="187">
        <v>1225</v>
      </c>
      <c r="Z57" s="187">
        <v>1280</v>
      </c>
      <c r="AA57" s="187">
        <v>1150</v>
      </c>
    </row>
    <row r="58" spans="2:27" ht="12" hidden="1" customHeight="1">
      <c r="B58" s="171" t="s">
        <v>642</v>
      </c>
      <c r="C58" s="171" t="s">
        <v>497</v>
      </c>
      <c r="D58" s="171" t="s">
        <v>498</v>
      </c>
      <c r="E58" s="171" t="s">
        <v>1300</v>
      </c>
      <c r="F58" s="187">
        <v>26</v>
      </c>
      <c r="G58" s="191">
        <v>45992</v>
      </c>
      <c r="H58" s="191"/>
      <c r="I58" s="187" t="s">
        <v>338</v>
      </c>
      <c r="J58" s="187" t="s">
        <v>338</v>
      </c>
      <c r="K58" s="187" t="s">
        <v>338</v>
      </c>
      <c r="L58" s="187" t="s">
        <v>338</v>
      </c>
      <c r="M58" s="187" t="s">
        <v>338</v>
      </c>
      <c r="N58" s="187" t="s">
        <v>338</v>
      </c>
      <c r="O58" s="187" t="s">
        <v>338</v>
      </c>
      <c r="P58" s="187" t="s">
        <v>338</v>
      </c>
      <c r="Q58" s="187" t="s">
        <v>338</v>
      </c>
      <c r="R58" s="187" t="s">
        <v>338</v>
      </c>
      <c r="S58" s="187" t="s">
        <v>338</v>
      </c>
      <c r="T58" s="187">
        <v>2722</v>
      </c>
      <c r="U58" s="187">
        <v>1636</v>
      </c>
      <c r="V58" s="187">
        <v>1636</v>
      </c>
      <c r="W58" s="187">
        <v>1636</v>
      </c>
      <c r="X58" s="187">
        <v>1636</v>
      </c>
      <c r="Y58" s="187">
        <v>1636</v>
      </c>
      <c r="Z58" s="187">
        <v>1664</v>
      </c>
      <c r="AA58" s="187">
        <v>1828</v>
      </c>
    </row>
    <row r="59" spans="2:27" ht="12" hidden="1" customHeight="1">
      <c r="B59" s="171" t="s">
        <v>644</v>
      </c>
      <c r="C59" s="171" t="s">
        <v>497</v>
      </c>
      <c r="D59" s="171" t="s">
        <v>498</v>
      </c>
      <c r="E59" s="171" t="s">
        <v>1300</v>
      </c>
      <c r="F59" s="187">
        <v>32</v>
      </c>
      <c r="G59" s="191">
        <v>46023</v>
      </c>
      <c r="H59" s="191"/>
      <c r="I59" s="187" t="s">
        <v>338</v>
      </c>
      <c r="J59" s="187" t="s">
        <v>338</v>
      </c>
      <c r="K59" s="187" t="s">
        <v>338</v>
      </c>
      <c r="L59" s="187" t="s">
        <v>338</v>
      </c>
      <c r="M59" s="187" t="s">
        <v>338</v>
      </c>
      <c r="N59" s="187" t="s">
        <v>338</v>
      </c>
      <c r="O59" s="187" t="s">
        <v>338</v>
      </c>
      <c r="P59" s="187" t="s">
        <v>338</v>
      </c>
      <c r="Q59" s="187" t="s">
        <v>338</v>
      </c>
      <c r="R59" s="187" t="s">
        <v>338</v>
      </c>
      <c r="S59" s="187" t="s">
        <v>338</v>
      </c>
      <c r="T59" s="187" t="s">
        <v>338</v>
      </c>
      <c r="U59" s="187">
        <v>3220</v>
      </c>
      <c r="V59" s="187">
        <v>2085</v>
      </c>
      <c r="W59" s="187">
        <v>1660</v>
      </c>
      <c r="X59" s="187">
        <v>1855</v>
      </c>
      <c r="Y59" s="187">
        <v>1855</v>
      </c>
      <c r="Z59" s="187">
        <v>1855</v>
      </c>
      <c r="AA59" s="187">
        <v>1805</v>
      </c>
    </row>
    <row r="60" spans="2:27" ht="12" hidden="1" customHeight="1">
      <c r="B60" s="171" t="s">
        <v>645</v>
      </c>
      <c r="C60" s="171" t="s">
        <v>497</v>
      </c>
      <c r="D60" s="171" t="s">
        <v>498</v>
      </c>
      <c r="E60" s="171" t="s">
        <v>1300</v>
      </c>
      <c r="F60" s="187">
        <v>15</v>
      </c>
      <c r="G60" s="191">
        <v>45597</v>
      </c>
      <c r="H60" s="191"/>
      <c r="I60" s="187">
        <v>658.75</v>
      </c>
      <c r="J60" s="187">
        <v>910</v>
      </c>
      <c r="K60" s="187">
        <v>850</v>
      </c>
      <c r="L60" s="187">
        <v>850</v>
      </c>
      <c r="M60" s="187">
        <v>925</v>
      </c>
      <c r="N60" s="187">
        <v>925</v>
      </c>
      <c r="O60" s="187">
        <v>925</v>
      </c>
      <c r="P60" s="187">
        <v>925</v>
      </c>
      <c r="Q60" s="187">
        <v>1000</v>
      </c>
      <c r="R60" s="187">
        <v>1120</v>
      </c>
      <c r="S60" s="187">
        <v>1205</v>
      </c>
      <c r="T60" s="187">
        <v>1205</v>
      </c>
      <c r="U60" s="187">
        <v>1154</v>
      </c>
      <c r="V60" s="187">
        <v>1589</v>
      </c>
      <c r="W60" s="187">
        <v>1154</v>
      </c>
      <c r="X60" s="187">
        <v>1154</v>
      </c>
      <c r="Y60" s="187">
        <v>1154</v>
      </c>
      <c r="Z60" s="187">
        <v>1235</v>
      </c>
      <c r="AA60" s="187">
        <v>1235</v>
      </c>
    </row>
    <row r="61" spans="2:27" ht="12" hidden="1" customHeight="1">
      <c r="B61" s="171" t="s">
        <v>646</v>
      </c>
      <c r="C61" s="171" t="s">
        <v>497</v>
      </c>
      <c r="D61" s="171" t="s">
        <v>498</v>
      </c>
      <c r="E61" s="171" t="s">
        <v>1300</v>
      </c>
      <c r="F61" s="187">
        <v>16</v>
      </c>
      <c r="G61" s="191">
        <v>45292</v>
      </c>
      <c r="H61" s="191"/>
      <c r="I61" s="187">
        <v>1295</v>
      </c>
      <c r="J61" s="187">
        <v>950</v>
      </c>
      <c r="K61" s="187">
        <v>1025</v>
      </c>
      <c r="L61" s="187">
        <v>1025</v>
      </c>
      <c r="M61" s="187">
        <v>1025</v>
      </c>
      <c r="N61" s="187">
        <v>1100</v>
      </c>
      <c r="O61" s="187">
        <v>1100</v>
      </c>
      <c r="P61" s="187">
        <v>1100</v>
      </c>
      <c r="Q61" s="187">
        <v>1025</v>
      </c>
      <c r="R61" s="187">
        <v>1025</v>
      </c>
      <c r="S61" s="187">
        <v>1025</v>
      </c>
      <c r="T61" s="187">
        <v>1100</v>
      </c>
      <c r="U61" s="187">
        <v>1438</v>
      </c>
      <c r="V61" s="187">
        <v>1080</v>
      </c>
      <c r="W61" s="187">
        <v>1080</v>
      </c>
      <c r="X61" s="187">
        <v>1080</v>
      </c>
      <c r="Y61" s="187">
        <v>1147</v>
      </c>
      <c r="Z61" s="187">
        <v>1214</v>
      </c>
      <c r="AA61" s="187">
        <v>1147</v>
      </c>
    </row>
    <row r="62" spans="2:27" ht="12" hidden="1" customHeight="1">
      <c r="B62" s="171" t="s">
        <v>647</v>
      </c>
      <c r="C62" s="171" t="s">
        <v>497</v>
      </c>
      <c r="D62" s="171" t="s">
        <v>498</v>
      </c>
      <c r="E62" s="171" t="s">
        <v>1300</v>
      </c>
      <c r="F62" s="187">
        <v>44</v>
      </c>
      <c r="G62" s="191">
        <v>46113</v>
      </c>
      <c r="H62" s="191"/>
      <c r="I62" s="187" t="s">
        <v>338</v>
      </c>
      <c r="J62" s="187" t="s">
        <v>338</v>
      </c>
      <c r="K62" s="187" t="s">
        <v>338</v>
      </c>
      <c r="L62" s="187" t="s">
        <v>338</v>
      </c>
      <c r="M62" s="187" t="s">
        <v>338</v>
      </c>
      <c r="N62" s="187" t="s">
        <v>338</v>
      </c>
      <c r="O62" s="187" t="s">
        <v>338</v>
      </c>
      <c r="P62" s="187" t="s">
        <v>338</v>
      </c>
      <c r="Q62" s="187" t="s">
        <v>338</v>
      </c>
      <c r="R62" s="187" t="s">
        <v>338</v>
      </c>
      <c r="S62" s="187" t="s">
        <v>338</v>
      </c>
      <c r="T62" s="187" t="s">
        <v>338</v>
      </c>
      <c r="U62" s="187" t="s">
        <v>338</v>
      </c>
      <c r="V62" s="187" t="s">
        <v>338</v>
      </c>
      <c r="W62" s="187" t="s">
        <v>338</v>
      </c>
      <c r="X62" s="187">
        <v>5354</v>
      </c>
      <c r="Y62" s="187">
        <v>2561</v>
      </c>
      <c r="Z62" s="187">
        <v>2675</v>
      </c>
      <c r="AA62" s="187">
        <v>2675</v>
      </c>
    </row>
    <row r="63" spans="2:27" ht="12" hidden="1" customHeight="1">
      <c r="B63" s="171" t="s">
        <v>649</v>
      </c>
      <c r="C63" s="171" t="s">
        <v>497</v>
      </c>
      <c r="D63" s="171" t="s">
        <v>498</v>
      </c>
      <c r="E63" s="171" t="s">
        <v>1300</v>
      </c>
      <c r="F63" s="187">
        <v>13</v>
      </c>
      <c r="G63" s="191">
        <v>45597</v>
      </c>
      <c r="H63" s="191"/>
      <c r="I63" s="187">
        <v>410.75</v>
      </c>
      <c r="J63" s="187">
        <v>474</v>
      </c>
      <c r="K63" s="187">
        <v>474</v>
      </c>
      <c r="L63" s="187">
        <v>632</v>
      </c>
      <c r="M63" s="187">
        <v>632</v>
      </c>
      <c r="N63" s="187" t="s">
        <v>338</v>
      </c>
      <c r="O63" s="187">
        <v>700</v>
      </c>
      <c r="P63" s="187">
        <v>850</v>
      </c>
      <c r="Q63" s="187">
        <v>850</v>
      </c>
      <c r="R63" s="187">
        <v>850</v>
      </c>
      <c r="S63" s="187">
        <v>1075</v>
      </c>
      <c r="T63" s="187">
        <v>1075</v>
      </c>
      <c r="U63" s="187">
        <v>1225</v>
      </c>
      <c r="V63" s="187">
        <v>1230</v>
      </c>
      <c r="W63" s="187">
        <v>1220</v>
      </c>
      <c r="X63" s="187">
        <v>1075</v>
      </c>
      <c r="Y63" s="187">
        <v>1225</v>
      </c>
      <c r="Z63" s="187">
        <v>1225</v>
      </c>
      <c r="AA63" s="187">
        <v>1261</v>
      </c>
    </row>
    <row r="64" spans="2:27" ht="12" hidden="1" customHeight="1">
      <c r="B64" s="171" t="s">
        <v>650</v>
      </c>
      <c r="C64" s="171" t="s">
        <v>19</v>
      </c>
      <c r="D64" s="171" t="s">
        <v>498</v>
      </c>
      <c r="E64" s="171" t="s">
        <v>1300</v>
      </c>
      <c r="F64" s="187">
        <v>51</v>
      </c>
      <c r="G64" s="191">
        <v>46082</v>
      </c>
      <c r="H64" s="191"/>
      <c r="I64" s="187" t="s">
        <v>338</v>
      </c>
      <c r="J64" s="187" t="s">
        <v>338</v>
      </c>
      <c r="K64" s="187" t="s">
        <v>338</v>
      </c>
      <c r="L64" s="187" t="s">
        <v>338</v>
      </c>
      <c r="M64" s="187" t="s">
        <v>338</v>
      </c>
      <c r="N64" s="187" t="s">
        <v>338</v>
      </c>
      <c r="O64" s="187" t="s">
        <v>338</v>
      </c>
      <c r="P64" s="187" t="s">
        <v>338</v>
      </c>
      <c r="Q64" s="187" t="s">
        <v>338</v>
      </c>
      <c r="R64" s="187" t="s">
        <v>338</v>
      </c>
      <c r="S64" s="187" t="s">
        <v>338</v>
      </c>
      <c r="T64" s="187" t="s">
        <v>338</v>
      </c>
      <c r="U64" s="187" t="s">
        <v>338</v>
      </c>
      <c r="V64" s="187" t="s">
        <v>338</v>
      </c>
      <c r="W64" s="187">
        <v>4229</v>
      </c>
      <c r="X64" s="187">
        <v>2293</v>
      </c>
      <c r="Y64" s="187">
        <v>2349</v>
      </c>
      <c r="Z64" s="187">
        <v>2429</v>
      </c>
      <c r="AA64" s="187">
        <v>1757</v>
      </c>
    </row>
    <row r="65" spans="2:27" ht="12" hidden="1" customHeight="1">
      <c r="B65" s="171" t="s">
        <v>654</v>
      </c>
      <c r="C65" s="171" t="s">
        <v>497</v>
      </c>
      <c r="D65" s="171" t="s">
        <v>498</v>
      </c>
      <c r="E65" s="171" t="s">
        <v>1300</v>
      </c>
      <c r="F65" s="187">
        <v>22</v>
      </c>
      <c r="G65" s="191">
        <v>44986</v>
      </c>
      <c r="H65" s="191"/>
      <c r="I65" s="187">
        <v>985</v>
      </c>
      <c r="J65" s="187">
        <v>790</v>
      </c>
      <c r="K65" s="187">
        <v>825</v>
      </c>
      <c r="L65" s="187">
        <v>825</v>
      </c>
      <c r="M65" s="187">
        <v>825</v>
      </c>
      <c r="N65" s="187">
        <v>825</v>
      </c>
      <c r="O65" s="187">
        <v>900</v>
      </c>
      <c r="P65" s="187">
        <v>900</v>
      </c>
      <c r="Q65" s="187">
        <v>900</v>
      </c>
      <c r="R65" s="187">
        <v>975</v>
      </c>
      <c r="S65" s="187">
        <v>525</v>
      </c>
      <c r="T65" s="187">
        <v>900</v>
      </c>
      <c r="U65" s="187">
        <v>1050</v>
      </c>
      <c r="V65" s="187">
        <v>1185</v>
      </c>
      <c r="W65" s="187">
        <v>1034</v>
      </c>
      <c r="X65" s="187">
        <v>1188</v>
      </c>
      <c r="Y65" s="187">
        <v>1188</v>
      </c>
      <c r="Z65" s="187">
        <v>1316</v>
      </c>
      <c r="AA65" s="187">
        <v>1517</v>
      </c>
    </row>
    <row r="66" spans="2:27" ht="12" hidden="1" customHeight="1">
      <c r="B66" s="171" t="s">
        <v>656</v>
      </c>
      <c r="C66" s="171" t="s">
        <v>562</v>
      </c>
      <c r="D66" s="171" t="s">
        <v>657</v>
      </c>
      <c r="E66" s="171" t="s">
        <v>1302</v>
      </c>
      <c r="F66" s="187" t="s">
        <v>338</v>
      </c>
      <c r="G66" s="191">
        <v>44743</v>
      </c>
      <c r="H66" s="191">
        <v>46022</v>
      </c>
      <c r="I66" s="187">
        <v>2210</v>
      </c>
      <c r="J66" s="187">
        <v>3529.6</v>
      </c>
      <c r="K66" s="187">
        <v>2550</v>
      </c>
      <c r="L66" s="187">
        <v>2550</v>
      </c>
      <c r="M66" s="187">
        <v>2707.94</v>
      </c>
      <c r="N66" s="187">
        <v>2635</v>
      </c>
      <c r="O66" s="187">
        <v>2621.71</v>
      </c>
      <c r="P66" s="187">
        <v>2713.69</v>
      </c>
      <c r="Q66" s="187">
        <v>2404</v>
      </c>
      <c r="R66" s="187">
        <v>2404</v>
      </c>
      <c r="S66" s="187">
        <v>2404</v>
      </c>
      <c r="T66" s="187">
        <v>2404</v>
      </c>
      <c r="U66" s="187">
        <v>249.84</v>
      </c>
      <c r="V66" s="187" t="s">
        <v>338</v>
      </c>
      <c r="W66" s="187" t="s">
        <v>338</v>
      </c>
      <c r="X66" s="187" t="s">
        <v>338</v>
      </c>
      <c r="Y66" s="187" t="s">
        <v>338</v>
      </c>
      <c r="Z66" s="187" t="s">
        <v>338</v>
      </c>
      <c r="AA66" s="187" t="s">
        <v>338</v>
      </c>
    </row>
    <row r="67" spans="2:27" ht="12" hidden="1" customHeight="1">
      <c r="B67" s="171" t="s">
        <v>658</v>
      </c>
      <c r="C67" s="171" t="s">
        <v>497</v>
      </c>
      <c r="D67" s="171" t="s">
        <v>498</v>
      </c>
      <c r="E67" s="171" t="s">
        <v>1300</v>
      </c>
      <c r="F67" s="187">
        <v>19</v>
      </c>
      <c r="G67" s="191">
        <v>45901</v>
      </c>
      <c r="H67" s="191"/>
      <c r="I67" s="187" t="s">
        <v>338</v>
      </c>
      <c r="J67" s="187" t="s">
        <v>338</v>
      </c>
      <c r="K67" s="187" t="s">
        <v>338</v>
      </c>
      <c r="L67" s="187" t="s">
        <v>338</v>
      </c>
      <c r="M67" s="187" t="s">
        <v>338</v>
      </c>
      <c r="N67" s="187" t="s">
        <v>338</v>
      </c>
      <c r="O67" s="187" t="s">
        <v>338</v>
      </c>
      <c r="P67" s="187" t="s">
        <v>338</v>
      </c>
      <c r="Q67" s="187">
        <v>1920</v>
      </c>
      <c r="R67" s="187">
        <v>1140</v>
      </c>
      <c r="S67" s="187">
        <v>0</v>
      </c>
      <c r="T67" s="187">
        <v>945</v>
      </c>
      <c r="U67" s="187">
        <v>1075</v>
      </c>
      <c r="V67" s="187">
        <v>1150</v>
      </c>
      <c r="W67" s="187">
        <v>1075</v>
      </c>
      <c r="X67" s="187">
        <v>1140</v>
      </c>
      <c r="Y67" s="187">
        <v>1335</v>
      </c>
      <c r="Z67" s="187">
        <v>1335</v>
      </c>
      <c r="AA67" s="187">
        <v>1335</v>
      </c>
    </row>
    <row r="68" spans="2:27" ht="12" hidden="1" customHeight="1">
      <c r="B68" s="171" t="s">
        <v>659</v>
      </c>
      <c r="C68" s="171" t="s">
        <v>497</v>
      </c>
      <c r="D68" s="171" t="s">
        <v>498</v>
      </c>
      <c r="E68" s="171" t="s">
        <v>1300</v>
      </c>
      <c r="F68" s="187">
        <v>17</v>
      </c>
      <c r="G68" s="191">
        <v>45444</v>
      </c>
      <c r="H68" s="191"/>
      <c r="I68" s="187">
        <v>553</v>
      </c>
      <c r="J68" s="187">
        <v>628</v>
      </c>
      <c r="K68" s="187">
        <v>553</v>
      </c>
      <c r="L68" s="187">
        <v>553</v>
      </c>
      <c r="M68" s="187">
        <v>632</v>
      </c>
      <c r="N68" s="187">
        <v>700</v>
      </c>
      <c r="O68" s="187">
        <v>775</v>
      </c>
      <c r="P68" s="187">
        <v>775</v>
      </c>
      <c r="Q68" s="187">
        <v>775</v>
      </c>
      <c r="R68" s="187">
        <v>850</v>
      </c>
      <c r="S68" s="187">
        <v>1075</v>
      </c>
      <c r="T68" s="187">
        <v>1000</v>
      </c>
      <c r="U68" s="187">
        <v>1000</v>
      </c>
      <c r="V68" s="187">
        <v>1135</v>
      </c>
      <c r="W68" s="187">
        <v>1150</v>
      </c>
      <c r="X68" s="187">
        <v>1225</v>
      </c>
      <c r="Y68" s="187">
        <v>1225</v>
      </c>
      <c r="Z68" s="187">
        <v>1115</v>
      </c>
      <c r="AA68" s="187">
        <v>1048</v>
      </c>
    </row>
    <row r="69" spans="2:27" ht="12" hidden="1" customHeight="1">
      <c r="B69" s="171" t="s">
        <v>660</v>
      </c>
      <c r="C69" s="171" t="s">
        <v>497</v>
      </c>
      <c r="D69" s="171" t="s">
        <v>498</v>
      </c>
      <c r="E69" s="171" t="s">
        <v>1300</v>
      </c>
      <c r="F69" s="187">
        <v>21</v>
      </c>
      <c r="G69" s="191">
        <v>45689</v>
      </c>
      <c r="H69" s="191"/>
      <c r="I69" s="187" t="s">
        <v>338</v>
      </c>
      <c r="J69" s="187">
        <v>440</v>
      </c>
      <c r="K69" s="187">
        <v>550</v>
      </c>
      <c r="L69" s="187">
        <v>625</v>
      </c>
      <c r="M69" s="187">
        <v>625</v>
      </c>
      <c r="N69" s="187">
        <v>700</v>
      </c>
      <c r="O69" s="187">
        <v>700</v>
      </c>
      <c r="P69" s="187">
        <v>700</v>
      </c>
      <c r="Q69" s="187">
        <v>925</v>
      </c>
      <c r="R69" s="187">
        <v>1075</v>
      </c>
      <c r="S69" s="187">
        <v>1150</v>
      </c>
      <c r="T69" s="187">
        <v>1075</v>
      </c>
      <c r="U69" s="187">
        <v>1000</v>
      </c>
      <c r="V69" s="187">
        <v>1263</v>
      </c>
      <c r="W69" s="187">
        <v>905</v>
      </c>
      <c r="X69" s="187">
        <v>942</v>
      </c>
      <c r="Y69" s="187">
        <v>942</v>
      </c>
      <c r="Z69" s="187">
        <v>942</v>
      </c>
      <c r="AA69" s="187">
        <v>1150</v>
      </c>
    </row>
    <row r="70" spans="2:27" ht="12" hidden="1" customHeight="1">
      <c r="B70" s="171" t="s">
        <v>661</v>
      </c>
      <c r="C70" s="171" t="s">
        <v>497</v>
      </c>
      <c r="D70" s="171" t="s">
        <v>498</v>
      </c>
      <c r="E70" s="171" t="s">
        <v>1300</v>
      </c>
      <c r="F70" s="187">
        <v>11</v>
      </c>
      <c r="G70" s="191">
        <v>45658</v>
      </c>
      <c r="H70" s="191"/>
      <c r="I70" s="187">
        <v>876.9</v>
      </c>
      <c r="J70" s="187">
        <v>452.9</v>
      </c>
      <c r="K70" s="187">
        <v>540.04999999999995</v>
      </c>
      <c r="L70" s="187">
        <v>890</v>
      </c>
      <c r="M70" s="187">
        <v>1068</v>
      </c>
      <c r="N70" s="187">
        <v>1157</v>
      </c>
      <c r="O70" s="187">
        <v>1157</v>
      </c>
      <c r="P70" s="187">
        <v>1246</v>
      </c>
      <c r="Q70" s="187">
        <v>1157</v>
      </c>
      <c r="R70" s="187">
        <v>1157</v>
      </c>
      <c r="S70" s="187">
        <v>1157</v>
      </c>
      <c r="T70" s="187">
        <v>890</v>
      </c>
      <c r="U70" s="187">
        <v>806</v>
      </c>
      <c r="V70" s="187">
        <v>1076</v>
      </c>
      <c r="W70" s="187">
        <v>806</v>
      </c>
      <c r="X70" s="187">
        <v>893</v>
      </c>
      <c r="Y70" s="187">
        <v>893</v>
      </c>
      <c r="Z70" s="187">
        <v>893</v>
      </c>
      <c r="AA70" s="187">
        <v>980</v>
      </c>
    </row>
    <row r="71" spans="2:27" ht="12" hidden="1" customHeight="1">
      <c r="B71" s="171" t="s">
        <v>662</v>
      </c>
      <c r="C71" s="171" t="s">
        <v>497</v>
      </c>
      <c r="D71" s="171" t="s">
        <v>498</v>
      </c>
      <c r="E71" s="171" t="s">
        <v>1300</v>
      </c>
      <c r="F71" s="187">
        <v>17</v>
      </c>
      <c r="G71" s="191">
        <v>45901</v>
      </c>
      <c r="H71" s="191"/>
      <c r="I71" s="187" t="s">
        <v>338</v>
      </c>
      <c r="J71" s="187" t="s">
        <v>338</v>
      </c>
      <c r="K71" s="187" t="s">
        <v>338</v>
      </c>
      <c r="L71" s="187" t="s">
        <v>338</v>
      </c>
      <c r="M71" s="187" t="s">
        <v>338</v>
      </c>
      <c r="N71" s="187" t="s">
        <v>338</v>
      </c>
      <c r="O71" s="187" t="s">
        <v>338</v>
      </c>
      <c r="P71" s="187" t="s">
        <v>338</v>
      </c>
      <c r="Q71" s="187">
        <v>1300</v>
      </c>
      <c r="R71" s="187">
        <v>925</v>
      </c>
      <c r="S71" s="187">
        <v>925</v>
      </c>
      <c r="T71" s="187">
        <v>925</v>
      </c>
      <c r="U71" s="187">
        <v>1090</v>
      </c>
      <c r="V71" s="187">
        <v>1015</v>
      </c>
      <c r="W71" s="187">
        <v>1075</v>
      </c>
      <c r="X71" s="187">
        <v>1150</v>
      </c>
      <c r="Y71" s="187">
        <v>1150</v>
      </c>
      <c r="Z71" s="187">
        <v>1140</v>
      </c>
      <c r="AA71" s="187">
        <v>1140</v>
      </c>
    </row>
    <row r="72" spans="2:27" ht="12" hidden="1" customHeight="1">
      <c r="B72" s="171" t="s">
        <v>663</v>
      </c>
      <c r="C72" s="171" t="s">
        <v>497</v>
      </c>
      <c r="D72" s="171" t="s">
        <v>498</v>
      </c>
      <c r="E72" s="171" t="s">
        <v>1300</v>
      </c>
      <c r="F72" s="187">
        <v>32</v>
      </c>
      <c r="G72" s="191">
        <v>46082</v>
      </c>
      <c r="H72" s="191"/>
      <c r="I72" s="187" t="s">
        <v>338</v>
      </c>
      <c r="J72" s="187" t="s">
        <v>338</v>
      </c>
      <c r="K72" s="187" t="s">
        <v>338</v>
      </c>
      <c r="L72" s="187" t="s">
        <v>338</v>
      </c>
      <c r="M72" s="187" t="s">
        <v>338</v>
      </c>
      <c r="N72" s="187" t="s">
        <v>338</v>
      </c>
      <c r="O72" s="187" t="s">
        <v>338</v>
      </c>
      <c r="P72" s="187" t="s">
        <v>338</v>
      </c>
      <c r="Q72" s="187" t="s">
        <v>338</v>
      </c>
      <c r="R72" s="187" t="s">
        <v>338</v>
      </c>
      <c r="S72" s="187" t="s">
        <v>338</v>
      </c>
      <c r="T72" s="187" t="s">
        <v>338</v>
      </c>
      <c r="U72" s="187" t="s">
        <v>338</v>
      </c>
      <c r="V72" s="187" t="s">
        <v>338</v>
      </c>
      <c r="W72" s="187">
        <v>3937</v>
      </c>
      <c r="X72" s="187">
        <v>1860</v>
      </c>
      <c r="Y72" s="187">
        <v>1803</v>
      </c>
      <c r="Z72" s="187">
        <v>2268</v>
      </c>
      <c r="AA72" s="187">
        <v>1908</v>
      </c>
    </row>
    <row r="73" spans="2:27" ht="12" hidden="1" customHeight="1">
      <c r="B73" s="171" t="s">
        <v>666</v>
      </c>
      <c r="C73" s="171" t="s">
        <v>497</v>
      </c>
      <c r="D73" s="171" t="s">
        <v>632</v>
      </c>
      <c r="E73" s="171" t="s">
        <v>1301</v>
      </c>
      <c r="F73" s="187" t="s">
        <v>338</v>
      </c>
      <c r="G73" s="191">
        <v>44317</v>
      </c>
      <c r="H73" s="191"/>
      <c r="I73" s="187">
        <v>1040</v>
      </c>
      <c r="J73" s="187">
        <v>950</v>
      </c>
      <c r="K73" s="187">
        <v>950</v>
      </c>
      <c r="L73" s="187">
        <v>950</v>
      </c>
      <c r="M73" s="187">
        <v>950</v>
      </c>
      <c r="N73" s="187">
        <v>950</v>
      </c>
      <c r="O73" s="187">
        <v>950</v>
      </c>
      <c r="P73" s="187">
        <v>950</v>
      </c>
      <c r="Q73" s="187">
        <v>950</v>
      </c>
      <c r="R73" s="187">
        <v>950</v>
      </c>
      <c r="S73" s="187">
        <v>950</v>
      </c>
      <c r="T73" s="187">
        <v>950</v>
      </c>
      <c r="U73" s="187">
        <v>995</v>
      </c>
      <c r="V73" s="187">
        <v>995</v>
      </c>
      <c r="W73" s="187">
        <v>995</v>
      </c>
      <c r="X73" s="187">
        <v>995</v>
      </c>
      <c r="Y73" s="187">
        <v>995</v>
      </c>
      <c r="Z73" s="187">
        <v>995</v>
      </c>
      <c r="AA73" s="187">
        <v>995</v>
      </c>
    </row>
    <row r="74" spans="2:27" ht="12" hidden="1" customHeight="1">
      <c r="B74" s="171" t="s">
        <v>670</v>
      </c>
      <c r="C74" s="217" t="s">
        <v>562</v>
      </c>
      <c r="D74" s="171" t="s">
        <v>498</v>
      </c>
      <c r="E74" s="171" t="s">
        <v>1300</v>
      </c>
      <c r="F74" s="187">
        <v>37</v>
      </c>
      <c r="G74" s="191">
        <v>46054</v>
      </c>
      <c r="H74" s="191">
        <v>46265</v>
      </c>
      <c r="I74" s="187" t="s">
        <v>338</v>
      </c>
      <c r="J74" s="187" t="s">
        <v>338</v>
      </c>
      <c r="K74" s="187" t="s">
        <v>338</v>
      </c>
      <c r="L74" s="187" t="s">
        <v>338</v>
      </c>
      <c r="M74" s="187" t="s">
        <v>338</v>
      </c>
      <c r="N74" s="187" t="s">
        <v>338</v>
      </c>
      <c r="O74" s="187" t="s">
        <v>338</v>
      </c>
      <c r="P74" s="187" t="s">
        <v>338</v>
      </c>
      <c r="Q74" s="187" t="s">
        <v>338</v>
      </c>
      <c r="R74" s="187" t="s">
        <v>338</v>
      </c>
      <c r="S74" s="187" t="s">
        <v>338</v>
      </c>
      <c r="T74" s="187" t="s">
        <v>338</v>
      </c>
      <c r="U74" s="187" t="s">
        <v>338</v>
      </c>
      <c r="V74" s="187">
        <v>975</v>
      </c>
      <c r="W74" s="187">
        <v>2823</v>
      </c>
      <c r="X74" s="187">
        <v>1471</v>
      </c>
      <c r="Y74" s="187">
        <v>1944</v>
      </c>
      <c r="Z74" s="187">
        <v>2138</v>
      </c>
      <c r="AA74" s="187">
        <v>2164</v>
      </c>
    </row>
    <row r="75" spans="2:27" ht="12" hidden="1" customHeight="1">
      <c r="B75" s="171" t="s">
        <v>671</v>
      </c>
      <c r="C75" s="171" t="s">
        <v>497</v>
      </c>
      <c r="D75" s="171" t="s">
        <v>498</v>
      </c>
      <c r="E75" s="171" t="s">
        <v>1300</v>
      </c>
      <c r="F75" s="187">
        <v>19</v>
      </c>
      <c r="G75" s="191">
        <v>45200</v>
      </c>
      <c r="H75" s="191"/>
      <c r="I75" s="187">
        <v>699</v>
      </c>
      <c r="J75" s="187">
        <v>623</v>
      </c>
      <c r="K75" s="187">
        <v>623</v>
      </c>
      <c r="L75" s="187">
        <v>712</v>
      </c>
      <c r="M75" s="187">
        <v>801</v>
      </c>
      <c r="N75" s="187">
        <v>712</v>
      </c>
      <c r="O75" s="187">
        <v>801</v>
      </c>
      <c r="P75" s="187">
        <v>445</v>
      </c>
      <c r="Q75" s="187">
        <v>356</v>
      </c>
      <c r="R75" s="187">
        <v>590</v>
      </c>
      <c r="S75" s="187">
        <v>590</v>
      </c>
      <c r="T75" s="187">
        <v>680</v>
      </c>
      <c r="U75" s="187">
        <v>790</v>
      </c>
      <c r="V75" s="187">
        <v>1260</v>
      </c>
      <c r="W75" s="187">
        <v>1280</v>
      </c>
      <c r="X75" s="187">
        <v>1140</v>
      </c>
      <c r="Y75" s="187">
        <v>1377</v>
      </c>
      <c r="Z75" s="187">
        <v>1391</v>
      </c>
      <c r="AA75" s="187">
        <v>1614</v>
      </c>
    </row>
    <row r="76" spans="2:27" ht="12" hidden="1" customHeight="1">
      <c r="B76" s="171" t="s">
        <v>672</v>
      </c>
      <c r="C76" s="171" t="s">
        <v>497</v>
      </c>
      <c r="D76" s="171" t="s">
        <v>498</v>
      </c>
      <c r="E76" s="171" t="s">
        <v>1300</v>
      </c>
      <c r="F76" s="187">
        <v>28</v>
      </c>
      <c r="G76" s="191">
        <v>45870</v>
      </c>
      <c r="H76" s="191"/>
      <c r="I76" s="187" t="s">
        <v>338</v>
      </c>
      <c r="J76" s="187" t="s">
        <v>338</v>
      </c>
      <c r="K76" s="187" t="s">
        <v>338</v>
      </c>
      <c r="L76" s="187" t="s">
        <v>338</v>
      </c>
      <c r="M76" s="187" t="s">
        <v>338</v>
      </c>
      <c r="N76" s="187" t="s">
        <v>338</v>
      </c>
      <c r="O76" s="187" t="s">
        <v>338</v>
      </c>
      <c r="P76" s="187">
        <v>1360</v>
      </c>
      <c r="Q76" s="187">
        <v>675</v>
      </c>
      <c r="R76" s="187">
        <v>675</v>
      </c>
      <c r="S76" s="187">
        <v>780</v>
      </c>
      <c r="T76" s="187">
        <v>780</v>
      </c>
      <c r="U76" s="187">
        <v>780</v>
      </c>
      <c r="V76" s="187">
        <v>900</v>
      </c>
      <c r="W76" s="187">
        <v>780</v>
      </c>
      <c r="X76" s="187">
        <v>780</v>
      </c>
      <c r="Y76" s="187">
        <v>780</v>
      </c>
      <c r="Z76" s="187">
        <v>1030</v>
      </c>
      <c r="AA76" s="187">
        <v>1885</v>
      </c>
    </row>
    <row r="77" spans="2:27" ht="12" hidden="1" customHeight="1">
      <c r="B77" s="171" t="s">
        <v>673</v>
      </c>
      <c r="C77" s="171" t="s">
        <v>497</v>
      </c>
      <c r="D77" s="171" t="s">
        <v>498</v>
      </c>
      <c r="E77" s="171" t="s">
        <v>1300</v>
      </c>
      <c r="F77" s="187">
        <v>13</v>
      </c>
      <c r="G77" s="191">
        <v>45658</v>
      </c>
      <c r="H77" s="191"/>
      <c r="I77" s="187" t="s">
        <v>338</v>
      </c>
      <c r="J77" s="187" t="s">
        <v>338</v>
      </c>
      <c r="K77" s="187" t="s">
        <v>338</v>
      </c>
      <c r="L77" s="187" t="s">
        <v>338</v>
      </c>
      <c r="M77" s="187" t="s">
        <v>338</v>
      </c>
      <c r="N77" s="187" t="s">
        <v>338</v>
      </c>
      <c r="O77" s="187" t="s">
        <v>338</v>
      </c>
      <c r="P77" s="187" t="s">
        <v>338</v>
      </c>
      <c r="Q77" s="187" t="s">
        <v>338</v>
      </c>
      <c r="R77" s="187">
        <v>1600</v>
      </c>
      <c r="S77" s="187">
        <v>850</v>
      </c>
      <c r="T77" s="187">
        <v>1180</v>
      </c>
      <c r="U77" s="187">
        <v>925</v>
      </c>
      <c r="V77" s="187">
        <v>925</v>
      </c>
      <c r="W77" s="187">
        <v>1000</v>
      </c>
      <c r="X77" s="187">
        <v>1075</v>
      </c>
      <c r="Y77" s="187">
        <v>1150</v>
      </c>
      <c r="Z77" s="187">
        <v>1150</v>
      </c>
      <c r="AA77" s="187">
        <v>1075</v>
      </c>
    </row>
    <row r="78" spans="2:27" ht="12" hidden="1" customHeight="1">
      <c r="B78" s="171" t="s">
        <v>674</v>
      </c>
      <c r="C78" s="171" t="s">
        <v>497</v>
      </c>
      <c r="D78" s="171" t="s">
        <v>498</v>
      </c>
      <c r="E78" s="171" t="s">
        <v>1300</v>
      </c>
      <c r="F78" s="187">
        <v>14</v>
      </c>
      <c r="G78" s="191">
        <v>46054</v>
      </c>
      <c r="H78" s="191"/>
      <c r="I78" s="187" t="s">
        <v>338</v>
      </c>
      <c r="J78" s="187" t="s">
        <v>338</v>
      </c>
      <c r="K78" s="187" t="s">
        <v>338</v>
      </c>
      <c r="L78" s="187" t="s">
        <v>338</v>
      </c>
      <c r="M78" s="187" t="s">
        <v>338</v>
      </c>
      <c r="N78" s="187" t="s">
        <v>338</v>
      </c>
      <c r="O78" s="187" t="s">
        <v>338</v>
      </c>
      <c r="P78" s="187" t="s">
        <v>338</v>
      </c>
      <c r="Q78" s="187" t="s">
        <v>338</v>
      </c>
      <c r="R78" s="187" t="s">
        <v>338</v>
      </c>
      <c r="S78" s="187" t="s">
        <v>338</v>
      </c>
      <c r="T78" s="187" t="s">
        <v>338</v>
      </c>
      <c r="U78" s="187" t="s">
        <v>338</v>
      </c>
      <c r="V78" s="187">
        <v>2242</v>
      </c>
      <c r="W78" s="187">
        <v>1666</v>
      </c>
      <c r="X78" s="187">
        <v>1783</v>
      </c>
      <c r="Y78" s="187">
        <v>1696</v>
      </c>
      <c r="Z78" s="187">
        <v>1696</v>
      </c>
      <c r="AA78" s="187">
        <v>1696</v>
      </c>
    </row>
    <row r="79" spans="2:27" ht="12" hidden="1" customHeight="1">
      <c r="B79" s="171" t="s">
        <v>675</v>
      </c>
      <c r="C79" s="171" t="s">
        <v>497</v>
      </c>
      <c r="D79" s="171" t="s">
        <v>498</v>
      </c>
      <c r="E79" s="171" t="s">
        <v>1300</v>
      </c>
      <c r="F79" s="187">
        <v>9</v>
      </c>
      <c r="G79" s="191">
        <v>45261</v>
      </c>
      <c r="H79" s="191"/>
      <c r="I79" s="187">
        <v>1030</v>
      </c>
      <c r="J79" s="187">
        <v>820</v>
      </c>
      <c r="K79" s="187">
        <v>855</v>
      </c>
      <c r="L79" s="187">
        <v>785</v>
      </c>
      <c r="M79" s="187">
        <v>820</v>
      </c>
      <c r="N79" s="187">
        <v>820</v>
      </c>
      <c r="O79" s="187">
        <v>980</v>
      </c>
      <c r="P79" s="187">
        <v>980</v>
      </c>
      <c r="Q79" s="187">
        <v>1045</v>
      </c>
      <c r="R79" s="187">
        <v>940</v>
      </c>
      <c r="S79" s="187">
        <v>970</v>
      </c>
      <c r="T79" s="187">
        <v>865</v>
      </c>
      <c r="U79" s="187">
        <v>865</v>
      </c>
      <c r="V79" s="187">
        <v>1000</v>
      </c>
      <c r="W79" s="187">
        <v>760</v>
      </c>
      <c r="X79" s="187">
        <v>780</v>
      </c>
      <c r="Y79" s="187">
        <v>805</v>
      </c>
      <c r="Z79" s="187">
        <v>985</v>
      </c>
      <c r="AA79" s="187">
        <v>775</v>
      </c>
    </row>
    <row r="80" spans="2:27" ht="12" hidden="1" customHeight="1">
      <c r="B80" s="171" t="s">
        <v>676</v>
      </c>
      <c r="C80" s="171" t="s">
        <v>497</v>
      </c>
      <c r="D80" s="171" t="s">
        <v>498</v>
      </c>
      <c r="E80" s="171" t="s">
        <v>1300</v>
      </c>
      <c r="F80" s="187">
        <v>15</v>
      </c>
      <c r="G80" s="191">
        <v>45261</v>
      </c>
      <c r="H80" s="191"/>
      <c r="I80" s="187">
        <v>875</v>
      </c>
      <c r="J80" s="187">
        <v>725</v>
      </c>
      <c r="K80" s="187">
        <v>725</v>
      </c>
      <c r="L80" s="187">
        <v>725</v>
      </c>
      <c r="M80" s="187">
        <v>500</v>
      </c>
      <c r="N80" s="187">
        <v>500</v>
      </c>
      <c r="O80" s="187">
        <v>500</v>
      </c>
      <c r="P80" s="187">
        <v>575</v>
      </c>
      <c r="Q80" s="187">
        <v>425</v>
      </c>
      <c r="R80" s="187">
        <v>575</v>
      </c>
      <c r="S80" s="187">
        <v>650</v>
      </c>
      <c r="T80" s="187">
        <v>850</v>
      </c>
      <c r="U80" s="187">
        <v>850</v>
      </c>
      <c r="V80" s="187">
        <v>1315</v>
      </c>
      <c r="W80" s="187">
        <v>1075</v>
      </c>
      <c r="X80" s="187">
        <v>1150</v>
      </c>
      <c r="Y80" s="187">
        <v>1150</v>
      </c>
      <c r="Z80" s="187">
        <v>1075</v>
      </c>
      <c r="AA80" s="187">
        <v>1075</v>
      </c>
    </row>
    <row r="81" spans="2:27" ht="12" hidden="1" customHeight="1">
      <c r="B81" s="171" t="s">
        <v>677</v>
      </c>
      <c r="C81" s="171" t="s">
        <v>497</v>
      </c>
      <c r="D81" s="171" t="s">
        <v>678</v>
      </c>
      <c r="E81" s="171" t="s">
        <v>1178</v>
      </c>
      <c r="F81" s="187">
        <v>14</v>
      </c>
      <c r="G81" s="191">
        <v>45658</v>
      </c>
      <c r="H81" s="191"/>
      <c r="I81" s="187">
        <v>1472.5</v>
      </c>
      <c r="J81" s="187">
        <v>722.5</v>
      </c>
      <c r="K81" s="187">
        <v>722.5</v>
      </c>
      <c r="L81" s="187">
        <v>850</v>
      </c>
      <c r="M81" s="187">
        <v>850</v>
      </c>
      <c r="N81" s="187">
        <v>850</v>
      </c>
      <c r="O81" s="187">
        <v>850</v>
      </c>
      <c r="P81" s="187">
        <v>850</v>
      </c>
      <c r="Q81" s="187">
        <v>850</v>
      </c>
      <c r="R81" s="187">
        <v>850</v>
      </c>
      <c r="S81" s="187">
        <v>850</v>
      </c>
      <c r="T81" s="187">
        <v>925</v>
      </c>
      <c r="U81" s="187">
        <v>957</v>
      </c>
      <c r="V81" s="187">
        <v>1002</v>
      </c>
      <c r="W81" s="187">
        <v>957</v>
      </c>
      <c r="X81" s="187">
        <v>957</v>
      </c>
      <c r="Y81" s="187">
        <v>957</v>
      </c>
      <c r="Z81" s="187">
        <v>803</v>
      </c>
      <c r="AA81" s="187">
        <v>726</v>
      </c>
    </row>
    <row r="82" spans="2:27" ht="12" customHeight="1">
      <c r="B82" s="171" t="s">
        <v>603</v>
      </c>
      <c r="C82" s="171" t="s">
        <v>562</v>
      </c>
      <c r="D82" s="171" t="s">
        <v>498</v>
      </c>
      <c r="E82" s="171" t="s">
        <v>1300</v>
      </c>
      <c r="F82" s="187">
        <v>25</v>
      </c>
      <c r="G82" s="191">
        <v>45597</v>
      </c>
      <c r="H82" s="191">
        <v>46173</v>
      </c>
      <c r="I82" s="187">
        <v>2010</v>
      </c>
      <c r="J82" s="187">
        <v>1500</v>
      </c>
      <c r="K82" s="187">
        <v>1150</v>
      </c>
      <c r="L82" s="187">
        <v>1290</v>
      </c>
      <c r="M82" s="187">
        <v>1430</v>
      </c>
      <c r="N82" s="187">
        <v>1500</v>
      </c>
      <c r="O82" s="187">
        <v>1780</v>
      </c>
      <c r="P82" s="187">
        <v>1780</v>
      </c>
      <c r="Q82" s="187">
        <v>1570</v>
      </c>
      <c r="R82" s="187">
        <v>1710</v>
      </c>
      <c r="S82" s="187">
        <v>1654</v>
      </c>
      <c r="T82" s="187">
        <v>1728</v>
      </c>
      <c r="U82" s="187">
        <v>2006</v>
      </c>
      <c r="V82" s="187">
        <v>2915</v>
      </c>
      <c r="W82" s="187">
        <v>2406</v>
      </c>
      <c r="X82" s="187">
        <v>2406</v>
      </c>
      <c r="Y82" s="187">
        <v>2145</v>
      </c>
      <c r="Z82" s="187" t="s">
        <v>338</v>
      </c>
      <c r="AA82" s="187" t="s">
        <v>338</v>
      </c>
    </row>
    <row r="83" spans="2:27" ht="12" hidden="1" customHeight="1">
      <c r="B83" s="171" t="s">
        <v>684</v>
      </c>
      <c r="C83" s="171" t="s">
        <v>497</v>
      </c>
      <c r="D83" s="171" t="s">
        <v>498</v>
      </c>
      <c r="E83" s="171" t="s">
        <v>1300</v>
      </c>
      <c r="F83" s="187">
        <v>45</v>
      </c>
      <c r="G83" s="191">
        <v>45992</v>
      </c>
      <c r="H83" s="191"/>
      <c r="I83" s="187" t="s">
        <v>338</v>
      </c>
      <c r="J83" s="187" t="s">
        <v>338</v>
      </c>
      <c r="K83" s="187" t="s">
        <v>338</v>
      </c>
      <c r="L83" s="187" t="s">
        <v>338</v>
      </c>
      <c r="M83" s="187" t="s">
        <v>338</v>
      </c>
      <c r="N83" s="187" t="s">
        <v>338</v>
      </c>
      <c r="O83" s="187" t="s">
        <v>338</v>
      </c>
      <c r="P83" s="187" t="s">
        <v>338</v>
      </c>
      <c r="Q83" s="187" t="s">
        <v>338</v>
      </c>
      <c r="R83" s="187" t="s">
        <v>338</v>
      </c>
      <c r="S83" s="187" t="s">
        <v>338</v>
      </c>
      <c r="T83" s="187">
        <v>1580</v>
      </c>
      <c r="U83" s="187">
        <v>1230</v>
      </c>
      <c r="V83" s="187">
        <v>1230</v>
      </c>
      <c r="W83" s="187">
        <v>1260</v>
      </c>
      <c r="X83" s="187">
        <v>1230</v>
      </c>
      <c r="Y83" s="187">
        <v>1230</v>
      </c>
      <c r="Z83" s="187">
        <v>1290</v>
      </c>
      <c r="AA83" s="187">
        <v>1320</v>
      </c>
    </row>
    <row r="84" spans="2:27" ht="12" hidden="1" customHeight="1">
      <c r="B84" s="171" t="s">
        <v>685</v>
      </c>
      <c r="C84" s="171" t="s">
        <v>497</v>
      </c>
      <c r="D84" s="171" t="s">
        <v>498</v>
      </c>
      <c r="E84" s="171" t="s">
        <v>1300</v>
      </c>
      <c r="F84" s="187">
        <v>14</v>
      </c>
      <c r="G84" s="191">
        <v>45292</v>
      </c>
      <c r="H84" s="191"/>
      <c r="I84" s="187">
        <v>520</v>
      </c>
      <c r="J84" s="187">
        <v>520</v>
      </c>
      <c r="K84" s="187">
        <v>770</v>
      </c>
      <c r="L84" s="187">
        <v>520</v>
      </c>
      <c r="M84" s="187">
        <v>660</v>
      </c>
      <c r="N84" s="187">
        <v>730</v>
      </c>
      <c r="O84" s="187">
        <v>730</v>
      </c>
      <c r="P84" s="187">
        <v>870</v>
      </c>
      <c r="Q84" s="187">
        <v>660</v>
      </c>
      <c r="R84" s="187">
        <v>660</v>
      </c>
      <c r="S84" s="187">
        <v>775</v>
      </c>
      <c r="T84" s="187">
        <v>775</v>
      </c>
      <c r="U84" s="187">
        <v>726</v>
      </c>
      <c r="V84" s="187">
        <v>803</v>
      </c>
      <c r="W84" s="187">
        <v>803</v>
      </c>
      <c r="X84" s="187">
        <v>880</v>
      </c>
      <c r="Y84" s="187">
        <v>1115</v>
      </c>
      <c r="Z84" s="187">
        <v>1115</v>
      </c>
      <c r="AA84" s="187">
        <v>1115</v>
      </c>
    </row>
    <row r="85" spans="2:27" ht="12" hidden="1" customHeight="1">
      <c r="B85" s="171" t="s">
        <v>686</v>
      </c>
      <c r="C85" s="171" t="s">
        <v>562</v>
      </c>
      <c r="D85" s="171" t="s">
        <v>657</v>
      </c>
      <c r="E85" s="171" t="s">
        <v>1302</v>
      </c>
      <c r="F85" s="187" t="s">
        <v>338</v>
      </c>
      <c r="G85" s="191">
        <v>45627</v>
      </c>
      <c r="H85" s="191">
        <v>45991</v>
      </c>
      <c r="I85" s="187">
        <v>940</v>
      </c>
      <c r="J85" s="187">
        <v>450</v>
      </c>
      <c r="K85" s="187">
        <v>3098.55</v>
      </c>
      <c r="L85" s="187">
        <v>380</v>
      </c>
      <c r="M85" s="187">
        <v>1020</v>
      </c>
      <c r="N85" s="187">
        <v>1590</v>
      </c>
      <c r="O85" s="187">
        <v>1340</v>
      </c>
      <c r="P85" s="187">
        <v>1770</v>
      </c>
      <c r="Q85" s="187">
        <v>1745</v>
      </c>
      <c r="R85" s="187">
        <v>1720</v>
      </c>
      <c r="S85" s="187">
        <v>1270</v>
      </c>
      <c r="T85" s="187">
        <v>1250</v>
      </c>
      <c r="U85" s="187">
        <v>1250</v>
      </c>
      <c r="V85" s="187">
        <v>1060</v>
      </c>
      <c r="W85" s="187">
        <v>175</v>
      </c>
      <c r="X85" s="187" t="s">
        <v>338</v>
      </c>
      <c r="Y85" s="187" t="s">
        <v>338</v>
      </c>
      <c r="Z85" s="187" t="s">
        <v>338</v>
      </c>
      <c r="AA85" s="187" t="s">
        <v>338</v>
      </c>
    </row>
    <row r="86" spans="2:27" ht="12" hidden="1" customHeight="1">
      <c r="B86" s="171" t="s">
        <v>687</v>
      </c>
      <c r="C86" s="171" t="s">
        <v>497</v>
      </c>
      <c r="D86" s="171" t="s">
        <v>498</v>
      </c>
      <c r="E86" s="171" t="s">
        <v>1300</v>
      </c>
      <c r="F86" s="187">
        <v>13</v>
      </c>
      <c r="G86" s="191">
        <v>45292</v>
      </c>
      <c r="H86" s="191"/>
      <c r="I86" s="187">
        <v>525</v>
      </c>
      <c r="J86" s="187">
        <v>360</v>
      </c>
      <c r="K86" s="187">
        <v>610</v>
      </c>
      <c r="L86" s="187">
        <v>640</v>
      </c>
      <c r="M86" s="187">
        <v>640</v>
      </c>
      <c r="N86" s="187">
        <v>710</v>
      </c>
      <c r="O86" s="187">
        <v>710</v>
      </c>
      <c r="P86" s="187">
        <v>710</v>
      </c>
      <c r="Q86" s="187">
        <v>710</v>
      </c>
      <c r="R86" s="187">
        <v>710</v>
      </c>
      <c r="S86" s="187">
        <v>750</v>
      </c>
      <c r="T86" s="187">
        <v>750</v>
      </c>
      <c r="U86" s="187">
        <v>843</v>
      </c>
      <c r="V86" s="187">
        <v>1023</v>
      </c>
      <c r="W86" s="187">
        <v>843</v>
      </c>
      <c r="X86" s="187">
        <v>920</v>
      </c>
      <c r="Y86" s="187">
        <v>920</v>
      </c>
      <c r="Z86" s="187">
        <v>997</v>
      </c>
      <c r="AA86" s="187">
        <v>997</v>
      </c>
    </row>
    <row r="87" spans="2:27" ht="12" hidden="1" customHeight="1">
      <c r="B87" s="171" t="s">
        <v>688</v>
      </c>
      <c r="C87" s="171" t="s">
        <v>562</v>
      </c>
      <c r="D87" s="171" t="s">
        <v>632</v>
      </c>
      <c r="E87" s="171" t="s">
        <v>1301</v>
      </c>
      <c r="F87" s="187" t="s">
        <v>338</v>
      </c>
      <c r="G87" s="191">
        <v>44866</v>
      </c>
      <c r="H87" s="191">
        <v>46234</v>
      </c>
      <c r="I87" s="187">
        <v>895</v>
      </c>
      <c r="J87" s="187">
        <v>820</v>
      </c>
      <c r="K87" s="187">
        <v>820</v>
      </c>
      <c r="L87" s="187">
        <v>820</v>
      </c>
      <c r="M87" s="187">
        <v>820</v>
      </c>
      <c r="N87" s="187">
        <v>820</v>
      </c>
      <c r="O87" s="187">
        <v>820</v>
      </c>
      <c r="P87" s="187">
        <v>820</v>
      </c>
      <c r="Q87" s="187">
        <v>820</v>
      </c>
      <c r="R87" s="187">
        <v>820</v>
      </c>
      <c r="S87" s="187">
        <v>850</v>
      </c>
      <c r="T87" s="187">
        <v>850</v>
      </c>
      <c r="U87" s="187">
        <v>850</v>
      </c>
      <c r="V87" s="187">
        <v>865</v>
      </c>
      <c r="W87" s="187">
        <v>850</v>
      </c>
      <c r="X87" s="187">
        <v>850</v>
      </c>
      <c r="Y87" s="187">
        <v>850</v>
      </c>
      <c r="Z87" s="187">
        <v>850</v>
      </c>
      <c r="AA87" s="187">
        <v>850</v>
      </c>
    </row>
    <row r="88" spans="2:27" ht="12" hidden="1" customHeight="1">
      <c r="B88" s="171" t="s">
        <v>691</v>
      </c>
      <c r="C88" s="171" t="s">
        <v>497</v>
      </c>
      <c r="D88" s="171" t="s">
        <v>498</v>
      </c>
      <c r="E88" s="171" t="s">
        <v>1300</v>
      </c>
      <c r="F88" s="187">
        <v>11</v>
      </c>
      <c r="G88" s="191">
        <v>45047</v>
      </c>
      <c r="H88" s="191"/>
      <c r="I88" s="187">
        <v>907</v>
      </c>
      <c r="J88" s="187">
        <v>712</v>
      </c>
      <c r="K88" s="187">
        <v>623</v>
      </c>
      <c r="L88" s="187">
        <v>534</v>
      </c>
      <c r="M88" s="187">
        <v>610</v>
      </c>
      <c r="N88" s="187">
        <v>695</v>
      </c>
      <c r="O88" s="187">
        <v>695</v>
      </c>
      <c r="P88" s="187">
        <v>695</v>
      </c>
      <c r="Q88" s="187">
        <v>780</v>
      </c>
      <c r="R88" s="187">
        <v>780</v>
      </c>
      <c r="S88" s="187">
        <v>780</v>
      </c>
      <c r="T88" s="187" t="s">
        <v>338</v>
      </c>
      <c r="U88" s="187">
        <v>1020</v>
      </c>
      <c r="V88" s="187">
        <v>950</v>
      </c>
      <c r="W88" s="187">
        <v>950</v>
      </c>
      <c r="X88" s="187">
        <v>950</v>
      </c>
      <c r="Y88" s="187">
        <v>1067</v>
      </c>
      <c r="Z88" s="187">
        <v>1067</v>
      </c>
      <c r="AA88" s="187">
        <v>980</v>
      </c>
    </row>
    <row r="89" spans="2:27" ht="12" hidden="1" customHeight="1">
      <c r="B89" s="171" t="s">
        <v>693</v>
      </c>
      <c r="C89" s="171" t="s">
        <v>497</v>
      </c>
      <c r="D89" s="171" t="s">
        <v>498</v>
      </c>
      <c r="E89" s="171" t="s">
        <v>1300</v>
      </c>
      <c r="F89" s="187">
        <v>21</v>
      </c>
      <c r="G89" s="191">
        <v>45627</v>
      </c>
      <c r="H89" s="191"/>
      <c r="I89" s="187">
        <v>750</v>
      </c>
      <c r="J89" s="187">
        <v>1065</v>
      </c>
      <c r="K89" s="187">
        <v>750</v>
      </c>
      <c r="L89" s="187">
        <v>750</v>
      </c>
      <c r="M89" s="187">
        <v>750</v>
      </c>
      <c r="N89" s="187">
        <v>750</v>
      </c>
      <c r="O89" s="187">
        <v>750</v>
      </c>
      <c r="P89" s="187">
        <v>750</v>
      </c>
      <c r="Q89" s="187">
        <v>765</v>
      </c>
      <c r="R89" s="187">
        <v>750</v>
      </c>
      <c r="S89" s="187">
        <v>750</v>
      </c>
      <c r="T89" s="187">
        <v>750</v>
      </c>
      <c r="U89" s="187">
        <v>700</v>
      </c>
      <c r="V89" s="187">
        <v>1015</v>
      </c>
      <c r="W89" s="187">
        <v>665</v>
      </c>
      <c r="X89" s="187">
        <v>665</v>
      </c>
      <c r="Y89" s="187">
        <v>630</v>
      </c>
      <c r="Z89" s="187">
        <v>1098</v>
      </c>
      <c r="AA89" s="187">
        <v>1480.5</v>
      </c>
    </row>
    <row r="90" spans="2:27" ht="12" hidden="1" customHeight="1">
      <c r="B90" s="171" t="s">
        <v>694</v>
      </c>
      <c r="C90" s="171" t="s">
        <v>497</v>
      </c>
      <c r="D90" s="171" t="s">
        <v>498</v>
      </c>
      <c r="E90" s="171" t="s">
        <v>1300</v>
      </c>
      <c r="F90" s="187">
        <v>19</v>
      </c>
      <c r="G90" s="191">
        <v>45717</v>
      </c>
      <c r="H90" s="191"/>
      <c r="I90" s="187" t="s">
        <v>338</v>
      </c>
      <c r="J90" s="187" t="s">
        <v>338</v>
      </c>
      <c r="K90" s="187">
        <v>350</v>
      </c>
      <c r="L90" s="187">
        <v>150</v>
      </c>
      <c r="M90" s="187">
        <v>990</v>
      </c>
      <c r="N90" s="187">
        <v>570</v>
      </c>
      <c r="O90" s="187">
        <v>570</v>
      </c>
      <c r="P90" s="187">
        <v>570</v>
      </c>
      <c r="Q90" s="187">
        <v>640</v>
      </c>
      <c r="R90" s="187">
        <v>640</v>
      </c>
      <c r="S90" s="187">
        <v>675</v>
      </c>
      <c r="T90" s="187">
        <v>600</v>
      </c>
      <c r="U90" s="187">
        <v>600</v>
      </c>
      <c r="V90" s="187">
        <v>675</v>
      </c>
      <c r="W90" s="187">
        <v>780</v>
      </c>
      <c r="X90" s="187">
        <v>957</v>
      </c>
      <c r="Y90" s="187">
        <v>957</v>
      </c>
      <c r="Z90" s="187">
        <v>1111</v>
      </c>
      <c r="AA90" s="187">
        <v>1249</v>
      </c>
    </row>
    <row r="91" spans="2:27" ht="12" hidden="1" customHeight="1">
      <c r="B91" s="171" t="s">
        <v>695</v>
      </c>
      <c r="C91" s="171" t="s">
        <v>497</v>
      </c>
      <c r="D91" s="171" t="s">
        <v>498</v>
      </c>
      <c r="E91" s="171" t="s">
        <v>1300</v>
      </c>
      <c r="F91" s="187">
        <v>19</v>
      </c>
      <c r="G91" s="191">
        <v>45748</v>
      </c>
      <c r="H91" s="191"/>
      <c r="I91" s="187" t="s">
        <v>338</v>
      </c>
      <c r="J91" s="187" t="s">
        <v>338</v>
      </c>
      <c r="K91" s="187" t="s">
        <v>338</v>
      </c>
      <c r="L91" s="187">
        <v>640</v>
      </c>
      <c r="M91" s="187">
        <v>340</v>
      </c>
      <c r="N91" s="187">
        <v>403.75</v>
      </c>
      <c r="O91" s="187">
        <v>550</v>
      </c>
      <c r="P91" s="187">
        <v>625</v>
      </c>
      <c r="Q91" s="187">
        <v>700</v>
      </c>
      <c r="R91" s="187">
        <v>700</v>
      </c>
      <c r="S91" s="187">
        <v>700</v>
      </c>
      <c r="T91" s="187">
        <v>700</v>
      </c>
      <c r="U91" s="187">
        <v>820</v>
      </c>
      <c r="V91" s="187">
        <v>625</v>
      </c>
      <c r="W91" s="187">
        <v>700</v>
      </c>
      <c r="X91" s="187">
        <v>649</v>
      </c>
      <c r="Y91" s="187">
        <v>880</v>
      </c>
      <c r="Z91" s="187">
        <v>1034</v>
      </c>
      <c r="AA91" s="187">
        <v>1316</v>
      </c>
    </row>
    <row r="92" spans="2:27" ht="12" hidden="1" customHeight="1">
      <c r="B92" s="171" t="s">
        <v>696</v>
      </c>
      <c r="C92" s="171" t="s">
        <v>497</v>
      </c>
      <c r="D92" s="171" t="s">
        <v>498</v>
      </c>
      <c r="E92" s="171" t="s">
        <v>1300</v>
      </c>
      <c r="F92" s="187">
        <v>9</v>
      </c>
      <c r="G92" s="191">
        <v>45962</v>
      </c>
      <c r="H92" s="191"/>
      <c r="I92" s="187" t="s">
        <v>338</v>
      </c>
      <c r="J92" s="187" t="s">
        <v>338</v>
      </c>
      <c r="K92" s="187" t="s">
        <v>338</v>
      </c>
      <c r="L92" s="187" t="s">
        <v>338</v>
      </c>
      <c r="M92" s="187" t="s">
        <v>338</v>
      </c>
      <c r="N92" s="187" t="s">
        <v>338</v>
      </c>
      <c r="O92" s="187" t="s">
        <v>338</v>
      </c>
      <c r="P92" s="187" t="s">
        <v>338</v>
      </c>
      <c r="Q92" s="187" t="s">
        <v>338</v>
      </c>
      <c r="R92" s="187" t="s">
        <v>338</v>
      </c>
      <c r="S92" s="187">
        <v>1468.75</v>
      </c>
      <c r="T92" s="187">
        <v>1071.25</v>
      </c>
      <c r="U92" s="187">
        <v>866.25</v>
      </c>
      <c r="V92" s="187">
        <v>955</v>
      </c>
      <c r="W92" s="187">
        <v>955</v>
      </c>
      <c r="X92" s="187">
        <v>955</v>
      </c>
      <c r="Y92" s="187">
        <v>955</v>
      </c>
      <c r="Z92" s="187">
        <v>955</v>
      </c>
      <c r="AA92" s="187">
        <v>955</v>
      </c>
    </row>
    <row r="93" spans="2:27" ht="12" hidden="1" customHeight="1">
      <c r="B93" s="171" t="s">
        <v>697</v>
      </c>
      <c r="C93" s="171" t="s">
        <v>497</v>
      </c>
      <c r="D93" s="171" t="s">
        <v>498</v>
      </c>
      <c r="E93" s="171" t="s">
        <v>1300</v>
      </c>
      <c r="F93" s="187">
        <v>8</v>
      </c>
      <c r="G93" s="191">
        <v>45748</v>
      </c>
      <c r="H93" s="191"/>
      <c r="I93" s="187" t="s">
        <v>338</v>
      </c>
      <c r="J93" s="187" t="s">
        <v>338</v>
      </c>
      <c r="K93" s="187" t="s">
        <v>338</v>
      </c>
      <c r="L93" s="187">
        <v>903.75</v>
      </c>
      <c r="M93" s="187">
        <v>503.75</v>
      </c>
      <c r="N93" s="187">
        <v>503.75</v>
      </c>
      <c r="O93" s="187">
        <v>575</v>
      </c>
      <c r="P93" s="187">
        <v>575</v>
      </c>
      <c r="Q93" s="187">
        <v>575</v>
      </c>
      <c r="R93" s="187">
        <v>670</v>
      </c>
      <c r="S93" s="187">
        <v>575</v>
      </c>
      <c r="T93" s="187">
        <v>575</v>
      </c>
      <c r="U93" s="187">
        <v>860</v>
      </c>
      <c r="V93" s="187">
        <v>860</v>
      </c>
      <c r="W93" s="187">
        <v>860</v>
      </c>
      <c r="X93" s="187">
        <v>806</v>
      </c>
      <c r="Y93" s="187">
        <v>806</v>
      </c>
      <c r="Z93" s="187">
        <v>806</v>
      </c>
      <c r="AA93" s="187">
        <v>1154</v>
      </c>
    </row>
    <row r="94" spans="2:27" ht="12" hidden="1" customHeight="1">
      <c r="B94" s="171" t="s">
        <v>698</v>
      </c>
      <c r="C94" s="171" t="s">
        <v>497</v>
      </c>
      <c r="D94" s="171" t="s">
        <v>498</v>
      </c>
      <c r="E94" s="171" t="s">
        <v>1300</v>
      </c>
      <c r="F94" s="187">
        <v>11</v>
      </c>
      <c r="G94" s="191">
        <v>45839</v>
      </c>
      <c r="H94" s="191"/>
      <c r="I94" s="187" t="s">
        <v>338</v>
      </c>
      <c r="J94" s="187" t="s">
        <v>338</v>
      </c>
      <c r="K94" s="187" t="s">
        <v>338</v>
      </c>
      <c r="L94" s="187" t="s">
        <v>338</v>
      </c>
      <c r="M94" s="187" t="s">
        <v>338</v>
      </c>
      <c r="N94" s="187" t="s">
        <v>338</v>
      </c>
      <c r="O94" s="187">
        <v>740</v>
      </c>
      <c r="P94" s="187">
        <v>480</v>
      </c>
      <c r="Q94" s="187">
        <v>470</v>
      </c>
      <c r="R94" s="187">
        <v>470</v>
      </c>
      <c r="S94" s="187">
        <v>470</v>
      </c>
      <c r="T94" s="187">
        <v>470</v>
      </c>
      <c r="U94" s="187">
        <v>505</v>
      </c>
      <c r="V94" s="187">
        <v>565</v>
      </c>
      <c r="W94" s="187">
        <v>505</v>
      </c>
      <c r="X94" s="187">
        <v>1310</v>
      </c>
      <c r="Y94" s="187">
        <v>1310</v>
      </c>
      <c r="Z94" s="187">
        <v>1310</v>
      </c>
      <c r="AA94" s="187">
        <v>1232</v>
      </c>
    </row>
    <row r="95" spans="2:27" ht="12" hidden="1" customHeight="1">
      <c r="B95" s="171" t="s">
        <v>699</v>
      </c>
      <c r="C95" s="171" t="s">
        <v>562</v>
      </c>
      <c r="D95" s="171" t="s">
        <v>632</v>
      </c>
      <c r="E95" s="171" t="s">
        <v>1301</v>
      </c>
      <c r="F95" s="187" t="s">
        <v>338</v>
      </c>
      <c r="G95" s="191">
        <v>44317</v>
      </c>
      <c r="H95" s="191">
        <v>46234</v>
      </c>
      <c r="I95" s="187">
        <v>635</v>
      </c>
      <c r="J95" s="187">
        <v>575</v>
      </c>
      <c r="K95" s="187">
        <v>575</v>
      </c>
      <c r="L95" s="187">
        <v>725</v>
      </c>
      <c r="M95" s="187">
        <v>725</v>
      </c>
      <c r="N95" s="187">
        <v>725</v>
      </c>
      <c r="O95" s="187">
        <v>725</v>
      </c>
      <c r="P95" s="187">
        <v>725</v>
      </c>
      <c r="Q95" s="187">
        <v>725</v>
      </c>
      <c r="R95" s="187">
        <v>725</v>
      </c>
      <c r="S95" s="187">
        <v>725</v>
      </c>
      <c r="T95" s="187">
        <v>725</v>
      </c>
      <c r="U95" s="187">
        <v>725</v>
      </c>
      <c r="V95" s="187">
        <v>770</v>
      </c>
      <c r="W95" s="187">
        <v>725</v>
      </c>
      <c r="X95" s="187">
        <v>750</v>
      </c>
      <c r="Y95" s="187">
        <v>750</v>
      </c>
      <c r="Z95" s="187">
        <v>750</v>
      </c>
      <c r="AA95" s="187">
        <v>750</v>
      </c>
    </row>
    <row r="96" spans="2:27" ht="12" hidden="1" customHeight="1">
      <c r="B96" s="171" t="s">
        <v>701</v>
      </c>
      <c r="C96" s="171" t="s">
        <v>497</v>
      </c>
      <c r="D96" s="171" t="s">
        <v>498</v>
      </c>
      <c r="E96" s="171" t="s">
        <v>1300</v>
      </c>
      <c r="F96" s="187">
        <v>27</v>
      </c>
      <c r="G96" s="191">
        <v>46113</v>
      </c>
      <c r="H96" s="191"/>
      <c r="I96" s="187" t="s">
        <v>338</v>
      </c>
      <c r="J96" s="187" t="s">
        <v>338</v>
      </c>
      <c r="K96" s="187" t="s">
        <v>338</v>
      </c>
      <c r="L96" s="187" t="s">
        <v>338</v>
      </c>
      <c r="M96" s="187" t="s">
        <v>338</v>
      </c>
      <c r="N96" s="187" t="s">
        <v>338</v>
      </c>
      <c r="O96" s="187" t="s">
        <v>338</v>
      </c>
      <c r="P96" s="187" t="s">
        <v>338</v>
      </c>
      <c r="Q96" s="187" t="s">
        <v>338</v>
      </c>
      <c r="R96" s="187" t="s">
        <v>338</v>
      </c>
      <c r="S96" s="187" t="s">
        <v>338</v>
      </c>
      <c r="T96" s="187" t="s">
        <v>338</v>
      </c>
      <c r="U96" s="187" t="s">
        <v>338</v>
      </c>
      <c r="V96" s="187" t="s">
        <v>338</v>
      </c>
      <c r="W96" s="187" t="s">
        <v>338</v>
      </c>
      <c r="X96" s="187">
        <v>3326</v>
      </c>
      <c r="Y96" s="187">
        <v>1785</v>
      </c>
      <c r="Z96" s="187">
        <v>1785</v>
      </c>
      <c r="AA96" s="187">
        <v>1919</v>
      </c>
    </row>
    <row r="97" spans="2:27" ht="12" hidden="1" customHeight="1">
      <c r="B97" s="171" t="s">
        <v>702</v>
      </c>
      <c r="C97" s="171" t="s">
        <v>497</v>
      </c>
      <c r="D97" s="171" t="s">
        <v>498</v>
      </c>
      <c r="E97" s="171" t="s">
        <v>1300</v>
      </c>
      <c r="F97" s="187">
        <v>22</v>
      </c>
      <c r="G97" s="191">
        <v>45717</v>
      </c>
      <c r="H97" s="191"/>
      <c r="I97" s="187" t="s">
        <v>338</v>
      </c>
      <c r="J97" s="187" t="s">
        <v>338</v>
      </c>
      <c r="K97" s="187">
        <v>917.5</v>
      </c>
      <c r="L97" s="187">
        <v>531.25</v>
      </c>
      <c r="M97" s="187">
        <v>595</v>
      </c>
      <c r="N97" s="187">
        <v>625</v>
      </c>
      <c r="O97" s="187">
        <v>775</v>
      </c>
      <c r="P97" s="187">
        <v>775</v>
      </c>
      <c r="Q97" s="187">
        <v>850</v>
      </c>
      <c r="R97" s="187">
        <v>850</v>
      </c>
      <c r="S97" s="187">
        <v>775</v>
      </c>
      <c r="T97" s="187">
        <v>625</v>
      </c>
      <c r="U97" s="187">
        <v>550</v>
      </c>
      <c r="V97" s="187">
        <v>745</v>
      </c>
      <c r="W97" s="187">
        <v>418</v>
      </c>
      <c r="X97" s="187">
        <v>418</v>
      </c>
      <c r="Y97" s="187">
        <v>726</v>
      </c>
      <c r="Z97" s="187">
        <v>957</v>
      </c>
      <c r="AA97" s="187">
        <v>1115</v>
      </c>
    </row>
    <row r="98" spans="2:27" ht="12" hidden="1" customHeight="1">
      <c r="B98" s="171" t="s">
        <v>703</v>
      </c>
      <c r="C98" s="171" t="s">
        <v>497</v>
      </c>
      <c r="D98" s="171" t="s">
        <v>678</v>
      </c>
      <c r="E98" s="171" t="s">
        <v>1178</v>
      </c>
      <c r="F98" s="187" t="s">
        <v>338</v>
      </c>
      <c r="G98" s="191">
        <v>45292</v>
      </c>
      <c r="H98" s="191"/>
      <c r="I98" s="187">
        <v>475</v>
      </c>
      <c r="J98" s="187">
        <v>400</v>
      </c>
      <c r="K98" s="187">
        <v>400</v>
      </c>
      <c r="L98" s="187">
        <v>400</v>
      </c>
      <c r="M98" s="187">
        <v>400</v>
      </c>
      <c r="N98" s="187">
        <v>400</v>
      </c>
      <c r="O98" s="187">
        <v>400</v>
      </c>
      <c r="P98" s="187">
        <v>400</v>
      </c>
      <c r="Q98" s="187">
        <v>1225</v>
      </c>
      <c r="R98" s="187">
        <v>3090</v>
      </c>
      <c r="S98" s="187">
        <v>400</v>
      </c>
      <c r="T98" s="187">
        <v>400</v>
      </c>
      <c r="U98" s="187">
        <v>418</v>
      </c>
      <c r="V98" s="187">
        <v>583</v>
      </c>
      <c r="W98" s="187">
        <v>418</v>
      </c>
      <c r="X98" s="187">
        <v>418</v>
      </c>
      <c r="Y98" s="187">
        <v>418</v>
      </c>
      <c r="Z98" s="187">
        <v>418</v>
      </c>
      <c r="AA98" s="187">
        <v>418</v>
      </c>
    </row>
    <row r="99" spans="2:27" ht="12" hidden="1" customHeight="1">
      <c r="B99" s="171" t="s">
        <v>706</v>
      </c>
      <c r="C99" s="171" t="s">
        <v>497</v>
      </c>
      <c r="D99" s="171" t="s">
        <v>498</v>
      </c>
      <c r="E99" s="171" t="s">
        <v>1300</v>
      </c>
      <c r="F99" s="187">
        <v>5</v>
      </c>
      <c r="G99" s="191">
        <v>45323</v>
      </c>
      <c r="H99" s="191"/>
      <c r="I99" s="187">
        <v>460</v>
      </c>
      <c r="J99" s="187">
        <v>510</v>
      </c>
      <c r="K99" s="187">
        <v>510</v>
      </c>
      <c r="L99" s="187">
        <v>510</v>
      </c>
      <c r="M99" s="187">
        <v>850</v>
      </c>
      <c r="N99" s="187">
        <v>600</v>
      </c>
      <c r="O99" s="187">
        <v>600</v>
      </c>
      <c r="P99" s="187">
        <v>690</v>
      </c>
      <c r="Q99" s="187">
        <v>690</v>
      </c>
      <c r="R99" s="187">
        <v>780</v>
      </c>
      <c r="S99" s="187">
        <v>815</v>
      </c>
      <c r="T99" s="187">
        <v>815</v>
      </c>
      <c r="U99" s="187">
        <v>420</v>
      </c>
      <c r="V99" s="187">
        <v>909</v>
      </c>
      <c r="W99" s="187">
        <v>789</v>
      </c>
      <c r="X99" s="187">
        <v>595</v>
      </c>
      <c r="Y99" s="187">
        <v>692</v>
      </c>
      <c r="Z99" s="187">
        <v>692</v>
      </c>
      <c r="AA99" s="187">
        <v>692</v>
      </c>
    </row>
    <row r="100" spans="2:27" ht="12" hidden="1" customHeight="1">
      <c r="B100" s="171" t="s">
        <v>707</v>
      </c>
      <c r="C100" s="171" t="s">
        <v>562</v>
      </c>
      <c r="D100" s="171" t="s">
        <v>498</v>
      </c>
      <c r="E100" s="171" t="s">
        <v>1300</v>
      </c>
      <c r="F100" s="187">
        <v>90</v>
      </c>
      <c r="G100" s="191">
        <v>45962</v>
      </c>
      <c r="H100" s="191">
        <v>46053</v>
      </c>
      <c r="I100" s="187" t="s">
        <v>338</v>
      </c>
      <c r="J100" s="187" t="s">
        <v>338</v>
      </c>
      <c r="K100" s="187" t="s">
        <v>338</v>
      </c>
      <c r="L100" s="187" t="s">
        <v>338</v>
      </c>
      <c r="M100" s="187" t="s">
        <v>338</v>
      </c>
      <c r="N100" s="187" t="s">
        <v>338</v>
      </c>
      <c r="O100" s="187" t="s">
        <v>338</v>
      </c>
      <c r="P100" s="187" t="s">
        <v>338</v>
      </c>
      <c r="Q100" s="187" t="s">
        <v>338</v>
      </c>
      <c r="R100" s="187" t="s">
        <v>338</v>
      </c>
      <c r="S100" s="187">
        <v>3947.5</v>
      </c>
      <c r="T100" s="187">
        <v>2665</v>
      </c>
      <c r="U100" s="187">
        <v>1947.5</v>
      </c>
      <c r="V100" s="187">
        <v>0</v>
      </c>
      <c r="W100" s="187" t="s">
        <v>338</v>
      </c>
      <c r="X100" s="187" t="s">
        <v>338</v>
      </c>
      <c r="Y100" s="187" t="s">
        <v>338</v>
      </c>
      <c r="Z100" s="187" t="s">
        <v>338</v>
      </c>
      <c r="AA100" s="187" t="s">
        <v>338</v>
      </c>
    </row>
    <row r="101" spans="2:27" ht="12" hidden="1" customHeight="1">
      <c r="B101" s="171" t="s">
        <v>709</v>
      </c>
      <c r="C101" s="171" t="s">
        <v>497</v>
      </c>
      <c r="D101" s="171" t="s">
        <v>498</v>
      </c>
      <c r="E101" s="171" t="s">
        <v>1300</v>
      </c>
      <c r="F101" s="187">
        <v>12</v>
      </c>
      <c r="G101" s="191">
        <v>45261</v>
      </c>
      <c r="H101" s="191"/>
      <c r="I101" s="187">
        <v>675</v>
      </c>
      <c r="J101" s="187">
        <v>495</v>
      </c>
      <c r="K101" s="187">
        <v>495</v>
      </c>
      <c r="L101" s="187">
        <v>425</v>
      </c>
      <c r="M101" s="187">
        <v>425</v>
      </c>
      <c r="N101" s="187">
        <v>425</v>
      </c>
      <c r="O101" s="187">
        <v>425</v>
      </c>
      <c r="P101" s="187">
        <v>425</v>
      </c>
      <c r="Q101" s="187">
        <v>425</v>
      </c>
      <c r="R101" s="187">
        <v>425</v>
      </c>
      <c r="S101" s="187">
        <v>425</v>
      </c>
      <c r="T101" s="187">
        <v>450</v>
      </c>
      <c r="U101" s="187">
        <v>615</v>
      </c>
      <c r="V101" s="187">
        <v>450</v>
      </c>
      <c r="W101" s="187">
        <v>630</v>
      </c>
      <c r="X101" s="187">
        <v>630</v>
      </c>
      <c r="Y101" s="187">
        <v>1020</v>
      </c>
      <c r="Z101" s="187">
        <v>1440</v>
      </c>
      <c r="AA101" s="187">
        <v>1440</v>
      </c>
    </row>
    <row r="102" spans="2:27" ht="12" hidden="1" customHeight="1">
      <c r="B102" s="171" t="s">
        <v>710</v>
      </c>
      <c r="C102" s="171" t="s">
        <v>497</v>
      </c>
      <c r="D102" s="171" t="s">
        <v>498</v>
      </c>
      <c r="E102" s="171" t="s">
        <v>1300</v>
      </c>
      <c r="F102" s="187">
        <v>12</v>
      </c>
      <c r="G102" s="191">
        <v>45474</v>
      </c>
      <c r="H102" s="191"/>
      <c r="I102" s="187">
        <v>560</v>
      </c>
      <c r="J102" s="187">
        <v>560</v>
      </c>
      <c r="K102" s="187">
        <v>560</v>
      </c>
      <c r="L102" s="187">
        <v>560</v>
      </c>
      <c r="M102" s="187">
        <v>560</v>
      </c>
      <c r="N102" s="187">
        <v>560</v>
      </c>
      <c r="O102" s="187">
        <v>595</v>
      </c>
      <c r="P102" s="187">
        <v>595</v>
      </c>
      <c r="Q102" s="187">
        <v>595</v>
      </c>
      <c r="R102" s="187">
        <v>660</v>
      </c>
      <c r="S102" s="187">
        <v>660</v>
      </c>
      <c r="T102" s="187">
        <v>660</v>
      </c>
      <c r="U102" s="187">
        <v>725</v>
      </c>
      <c r="V102" s="187">
        <v>725</v>
      </c>
      <c r="W102" s="187">
        <v>725</v>
      </c>
      <c r="X102" s="187">
        <v>725</v>
      </c>
      <c r="Y102" s="187">
        <v>725</v>
      </c>
      <c r="Z102" s="187">
        <v>725</v>
      </c>
      <c r="AA102" s="187">
        <v>730</v>
      </c>
    </row>
    <row r="103" spans="2:27" ht="12" hidden="1" customHeight="1">
      <c r="B103" s="171" t="s">
        <v>711</v>
      </c>
      <c r="C103" s="171" t="s">
        <v>562</v>
      </c>
      <c r="D103" s="171" t="s">
        <v>498</v>
      </c>
      <c r="E103" s="171" t="s">
        <v>1300</v>
      </c>
      <c r="F103" s="187">
        <v>48</v>
      </c>
      <c r="G103" s="191">
        <v>45689</v>
      </c>
      <c r="H103" s="191">
        <v>45869</v>
      </c>
      <c r="I103" s="187" t="s">
        <v>338</v>
      </c>
      <c r="J103" s="187">
        <v>1620</v>
      </c>
      <c r="K103" s="187">
        <v>2380</v>
      </c>
      <c r="L103" s="187">
        <v>1800</v>
      </c>
      <c r="M103" s="187">
        <v>2100</v>
      </c>
      <c r="N103" s="187">
        <v>2563.5</v>
      </c>
      <c r="O103" s="187">
        <v>468.5</v>
      </c>
      <c r="P103" s="187" t="s">
        <v>338</v>
      </c>
      <c r="Q103" s="187" t="s">
        <v>338</v>
      </c>
      <c r="R103" s="187" t="s">
        <v>338</v>
      </c>
      <c r="S103" s="187" t="s">
        <v>338</v>
      </c>
      <c r="T103" s="187" t="s">
        <v>338</v>
      </c>
      <c r="U103" s="187" t="s">
        <v>338</v>
      </c>
      <c r="V103" s="187" t="s">
        <v>338</v>
      </c>
      <c r="W103" s="187" t="s">
        <v>338</v>
      </c>
      <c r="X103" s="187" t="s">
        <v>338</v>
      </c>
      <c r="Y103" s="187">
        <v>4145</v>
      </c>
      <c r="Z103" s="187">
        <v>2000</v>
      </c>
      <c r="AA103" s="187">
        <v>2000</v>
      </c>
    </row>
    <row r="104" spans="2:27" ht="12" hidden="1" customHeight="1">
      <c r="B104" s="171" t="s">
        <v>712</v>
      </c>
      <c r="C104" s="171" t="s">
        <v>497</v>
      </c>
      <c r="D104" s="171" t="s">
        <v>498</v>
      </c>
      <c r="E104" s="171" t="s">
        <v>1300</v>
      </c>
      <c r="F104" s="187">
        <v>12</v>
      </c>
      <c r="G104" s="191">
        <v>45505</v>
      </c>
      <c r="H104" s="191"/>
      <c r="I104" s="187">
        <v>395</v>
      </c>
      <c r="J104" s="187">
        <v>395</v>
      </c>
      <c r="K104" s="187">
        <v>395</v>
      </c>
      <c r="L104" s="187">
        <v>395</v>
      </c>
      <c r="M104" s="187">
        <v>395</v>
      </c>
      <c r="N104" s="187">
        <v>395</v>
      </c>
      <c r="O104" s="187">
        <v>395</v>
      </c>
      <c r="P104" s="187">
        <v>440</v>
      </c>
      <c r="Q104" s="187">
        <v>350</v>
      </c>
      <c r="R104" s="187">
        <v>350</v>
      </c>
      <c r="S104" s="187">
        <v>350</v>
      </c>
      <c r="T104" s="187">
        <v>425</v>
      </c>
      <c r="U104" s="187">
        <v>500</v>
      </c>
      <c r="V104" s="187">
        <v>1775</v>
      </c>
      <c r="W104" s="187">
        <v>800</v>
      </c>
      <c r="X104" s="187">
        <v>725</v>
      </c>
      <c r="Y104" s="187">
        <v>725</v>
      </c>
      <c r="Z104" s="187">
        <v>725</v>
      </c>
      <c r="AA104" s="187">
        <v>875</v>
      </c>
    </row>
    <row r="105" spans="2:27" ht="12" hidden="1" customHeight="1">
      <c r="B105" s="171" t="s">
        <v>713</v>
      </c>
      <c r="C105" s="171" t="s">
        <v>497</v>
      </c>
      <c r="D105" s="171" t="s">
        <v>498</v>
      </c>
      <c r="E105" s="171" t="s">
        <v>1300</v>
      </c>
      <c r="F105" s="187">
        <v>7</v>
      </c>
      <c r="G105" s="191">
        <v>45566</v>
      </c>
      <c r="H105" s="191"/>
      <c r="I105" s="187">
        <v>466</v>
      </c>
      <c r="J105" s="187">
        <v>466</v>
      </c>
      <c r="K105" s="187">
        <v>466</v>
      </c>
      <c r="L105" s="187">
        <v>387</v>
      </c>
      <c r="M105" s="187">
        <v>387</v>
      </c>
      <c r="N105" s="187">
        <v>387</v>
      </c>
      <c r="O105" s="187">
        <v>387</v>
      </c>
      <c r="P105" s="187">
        <v>387</v>
      </c>
      <c r="Q105" s="187">
        <v>387</v>
      </c>
      <c r="R105" s="187">
        <v>500</v>
      </c>
      <c r="S105" s="187">
        <v>560</v>
      </c>
      <c r="T105" s="187">
        <v>645</v>
      </c>
      <c r="U105" s="187">
        <v>900</v>
      </c>
      <c r="V105" s="187">
        <v>730</v>
      </c>
      <c r="W105" s="187">
        <v>730</v>
      </c>
      <c r="X105" s="187">
        <v>730</v>
      </c>
      <c r="Y105" s="187">
        <v>730</v>
      </c>
      <c r="Z105" s="187">
        <v>980</v>
      </c>
      <c r="AA105" s="187">
        <v>730</v>
      </c>
    </row>
    <row r="106" spans="2:27" ht="12" hidden="1" customHeight="1">
      <c r="B106" s="171" t="s">
        <v>714</v>
      </c>
      <c r="C106" s="171" t="s">
        <v>19</v>
      </c>
      <c r="D106" s="171" t="s">
        <v>498</v>
      </c>
      <c r="E106" s="171" t="s">
        <v>1300</v>
      </c>
      <c r="F106" s="187">
        <v>79</v>
      </c>
      <c r="G106" s="191">
        <v>46113</v>
      </c>
      <c r="H106" s="191"/>
      <c r="I106" s="187" t="s">
        <v>338</v>
      </c>
      <c r="J106" s="187" t="s">
        <v>338</v>
      </c>
      <c r="K106" s="187" t="s">
        <v>338</v>
      </c>
      <c r="L106" s="187" t="s">
        <v>338</v>
      </c>
      <c r="M106" s="187" t="s">
        <v>338</v>
      </c>
      <c r="N106" s="187" t="s">
        <v>338</v>
      </c>
      <c r="O106" s="187" t="s">
        <v>338</v>
      </c>
      <c r="P106" s="187" t="s">
        <v>338</v>
      </c>
      <c r="Q106" s="187" t="s">
        <v>338</v>
      </c>
      <c r="R106" s="187" t="s">
        <v>338</v>
      </c>
      <c r="S106" s="187" t="s">
        <v>338</v>
      </c>
      <c r="T106" s="187" t="s">
        <v>338</v>
      </c>
      <c r="U106" s="187" t="s">
        <v>338</v>
      </c>
      <c r="V106" s="187" t="s">
        <v>338</v>
      </c>
      <c r="W106" s="187" t="s">
        <v>338</v>
      </c>
      <c r="X106" s="187">
        <v>3160</v>
      </c>
      <c r="Y106" s="187">
        <v>1640</v>
      </c>
      <c r="Z106" s="187">
        <v>1580</v>
      </c>
      <c r="AA106" s="187">
        <v>1580</v>
      </c>
    </row>
    <row r="107" spans="2:27" ht="12" hidden="1" customHeight="1">
      <c r="B107" s="171" t="s">
        <v>717</v>
      </c>
      <c r="C107" s="171" t="s">
        <v>497</v>
      </c>
      <c r="D107" s="171" t="s">
        <v>498</v>
      </c>
      <c r="E107" s="171" t="s">
        <v>1300</v>
      </c>
      <c r="F107" s="187">
        <v>29</v>
      </c>
      <c r="G107" s="191">
        <v>46143</v>
      </c>
      <c r="H107" s="191"/>
      <c r="I107" s="187" t="s">
        <v>338</v>
      </c>
      <c r="J107" s="187" t="s">
        <v>338</v>
      </c>
      <c r="K107" s="187" t="s">
        <v>338</v>
      </c>
      <c r="L107" s="187" t="s">
        <v>338</v>
      </c>
      <c r="M107" s="187" t="s">
        <v>338</v>
      </c>
      <c r="N107" s="187" t="s">
        <v>338</v>
      </c>
      <c r="O107" s="187" t="s">
        <v>338</v>
      </c>
      <c r="P107" s="187" t="s">
        <v>338</v>
      </c>
      <c r="Q107" s="187" t="s">
        <v>338</v>
      </c>
      <c r="R107" s="187" t="s">
        <v>338</v>
      </c>
      <c r="S107" s="187" t="s">
        <v>338</v>
      </c>
      <c r="T107" s="187" t="s">
        <v>338</v>
      </c>
      <c r="U107" s="187" t="s">
        <v>338</v>
      </c>
      <c r="V107" s="187" t="s">
        <v>338</v>
      </c>
      <c r="W107" s="187" t="s">
        <v>338</v>
      </c>
      <c r="X107" s="187" t="s">
        <v>338</v>
      </c>
      <c r="Y107" s="187">
        <v>3903</v>
      </c>
      <c r="Z107" s="187">
        <v>2007</v>
      </c>
      <c r="AA107" s="187">
        <v>2007</v>
      </c>
    </row>
    <row r="108" spans="2:27" ht="12" hidden="1" customHeight="1">
      <c r="B108" s="171" t="s">
        <v>720</v>
      </c>
      <c r="C108" s="171" t="s">
        <v>497</v>
      </c>
      <c r="D108" s="171" t="s">
        <v>498</v>
      </c>
      <c r="E108" s="171" t="s">
        <v>1300</v>
      </c>
      <c r="F108" s="187">
        <v>6</v>
      </c>
      <c r="G108" s="191">
        <v>45383</v>
      </c>
      <c r="H108" s="191"/>
      <c r="I108" s="187">
        <v>711</v>
      </c>
      <c r="J108" s="187">
        <v>891</v>
      </c>
      <c r="K108" s="187">
        <v>711</v>
      </c>
      <c r="L108" s="187">
        <v>775</v>
      </c>
      <c r="M108" s="187">
        <v>550</v>
      </c>
      <c r="N108" s="187">
        <v>775</v>
      </c>
      <c r="O108" s="187">
        <v>775</v>
      </c>
      <c r="P108" s="187">
        <v>775</v>
      </c>
      <c r="Q108" s="187">
        <v>775</v>
      </c>
      <c r="R108" s="187">
        <v>700</v>
      </c>
      <c r="S108" s="187">
        <v>700</v>
      </c>
      <c r="T108" s="187">
        <v>700</v>
      </c>
      <c r="U108" s="187">
        <v>700</v>
      </c>
      <c r="V108" s="187">
        <v>550</v>
      </c>
      <c r="W108" s="187">
        <v>655</v>
      </c>
      <c r="X108" s="187">
        <v>572</v>
      </c>
      <c r="Y108" s="187">
        <v>572</v>
      </c>
      <c r="Z108" s="187">
        <v>572</v>
      </c>
      <c r="AA108" s="187">
        <v>572</v>
      </c>
    </row>
    <row r="109" spans="2:27" ht="12" hidden="1" customHeight="1">
      <c r="B109" s="171" t="s">
        <v>721</v>
      </c>
      <c r="C109" s="171" t="s">
        <v>497</v>
      </c>
      <c r="D109" s="171" t="s">
        <v>498</v>
      </c>
      <c r="E109" s="171" t="s">
        <v>1300</v>
      </c>
      <c r="F109" s="187">
        <v>6</v>
      </c>
      <c r="G109" s="191">
        <v>45292</v>
      </c>
      <c r="H109" s="191"/>
      <c r="I109" s="187">
        <v>710</v>
      </c>
      <c r="J109" s="187">
        <v>500</v>
      </c>
      <c r="K109" s="187">
        <v>500</v>
      </c>
      <c r="L109" s="187">
        <v>500</v>
      </c>
      <c r="M109" s="187">
        <v>575</v>
      </c>
      <c r="N109" s="187">
        <v>650</v>
      </c>
      <c r="O109" s="187">
        <v>650</v>
      </c>
      <c r="P109" s="187">
        <v>650</v>
      </c>
      <c r="Q109" s="187">
        <v>650</v>
      </c>
      <c r="R109" s="187">
        <v>650</v>
      </c>
      <c r="S109" s="187">
        <v>725</v>
      </c>
      <c r="T109" s="187">
        <v>575</v>
      </c>
      <c r="U109" s="187">
        <v>696</v>
      </c>
      <c r="V109" s="187">
        <v>904</v>
      </c>
      <c r="W109" s="187">
        <v>619</v>
      </c>
      <c r="X109" s="187">
        <v>619</v>
      </c>
      <c r="Y109" s="187">
        <v>619</v>
      </c>
      <c r="Z109" s="187">
        <v>619</v>
      </c>
      <c r="AA109" s="187">
        <v>465</v>
      </c>
    </row>
    <row r="110" spans="2:27" ht="12" hidden="1" customHeight="1">
      <c r="B110" s="171" t="s">
        <v>722</v>
      </c>
      <c r="C110" s="171" t="s">
        <v>497</v>
      </c>
      <c r="D110" s="171" t="s">
        <v>498</v>
      </c>
      <c r="E110" s="171" t="s">
        <v>1300</v>
      </c>
      <c r="F110" s="187">
        <v>8</v>
      </c>
      <c r="G110" s="191">
        <v>45536</v>
      </c>
      <c r="H110" s="191"/>
      <c r="I110" s="187">
        <v>474</v>
      </c>
      <c r="J110" s="187">
        <v>545</v>
      </c>
      <c r="K110" s="187">
        <v>395</v>
      </c>
      <c r="L110" s="187">
        <v>474</v>
      </c>
      <c r="M110" s="187">
        <v>474</v>
      </c>
      <c r="N110" s="187">
        <v>553</v>
      </c>
      <c r="O110" s="187">
        <v>553</v>
      </c>
      <c r="P110" s="187">
        <v>553</v>
      </c>
      <c r="Q110" s="187">
        <v>575</v>
      </c>
      <c r="R110" s="187">
        <v>500</v>
      </c>
      <c r="S110" s="187">
        <v>575</v>
      </c>
      <c r="T110" s="187">
        <v>500</v>
      </c>
      <c r="U110" s="187">
        <v>725</v>
      </c>
      <c r="V110" s="187">
        <v>845</v>
      </c>
      <c r="W110" s="187">
        <v>650</v>
      </c>
      <c r="X110" s="187">
        <v>650</v>
      </c>
      <c r="Y110" s="187">
        <v>575</v>
      </c>
      <c r="Z110" s="187">
        <v>650</v>
      </c>
      <c r="AA110" s="187">
        <v>725</v>
      </c>
    </row>
    <row r="111" spans="2:27" ht="12" hidden="1" customHeight="1">
      <c r="B111" s="171" t="s">
        <v>723</v>
      </c>
      <c r="C111" s="171" t="s">
        <v>562</v>
      </c>
      <c r="D111" s="171" t="s">
        <v>498</v>
      </c>
      <c r="E111" s="171" t="s">
        <v>1300</v>
      </c>
      <c r="F111" s="187">
        <v>0</v>
      </c>
      <c r="G111" s="191">
        <v>45444</v>
      </c>
      <c r="H111" s="191">
        <v>46173</v>
      </c>
      <c r="I111" s="187">
        <v>385</v>
      </c>
      <c r="J111" s="187">
        <v>325</v>
      </c>
      <c r="K111" s="187">
        <v>325</v>
      </c>
      <c r="L111" s="187">
        <v>325</v>
      </c>
      <c r="M111" s="187">
        <v>325</v>
      </c>
      <c r="N111" s="187">
        <v>325</v>
      </c>
      <c r="O111" s="187">
        <v>490</v>
      </c>
      <c r="P111" s="187">
        <v>490</v>
      </c>
      <c r="Q111" s="187">
        <v>665</v>
      </c>
      <c r="R111" s="187">
        <v>665</v>
      </c>
      <c r="S111" s="187">
        <v>775</v>
      </c>
      <c r="T111" s="187">
        <v>775</v>
      </c>
      <c r="U111" s="187">
        <v>940</v>
      </c>
      <c r="V111" s="187">
        <v>775</v>
      </c>
      <c r="W111" s="187">
        <v>775</v>
      </c>
      <c r="X111" s="187">
        <v>775</v>
      </c>
      <c r="Y111" s="187">
        <v>775</v>
      </c>
      <c r="Z111" s="187" t="s">
        <v>338</v>
      </c>
      <c r="AA111" s="187" t="s">
        <v>338</v>
      </c>
    </row>
    <row r="112" spans="2:27" ht="12" hidden="1" customHeight="1">
      <c r="B112" s="171" t="s">
        <v>724</v>
      </c>
      <c r="C112" s="217" t="s">
        <v>562</v>
      </c>
      <c r="D112" s="171" t="s">
        <v>498</v>
      </c>
      <c r="E112" s="171" t="s">
        <v>1300</v>
      </c>
      <c r="F112" s="187">
        <v>6</v>
      </c>
      <c r="G112" s="191">
        <v>44986</v>
      </c>
      <c r="H112" s="191">
        <v>46265</v>
      </c>
      <c r="I112" s="187">
        <v>595</v>
      </c>
      <c r="J112" s="187">
        <v>445</v>
      </c>
      <c r="K112" s="187">
        <v>575</v>
      </c>
      <c r="L112" s="187">
        <v>385</v>
      </c>
      <c r="M112" s="187">
        <v>730</v>
      </c>
      <c r="N112" s="187">
        <v>575</v>
      </c>
      <c r="O112" s="187">
        <v>385</v>
      </c>
      <c r="P112" s="187">
        <v>480</v>
      </c>
      <c r="Q112" s="187">
        <v>480</v>
      </c>
      <c r="R112" s="187">
        <v>480</v>
      </c>
      <c r="S112" s="187">
        <v>480</v>
      </c>
      <c r="T112" s="187">
        <v>575</v>
      </c>
      <c r="U112" s="187">
        <v>670</v>
      </c>
      <c r="V112" s="187">
        <v>775</v>
      </c>
      <c r="W112" s="187">
        <v>692</v>
      </c>
      <c r="X112" s="187">
        <v>789</v>
      </c>
      <c r="Y112" s="187">
        <v>789</v>
      </c>
      <c r="Z112" s="187">
        <v>692</v>
      </c>
      <c r="AA112" s="187">
        <v>498</v>
      </c>
    </row>
    <row r="113" spans="2:27" ht="12" hidden="1" customHeight="1">
      <c r="B113" s="171" t="s">
        <v>725</v>
      </c>
      <c r="C113" s="171" t="s">
        <v>497</v>
      </c>
      <c r="D113" s="171" t="s">
        <v>498</v>
      </c>
      <c r="E113" s="171" t="s">
        <v>1300</v>
      </c>
      <c r="F113" s="187">
        <v>8</v>
      </c>
      <c r="G113" s="191">
        <v>45717</v>
      </c>
      <c r="H113" s="191"/>
      <c r="I113" s="187" t="s">
        <v>338</v>
      </c>
      <c r="J113" s="187" t="s">
        <v>338</v>
      </c>
      <c r="K113" s="187">
        <v>640</v>
      </c>
      <c r="L113" s="187">
        <v>340</v>
      </c>
      <c r="M113" s="187">
        <v>340</v>
      </c>
      <c r="N113" s="187">
        <v>400</v>
      </c>
      <c r="O113" s="187">
        <v>400</v>
      </c>
      <c r="P113" s="187">
        <v>400</v>
      </c>
      <c r="Q113" s="187">
        <v>400</v>
      </c>
      <c r="R113" s="187">
        <v>400</v>
      </c>
      <c r="S113" s="187">
        <v>400</v>
      </c>
      <c r="T113" s="187">
        <v>400</v>
      </c>
      <c r="U113" s="187">
        <v>400</v>
      </c>
      <c r="V113" s="187">
        <v>1536.5</v>
      </c>
      <c r="W113" s="187">
        <v>495</v>
      </c>
      <c r="X113" s="187">
        <v>868.5</v>
      </c>
      <c r="Y113" s="187">
        <v>572</v>
      </c>
      <c r="Z113" s="187">
        <v>649</v>
      </c>
      <c r="AA113" s="187">
        <v>726</v>
      </c>
    </row>
    <row r="114" spans="2:27" ht="12" hidden="1" customHeight="1">
      <c r="B114" s="171" t="s">
        <v>726</v>
      </c>
      <c r="C114" s="171" t="s">
        <v>562</v>
      </c>
      <c r="D114" s="171" t="s">
        <v>657</v>
      </c>
      <c r="E114" s="171" t="s">
        <v>1302</v>
      </c>
      <c r="F114" s="187" t="s">
        <v>338</v>
      </c>
      <c r="G114" s="191">
        <v>45901</v>
      </c>
      <c r="H114" s="191">
        <v>45991</v>
      </c>
      <c r="I114" s="187" t="s">
        <v>338</v>
      </c>
      <c r="J114" s="187" t="s">
        <v>338</v>
      </c>
      <c r="K114" s="187" t="s">
        <v>338</v>
      </c>
      <c r="L114" s="187" t="s">
        <v>338</v>
      </c>
      <c r="M114" s="187" t="s">
        <v>338</v>
      </c>
      <c r="N114" s="187" t="s">
        <v>338</v>
      </c>
      <c r="O114" s="187" t="s">
        <v>338</v>
      </c>
      <c r="P114" s="187" t="s">
        <v>338</v>
      </c>
      <c r="Q114" s="187">
        <v>415</v>
      </c>
      <c r="R114" s="187">
        <v>3580</v>
      </c>
      <c r="S114" s="187">
        <v>3205</v>
      </c>
      <c r="T114" s="187" t="s">
        <v>338</v>
      </c>
      <c r="U114" s="187" t="s">
        <v>338</v>
      </c>
      <c r="V114" s="187" t="s">
        <v>338</v>
      </c>
      <c r="W114" s="187" t="s">
        <v>338</v>
      </c>
      <c r="X114" s="187" t="s">
        <v>338</v>
      </c>
      <c r="Y114" s="187" t="s">
        <v>338</v>
      </c>
      <c r="Z114" s="187" t="s">
        <v>338</v>
      </c>
      <c r="AA114" s="187" t="s">
        <v>338</v>
      </c>
    </row>
    <row r="115" spans="2:27" ht="12" customHeight="1">
      <c r="B115" s="171" t="s">
        <v>601</v>
      </c>
      <c r="C115" s="171" t="s">
        <v>562</v>
      </c>
      <c r="D115" s="171" t="s">
        <v>498</v>
      </c>
      <c r="E115" s="171" t="s">
        <v>1300</v>
      </c>
      <c r="F115" s="187">
        <v>32</v>
      </c>
      <c r="G115" s="191">
        <v>45108</v>
      </c>
      <c r="H115" s="191">
        <v>46142</v>
      </c>
      <c r="I115" s="187">
        <v>2453</v>
      </c>
      <c r="J115" s="187">
        <v>1958</v>
      </c>
      <c r="K115" s="187">
        <v>1958</v>
      </c>
      <c r="L115" s="187">
        <v>1869</v>
      </c>
      <c r="M115" s="187">
        <v>1869</v>
      </c>
      <c r="N115" s="187">
        <v>1869</v>
      </c>
      <c r="O115" s="187">
        <v>1885</v>
      </c>
      <c r="P115" s="187">
        <v>1970</v>
      </c>
      <c r="Q115" s="187">
        <v>1970</v>
      </c>
      <c r="R115" s="187">
        <v>2179</v>
      </c>
      <c r="S115" s="187">
        <v>2179</v>
      </c>
      <c r="T115" s="187">
        <v>2179</v>
      </c>
      <c r="U115" s="187">
        <v>2410</v>
      </c>
      <c r="V115" s="187">
        <v>3070</v>
      </c>
      <c r="W115" s="187">
        <v>2444</v>
      </c>
      <c r="X115" s="187">
        <v>2692</v>
      </c>
      <c r="Y115" s="187">
        <v>0</v>
      </c>
      <c r="Z115" s="187" t="s">
        <v>338</v>
      </c>
      <c r="AA115" s="187" t="s">
        <v>338</v>
      </c>
    </row>
    <row r="116" spans="2:27" ht="12" hidden="1" customHeight="1">
      <c r="B116" s="171" t="s">
        <v>729</v>
      </c>
      <c r="C116" s="171" t="s">
        <v>497</v>
      </c>
      <c r="D116" s="171" t="s">
        <v>678</v>
      </c>
      <c r="E116" s="171" t="s">
        <v>1178</v>
      </c>
      <c r="F116" s="187" t="s">
        <v>338</v>
      </c>
      <c r="G116" s="191">
        <v>45413</v>
      </c>
      <c r="H116" s="191"/>
      <c r="I116" s="187">
        <v>395</v>
      </c>
      <c r="J116" s="187">
        <v>395</v>
      </c>
      <c r="K116" s="187">
        <v>395</v>
      </c>
      <c r="L116" s="187">
        <v>395</v>
      </c>
      <c r="M116" s="187">
        <v>474</v>
      </c>
      <c r="N116" s="187">
        <v>560</v>
      </c>
      <c r="O116" s="187">
        <v>560</v>
      </c>
      <c r="P116" s="187">
        <v>560</v>
      </c>
      <c r="Q116" s="187">
        <v>560</v>
      </c>
      <c r="R116" s="187">
        <v>560</v>
      </c>
      <c r="S116" s="187">
        <v>560</v>
      </c>
      <c r="T116" s="187">
        <v>560</v>
      </c>
      <c r="U116" s="187">
        <v>560</v>
      </c>
      <c r="V116" s="187">
        <v>560</v>
      </c>
      <c r="W116" s="187">
        <v>560</v>
      </c>
      <c r="X116" s="187">
        <v>558.91</v>
      </c>
      <c r="Y116" s="187">
        <v>560</v>
      </c>
      <c r="Z116" s="187">
        <v>724</v>
      </c>
      <c r="AA116" s="187">
        <v>724</v>
      </c>
    </row>
    <row r="117" spans="2:27" ht="12" hidden="1" customHeight="1">
      <c r="B117" s="171" t="s">
        <v>730</v>
      </c>
      <c r="C117" s="171" t="s">
        <v>562</v>
      </c>
      <c r="D117" s="171" t="s">
        <v>632</v>
      </c>
      <c r="E117" s="171" t="s">
        <v>1301</v>
      </c>
      <c r="F117" s="187" t="s">
        <v>338</v>
      </c>
      <c r="G117" s="191">
        <v>44652</v>
      </c>
      <c r="H117" s="191">
        <v>46234</v>
      </c>
      <c r="I117" s="187">
        <v>550</v>
      </c>
      <c r="J117" s="187">
        <v>550</v>
      </c>
      <c r="K117" s="187">
        <v>550</v>
      </c>
      <c r="L117" s="187">
        <v>580</v>
      </c>
      <c r="M117" s="187">
        <v>580</v>
      </c>
      <c r="N117" s="187">
        <v>580</v>
      </c>
      <c r="O117" s="187">
        <v>580</v>
      </c>
      <c r="P117" s="187">
        <v>580</v>
      </c>
      <c r="Q117" s="187">
        <v>580</v>
      </c>
      <c r="R117" s="187">
        <v>580</v>
      </c>
      <c r="S117" s="187">
        <v>580</v>
      </c>
      <c r="T117" s="187">
        <v>580</v>
      </c>
      <c r="U117" s="187">
        <v>580</v>
      </c>
      <c r="V117" s="187">
        <v>580</v>
      </c>
      <c r="W117" s="187">
        <v>580</v>
      </c>
      <c r="X117" s="187">
        <v>600</v>
      </c>
      <c r="Y117" s="187">
        <v>600</v>
      </c>
      <c r="Z117" s="187">
        <v>600</v>
      </c>
      <c r="AA117" s="187">
        <v>600</v>
      </c>
    </row>
    <row r="118" spans="2:27" ht="12" hidden="1" customHeight="1">
      <c r="B118" s="171" t="s">
        <v>733</v>
      </c>
      <c r="C118" s="171" t="s">
        <v>497</v>
      </c>
      <c r="D118" s="171" t="s">
        <v>498</v>
      </c>
      <c r="E118" s="171" t="s">
        <v>1300</v>
      </c>
      <c r="F118" s="187">
        <v>8</v>
      </c>
      <c r="G118" s="191">
        <v>45444</v>
      </c>
      <c r="H118" s="191"/>
      <c r="I118" s="187">
        <v>525</v>
      </c>
      <c r="J118" s="187">
        <v>420</v>
      </c>
      <c r="K118" s="187">
        <v>420</v>
      </c>
      <c r="L118" s="187">
        <v>420</v>
      </c>
      <c r="M118" s="187">
        <v>420</v>
      </c>
      <c r="N118" s="187">
        <v>445</v>
      </c>
      <c r="O118" s="187">
        <v>445</v>
      </c>
      <c r="P118" s="187">
        <v>445</v>
      </c>
      <c r="Q118" s="187">
        <v>445</v>
      </c>
      <c r="R118" s="187">
        <v>1210</v>
      </c>
      <c r="S118" s="187">
        <v>445</v>
      </c>
      <c r="T118" s="187">
        <v>445</v>
      </c>
      <c r="U118" s="187">
        <v>535</v>
      </c>
      <c r="V118" s="187">
        <v>445</v>
      </c>
      <c r="W118" s="187">
        <v>1210</v>
      </c>
      <c r="X118" s="187">
        <v>445</v>
      </c>
      <c r="Y118" s="187">
        <v>445</v>
      </c>
      <c r="Z118" s="187">
        <v>447</v>
      </c>
      <c r="AA118" s="187">
        <v>447</v>
      </c>
    </row>
    <row r="119" spans="2:27" ht="12" hidden="1" customHeight="1">
      <c r="B119" s="171" t="s">
        <v>734</v>
      </c>
      <c r="C119" s="171" t="s">
        <v>497</v>
      </c>
      <c r="D119" s="171" t="s">
        <v>498</v>
      </c>
      <c r="E119" s="171" t="s">
        <v>1300</v>
      </c>
      <c r="F119" s="187">
        <v>8</v>
      </c>
      <c r="G119" s="191">
        <v>46023</v>
      </c>
      <c r="H119" s="191"/>
      <c r="I119" s="187" t="s">
        <v>338</v>
      </c>
      <c r="J119" s="187" t="s">
        <v>338</v>
      </c>
      <c r="K119" s="187" t="s">
        <v>338</v>
      </c>
      <c r="L119" s="187" t="s">
        <v>338</v>
      </c>
      <c r="M119" s="187" t="s">
        <v>338</v>
      </c>
      <c r="N119" s="187" t="s">
        <v>338</v>
      </c>
      <c r="O119" s="187" t="s">
        <v>338</v>
      </c>
      <c r="P119" s="187" t="s">
        <v>338</v>
      </c>
      <c r="Q119" s="187" t="s">
        <v>338</v>
      </c>
      <c r="R119" s="187" t="s">
        <v>338</v>
      </c>
      <c r="S119" s="187" t="s">
        <v>338</v>
      </c>
      <c r="T119" s="187" t="s">
        <v>338</v>
      </c>
      <c r="U119" s="187">
        <v>1783.75</v>
      </c>
      <c r="V119" s="187">
        <v>1108.75</v>
      </c>
      <c r="W119" s="187">
        <v>163.75</v>
      </c>
      <c r="X119" s="187">
        <v>910</v>
      </c>
      <c r="Y119" s="187">
        <v>910</v>
      </c>
      <c r="Z119" s="187">
        <v>910</v>
      </c>
      <c r="AA119" s="187">
        <v>910</v>
      </c>
    </row>
    <row r="120" spans="2:27" ht="12" hidden="1" customHeight="1">
      <c r="B120" s="171" t="s">
        <v>735</v>
      </c>
      <c r="C120" s="171" t="s">
        <v>497</v>
      </c>
      <c r="D120" s="171" t="s">
        <v>498</v>
      </c>
      <c r="E120" s="171" t="s">
        <v>1300</v>
      </c>
      <c r="F120" s="187">
        <v>8</v>
      </c>
      <c r="G120" s="191">
        <v>45717</v>
      </c>
      <c r="H120" s="191"/>
      <c r="I120" s="187" t="s">
        <v>338</v>
      </c>
      <c r="J120" s="187" t="s">
        <v>338</v>
      </c>
      <c r="K120" s="187">
        <v>350</v>
      </c>
      <c r="L120" s="187">
        <v>150</v>
      </c>
      <c r="M120" s="187">
        <v>360</v>
      </c>
      <c r="N120" s="187">
        <v>280</v>
      </c>
      <c r="O120" s="187">
        <v>430</v>
      </c>
      <c r="P120" s="187">
        <v>430</v>
      </c>
      <c r="Q120" s="187">
        <v>430</v>
      </c>
      <c r="R120" s="187">
        <v>430</v>
      </c>
      <c r="S120" s="187">
        <v>525</v>
      </c>
      <c r="T120" s="187">
        <v>525</v>
      </c>
      <c r="U120" s="187">
        <v>525</v>
      </c>
      <c r="V120" s="187">
        <v>630</v>
      </c>
      <c r="W120" s="187">
        <v>525</v>
      </c>
      <c r="X120" s="187">
        <v>649</v>
      </c>
      <c r="Y120" s="187">
        <v>649</v>
      </c>
      <c r="Z120" s="187">
        <v>649</v>
      </c>
      <c r="AA120" s="187">
        <v>649</v>
      </c>
    </row>
    <row r="121" spans="2:27" ht="12" hidden="1" customHeight="1">
      <c r="B121" s="171" t="s">
        <v>736</v>
      </c>
      <c r="C121" s="171" t="s">
        <v>497</v>
      </c>
      <c r="D121" s="171" t="s">
        <v>498</v>
      </c>
      <c r="E121" s="171" t="s">
        <v>1300</v>
      </c>
      <c r="F121" s="187">
        <v>3</v>
      </c>
      <c r="G121" s="191">
        <v>45474</v>
      </c>
      <c r="H121" s="191"/>
      <c r="I121" s="187">
        <v>570</v>
      </c>
      <c r="J121" s="187">
        <v>810</v>
      </c>
      <c r="K121" s="187">
        <v>570</v>
      </c>
      <c r="L121" s="187">
        <v>570</v>
      </c>
      <c r="M121" s="187">
        <v>570</v>
      </c>
      <c r="N121" s="187">
        <v>570</v>
      </c>
      <c r="O121" s="187">
        <v>555</v>
      </c>
      <c r="P121" s="187">
        <v>555</v>
      </c>
      <c r="Q121" s="187">
        <v>555</v>
      </c>
      <c r="R121" s="187">
        <v>555</v>
      </c>
      <c r="S121" s="187">
        <v>555</v>
      </c>
      <c r="T121" s="187">
        <v>535</v>
      </c>
      <c r="U121" s="187">
        <v>535</v>
      </c>
      <c r="V121" s="187">
        <v>775</v>
      </c>
      <c r="W121" s="187">
        <v>535</v>
      </c>
      <c r="X121" s="187">
        <v>535</v>
      </c>
      <c r="Y121" s="187">
        <v>518</v>
      </c>
      <c r="Z121" s="187">
        <v>468</v>
      </c>
      <c r="AA121" s="187">
        <v>493</v>
      </c>
    </row>
    <row r="122" spans="2:27" ht="12" hidden="1" customHeight="1">
      <c r="B122" s="171" t="s">
        <v>737</v>
      </c>
      <c r="C122" s="171" t="s">
        <v>497</v>
      </c>
      <c r="D122" s="171" t="s">
        <v>498</v>
      </c>
      <c r="E122" s="171" t="s">
        <v>1300</v>
      </c>
      <c r="F122" s="187">
        <v>6</v>
      </c>
      <c r="G122" s="191">
        <v>45536</v>
      </c>
      <c r="H122" s="191"/>
      <c r="I122" s="187">
        <v>350</v>
      </c>
      <c r="J122" s="187">
        <v>440</v>
      </c>
      <c r="K122" s="187">
        <v>350</v>
      </c>
      <c r="L122" s="187">
        <v>350</v>
      </c>
      <c r="M122" s="187">
        <v>350</v>
      </c>
      <c r="N122" s="187">
        <v>350</v>
      </c>
      <c r="O122" s="187">
        <v>350</v>
      </c>
      <c r="P122" s="187">
        <v>350</v>
      </c>
      <c r="Q122" s="187">
        <v>510</v>
      </c>
      <c r="R122" s="187">
        <v>510</v>
      </c>
      <c r="S122" s="187">
        <v>510</v>
      </c>
      <c r="T122" s="187">
        <v>510</v>
      </c>
      <c r="U122" s="187">
        <v>530</v>
      </c>
      <c r="V122" s="187">
        <v>620</v>
      </c>
      <c r="W122" s="187">
        <v>530</v>
      </c>
      <c r="X122" s="187">
        <v>630</v>
      </c>
      <c r="Y122" s="187">
        <v>630</v>
      </c>
      <c r="Z122" s="187">
        <v>630</v>
      </c>
      <c r="AA122" s="187">
        <v>630</v>
      </c>
    </row>
    <row r="123" spans="2:27" ht="12" hidden="1" customHeight="1">
      <c r="B123" s="171" t="s">
        <v>738</v>
      </c>
      <c r="C123" s="171" t="s">
        <v>497</v>
      </c>
      <c r="D123" s="171" t="s">
        <v>498</v>
      </c>
      <c r="E123" s="171" t="s">
        <v>1300</v>
      </c>
      <c r="F123" s="187">
        <v>4</v>
      </c>
      <c r="G123" s="191">
        <v>45931</v>
      </c>
      <c r="H123" s="191"/>
      <c r="I123" s="187" t="s">
        <v>338</v>
      </c>
      <c r="J123" s="187" t="s">
        <v>338</v>
      </c>
      <c r="K123" s="187" t="s">
        <v>338</v>
      </c>
      <c r="L123" s="187" t="s">
        <v>338</v>
      </c>
      <c r="M123" s="187" t="s">
        <v>338</v>
      </c>
      <c r="N123" s="187" t="s">
        <v>338</v>
      </c>
      <c r="O123" s="187" t="s">
        <v>338</v>
      </c>
      <c r="P123" s="187" t="s">
        <v>338</v>
      </c>
      <c r="Q123" s="187" t="s">
        <v>338</v>
      </c>
      <c r="R123" s="187">
        <v>925</v>
      </c>
      <c r="S123" s="187">
        <v>736.25</v>
      </c>
      <c r="T123" s="187">
        <v>650</v>
      </c>
      <c r="U123" s="187">
        <v>650</v>
      </c>
      <c r="V123" s="187">
        <v>263.86</v>
      </c>
      <c r="W123" s="187">
        <v>650</v>
      </c>
      <c r="X123" s="187">
        <v>650</v>
      </c>
      <c r="Y123" s="187">
        <v>650</v>
      </c>
      <c r="Z123" s="187">
        <v>650</v>
      </c>
      <c r="AA123" s="187">
        <v>650</v>
      </c>
    </row>
    <row r="124" spans="2:27" ht="12" hidden="1" customHeight="1">
      <c r="B124" s="171" t="s">
        <v>739</v>
      </c>
      <c r="C124" s="171" t="s">
        <v>497</v>
      </c>
      <c r="D124" s="171" t="s">
        <v>498</v>
      </c>
      <c r="E124" s="171" t="s">
        <v>1300</v>
      </c>
      <c r="F124" s="187">
        <v>15</v>
      </c>
      <c r="G124" s="191">
        <v>45444</v>
      </c>
      <c r="H124" s="191"/>
      <c r="I124" s="187">
        <v>325</v>
      </c>
      <c r="J124" s="187">
        <v>325</v>
      </c>
      <c r="K124" s="187">
        <v>325</v>
      </c>
      <c r="L124" s="187">
        <v>325</v>
      </c>
      <c r="M124" s="187">
        <v>325</v>
      </c>
      <c r="N124" s="187">
        <v>325</v>
      </c>
      <c r="O124" s="187">
        <v>325</v>
      </c>
      <c r="P124" s="187">
        <v>600</v>
      </c>
      <c r="Q124" s="187">
        <v>600</v>
      </c>
      <c r="R124" s="187">
        <v>600</v>
      </c>
      <c r="S124" s="187">
        <v>600</v>
      </c>
      <c r="T124" s="187">
        <v>420</v>
      </c>
      <c r="U124" s="187">
        <v>600</v>
      </c>
      <c r="V124" s="187">
        <v>510</v>
      </c>
      <c r="W124" s="187">
        <v>600</v>
      </c>
      <c r="X124" s="187">
        <v>510</v>
      </c>
      <c r="Y124" s="187">
        <v>430</v>
      </c>
      <c r="Z124" s="187">
        <v>500</v>
      </c>
      <c r="AA124" s="187">
        <v>500</v>
      </c>
    </row>
    <row r="125" spans="2:27" ht="12" hidden="1" customHeight="1">
      <c r="B125" s="171" t="s">
        <v>740</v>
      </c>
      <c r="C125" s="171" t="s">
        <v>562</v>
      </c>
      <c r="D125" s="171" t="s">
        <v>632</v>
      </c>
      <c r="E125" s="171" t="s">
        <v>1301</v>
      </c>
      <c r="F125" s="187" t="s">
        <v>338</v>
      </c>
      <c r="G125" s="191">
        <v>44501</v>
      </c>
      <c r="H125" s="191">
        <v>46234</v>
      </c>
      <c r="I125" s="187">
        <v>560</v>
      </c>
      <c r="J125" s="187">
        <v>515</v>
      </c>
      <c r="K125" s="187">
        <v>515</v>
      </c>
      <c r="L125" s="187">
        <v>515</v>
      </c>
      <c r="M125" s="187">
        <v>515</v>
      </c>
      <c r="N125" s="187">
        <v>515</v>
      </c>
      <c r="O125" s="187">
        <v>515</v>
      </c>
      <c r="P125" s="187">
        <v>515</v>
      </c>
      <c r="Q125" s="187">
        <v>515</v>
      </c>
      <c r="R125" s="187">
        <v>515</v>
      </c>
      <c r="S125" s="187">
        <v>535</v>
      </c>
      <c r="T125" s="187">
        <v>535</v>
      </c>
      <c r="U125" s="187">
        <v>535</v>
      </c>
      <c r="V125" s="187">
        <v>550</v>
      </c>
      <c r="W125" s="187">
        <v>535</v>
      </c>
      <c r="X125" s="187">
        <v>535</v>
      </c>
      <c r="Y125" s="187">
        <v>535</v>
      </c>
      <c r="Z125" s="187">
        <v>535</v>
      </c>
      <c r="AA125" s="187">
        <v>535</v>
      </c>
    </row>
    <row r="126" spans="2:27" ht="12" hidden="1" customHeight="1">
      <c r="B126" s="171" t="s">
        <v>743</v>
      </c>
      <c r="C126" s="171" t="s">
        <v>497</v>
      </c>
      <c r="D126" s="171" t="s">
        <v>498</v>
      </c>
      <c r="E126" s="171" t="s">
        <v>1300</v>
      </c>
      <c r="F126" s="187">
        <v>4</v>
      </c>
      <c r="G126" s="191">
        <v>45170</v>
      </c>
      <c r="H126" s="191"/>
      <c r="I126" s="187">
        <v>575</v>
      </c>
      <c r="J126" s="187">
        <v>446</v>
      </c>
      <c r="K126" s="187">
        <v>515</v>
      </c>
      <c r="L126" s="187">
        <v>515</v>
      </c>
      <c r="M126" s="187">
        <v>515</v>
      </c>
      <c r="N126" s="187">
        <v>515</v>
      </c>
      <c r="O126" s="187">
        <v>515</v>
      </c>
      <c r="P126" s="187">
        <v>515</v>
      </c>
      <c r="Q126" s="187">
        <v>520</v>
      </c>
      <c r="R126" s="187">
        <v>520</v>
      </c>
      <c r="S126" s="187">
        <v>520</v>
      </c>
      <c r="T126" s="187">
        <v>520</v>
      </c>
      <c r="U126" s="187">
        <v>520</v>
      </c>
      <c r="V126" s="187">
        <v>565</v>
      </c>
      <c r="W126" s="187">
        <v>520</v>
      </c>
      <c r="X126" s="187">
        <v>520</v>
      </c>
      <c r="Y126" s="187">
        <v>520</v>
      </c>
      <c r="Z126" s="187">
        <v>520</v>
      </c>
      <c r="AA126" s="187">
        <v>520</v>
      </c>
    </row>
    <row r="127" spans="2:27" ht="12" hidden="1" customHeight="1">
      <c r="B127" s="171" t="s">
        <v>744</v>
      </c>
      <c r="C127" s="171" t="s">
        <v>497</v>
      </c>
      <c r="D127" s="171" t="s">
        <v>498</v>
      </c>
      <c r="E127" s="171" t="s">
        <v>1300</v>
      </c>
      <c r="F127" s="187">
        <v>17</v>
      </c>
      <c r="G127" s="191">
        <v>45962</v>
      </c>
      <c r="H127" s="191"/>
      <c r="I127" s="187" t="s">
        <v>338</v>
      </c>
      <c r="J127" s="187" t="s">
        <v>338</v>
      </c>
      <c r="K127" s="187" t="s">
        <v>338</v>
      </c>
      <c r="L127" s="187" t="s">
        <v>338</v>
      </c>
      <c r="M127" s="187" t="s">
        <v>338</v>
      </c>
      <c r="N127" s="187" t="s">
        <v>338</v>
      </c>
      <c r="O127" s="187" t="s">
        <v>338</v>
      </c>
      <c r="P127" s="187" t="s">
        <v>338</v>
      </c>
      <c r="Q127" s="187" t="s">
        <v>338</v>
      </c>
      <c r="R127" s="187" t="s">
        <v>338</v>
      </c>
      <c r="S127" s="187" t="s">
        <v>338</v>
      </c>
      <c r="T127" s="187">
        <v>950</v>
      </c>
      <c r="U127" s="187">
        <v>525</v>
      </c>
      <c r="V127" s="187">
        <v>560</v>
      </c>
      <c r="W127" s="187">
        <v>560</v>
      </c>
      <c r="X127" s="187">
        <v>560</v>
      </c>
      <c r="Y127" s="187">
        <v>1040</v>
      </c>
      <c r="Z127" s="187">
        <v>1040</v>
      </c>
      <c r="AA127" s="187">
        <v>1040</v>
      </c>
    </row>
    <row r="128" spans="2:27" ht="12" hidden="1" customHeight="1">
      <c r="B128" s="171" t="s">
        <v>745</v>
      </c>
      <c r="C128" s="171" t="s">
        <v>19</v>
      </c>
      <c r="D128" s="171" t="s">
        <v>498</v>
      </c>
      <c r="E128" s="171" t="s">
        <v>1300</v>
      </c>
      <c r="F128" s="187">
        <v>23</v>
      </c>
      <c r="G128" s="191">
        <v>46113</v>
      </c>
      <c r="H128" s="191"/>
      <c r="I128" s="187" t="s">
        <v>338</v>
      </c>
      <c r="J128" s="187" t="s">
        <v>338</v>
      </c>
      <c r="K128" s="187" t="s">
        <v>338</v>
      </c>
      <c r="L128" s="187" t="s">
        <v>338</v>
      </c>
      <c r="M128" s="187" t="s">
        <v>338</v>
      </c>
      <c r="N128" s="187" t="s">
        <v>338</v>
      </c>
      <c r="O128" s="187" t="s">
        <v>338</v>
      </c>
      <c r="P128" s="187" t="s">
        <v>338</v>
      </c>
      <c r="Q128" s="187" t="s">
        <v>338</v>
      </c>
      <c r="R128" s="187" t="s">
        <v>338</v>
      </c>
      <c r="S128" s="187" t="s">
        <v>338</v>
      </c>
      <c r="T128" s="187" t="s">
        <v>338</v>
      </c>
      <c r="U128" s="187" t="s">
        <v>338</v>
      </c>
      <c r="V128" s="187" t="s">
        <v>338</v>
      </c>
      <c r="W128" s="187" t="s">
        <v>338</v>
      </c>
      <c r="X128" s="187">
        <v>2273</v>
      </c>
      <c r="Y128" s="187">
        <v>1286</v>
      </c>
      <c r="Z128" s="187">
        <v>1295</v>
      </c>
      <c r="AA128" s="187">
        <v>1400</v>
      </c>
    </row>
    <row r="129" spans="2:27" ht="12" hidden="1" customHeight="1">
      <c r="B129" s="171" t="s">
        <v>746</v>
      </c>
      <c r="C129" s="171" t="s">
        <v>19</v>
      </c>
      <c r="D129" s="171" t="s">
        <v>498</v>
      </c>
      <c r="E129" s="171" t="s">
        <v>1300</v>
      </c>
      <c r="F129" s="187">
        <v>83</v>
      </c>
      <c r="G129" s="191">
        <v>46204</v>
      </c>
      <c r="H129" s="191"/>
      <c r="I129" s="187" t="s">
        <v>338</v>
      </c>
      <c r="J129" s="187" t="s">
        <v>338</v>
      </c>
      <c r="K129" s="187" t="s">
        <v>338</v>
      </c>
      <c r="L129" s="187" t="s">
        <v>338</v>
      </c>
      <c r="M129" s="187" t="s">
        <v>338</v>
      </c>
      <c r="N129" s="187" t="s">
        <v>338</v>
      </c>
      <c r="O129" s="187" t="s">
        <v>338</v>
      </c>
      <c r="P129" s="187" t="s">
        <v>338</v>
      </c>
      <c r="Q129" s="187" t="s">
        <v>338</v>
      </c>
      <c r="R129" s="187" t="s">
        <v>338</v>
      </c>
      <c r="S129" s="187" t="s">
        <v>338</v>
      </c>
      <c r="T129" s="187" t="s">
        <v>338</v>
      </c>
      <c r="U129" s="187" t="s">
        <v>338</v>
      </c>
      <c r="V129" s="187" t="s">
        <v>338</v>
      </c>
      <c r="W129" s="187" t="s">
        <v>338</v>
      </c>
      <c r="X129" s="187" t="s">
        <v>338</v>
      </c>
      <c r="Y129" s="187" t="s">
        <v>338</v>
      </c>
      <c r="Z129" s="187" t="s">
        <v>338</v>
      </c>
      <c r="AA129" s="187">
        <v>6252</v>
      </c>
    </row>
    <row r="130" spans="2:27" ht="12" hidden="1" customHeight="1">
      <c r="B130" s="171" t="s">
        <v>747</v>
      </c>
      <c r="C130" s="171" t="s">
        <v>497</v>
      </c>
      <c r="D130" s="171" t="s">
        <v>498</v>
      </c>
      <c r="E130" s="171" t="s">
        <v>1300</v>
      </c>
      <c r="F130" s="187">
        <v>47</v>
      </c>
      <c r="G130" s="191">
        <v>46143</v>
      </c>
      <c r="H130" s="191"/>
      <c r="I130" s="187" t="s">
        <v>338</v>
      </c>
      <c r="J130" s="187" t="s">
        <v>338</v>
      </c>
      <c r="K130" s="187" t="s">
        <v>338</v>
      </c>
      <c r="L130" s="187" t="s">
        <v>338</v>
      </c>
      <c r="M130" s="187" t="s">
        <v>338</v>
      </c>
      <c r="N130" s="187" t="s">
        <v>338</v>
      </c>
      <c r="O130" s="187" t="s">
        <v>338</v>
      </c>
      <c r="P130" s="187" t="s">
        <v>338</v>
      </c>
      <c r="Q130" s="187" t="s">
        <v>338</v>
      </c>
      <c r="R130" s="187" t="s">
        <v>338</v>
      </c>
      <c r="S130" s="187" t="s">
        <v>338</v>
      </c>
      <c r="T130" s="187" t="s">
        <v>338</v>
      </c>
      <c r="U130" s="187" t="s">
        <v>338</v>
      </c>
      <c r="V130" s="187" t="s">
        <v>338</v>
      </c>
      <c r="W130" s="187" t="s">
        <v>338</v>
      </c>
      <c r="X130" s="187" t="s">
        <v>338</v>
      </c>
      <c r="Y130" s="187">
        <v>1180</v>
      </c>
      <c r="Z130" s="187">
        <v>2676</v>
      </c>
      <c r="AA130" s="187">
        <v>2333</v>
      </c>
    </row>
    <row r="131" spans="2:27" ht="12" hidden="1" customHeight="1">
      <c r="B131" s="171" t="s">
        <v>748</v>
      </c>
      <c r="C131" s="171" t="s">
        <v>562</v>
      </c>
      <c r="D131" s="171" t="s">
        <v>657</v>
      </c>
      <c r="E131" s="171" t="s">
        <v>1302</v>
      </c>
      <c r="F131" s="187" t="s">
        <v>338</v>
      </c>
      <c r="G131" s="191">
        <v>45809</v>
      </c>
      <c r="H131" s="191">
        <v>45991</v>
      </c>
      <c r="I131" s="187" t="s">
        <v>338</v>
      </c>
      <c r="J131" s="187" t="s">
        <v>338</v>
      </c>
      <c r="K131" s="187" t="s">
        <v>338</v>
      </c>
      <c r="L131" s="187" t="s">
        <v>338</v>
      </c>
      <c r="M131" s="187" t="s">
        <v>338</v>
      </c>
      <c r="N131" s="187">
        <v>2089</v>
      </c>
      <c r="O131" s="187">
        <v>3029</v>
      </c>
      <c r="P131" s="187">
        <v>1440</v>
      </c>
      <c r="Q131" s="187">
        <v>1574</v>
      </c>
      <c r="R131" s="187">
        <v>1708</v>
      </c>
      <c r="S131" s="187">
        <v>1440</v>
      </c>
      <c r="T131" s="187" t="s">
        <v>338</v>
      </c>
      <c r="U131" s="187" t="s">
        <v>338</v>
      </c>
      <c r="V131" s="187" t="s">
        <v>338</v>
      </c>
      <c r="W131" s="187" t="s">
        <v>338</v>
      </c>
      <c r="X131" s="187" t="s">
        <v>338</v>
      </c>
      <c r="Y131" s="187" t="s">
        <v>338</v>
      </c>
      <c r="Z131" s="187" t="s">
        <v>338</v>
      </c>
      <c r="AA131" s="187" t="s">
        <v>338</v>
      </c>
    </row>
    <row r="132" spans="2:27" ht="12" hidden="1" customHeight="1">
      <c r="B132" s="171" t="s">
        <v>749</v>
      </c>
      <c r="C132" s="171" t="s">
        <v>497</v>
      </c>
      <c r="D132" s="171" t="s">
        <v>498</v>
      </c>
      <c r="E132" s="171" t="s">
        <v>1300</v>
      </c>
      <c r="F132" s="187">
        <v>5</v>
      </c>
      <c r="G132" s="191">
        <v>45870</v>
      </c>
      <c r="H132" s="191"/>
      <c r="I132" s="187" t="s">
        <v>338</v>
      </c>
      <c r="J132" s="187" t="s">
        <v>338</v>
      </c>
      <c r="K132" s="187" t="s">
        <v>338</v>
      </c>
      <c r="L132" s="187" t="s">
        <v>338</v>
      </c>
      <c r="M132" s="187" t="s">
        <v>338</v>
      </c>
      <c r="N132" s="187" t="s">
        <v>338</v>
      </c>
      <c r="O132" s="187" t="s">
        <v>338</v>
      </c>
      <c r="P132" s="187">
        <v>990</v>
      </c>
      <c r="Q132" s="187">
        <v>640</v>
      </c>
      <c r="R132" s="187">
        <v>640</v>
      </c>
      <c r="S132" s="187">
        <v>675</v>
      </c>
      <c r="T132" s="187">
        <v>675</v>
      </c>
      <c r="U132" s="187">
        <v>600</v>
      </c>
      <c r="V132" s="187">
        <v>705</v>
      </c>
      <c r="W132" s="187">
        <v>240</v>
      </c>
      <c r="X132" s="187">
        <v>240</v>
      </c>
      <c r="Y132" s="187">
        <v>200</v>
      </c>
      <c r="Z132" s="187">
        <v>200</v>
      </c>
      <c r="AA132" s="187">
        <v>200</v>
      </c>
    </row>
    <row r="133" spans="2:27" ht="12" hidden="1" customHeight="1">
      <c r="B133" s="171" t="s">
        <v>750</v>
      </c>
      <c r="C133" s="171" t="s">
        <v>562</v>
      </c>
      <c r="D133" s="171" t="s">
        <v>657</v>
      </c>
      <c r="E133" s="171" t="s">
        <v>1302</v>
      </c>
      <c r="F133" s="187" t="s">
        <v>338</v>
      </c>
      <c r="G133" s="191">
        <v>46113</v>
      </c>
      <c r="H133" s="191">
        <v>46234</v>
      </c>
      <c r="I133" s="187" t="s">
        <v>338</v>
      </c>
      <c r="J133" s="187" t="s">
        <v>338</v>
      </c>
      <c r="K133" s="187" t="s">
        <v>338</v>
      </c>
      <c r="L133" s="187" t="s">
        <v>338</v>
      </c>
      <c r="M133" s="187" t="s">
        <v>338</v>
      </c>
      <c r="N133" s="187" t="s">
        <v>338</v>
      </c>
      <c r="O133" s="187" t="s">
        <v>338</v>
      </c>
      <c r="P133" s="187" t="s">
        <v>338</v>
      </c>
      <c r="Q133" s="187" t="s">
        <v>338</v>
      </c>
      <c r="R133" s="187" t="s">
        <v>338</v>
      </c>
      <c r="S133" s="187" t="s">
        <v>338</v>
      </c>
      <c r="T133" s="187" t="s">
        <v>338</v>
      </c>
      <c r="U133" s="187" t="s">
        <v>338</v>
      </c>
      <c r="V133" s="187" t="s">
        <v>338</v>
      </c>
      <c r="W133" s="187" t="s">
        <v>338</v>
      </c>
      <c r="X133" s="187">
        <v>1500</v>
      </c>
      <c r="Y133" s="187">
        <v>1500</v>
      </c>
      <c r="Z133" s="187">
        <v>1500</v>
      </c>
      <c r="AA133" s="187">
        <v>1500</v>
      </c>
    </row>
    <row r="134" spans="2:27" ht="12" hidden="1" customHeight="1">
      <c r="B134" s="171" t="s">
        <v>751</v>
      </c>
      <c r="C134" s="171" t="s">
        <v>497</v>
      </c>
      <c r="D134" s="171" t="s">
        <v>498</v>
      </c>
      <c r="E134" s="171" t="s">
        <v>1300</v>
      </c>
      <c r="F134" s="187">
        <v>10</v>
      </c>
      <c r="G134" s="191">
        <v>45748</v>
      </c>
      <c r="H134" s="191"/>
      <c r="I134" s="187" t="s">
        <v>338</v>
      </c>
      <c r="J134" s="187" t="s">
        <v>338</v>
      </c>
      <c r="K134" s="187" t="s">
        <v>338</v>
      </c>
      <c r="L134" s="187">
        <v>778.75</v>
      </c>
      <c r="M134" s="187">
        <v>340</v>
      </c>
      <c r="N134" s="187">
        <v>340</v>
      </c>
      <c r="O134" s="187">
        <v>400</v>
      </c>
      <c r="P134" s="187">
        <v>400</v>
      </c>
      <c r="Q134" s="187">
        <v>625</v>
      </c>
      <c r="R134" s="187">
        <v>400</v>
      </c>
      <c r="S134" s="187">
        <v>475</v>
      </c>
      <c r="T134" s="187">
        <v>475</v>
      </c>
      <c r="U134" s="187">
        <v>475</v>
      </c>
      <c r="V134" s="187">
        <v>520</v>
      </c>
      <c r="W134" s="187">
        <v>475</v>
      </c>
      <c r="X134" s="187">
        <v>495</v>
      </c>
      <c r="Y134" s="187">
        <v>495</v>
      </c>
      <c r="Z134" s="187">
        <v>495</v>
      </c>
      <c r="AA134" s="187">
        <v>649</v>
      </c>
    </row>
    <row r="135" spans="2:27" ht="12" hidden="1" customHeight="1">
      <c r="B135" s="171" t="s">
        <v>753</v>
      </c>
      <c r="C135" s="171" t="s">
        <v>497</v>
      </c>
      <c r="D135" s="171" t="s">
        <v>498</v>
      </c>
      <c r="E135" s="171" t="s">
        <v>1300</v>
      </c>
      <c r="F135" s="187">
        <v>16</v>
      </c>
      <c r="G135" s="191">
        <v>45413</v>
      </c>
      <c r="H135" s="191"/>
      <c r="I135" s="187">
        <v>385</v>
      </c>
      <c r="J135" s="187">
        <v>325</v>
      </c>
      <c r="K135" s="187">
        <v>325</v>
      </c>
      <c r="L135" s="187">
        <v>325</v>
      </c>
      <c r="M135" s="187">
        <v>325</v>
      </c>
      <c r="N135" s="187">
        <v>360</v>
      </c>
      <c r="O135" s="187">
        <v>360</v>
      </c>
      <c r="P135" s="187">
        <v>360</v>
      </c>
      <c r="Q135" s="187">
        <v>360</v>
      </c>
      <c r="R135" s="187">
        <v>360</v>
      </c>
      <c r="S135" s="187">
        <v>375</v>
      </c>
      <c r="T135" s="187">
        <v>375</v>
      </c>
      <c r="U135" s="187">
        <v>450</v>
      </c>
      <c r="V135" s="187">
        <v>555</v>
      </c>
      <c r="W135" s="187">
        <v>675</v>
      </c>
      <c r="X135" s="187">
        <v>975</v>
      </c>
      <c r="Y135" s="187">
        <v>400</v>
      </c>
      <c r="Z135" s="187">
        <v>560</v>
      </c>
      <c r="AA135" s="187">
        <v>525</v>
      </c>
    </row>
    <row r="136" spans="2:27" ht="12" hidden="1" customHeight="1">
      <c r="B136" s="171" t="s">
        <v>754</v>
      </c>
      <c r="C136" s="171" t="s">
        <v>497</v>
      </c>
      <c r="D136" s="171" t="s">
        <v>498</v>
      </c>
      <c r="E136" s="171" t="s">
        <v>1300</v>
      </c>
      <c r="F136" s="187">
        <v>11</v>
      </c>
      <c r="G136" s="191">
        <v>45992</v>
      </c>
      <c r="H136" s="191"/>
      <c r="I136" s="187" t="s">
        <v>338</v>
      </c>
      <c r="J136" s="187" t="s">
        <v>338</v>
      </c>
      <c r="K136" s="187" t="s">
        <v>338</v>
      </c>
      <c r="L136" s="187" t="s">
        <v>338</v>
      </c>
      <c r="M136" s="187" t="s">
        <v>338</v>
      </c>
      <c r="N136" s="187" t="s">
        <v>338</v>
      </c>
      <c r="O136" s="187" t="s">
        <v>338</v>
      </c>
      <c r="P136" s="187" t="s">
        <v>338</v>
      </c>
      <c r="Q136" s="187" t="s">
        <v>338</v>
      </c>
      <c r="R136" s="187" t="s">
        <v>338</v>
      </c>
      <c r="S136" s="187" t="s">
        <v>338</v>
      </c>
      <c r="T136" s="187">
        <v>700</v>
      </c>
      <c r="U136" s="187">
        <v>600</v>
      </c>
      <c r="V136" s="187">
        <v>720</v>
      </c>
      <c r="W136" s="187">
        <v>720</v>
      </c>
      <c r="X136" s="187">
        <v>700</v>
      </c>
      <c r="Y136" s="187">
        <v>780</v>
      </c>
      <c r="Z136" s="187">
        <v>880</v>
      </c>
      <c r="AA136" s="187">
        <v>860</v>
      </c>
    </row>
    <row r="137" spans="2:27" ht="12" hidden="1" customHeight="1">
      <c r="B137" s="171" t="s">
        <v>755</v>
      </c>
      <c r="C137" s="171" t="s">
        <v>497</v>
      </c>
      <c r="D137" s="171" t="s">
        <v>498</v>
      </c>
      <c r="E137" s="171" t="s">
        <v>1300</v>
      </c>
      <c r="F137" s="187">
        <v>6</v>
      </c>
      <c r="G137" s="191">
        <v>45839</v>
      </c>
      <c r="H137" s="191"/>
      <c r="I137" s="187" t="s">
        <v>338</v>
      </c>
      <c r="J137" s="187" t="s">
        <v>338</v>
      </c>
      <c r="K137" s="187" t="s">
        <v>338</v>
      </c>
      <c r="L137" s="187" t="s">
        <v>338</v>
      </c>
      <c r="M137" s="187" t="s">
        <v>338</v>
      </c>
      <c r="N137" s="187" t="s">
        <v>338</v>
      </c>
      <c r="O137" s="187">
        <v>896.25</v>
      </c>
      <c r="P137" s="187">
        <v>331.5</v>
      </c>
      <c r="Q137" s="187">
        <v>331.5</v>
      </c>
      <c r="R137" s="187">
        <v>390</v>
      </c>
      <c r="S137" s="187">
        <v>390</v>
      </c>
      <c r="T137" s="187">
        <v>470</v>
      </c>
      <c r="U137" s="187">
        <v>470</v>
      </c>
      <c r="V137" s="187">
        <v>635</v>
      </c>
      <c r="W137" s="187">
        <v>470</v>
      </c>
      <c r="X137" s="187">
        <v>470</v>
      </c>
      <c r="Y137" s="187">
        <v>660</v>
      </c>
      <c r="Z137" s="187">
        <v>660</v>
      </c>
      <c r="AA137" s="187">
        <v>641.9</v>
      </c>
    </row>
    <row r="138" spans="2:27" ht="12" hidden="1" customHeight="1">
      <c r="B138" s="171" t="s">
        <v>756</v>
      </c>
      <c r="C138" s="171" t="s">
        <v>497</v>
      </c>
      <c r="D138" s="171" t="s">
        <v>678</v>
      </c>
      <c r="E138" s="171" t="s">
        <v>1178</v>
      </c>
      <c r="F138" s="187">
        <v>0</v>
      </c>
      <c r="G138" s="191">
        <v>44805</v>
      </c>
      <c r="H138" s="191"/>
      <c r="I138" s="187">
        <v>564</v>
      </c>
      <c r="J138" s="187">
        <v>395</v>
      </c>
      <c r="K138" s="187">
        <v>395</v>
      </c>
      <c r="L138" s="187">
        <v>395</v>
      </c>
      <c r="M138" s="187">
        <v>474</v>
      </c>
      <c r="N138" s="187">
        <v>474</v>
      </c>
      <c r="O138" s="187">
        <v>632</v>
      </c>
      <c r="P138" s="187">
        <v>316</v>
      </c>
      <c r="Q138" s="187">
        <v>500</v>
      </c>
      <c r="R138" s="187">
        <v>500</v>
      </c>
      <c r="S138" s="187">
        <v>500</v>
      </c>
      <c r="T138" s="187">
        <v>500</v>
      </c>
      <c r="U138" s="187">
        <v>500</v>
      </c>
      <c r="V138" s="187">
        <v>515</v>
      </c>
      <c r="W138" s="187">
        <v>500</v>
      </c>
      <c r="X138" s="187">
        <v>500</v>
      </c>
      <c r="Y138" s="187">
        <v>500</v>
      </c>
      <c r="Z138" s="187">
        <v>500</v>
      </c>
      <c r="AA138" s="187">
        <v>500</v>
      </c>
    </row>
    <row r="139" spans="2:27" ht="12" hidden="1" customHeight="1">
      <c r="B139" s="171" t="s">
        <v>758</v>
      </c>
      <c r="C139" s="171" t="s">
        <v>562</v>
      </c>
      <c r="D139" s="171" t="s">
        <v>632</v>
      </c>
      <c r="E139" s="171" t="s">
        <v>1301</v>
      </c>
      <c r="F139" s="187" t="s">
        <v>338</v>
      </c>
      <c r="G139" s="191">
        <v>45139</v>
      </c>
      <c r="H139" s="191">
        <v>46234</v>
      </c>
      <c r="I139" s="187">
        <v>485</v>
      </c>
      <c r="J139" s="187">
        <v>470</v>
      </c>
      <c r="K139" s="187">
        <v>470</v>
      </c>
      <c r="L139" s="187">
        <v>470</v>
      </c>
      <c r="M139" s="187">
        <v>470</v>
      </c>
      <c r="N139" s="187">
        <v>470</v>
      </c>
      <c r="O139" s="187">
        <v>470</v>
      </c>
      <c r="P139" s="187">
        <v>485</v>
      </c>
      <c r="Q139" s="187">
        <v>485</v>
      </c>
      <c r="R139" s="187">
        <v>485</v>
      </c>
      <c r="S139" s="187">
        <v>485</v>
      </c>
      <c r="T139" s="187">
        <v>485</v>
      </c>
      <c r="U139" s="187">
        <v>485</v>
      </c>
      <c r="V139" s="187">
        <v>485</v>
      </c>
      <c r="W139" s="187">
        <v>485</v>
      </c>
      <c r="X139" s="187">
        <v>485</v>
      </c>
      <c r="Y139" s="187">
        <v>485</v>
      </c>
      <c r="Z139" s="187">
        <v>485</v>
      </c>
      <c r="AA139" s="187">
        <v>485</v>
      </c>
    </row>
    <row r="140" spans="2:27" ht="12" hidden="1" customHeight="1">
      <c r="B140" s="171" t="s">
        <v>760</v>
      </c>
      <c r="C140" s="171" t="s">
        <v>497</v>
      </c>
      <c r="D140" s="171" t="s">
        <v>678</v>
      </c>
      <c r="E140" s="171" t="s">
        <v>1178</v>
      </c>
      <c r="F140" s="187" t="s">
        <v>338</v>
      </c>
      <c r="G140" s="191">
        <v>45778</v>
      </c>
      <c r="H140" s="191"/>
      <c r="I140" s="187" t="s">
        <v>338</v>
      </c>
      <c r="J140" s="187" t="s">
        <v>338</v>
      </c>
      <c r="K140" s="187" t="s">
        <v>338</v>
      </c>
      <c r="L140" s="187" t="s">
        <v>338</v>
      </c>
      <c r="M140" s="187">
        <v>640</v>
      </c>
      <c r="N140" s="187">
        <v>403.75</v>
      </c>
      <c r="O140" s="187">
        <v>403.75</v>
      </c>
      <c r="P140" s="187">
        <v>475</v>
      </c>
      <c r="Q140" s="187">
        <v>475</v>
      </c>
      <c r="R140" s="187">
        <v>475</v>
      </c>
      <c r="S140" s="187">
        <v>475</v>
      </c>
      <c r="T140" s="187">
        <v>475</v>
      </c>
      <c r="U140" s="187">
        <v>475</v>
      </c>
      <c r="V140" s="187">
        <v>475</v>
      </c>
      <c r="W140" s="187">
        <v>475</v>
      </c>
      <c r="X140" s="187">
        <v>475</v>
      </c>
      <c r="Y140" s="187">
        <v>495</v>
      </c>
      <c r="Z140" s="187">
        <v>495</v>
      </c>
      <c r="AA140" s="187">
        <v>495</v>
      </c>
    </row>
    <row r="141" spans="2:27" ht="12" hidden="1" customHeight="1">
      <c r="B141" s="171" t="s">
        <v>761</v>
      </c>
      <c r="C141" s="171" t="s">
        <v>497</v>
      </c>
      <c r="D141" s="171" t="s">
        <v>678</v>
      </c>
      <c r="E141" s="171" t="s">
        <v>1178</v>
      </c>
      <c r="F141" s="187" t="s">
        <v>338</v>
      </c>
      <c r="G141" s="191">
        <v>45474</v>
      </c>
      <c r="H141" s="191"/>
      <c r="I141" s="187">
        <v>395</v>
      </c>
      <c r="J141" s="187">
        <v>395</v>
      </c>
      <c r="K141" s="187">
        <v>395</v>
      </c>
      <c r="L141" s="187">
        <v>395</v>
      </c>
      <c r="M141" s="187">
        <v>395</v>
      </c>
      <c r="N141" s="187">
        <v>395</v>
      </c>
      <c r="O141" s="187">
        <v>400</v>
      </c>
      <c r="P141" s="187">
        <v>400</v>
      </c>
      <c r="Q141" s="187">
        <v>400</v>
      </c>
      <c r="R141" s="187">
        <v>1225</v>
      </c>
      <c r="S141" s="187">
        <v>400</v>
      </c>
      <c r="T141" s="187">
        <v>400</v>
      </c>
      <c r="U141" s="187">
        <v>400</v>
      </c>
      <c r="V141" s="187">
        <v>400</v>
      </c>
      <c r="W141" s="187">
        <v>400</v>
      </c>
      <c r="X141" s="187">
        <v>400</v>
      </c>
      <c r="Y141" s="187">
        <v>400</v>
      </c>
      <c r="Z141" s="187">
        <v>400</v>
      </c>
      <c r="AA141" s="187">
        <v>418</v>
      </c>
    </row>
    <row r="142" spans="2:27" ht="12" hidden="1" customHeight="1">
      <c r="B142" s="171" t="s">
        <v>762</v>
      </c>
      <c r="C142" s="171" t="s">
        <v>562</v>
      </c>
      <c r="D142" s="171" t="s">
        <v>632</v>
      </c>
      <c r="E142" s="171" t="s">
        <v>1301</v>
      </c>
      <c r="F142" s="187" t="s">
        <v>338</v>
      </c>
      <c r="G142" s="191">
        <v>44652</v>
      </c>
      <c r="H142" s="191">
        <v>46234</v>
      </c>
      <c r="I142" s="187">
        <v>500</v>
      </c>
      <c r="J142" s="187">
        <v>440</v>
      </c>
      <c r="K142" s="187">
        <v>440</v>
      </c>
      <c r="L142" s="187">
        <v>440</v>
      </c>
      <c r="M142" s="187">
        <v>440</v>
      </c>
      <c r="N142" s="187">
        <v>440</v>
      </c>
      <c r="O142" s="187">
        <v>460</v>
      </c>
      <c r="P142" s="187">
        <v>460</v>
      </c>
      <c r="Q142" s="187">
        <v>460</v>
      </c>
      <c r="R142" s="187">
        <v>460</v>
      </c>
      <c r="S142" s="187">
        <v>460</v>
      </c>
      <c r="T142" s="187">
        <v>460</v>
      </c>
      <c r="U142" s="187">
        <v>460</v>
      </c>
      <c r="V142" s="187">
        <v>520</v>
      </c>
      <c r="W142" s="187">
        <v>460</v>
      </c>
      <c r="X142" s="187">
        <v>460</v>
      </c>
      <c r="Y142" s="187">
        <v>460</v>
      </c>
      <c r="Z142" s="187">
        <v>460</v>
      </c>
      <c r="AA142" s="187">
        <v>460</v>
      </c>
    </row>
    <row r="143" spans="2:27" ht="12" hidden="1" customHeight="1">
      <c r="B143" s="171" t="s">
        <v>763</v>
      </c>
      <c r="C143" s="171" t="s">
        <v>562</v>
      </c>
      <c r="D143" s="171" t="s">
        <v>498</v>
      </c>
      <c r="E143" s="171" t="s">
        <v>1300</v>
      </c>
      <c r="F143" s="187">
        <v>0</v>
      </c>
      <c r="G143" s="191">
        <v>45444</v>
      </c>
      <c r="H143" s="191">
        <v>46173</v>
      </c>
      <c r="I143" s="187">
        <v>560</v>
      </c>
      <c r="J143" s="187">
        <v>680</v>
      </c>
      <c r="K143" s="187">
        <v>560</v>
      </c>
      <c r="L143" s="187">
        <v>560</v>
      </c>
      <c r="M143" s="187">
        <v>560</v>
      </c>
      <c r="N143" s="187">
        <v>588</v>
      </c>
      <c r="O143" s="187">
        <v>588</v>
      </c>
      <c r="P143" s="187">
        <v>588</v>
      </c>
      <c r="Q143" s="187">
        <v>588</v>
      </c>
      <c r="R143" s="187">
        <v>588</v>
      </c>
      <c r="S143" s="187">
        <v>588</v>
      </c>
      <c r="T143" s="187">
        <v>588</v>
      </c>
      <c r="U143" s="187">
        <v>588</v>
      </c>
      <c r="V143" s="187">
        <v>588</v>
      </c>
      <c r="W143" s="187">
        <v>649</v>
      </c>
      <c r="X143" s="187">
        <v>344</v>
      </c>
      <c r="Y143" s="187">
        <v>466</v>
      </c>
      <c r="Z143" s="187" t="s">
        <v>338</v>
      </c>
      <c r="AA143" s="187" t="s">
        <v>338</v>
      </c>
    </row>
    <row r="144" spans="2:27" ht="12" hidden="1" customHeight="1">
      <c r="B144" s="171" t="s">
        <v>765</v>
      </c>
      <c r="C144" s="171" t="s">
        <v>497</v>
      </c>
      <c r="D144" s="171" t="s">
        <v>678</v>
      </c>
      <c r="E144" s="171" t="s">
        <v>1178</v>
      </c>
      <c r="F144" s="187" t="s">
        <v>338</v>
      </c>
      <c r="G144" s="191">
        <v>45444</v>
      </c>
      <c r="H144" s="191"/>
      <c r="I144" s="187">
        <v>330</v>
      </c>
      <c r="J144" s="187">
        <v>300</v>
      </c>
      <c r="K144" s="187">
        <v>300</v>
      </c>
      <c r="L144" s="187">
        <v>300</v>
      </c>
      <c r="M144" s="187">
        <v>300</v>
      </c>
      <c r="N144" s="187">
        <v>325</v>
      </c>
      <c r="O144" s="187">
        <v>325</v>
      </c>
      <c r="P144" s="187">
        <v>325</v>
      </c>
      <c r="Q144" s="187">
        <v>325</v>
      </c>
      <c r="R144" s="187">
        <v>1090</v>
      </c>
      <c r="S144" s="187">
        <v>325</v>
      </c>
      <c r="T144" s="187">
        <v>325</v>
      </c>
      <c r="U144" s="187">
        <v>325</v>
      </c>
      <c r="V144" s="187">
        <v>355</v>
      </c>
      <c r="W144" s="187">
        <v>1090</v>
      </c>
      <c r="X144" s="187">
        <v>325</v>
      </c>
      <c r="Y144" s="187">
        <v>325</v>
      </c>
      <c r="Z144" s="187">
        <v>375</v>
      </c>
      <c r="AA144" s="187">
        <v>375</v>
      </c>
    </row>
    <row r="145" spans="2:27" ht="12" hidden="1" customHeight="1">
      <c r="B145" s="171" t="s">
        <v>767</v>
      </c>
      <c r="C145" s="171" t="s">
        <v>497</v>
      </c>
      <c r="D145" s="171" t="s">
        <v>678</v>
      </c>
      <c r="E145" s="171" t="s">
        <v>1178</v>
      </c>
      <c r="F145" s="187" t="s">
        <v>338</v>
      </c>
      <c r="G145" s="191">
        <v>45992</v>
      </c>
      <c r="H145" s="191"/>
      <c r="I145" s="187" t="s">
        <v>338</v>
      </c>
      <c r="J145" s="187" t="s">
        <v>338</v>
      </c>
      <c r="K145" s="187" t="s">
        <v>338</v>
      </c>
      <c r="L145" s="187" t="s">
        <v>338</v>
      </c>
      <c r="M145" s="187" t="s">
        <v>338</v>
      </c>
      <c r="N145" s="187" t="s">
        <v>338</v>
      </c>
      <c r="O145" s="187" t="s">
        <v>338</v>
      </c>
      <c r="P145" s="187" t="s">
        <v>338</v>
      </c>
      <c r="Q145" s="187" t="s">
        <v>338</v>
      </c>
      <c r="R145" s="187" t="s">
        <v>338</v>
      </c>
      <c r="S145" s="187" t="s">
        <v>338</v>
      </c>
      <c r="T145" s="187">
        <v>695</v>
      </c>
      <c r="U145" s="187">
        <v>616.25</v>
      </c>
      <c r="V145" s="187">
        <v>616.25</v>
      </c>
      <c r="W145" s="187">
        <v>725</v>
      </c>
      <c r="X145" s="187">
        <v>725</v>
      </c>
      <c r="Y145" s="187">
        <v>725</v>
      </c>
      <c r="Z145" s="187">
        <v>725</v>
      </c>
      <c r="AA145" s="187">
        <v>725</v>
      </c>
    </row>
    <row r="146" spans="2:27" ht="12" hidden="1" customHeight="1">
      <c r="B146" s="171" t="s">
        <v>768</v>
      </c>
      <c r="C146" s="171" t="s">
        <v>562</v>
      </c>
      <c r="D146" s="171" t="s">
        <v>498</v>
      </c>
      <c r="E146" s="171" t="s">
        <v>1300</v>
      </c>
      <c r="F146" s="187">
        <v>4</v>
      </c>
      <c r="G146" s="191">
        <v>45505</v>
      </c>
      <c r="H146" s="191">
        <v>46234</v>
      </c>
      <c r="I146" s="187">
        <v>553</v>
      </c>
      <c r="J146" s="187">
        <v>568</v>
      </c>
      <c r="K146" s="187">
        <v>553</v>
      </c>
      <c r="L146" s="187">
        <v>553</v>
      </c>
      <c r="M146" s="187">
        <v>553</v>
      </c>
      <c r="N146" s="187">
        <v>553</v>
      </c>
      <c r="O146" s="187">
        <v>553</v>
      </c>
      <c r="P146" s="187">
        <v>575</v>
      </c>
      <c r="Q146" s="187">
        <v>575</v>
      </c>
      <c r="R146" s="187">
        <v>575</v>
      </c>
      <c r="S146" s="187">
        <v>575</v>
      </c>
      <c r="T146" s="187">
        <v>575</v>
      </c>
      <c r="U146" s="187">
        <v>575</v>
      </c>
      <c r="V146" s="187">
        <v>350</v>
      </c>
      <c r="W146" s="187">
        <v>350</v>
      </c>
      <c r="X146" s="187">
        <v>350</v>
      </c>
      <c r="Y146" s="187">
        <v>350</v>
      </c>
      <c r="Z146" s="187">
        <v>350</v>
      </c>
      <c r="AA146" s="187">
        <v>350</v>
      </c>
    </row>
    <row r="147" spans="2:27" ht="12" hidden="1" customHeight="1">
      <c r="B147" s="171" t="s">
        <v>770</v>
      </c>
      <c r="C147" s="171" t="s">
        <v>562</v>
      </c>
      <c r="D147" s="171" t="s">
        <v>678</v>
      </c>
      <c r="E147" s="171" t="s">
        <v>1178</v>
      </c>
      <c r="F147" s="187" t="s">
        <v>338</v>
      </c>
      <c r="G147" s="191">
        <v>45597</v>
      </c>
      <c r="H147" s="191">
        <v>46173</v>
      </c>
      <c r="I147" s="187">
        <v>550</v>
      </c>
      <c r="J147" s="187">
        <v>450</v>
      </c>
      <c r="K147" s="187">
        <v>450</v>
      </c>
      <c r="L147" s="187">
        <v>450</v>
      </c>
      <c r="M147" s="187">
        <v>450</v>
      </c>
      <c r="N147" s="187">
        <v>450</v>
      </c>
      <c r="O147" s="187">
        <v>450</v>
      </c>
      <c r="P147" s="187">
        <v>450</v>
      </c>
      <c r="Q147" s="187">
        <v>500</v>
      </c>
      <c r="R147" s="187">
        <v>600</v>
      </c>
      <c r="S147" s="187">
        <v>600</v>
      </c>
      <c r="T147" s="187">
        <v>600</v>
      </c>
      <c r="U147" s="187">
        <v>645</v>
      </c>
      <c r="V147" s="187">
        <v>600</v>
      </c>
      <c r="W147" s="187">
        <v>500</v>
      </c>
      <c r="X147" s="187">
        <v>500</v>
      </c>
      <c r="Y147" s="187">
        <v>500</v>
      </c>
      <c r="Z147" s="187" t="s">
        <v>338</v>
      </c>
      <c r="AA147" s="187" t="s">
        <v>338</v>
      </c>
    </row>
    <row r="148" spans="2:27" ht="12" hidden="1" customHeight="1">
      <c r="B148" s="171" t="s">
        <v>771</v>
      </c>
      <c r="C148" s="171" t="s">
        <v>497</v>
      </c>
      <c r="D148" s="171" t="s">
        <v>498</v>
      </c>
      <c r="E148" s="171" t="s">
        <v>1300</v>
      </c>
      <c r="F148" s="187">
        <v>17</v>
      </c>
      <c r="G148" s="191">
        <v>46082</v>
      </c>
      <c r="H148" s="191"/>
      <c r="I148" s="187" t="s">
        <v>338</v>
      </c>
      <c r="J148" s="187" t="s">
        <v>338</v>
      </c>
      <c r="K148" s="187" t="s">
        <v>338</v>
      </c>
      <c r="L148" s="187" t="s">
        <v>338</v>
      </c>
      <c r="M148" s="187" t="s">
        <v>338</v>
      </c>
      <c r="N148" s="187" t="s">
        <v>338</v>
      </c>
      <c r="O148" s="187" t="s">
        <v>338</v>
      </c>
      <c r="P148" s="187" t="s">
        <v>338</v>
      </c>
      <c r="Q148" s="187" t="s">
        <v>338</v>
      </c>
      <c r="R148" s="187" t="s">
        <v>338</v>
      </c>
      <c r="S148" s="187" t="s">
        <v>338</v>
      </c>
      <c r="T148" s="187" t="s">
        <v>338</v>
      </c>
      <c r="U148" s="187" t="s">
        <v>338</v>
      </c>
      <c r="V148" s="187" t="s">
        <v>338</v>
      </c>
      <c r="W148" s="187">
        <v>1425</v>
      </c>
      <c r="X148" s="187">
        <v>705</v>
      </c>
      <c r="Y148" s="187">
        <v>947.4</v>
      </c>
      <c r="Z148" s="187">
        <v>1094</v>
      </c>
      <c r="AA148" s="187">
        <v>1317</v>
      </c>
    </row>
    <row r="149" spans="2:27" ht="12" hidden="1" customHeight="1">
      <c r="B149" s="171" t="s">
        <v>772</v>
      </c>
      <c r="C149" s="171" t="s">
        <v>497</v>
      </c>
      <c r="D149" s="171" t="s">
        <v>498</v>
      </c>
      <c r="E149" s="171" t="s">
        <v>1300</v>
      </c>
      <c r="F149" s="187">
        <v>4</v>
      </c>
      <c r="G149" s="191">
        <v>45748</v>
      </c>
      <c r="H149" s="191"/>
      <c r="I149" s="187" t="s">
        <v>338</v>
      </c>
      <c r="J149" s="187" t="s">
        <v>338</v>
      </c>
      <c r="K149" s="187" t="s">
        <v>338</v>
      </c>
      <c r="L149" s="187">
        <v>640</v>
      </c>
      <c r="M149" s="187">
        <v>340</v>
      </c>
      <c r="N149" s="187">
        <v>340</v>
      </c>
      <c r="O149" s="187">
        <v>400</v>
      </c>
      <c r="P149" s="187">
        <v>400</v>
      </c>
      <c r="Q149" s="187">
        <v>400</v>
      </c>
      <c r="R149" s="187">
        <v>400</v>
      </c>
      <c r="S149" s="187">
        <v>400</v>
      </c>
      <c r="T149" s="187">
        <v>400</v>
      </c>
      <c r="U149" s="187">
        <v>400</v>
      </c>
      <c r="V149" s="187">
        <v>550</v>
      </c>
      <c r="W149" s="187">
        <v>475</v>
      </c>
      <c r="X149" s="187">
        <v>495</v>
      </c>
      <c r="Y149" s="187">
        <v>495</v>
      </c>
      <c r="Z149" s="187">
        <v>495</v>
      </c>
      <c r="AA149" s="187">
        <v>495</v>
      </c>
    </row>
    <row r="150" spans="2:27" ht="12" customHeight="1">
      <c r="B150" s="171" t="s">
        <v>683</v>
      </c>
      <c r="C150" s="171" t="s">
        <v>562</v>
      </c>
      <c r="D150" s="171" t="s">
        <v>498</v>
      </c>
      <c r="E150" s="171" t="s">
        <v>1300</v>
      </c>
      <c r="F150" s="187">
        <v>13</v>
      </c>
      <c r="G150" s="191">
        <v>45627</v>
      </c>
      <c r="H150" s="191">
        <v>46112</v>
      </c>
      <c r="I150" s="187">
        <v>1150</v>
      </c>
      <c r="J150" s="187">
        <v>1630</v>
      </c>
      <c r="K150" s="187">
        <v>1000</v>
      </c>
      <c r="L150" s="187">
        <v>1000</v>
      </c>
      <c r="M150" s="187">
        <v>1500</v>
      </c>
      <c r="N150" s="187">
        <v>1075</v>
      </c>
      <c r="O150" s="187">
        <v>1075</v>
      </c>
      <c r="P150" s="187">
        <v>1075</v>
      </c>
      <c r="Q150" s="187">
        <v>1225</v>
      </c>
      <c r="R150" s="187">
        <v>1075</v>
      </c>
      <c r="S150" s="187">
        <v>1545</v>
      </c>
      <c r="T150" s="187">
        <v>1285</v>
      </c>
      <c r="U150" s="187">
        <v>1285</v>
      </c>
      <c r="V150" s="187">
        <v>1735</v>
      </c>
      <c r="W150" s="187">
        <v>1330</v>
      </c>
      <c r="X150" s="187">
        <v>0</v>
      </c>
      <c r="Y150" s="187" t="s">
        <v>338</v>
      </c>
      <c r="Z150" s="187" t="s">
        <v>338</v>
      </c>
      <c r="AA150" s="187" t="s">
        <v>338</v>
      </c>
    </row>
    <row r="151" spans="2:27" ht="12" hidden="1" customHeight="1">
      <c r="B151" s="171" t="s">
        <v>775</v>
      </c>
      <c r="C151" s="171" t="s">
        <v>562</v>
      </c>
      <c r="D151" s="171" t="s">
        <v>632</v>
      </c>
      <c r="E151" s="171" t="s">
        <v>1301</v>
      </c>
      <c r="F151" s="187" t="s">
        <v>338</v>
      </c>
      <c r="G151" s="191">
        <v>44927</v>
      </c>
      <c r="H151" s="191">
        <v>46234</v>
      </c>
      <c r="I151" s="187">
        <v>440</v>
      </c>
      <c r="J151" s="187">
        <v>455</v>
      </c>
      <c r="K151" s="187">
        <v>440</v>
      </c>
      <c r="L151" s="187">
        <v>440</v>
      </c>
      <c r="M151" s="187">
        <v>440</v>
      </c>
      <c r="N151" s="187">
        <v>440</v>
      </c>
      <c r="O151" s="187">
        <v>440</v>
      </c>
      <c r="P151" s="187">
        <v>440</v>
      </c>
      <c r="Q151" s="187">
        <v>440</v>
      </c>
      <c r="R151" s="187">
        <v>440</v>
      </c>
      <c r="S151" s="187">
        <v>440</v>
      </c>
      <c r="T151" s="187">
        <v>440</v>
      </c>
      <c r="U151" s="187">
        <v>455</v>
      </c>
      <c r="V151" s="187">
        <v>455</v>
      </c>
      <c r="W151" s="187">
        <v>455</v>
      </c>
      <c r="X151" s="187">
        <v>455</v>
      </c>
      <c r="Y151" s="187">
        <v>455</v>
      </c>
      <c r="Z151" s="187">
        <v>455</v>
      </c>
      <c r="AA151" s="187">
        <v>455</v>
      </c>
    </row>
    <row r="152" spans="2:27" ht="12" hidden="1" customHeight="1">
      <c r="B152" s="171" t="s">
        <v>778</v>
      </c>
      <c r="C152" s="171" t="s">
        <v>497</v>
      </c>
      <c r="D152" s="171" t="s">
        <v>678</v>
      </c>
      <c r="E152" s="171" t="s">
        <v>1178</v>
      </c>
      <c r="F152" s="187" t="s">
        <v>338</v>
      </c>
      <c r="G152" s="191">
        <v>45566</v>
      </c>
      <c r="H152" s="191"/>
      <c r="I152" s="187">
        <v>395</v>
      </c>
      <c r="J152" s="187">
        <v>785</v>
      </c>
      <c r="K152" s="187">
        <v>395</v>
      </c>
      <c r="L152" s="187">
        <v>395</v>
      </c>
      <c r="M152" s="187">
        <v>395</v>
      </c>
      <c r="N152" s="187">
        <v>395</v>
      </c>
      <c r="O152" s="187">
        <v>395</v>
      </c>
      <c r="P152" s="187">
        <v>395</v>
      </c>
      <c r="Q152" s="187">
        <v>395</v>
      </c>
      <c r="R152" s="187">
        <v>425</v>
      </c>
      <c r="S152" s="187">
        <v>425</v>
      </c>
      <c r="T152" s="187">
        <v>425</v>
      </c>
      <c r="U152" s="187">
        <v>425</v>
      </c>
      <c r="V152" s="187">
        <v>665</v>
      </c>
      <c r="W152" s="187">
        <v>425</v>
      </c>
      <c r="X152" s="187">
        <v>425</v>
      </c>
      <c r="Y152" s="187">
        <v>425</v>
      </c>
      <c r="Z152" s="187">
        <v>425</v>
      </c>
      <c r="AA152" s="187">
        <v>425</v>
      </c>
    </row>
    <row r="153" spans="2:27" ht="12" hidden="1" customHeight="1">
      <c r="B153" s="171" t="s">
        <v>779</v>
      </c>
      <c r="C153" s="171" t="s">
        <v>497</v>
      </c>
      <c r="D153" s="171" t="s">
        <v>678</v>
      </c>
      <c r="E153" s="171" t="s">
        <v>1178</v>
      </c>
      <c r="F153" s="187" t="s">
        <v>338</v>
      </c>
      <c r="G153" s="191">
        <v>45658</v>
      </c>
      <c r="H153" s="191"/>
      <c r="I153" s="187">
        <v>474</v>
      </c>
      <c r="J153" s="187">
        <v>568</v>
      </c>
      <c r="K153" s="187">
        <v>553</v>
      </c>
      <c r="L153" s="187">
        <v>553</v>
      </c>
      <c r="M153" s="187">
        <v>237</v>
      </c>
      <c r="N153" s="187">
        <v>400</v>
      </c>
      <c r="O153" s="187">
        <v>450</v>
      </c>
      <c r="P153" s="187">
        <v>450</v>
      </c>
      <c r="Q153" s="187">
        <v>450</v>
      </c>
      <c r="R153" s="187">
        <v>500</v>
      </c>
      <c r="S153" s="187">
        <v>450</v>
      </c>
      <c r="T153" s="187">
        <v>450</v>
      </c>
      <c r="U153" s="187">
        <v>450</v>
      </c>
      <c r="V153" s="187">
        <v>400</v>
      </c>
      <c r="W153" s="187">
        <v>400</v>
      </c>
      <c r="X153" s="187">
        <v>400</v>
      </c>
      <c r="Y153" s="187">
        <v>400</v>
      </c>
      <c r="Z153" s="187">
        <v>410</v>
      </c>
      <c r="AA153" s="187">
        <v>410</v>
      </c>
    </row>
    <row r="154" spans="2:27" ht="12" hidden="1" customHeight="1">
      <c r="B154" s="171" t="s">
        <v>780</v>
      </c>
      <c r="C154" s="171" t="s">
        <v>497</v>
      </c>
      <c r="D154" s="171" t="s">
        <v>498</v>
      </c>
      <c r="E154" s="171" t="s">
        <v>1300</v>
      </c>
      <c r="F154" s="187">
        <v>13</v>
      </c>
      <c r="G154" s="191">
        <v>46113</v>
      </c>
      <c r="H154" s="191"/>
      <c r="I154" s="187" t="s">
        <v>338</v>
      </c>
      <c r="J154" s="187" t="s">
        <v>338</v>
      </c>
      <c r="K154" s="187" t="s">
        <v>338</v>
      </c>
      <c r="L154" s="187" t="s">
        <v>338</v>
      </c>
      <c r="M154" s="187" t="s">
        <v>338</v>
      </c>
      <c r="N154" s="187" t="s">
        <v>338</v>
      </c>
      <c r="O154" s="187" t="s">
        <v>338</v>
      </c>
      <c r="P154" s="187" t="s">
        <v>338</v>
      </c>
      <c r="Q154" s="187" t="s">
        <v>338</v>
      </c>
      <c r="R154" s="187" t="s">
        <v>338</v>
      </c>
      <c r="S154" s="187" t="s">
        <v>338</v>
      </c>
      <c r="T154" s="187" t="s">
        <v>338</v>
      </c>
      <c r="U154" s="187" t="s">
        <v>338</v>
      </c>
      <c r="V154" s="187" t="s">
        <v>338</v>
      </c>
      <c r="W154" s="187" t="s">
        <v>338</v>
      </c>
      <c r="X154" s="187">
        <v>1360</v>
      </c>
      <c r="Y154" s="187">
        <v>1430</v>
      </c>
      <c r="Z154" s="187">
        <v>1430</v>
      </c>
      <c r="AA154" s="187">
        <v>935</v>
      </c>
    </row>
    <row r="155" spans="2:27" ht="12" hidden="1" customHeight="1">
      <c r="B155" s="171" t="s">
        <v>782</v>
      </c>
      <c r="C155" s="171" t="s">
        <v>497</v>
      </c>
      <c r="D155" s="171" t="s">
        <v>498</v>
      </c>
      <c r="E155" s="171" t="s">
        <v>1300</v>
      </c>
      <c r="F155" s="187">
        <v>5</v>
      </c>
      <c r="G155" s="191">
        <v>45870</v>
      </c>
      <c r="H155" s="191"/>
      <c r="I155" s="187" t="s">
        <v>338</v>
      </c>
      <c r="J155" s="187" t="s">
        <v>338</v>
      </c>
      <c r="K155" s="187" t="s">
        <v>338</v>
      </c>
      <c r="L155" s="187" t="s">
        <v>338</v>
      </c>
      <c r="M155" s="187" t="s">
        <v>338</v>
      </c>
      <c r="N155" s="187" t="s">
        <v>338</v>
      </c>
      <c r="O155" s="187" t="s">
        <v>338</v>
      </c>
      <c r="P155" s="187" t="s">
        <v>338</v>
      </c>
      <c r="Q155" s="187" t="s">
        <v>338</v>
      </c>
      <c r="R155" s="187" t="s">
        <v>338</v>
      </c>
      <c r="S155" s="187">
        <v>715</v>
      </c>
      <c r="T155" s="187">
        <v>490</v>
      </c>
      <c r="U155" s="187">
        <v>490</v>
      </c>
      <c r="V155" s="187">
        <v>520</v>
      </c>
      <c r="W155" s="187">
        <v>520</v>
      </c>
      <c r="X155" s="187">
        <v>625</v>
      </c>
      <c r="Y155" s="187">
        <v>625</v>
      </c>
      <c r="Z155" s="187">
        <v>539.86</v>
      </c>
      <c r="AA155" s="187">
        <v>625</v>
      </c>
    </row>
    <row r="156" spans="2:27" ht="12" hidden="1" customHeight="1">
      <c r="B156" s="171" t="s">
        <v>783</v>
      </c>
      <c r="C156" s="171" t="s">
        <v>497</v>
      </c>
      <c r="D156" s="171" t="s">
        <v>678</v>
      </c>
      <c r="E156" s="171" t="s">
        <v>1178</v>
      </c>
      <c r="F156" s="187" t="s">
        <v>338</v>
      </c>
      <c r="G156" s="191">
        <v>45870</v>
      </c>
      <c r="H156" s="191"/>
      <c r="I156" s="187" t="s">
        <v>338</v>
      </c>
      <c r="J156" s="187" t="s">
        <v>338</v>
      </c>
      <c r="K156" s="187" t="s">
        <v>338</v>
      </c>
      <c r="L156" s="187" t="s">
        <v>338</v>
      </c>
      <c r="M156" s="187" t="s">
        <v>338</v>
      </c>
      <c r="N156" s="187" t="s">
        <v>338</v>
      </c>
      <c r="O156" s="187" t="s">
        <v>338</v>
      </c>
      <c r="P156" s="187">
        <v>425</v>
      </c>
      <c r="Q156" s="187">
        <v>350</v>
      </c>
      <c r="R156" s="187">
        <v>350</v>
      </c>
      <c r="S156" s="187">
        <v>410</v>
      </c>
      <c r="T156" s="187">
        <v>410</v>
      </c>
      <c r="U156" s="187">
        <v>622.5</v>
      </c>
      <c r="V156" s="187">
        <v>500</v>
      </c>
      <c r="W156" s="187">
        <v>410</v>
      </c>
      <c r="X156" s="187">
        <v>410</v>
      </c>
      <c r="Y156" s="187">
        <v>410</v>
      </c>
      <c r="Z156" s="187">
        <v>410</v>
      </c>
      <c r="AA156" s="187">
        <v>410</v>
      </c>
    </row>
    <row r="157" spans="2:27" ht="12" customHeight="1">
      <c r="B157" s="171" t="s">
        <v>784</v>
      </c>
      <c r="C157" s="171" t="s">
        <v>562</v>
      </c>
      <c r="D157" s="171" t="s">
        <v>498</v>
      </c>
      <c r="E157" s="171" t="s">
        <v>1300</v>
      </c>
      <c r="F157" s="187">
        <v>14</v>
      </c>
      <c r="G157" s="191">
        <v>44896</v>
      </c>
      <c r="H157" s="191">
        <v>46112</v>
      </c>
      <c r="I157" s="187">
        <v>755</v>
      </c>
      <c r="J157" s="187">
        <v>560</v>
      </c>
      <c r="K157" s="187">
        <v>475</v>
      </c>
      <c r="L157" s="187">
        <v>475</v>
      </c>
      <c r="M157" s="187">
        <v>475</v>
      </c>
      <c r="N157" s="187">
        <v>475</v>
      </c>
      <c r="O157" s="187">
        <v>475</v>
      </c>
      <c r="P157" s="187">
        <v>560</v>
      </c>
      <c r="Q157" s="187">
        <v>560</v>
      </c>
      <c r="R157" s="187">
        <v>815</v>
      </c>
      <c r="S157" s="187">
        <v>560</v>
      </c>
      <c r="T157" s="187">
        <v>585</v>
      </c>
      <c r="U157" s="187">
        <v>670</v>
      </c>
      <c r="V157" s="187">
        <v>1045</v>
      </c>
      <c r="W157" s="187">
        <v>285</v>
      </c>
      <c r="X157" s="187" t="s">
        <v>338</v>
      </c>
      <c r="Y157" s="187" t="s">
        <v>338</v>
      </c>
      <c r="Z157" s="187" t="s">
        <v>338</v>
      </c>
      <c r="AA157" s="187" t="s">
        <v>338</v>
      </c>
    </row>
    <row r="158" spans="2:27" ht="12" hidden="1" customHeight="1">
      <c r="B158" s="171" t="s">
        <v>786</v>
      </c>
      <c r="C158" s="171" t="s">
        <v>497</v>
      </c>
      <c r="D158" s="171" t="s">
        <v>678</v>
      </c>
      <c r="E158" s="171" t="s">
        <v>1178</v>
      </c>
      <c r="F158" s="187">
        <v>0</v>
      </c>
      <c r="G158" s="191">
        <v>44866</v>
      </c>
      <c r="H158" s="191"/>
      <c r="I158" s="187">
        <v>400</v>
      </c>
      <c r="J158" s="187">
        <v>400</v>
      </c>
      <c r="K158" s="187">
        <v>470</v>
      </c>
      <c r="L158" s="187">
        <v>330</v>
      </c>
      <c r="M158" s="187">
        <v>400</v>
      </c>
      <c r="N158" s="187">
        <v>400</v>
      </c>
      <c r="O158" s="187">
        <v>400</v>
      </c>
      <c r="P158" s="187">
        <v>400</v>
      </c>
      <c r="Q158" s="187">
        <v>400</v>
      </c>
      <c r="R158" s="187">
        <v>400</v>
      </c>
      <c r="S158" s="187">
        <v>425</v>
      </c>
      <c r="T158" s="187">
        <v>425</v>
      </c>
      <c r="U158" s="187">
        <v>425</v>
      </c>
      <c r="V158" s="187">
        <v>425</v>
      </c>
      <c r="W158" s="187">
        <v>425</v>
      </c>
      <c r="X158" s="187">
        <v>425</v>
      </c>
      <c r="Y158" s="187">
        <v>425</v>
      </c>
      <c r="Z158" s="187">
        <v>425</v>
      </c>
      <c r="AA158" s="187">
        <v>425</v>
      </c>
    </row>
    <row r="159" spans="2:27" ht="12" hidden="1" customHeight="1">
      <c r="B159" s="171" t="s">
        <v>787</v>
      </c>
      <c r="C159" s="171" t="s">
        <v>497</v>
      </c>
      <c r="D159" s="171" t="s">
        <v>678</v>
      </c>
      <c r="E159" s="171" t="s">
        <v>1178</v>
      </c>
      <c r="F159" s="187">
        <v>11</v>
      </c>
      <c r="G159" s="191">
        <v>45231</v>
      </c>
      <c r="H159" s="191"/>
      <c r="I159" s="187">
        <v>400</v>
      </c>
      <c r="J159" s="187">
        <v>400</v>
      </c>
      <c r="K159" s="187">
        <v>400</v>
      </c>
      <c r="L159" s="187">
        <v>400</v>
      </c>
      <c r="M159" s="187">
        <v>400</v>
      </c>
      <c r="N159" s="187">
        <v>400</v>
      </c>
      <c r="O159" s="187">
        <v>400</v>
      </c>
      <c r="P159" s="187">
        <v>400</v>
      </c>
      <c r="Q159" s="187">
        <v>400</v>
      </c>
      <c r="R159" s="187">
        <v>400</v>
      </c>
      <c r="S159" s="187">
        <v>425</v>
      </c>
      <c r="T159" s="187">
        <v>425</v>
      </c>
      <c r="U159" s="187">
        <v>425</v>
      </c>
      <c r="V159" s="187">
        <v>425</v>
      </c>
      <c r="W159" s="187">
        <v>425</v>
      </c>
      <c r="X159" s="187">
        <v>425</v>
      </c>
      <c r="Y159" s="187">
        <v>425</v>
      </c>
      <c r="Z159" s="187">
        <v>425</v>
      </c>
      <c r="AA159" s="187">
        <v>425</v>
      </c>
    </row>
    <row r="160" spans="2:27" ht="12" hidden="1" customHeight="1">
      <c r="B160" s="171" t="s">
        <v>788</v>
      </c>
      <c r="C160" s="171" t="s">
        <v>497</v>
      </c>
      <c r="D160" s="171" t="s">
        <v>498</v>
      </c>
      <c r="E160" s="171" t="s">
        <v>1300</v>
      </c>
      <c r="F160" s="187">
        <v>2</v>
      </c>
      <c r="G160" s="191">
        <v>45444</v>
      </c>
      <c r="H160" s="191"/>
      <c r="I160" s="187">
        <v>395</v>
      </c>
      <c r="J160" s="187">
        <v>395</v>
      </c>
      <c r="K160" s="187">
        <v>395</v>
      </c>
      <c r="L160" s="187">
        <v>395</v>
      </c>
      <c r="M160" s="187">
        <v>395</v>
      </c>
      <c r="N160" s="187">
        <v>400</v>
      </c>
      <c r="O160" s="187">
        <v>400</v>
      </c>
      <c r="P160" s="187">
        <v>400</v>
      </c>
      <c r="Q160" s="187">
        <v>400</v>
      </c>
      <c r="R160" s="187">
        <v>400</v>
      </c>
      <c r="S160" s="187">
        <v>400</v>
      </c>
      <c r="T160" s="187">
        <v>400</v>
      </c>
      <c r="U160" s="187">
        <v>445</v>
      </c>
      <c r="V160" s="187">
        <v>400</v>
      </c>
      <c r="W160" s="187">
        <v>400</v>
      </c>
      <c r="X160" s="187">
        <v>400</v>
      </c>
      <c r="Y160" s="187">
        <v>400</v>
      </c>
      <c r="Z160" s="187">
        <v>478</v>
      </c>
      <c r="AA160" s="187">
        <v>478</v>
      </c>
    </row>
    <row r="161" spans="2:27" ht="12" hidden="1" customHeight="1">
      <c r="B161" s="171" t="s">
        <v>789</v>
      </c>
      <c r="C161" s="171" t="s">
        <v>497</v>
      </c>
      <c r="D161" s="171" t="s">
        <v>678</v>
      </c>
      <c r="E161" s="171" t="s">
        <v>1178</v>
      </c>
      <c r="F161" s="187" t="s">
        <v>338</v>
      </c>
      <c r="G161" s="191">
        <v>45839</v>
      </c>
      <c r="H161" s="191"/>
      <c r="I161" s="187" t="s">
        <v>338</v>
      </c>
      <c r="J161" s="187" t="s">
        <v>338</v>
      </c>
      <c r="K161" s="187" t="s">
        <v>338</v>
      </c>
      <c r="L161" s="187" t="s">
        <v>338</v>
      </c>
      <c r="M161" s="187" t="s">
        <v>338</v>
      </c>
      <c r="N161" s="187" t="s">
        <v>338</v>
      </c>
      <c r="O161" s="187">
        <v>640</v>
      </c>
      <c r="P161" s="187">
        <v>595</v>
      </c>
      <c r="Q161" s="187">
        <v>340</v>
      </c>
      <c r="R161" s="187">
        <v>400</v>
      </c>
      <c r="S161" s="187">
        <v>400</v>
      </c>
      <c r="T161" s="187">
        <v>400</v>
      </c>
      <c r="U161" s="187">
        <v>400</v>
      </c>
      <c r="V161" s="187">
        <v>430</v>
      </c>
      <c r="W161" s="187">
        <v>400</v>
      </c>
      <c r="X161" s="187">
        <v>400</v>
      </c>
      <c r="Y161" s="187">
        <v>400</v>
      </c>
      <c r="Z161" s="187">
        <v>400</v>
      </c>
      <c r="AA161" s="187">
        <v>418</v>
      </c>
    </row>
    <row r="162" spans="2:27" ht="12" hidden="1" customHeight="1">
      <c r="B162" s="171" t="s">
        <v>790</v>
      </c>
      <c r="C162" s="171" t="s">
        <v>562</v>
      </c>
      <c r="D162" s="171" t="s">
        <v>632</v>
      </c>
      <c r="E162" s="171" t="s">
        <v>1301</v>
      </c>
      <c r="F162" s="187" t="s">
        <v>338</v>
      </c>
      <c r="G162" s="191">
        <v>45292</v>
      </c>
      <c r="H162" s="191">
        <v>46234</v>
      </c>
      <c r="I162" s="187">
        <v>395</v>
      </c>
      <c r="J162" s="187">
        <v>395</v>
      </c>
      <c r="K162" s="187">
        <v>395</v>
      </c>
      <c r="L162" s="187">
        <v>395</v>
      </c>
      <c r="M162" s="187">
        <v>395</v>
      </c>
      <c r="N162" s="187">
        <v>395</v>
      </c>
      <c r="O162" s="187">
        <v>395</v>
      </c>
      <c r="P162" s="187">
        <v>410</v>
      </c>
      <c r="Q162" s="187">
        <v>410</v>
      </c>
      <c r="R162" s="187">
        <v>410</v>
      </c>
      <c r="S162" s="187">
        <v>410</v>
      </c>
      <c r="T162" s="187">
        <v>410</v>
      </c>
      <c r="U162" s="187">
        <v>410</v>
      </c>
      <c r="V162" s="187">
        <v>410</v>
      </c>
      <c r="W162" s="187">
        <v>410</v>
      </c>
      <c r="X162" s="187">
        <v>410</v>
      </c>
      <c r="Y162" s="187">
        <v>410</v>
      </c>
      <c r="Z162" s="187">
        <v>410</v>
      </c>
      <c r="AA162" s="187">
        <v>410</v>
      </c>
    </row>
    <row r="163" spans="2:27" ht="12" hidden="1" customHeight="1">
      <c r="B163" s="171" t="s">
        <v>792</v>
      </c>
      <c r="C163" s="171" t="s">
        <v>497</v>
      </c>
      <c r="D163" s="171" t="s">
        <v>498</v>
      </c>
      <c r="E163" s="171" t="s">
        <v>1300</v>
      </c>
      <c r="F163" s="187">
        <v>4</v>
      </c>
      <c r="G163" s="191">
        <v>45748</v>
      </c>
      <c r="H163" s="191"/>
      <c r="I163" s="187" t="s">
        <v>338</v>
      </c>
      <c r="J163" s="187" t="s">
        <v>338</v>
      </c>
      <c r="K163" s="187" t="s">
        <v>338</v>
      </c>
      <c r="L163" s="187">
        <v>640</v>
      </c>
      <c r="M163" s="187">
        <v>340</v>
      </c>
      <c r="N163" s="187">
        <v>340</v>
      </c>
      <c r="O163" s="187">
        <v>400</v>
      </c>
      <c r="P163" s="187">
        <v>400</v>
      </c>
      <c r="Q163" s="187">
        <v>400</v>
      </c>
      <c r="R163" s="187">
        <v>400</v>
      </c>
      <c r="S163" s="187">
        <v>400</v>
      </c>
      <c r="T163" s="187">
        <v>400</v>
      </c>
      <c r="U163" s="187">
        <v>400</v>
      </c>
      <c r="V163" s="187">
        <v>400</v>
      </c>
      <c r="W163" s="187">
        <v>445</v>
      </c>
      <c r="X163" s="187">
        <v>418</v>
      </c>
      <c r="Y163" s="187">
        <v>418</v>
      </c>
      <c r="Z163" s="187">
        <v>418</v>
      </c>
      <c r="AA163" s="187">
        <v>418</v>
      </c>
    </row>
    <row r="164" spans="2:27" ht="12" hidden="1" customHeight="1">
      <c r="B164" s="171" t="s">
        <v>793</v>
      </c>
      <c r="C164" s="171" t="s">
        <v>497</v>
      </c>
      <c r="D164" s="171" t="s">
        <v>678</v>
      </c>
      <c r="E164" s="171" t="s">
        <v>1178</v>
      </c>
      <c r="F164" s="187" t="s">
        <v>338</v>
      </c>
      <c r="G164" s="191">
        <v>44774</v>
      </c>
      <c r="H164" s="191"/>
      <c r="I164" s="187">
        <v>395</v>
      </c>
      <c r="J164" s="187">
        <v>455</v>
      </c>
      <c r="K164" s="187">
        <v>395</v>
      </c>
      <c r="L164" s="187">
        <v>395</v>
      </c>
      <c r="M164" s="187">
        <v>395</v>
      </c>
      <c r="N164" s="187">
        <v>395</v>
      </c>
      <c r="O164" s="187">
        <v>395</v>
      </c>
      <c r="P164" s="187">
        <v>400</v>
      </c>
      <c r="Q164" s="187">
        <v>400</v>
      </c>
      <c r="R164" s="187">
        <v>400</v>
      </c>
      <c r="S164" s="187">
        <v>400</v>
      </c>
      <c r="T164" s="187">
        <v>400</v>
      </c>
      <c r="U164" s="187">
        <v>400</v>
      </c>
      <c r="V164" s="187">
        <v>400</v>
      </c>
      <c r="W164" s="187">
        <v>400</v>
      </c>
      <c r="X164" s="187">
        <v>475</v>
      </c>
      <c r="Y164" s="187">
        <v>400</v>
      </c>
      <c r="Z164" s="187">
        <v>400</v>
      </c>
      <c r="AA164" s="187">
        <v>400</v>
      </c>
    </row>
    <row r="165" spans="2:27" ht="12" hidden="1" customHeight="1">
      <c r="B165" s="171" t="s">
        <v>795</v>
      </c>
      <c r="C165" s="171" t="s">
        <v>497</v>
      </c>
      <c r="D165" s="171" t="s">
        <v>678</v>
      </c>
      <c r="E165" s="171" t="s">
        <v>1178</v>
      </c>
      <c r="F165" s="187">
        <v>12</v>
      </c>
      <c r="G165" s="191">
        <v>45809</v>
      </c>
      <c r="H165" s="191"/>
      <c r="I165" s="187" t="s">
        <v>338</v>
      </c>
      <c r="J165" s="187" t="s">
        <v>338</v>
      </c>
      <c r="K165" s="187" t="s">
        <v>338</v>
      </c>
      <c r="L165" s="187" t="s">
        <v>338</v>
      </c>
      <c r="M165" s="187" t="s">
        <v>338</v>
      </c>
      <c r="N165" s="187">
        <v>400</v>
      </c>
      <c r="O165" s="187">
        <v>400</v>
      </c>
      <c r="P165" s="187">
        <v>400</v>
      </c>
      <c r="Q165" s="187">
        <v>400</v>
      </c>
      <c r="R165" s="187">
        <v>400</v>
      </c>
      <c r="S165" s="187">
        <v>400</v>
      </c>
      <c r="T165" s="187">
        <v>400</v>
      </c>
      <c r="U165" s="187">
        <v>400</v>
      </c>
      <c r="V165" s="187">
        <v>430</v>
      </c>
      <c r="W165" s="187">
        <v>400</v>
      </c>
      <c r="X165" s="187">
        <v>400</v>
      </c>
      <c r="Y165" s="187">
        <v>400</v>
      </c>
      <c r="Z165" s="187">
        <v>418</v>
      </c>
      <c r="AA165" s="187">
        <v>418</v>
      </c>
    </row>
    <row r="166" spans="2:27" ht="12" hidden="1" customHeight="1">
      <c r="B166" s="171" t="s">
        <v>796</v>
      </c>
      <c r="C166" s="171" t="s">
        <v>562</v>
      </c>
      <c r="D166" s="171" t="s">
        <v>632</v>
      </c>
      <c r="E166" s="171" t="s">
        <v>1301</v>
      </c>
      <c r="F166" s="187" t="s">
        <v>338</v>
      </c>
      <c r="G166" s="191">
        <v>44805</v>
      </c>
      <c r="H166" s="191">
        <v>46234</v>
      </c>
      <c r="I166" s="187">
        <v>395</v>
      </c>
      <c r="J166" s="187">
        <v>425</v>
      </c>
      <c r="K166" s="187">
        <v>395</v>
      </c>
      <c r="L166" s="187">
        <v>395</v>
      </c>
      <c r="M166" s="187">
        <v>395</v>
      </c>
      <c r="N166" s="187">
        <v>395</v>
      </c>
      <c r="O166" s="187">
        <v>395</v>
      </c>
      <c r="P166" s="187">
        <v>395</v>
      </c>
      <c r="Q166" s="187">
        <v>405</v>
      </c>
      <c r="R166" s="187">
        <v>405</v>
      </c>
      <c r="S166" s="187">
        <v>405</v>
      </c>
      <c r="T166" s="187">
        <v>405</v>
      </c>
      <c r="U166" s="187">
        <v>405</v>
      </c>
      <c r="V166" s="187">
        <v>420</v>
      </c>
      <c r="W166" s="187">
        <v>405</v>
      </c>
      <c r="X166" s="187">
        <v>405</v>
      </c>
      <c r="Y166" s="187">
        <v>405</v>
      </c>
      <c r="Z166" s="187">
        <v>405</v>
      </c>
      <c r="AA166" s="187">
        <v>405</v>
      </c>
    </row>
    <row r="167" spans="2:27" ht="12" hidden="1" customHeight="1">
      <c r="B167" s="171" t="s">
        <v>797</v>
      </c>
      <c r="C167" s="171" t="s">
        <v>497</v>
      </c>
      <c r="D167" s="171" t="s">
        <v>678</v>
      </c>
      <c r="E167" s="171" t="s">
        <v>1178</v>
      </c>
      <c r="F167" s="187" t="s">
        <v>338</v>
      </c>
      <c r="G167" s="191">
        <v>45778</v>
      </c>
      <c r="H167" s="191"/>
      <c r="I167" s="187" t="s">
        <v>338</v>
      </c>
      <c r="J167" s="187" t="s">
        <v>338</v>
      </c>
      <c r="K167" s="187" t="s">
        <v>338</v>
      </c>
      <c r="L167" s="187" t="s">
        <v>338</v>
      </c>
      <c r="M167" s="187">
        <v>340</v>
      </c>
      <c r="N167" s="187">
        <v>340</v>
      </c>
      <c r="O167" s="187">
        <v>340</v>
      </c>
      <c r="P167" s="187">
        <v>400</v>
      </c>
      <c r="Q167" s="187">
        <v>400</v>
      </c>
      <c r="R167" s="187">
        <v>400</v>
      </c>
      <c r="S167" s="187">
        <v>400</v>
      </c>
      <c r="T167" s="187">
        <v>400</v>
      </c>
      <c r="U167" s="187">
        <v>400</v>
      </c>
      <c r="V167" s="187">
        <v>400</v>
      </c>
      <c r="W167" s="187">
        <v>400</v>
      </c>
      <c r="X167" s="187">
        <v>400</v>
      </c>
      <c r="Y167" s="187">
        <v>418</v>
      </c>
      <c r="Z167" s="187">
        <v>418</v>
      </c>
      <c r="AA167" s="187">
        <v>418</v>
      </c>
    </row>
    <row r="168" spans="2:27" ht="12" hidden="1" customHeight="1">
      <c r="B168" s="171" t="s">
        <v>798</v>
      </c>
      <c r="C168" s="171" t="s">
        <v>497</v>
      </c>
      <c r="D168" s="171" t="s">
        <v>678</v>
      </c>
      <c r="E168" s="171" t="s">
        <v>1178</v>
      </c>
      <c r="F168" s="187" t="s">
        <v>338</v>
      </c>
      <c r="G168" s="191">
        <v>45261</v>
      </c>
      <c r="H168" s="191"/>
      <c r="I168" s="187">
        <v>415</v>
      </c>
      <c r="J168" s="187">
        <v>400</v>
      </c>
      <c r="K168" s="187">
        <v>400</v>
      </c>
      <c r="L168" s="187">
        <v>400</v>
      </c>
      <c r="M168" s="187">
        <v>400</v>
      </c>
      <c r="N168" s="187">
        <v>400</v>
      </c>
      <c r="O168" s="187">
        <v>400</v>
      </c>
      <c r="P168" s="187">
        <v>400</v>
      </c>
      <c r="Q168" s="187">
        <v>400</v>
      </c>
      <c r="R168" s="187">
        <v>400</v>
      </c>
      <c r="S168" s="187">
        <v>400</v>
      </c>
      <c r="T168" s="187">
        <v>400</v>
      </c>
      <c r="U168" s="187">
        <v>400</v>
      </c>
      <c r="V168" s="187">
        <v>430</v>
      </c>
      <c r="W168" s="187">
        <v>400</v>
      </c>
      <c r="X168" s="187">
        <v>400</v>
      </c>
      <c r="Y168" s="187">
        <v>400</v>
      </c>
      <c r="Z168" s="187">
        <v>400</v>
      </c>
      <c r="AA168" s="187">
        <v>400</v>
      </c>
    </row>
    <row r="169" spans="2:27" ht="12" customHeight="1">
      <c r="B169" s="171" t="s">
        <v>799</v>
      </c>
      <c r="C169" s="171" t="s">
        <v>562</v>
      </c>
      <c r="D169" s="171" t="s">
        <v>678</v>
      </c>
      <c r="E169" s="171" t="s">
        <v>1178</v>
      </c>
      <c r="F169" s="187" t="s">
        <v>338</v>
      </c>
      <c r="G169" s="191">
        <v>45748</v>
      </c>
      <c r="H169" s="191">
        <v>46112</v>
      </c>
      <c r="I169" s="187" t="s">
        <v>338</v>
      </c>
      <c r="J169" s="187" t="s">
        <v>338</v>
      </c>
      <c r="K169" s="187" t="s">
        <v>338</v>
      </c>
      <c r="L169" s="187">
        <v>878.75</v>
      </c>
      <c r="M169" s="187">
        <v>503.75</v>
      </c>
      <c r="N169" s="187">
        <v>503.75</v>
      </c>
      <c r="O169" s="187">
        <v>575</v>
      </c>
      <c r="P169" s="187">
        <v>575</v>
      </c>
      <c r="Q169" s="187">
        <v>575</v>
      </c>
      <c r="R169" s="187">
        <v>575</v>
      </c>
      <c r="S169" s="187">
        <v>575</v>
      </c>
      <c r="T169" s="187">
        <v>575</v>
      </c>
      <c r="U169" s="187">
        <v>575</v>
      </c>
      <c r="V169" s="187">
        <v>795</v>
      </c>
      <c r="W169" s="187">
        <v>575</v>
      </c>
      <c r="X169" s="187" t="s">
        <v>338</v>
      </c>
      <c r="Y169" s="187" t="s">
        <v>338</v>
      </c>
      <c r="Z169" s="187" t="s">
        <v>338</v>
      </c>
      <c r="AA169" s="187" t="s">
        <v>338</v>
      </c>
    </row>
    <row r="170" spans="2:27" ht="12" hidden="1" customHeight="1">
      <c r="B170" s="171" t="s">
        <v>800</v>
      </c>
      <c r="C170" s="171" t="s">
        <v>497</v>
      </c>
      <c r="D170" s="171" t="s">
        <v>498</v>
      </c>
      <c r="E170" s="171" t="s">
        <v>1300</v>
      </c>
      <c r="F170" s="187">
        <v>15</v>
      </c>
      <c r="G170" s="191">
        <v>46143</v>
      </c>
      <c r="H170" s="191"/>
      <c r="I170" s="187" t="s">
        <v>338</v>
      </c>
      <c r="J170" s="187" t="s">
        <v>338</v>
      </c>
      <c r="K170" s="187" t="s">
        <v>338</v>
      </c>
      <c r="L170" s="187" t="s">
        <v>338</v>
      </c>
      <c r="M170" s="187" t="s">
        <v>338</v>
      </c>
      <c r="N170" s="187" t="s">
        <v>338</v>
      </c>
      <c r="O170" s="187" t="s">
        <v>338</v>
      </c>
      <c r="P170" s="187" t="s">
        <v>338</v>
      </c>
      <c r="Q170" s="187" t="s">
        <v>338</v>
      </c>
      <c r="R170" s="187" t="s">
        <v>338</v>
      </c>
      <c r="S170" s="187" t="s">
        <v>338</v>
      </c>
      <c r="T170" s="187" t="s">
        <v>338</v>
      </c>
      <c r="U170" s="187" t="s">
        <v>338</v>
      </c>
      <c r="V170" s="187" t="s">
        <v>338</v>
      </c>
      <c r="W170" s="187" t="s">
        <v>338</v>
      </c>
      <c r="X170" s="187" t="s">
        <v>338</v>
      </c>
      <c r="Y170" s="187">
        <v>2696</v>
      </c>
      <c r="Z170" s="187">
        <v>974</v>
      </c>
      <c r="AA170" s="187">
        <v>1108</v>
      </c>
    </row>
    <row r="171" spans="2:27" ht="12" hidden="1" customHeight="1">
      <c r="B171" s="171" t="s">
        <v>801</v>
      </c>
      <c r="C171" s="171" t="s">
        <v>562</v>
      </c>
      <c r="D171" s="171" t="s">
        <v>632</v>
      </c>
      <c r="E171" s="171" t="s">
        <v>1301</v>
      </c>
      <c r="F171" s="187" t="s">
        <v>338</v>
      </c>
      <c r="G171" s="191">
        <v>44317</v>
      </c>
      <c r="H171" s="191">
        <v>46234</v>
      </c>
      <c r="I171" s="187">
        <v>385</v>
      </c>
      <c r="J171" s="187">
        <v>385</v>
      </c>
      <c r="K171" s="187">
        <v>385</v>
      </c>
      <c r="L171" s="187">
        <v>385</v>
      </c>
      <c r="M171" s="187">
        <v>385</v>
      </c>
      <c r="N171" s="187">
        <v>385</v>
      </c>
      <c r="O171" s="187">
        <v>385</v>
      </c>
      <c r="P171" s="187">
        <v>385</v>
      </c>
      <c r="Q171" s="187">
        <v>385</v>
      </c>
      <c r="R171" s="187">
        <v>385</v>
      </c>
      <c r="S171" s="187">
        <v>385</v>
      </c>
      <c r="T171" s="187">
        <v>385</v>
      </c>
      <c r="U171" s="187">
        <v>400</v>
      </c>
      <c r="V171" s="187">
        <v>400</v>
      </c>
      <c r="W171" s="187">
        <v>400</v>
      </c>
      <c r="X171" s="187">
        <v>400</v>
      </c>
      <c r="Y171" s="187">
        <v>400</v>
      </c>
      <c r="Z171" s="187">
        <v>400</v>
      </c>
      <c r="AA171" s="187">
        <v>400</v>
      </c>
    </row>
    <row r="172" spans="2:27" ht="12" hidden="1" customHeight="1">
      <c r="B172" s="171" t="s">
        <v>803</v>
      </c>
      <c r="C172" s="171" t="s">
        <v>497</v>
      </c>
      <c r="D172" s="171" t="s">
        <v>498</v>
      </c>
      <c r="E172" s="171" t="s">
        <v>1300</v>
      </c>
      <c r="F172" s="187">
        <v>10</v>
      </c>
      <c r="G172" s="191">
        <v>45809</v>
      </c>
      <c r="H172" s="191"/>
      <c r="I172" s="187" t="s">
        <v>338</v>
      </c>
      <c r="J172" s="187" t="s">
        <v>338</v>
      </c>
      <c r="K172" s="187" t="s">
        <v>338</v>
      </c>
      <c r="L172" s="187" t="s">
        <v>338</v>
      </c>
      <c r="M172" s="187" t="s">
        <v>338</v>
      </c>
      <c r="N172" s="187">
        <v>350</v>
      </c>
      <c r="O172" s="187">
        <v>360</v>
      </c>
      <c r="P172" s="187">
        <v>400</v>
      </c>
      <c r="Q172" s="187">
        <v>400</v>
      </c>
      <c r="R172" s="187">
        <v>420</v>
      </c>
      <c r="S172" s="187">
        <v>530</v>
      </c>
      <c r="T172" s="187">
        <v>625</v>
      </c>
      <c r="U172" s="187">
        <v>345</v>
      </c>
      <c r="V172" s="187">
        <v>300</v>
      </c>
      <c r="W172" s="187">
        <v>300</v>
      </c>
      <c r="X172" s="187">
        <v>300</v>
      </c>
      <c r="Y172" s="187">
        <v>360</v>
      </c>
      <c r="Z172" s="187">
        <v>360</v>
      </c>
      <c r="AA172" s="187">
        <v>369.9</v>
      </c>
    </row>
    <row r="173" spans="2:27" ht="12" hidden="1" customHeight="1">
      <c r="B173" s="171" t="s">
        <v>804</v>
      </c>
      <c r="C173" s="171" t="s">
        <v>497</v>
      </c>
      <c r="D173" s="171" t="s">
        <v>498</v>
      </c>
      <c r="E173" s="171" t="s">
        <v>1300</v>
      </c>
      <c r="F173" s="187">
        <v>2</v>
      </c>
      <c r="G173" s="191">
        <v>45839</v>
      </c>
      <c r="H173" s="191"/>
      <c r="I173" s="187" t="s">
        <v>338</v>
      </c>
      <c r="J173" s="187" t="s">
        <v>338</v>
      </c>
      <c r="K173" s="187" t="s">
        <v>338</v>
      </c>
      <c r="L173" s="187" t="s">
        <v>338</v>
      </c>
      <c r="M173" s="187" t="s">
        <v>338</v>
      </c>
      <c r="N173" s="187" t="s">
        <v>338</v>
      </c>
      <c r="O173" s="187">
        <v>340</v>
      </c>
      <c r="P173" s="187">
        <v>340</v>
      </c>
      <c r="Q173" s="187">
        <v>340</v>
      </c>
      <c r="R173" s="187">
        <v>400</v>
      </c>
      <c r="S173" s="187">
        <v>400</v>
      </c>
      <c r="T173" s="187">
        <v>400</v>
      </c>
      <c r="U173" s="187">
        <v>430</v>
      </c>
      <c r="V173" s="187">
        <v>400</v>
      </c>
      <c r="W173" s="187">
        <v>400</v>
      </c>
      <c r="X173" s="187">
        <v>400</v>
      </c>
      <c r="Y173" s="187">
        <v>400</v>
      </c>
      <c r="Z173" s="187">
        <v>400</v>
      </c>
      <c r="AA173" s="187">
        <v>358</v>
      </c>
    </row>
    <row r="174" spans="2:27" ht="12" hidden="1" customHeight="1">
      <c r="B174" s="171" t="s">
        <v>806</v>
      </c>
      <c r="C174" s="171" t="s">
        <v>562</v>
      </c>
      <c r="D174" s="171" t="s">
        <v>632</v>
      </c>
      <c r="E174" s="171" t="s">
        <v>1301</v>
      </c>
      <c r="F174" s="187" t="s">
        <v>338</v>
      </c>
      <c r="G174" s="191">
        <v>44470</v>
      </c>
      <c r="H174" s="191">
        <v>46234</v>
      </c>
      <c r="I174" s="187">
        <v>480</v>
      </c>
      <c r="J174" s="187">
        <v>375</v>
      </c>
      <c r="K174" s="187">
        <v>375</v>
      </c>
      <c r="L174" s="187">
        <v>375</v>
      </c>
      <c r="M174" s="187">
        <v>375</v>
      </c>
      <c r="N174" s="187">
        <v>375</v>
      </c>
      <c r="O174" s="187">
        <v>375</v>
      </c>
      <c r="P174" s="187">
        <v>375</v>
      </c>
      <c r="Q174" s="187">
        <v>375</v>
      </c>
      <c r="R174" s="187">
        <v>385</v>
      </c>
      <c r="S174" s="187">
        <v>385</v>
      </c>
      <c r="T174" s="187">
        <v>385</v>
      </c>
      <c r="U174" s="187">
        <v>385</v>
      </c>
      <c r="V174" s="187">
        <v>445</v>
      </c>
      <c r="W174" s="187">
        <v>385</v>
      </c>
      <c r="X174" s="187">
        <v>385</v>
      </c>
      <c r="Y174" s="187">
        <v>385</v>
      </c>
      <c r="Z174" s="187">
        <v>385</v>
      </c>
      <c r="AA174" s="187">
        <v>385</v>
      </c>
    </row>
    <row r="175" spans="2:27" ht="12" hidden="1" customHeight="1">
      <c r="B175" s="171" t="s">
        <v>809</v>
      </c>
      <c r="C175" s="171" t="s">
        <v>562</v>
      </c>
      <c r="D175" s="171" t="s">
        <v>498</v>
      </c>
      <c r="E175" s="171" t="s">
        <v>1300</v>
      </c>
      <c r="F175" s="187">
        <v>0</v>
      </c>
      <c r="G175" s="191">
        <v>45778</v>
      </c>
      <c r="H175" s="191">
        <v>46142</v>
      </c>
      <c r="I175" s="187" t="s">
        <v>338</v>
      </c>
      <c r="J175" s="187" t="s">
        <v>338</v>
      </c>
      <c r="K175" s="187" t="s">
        <v>338</v>
      </c>
      <c r="L175" s="187" t="s">
        <v>338</v>
      </c>
      <c r="M175" s="187">
        <v>820</v>
      </c>
      <c r="N175" s="187">
        <v>520</v>
      </c>
      <c r="O175" s="187">
        <v>520</v>
      </c>
      <c r="P175" s="187">
        <v>500</v>
      </c>
      <c r="Q175" s="187">
        <v>500</v>
      </c>
      <c r="R175" s="187">
        <v>490</v>
      </c>
      <c r="S175" s="187">
        <v>490</v>
      </c>
      <c r="T175" s="187">
        <v>520</v>
      </c>
      <c r="U175" s="187">
        <v>520</v>
      </c>
      <c r="V175" s="187">
        <v>580</v>
      </c>
      <c r="W175" s="187">
        <v>520</v>
      </c>
      <c r="X175" s="187">
        <v>520</v>
      </c>
      <c r="Y175" s="187" t="s">
        <v>338</v>
      </c>
      <c r="Z175" s="187" t="s">
        <v>338</v>
      </c>
      <c r="AA175" s="187" t="s">
        <v>338</v>
      </c>
    </row>
    <row r="176" spans="2:27" ht="12" hidden="1" customHeight="1">
      <c r="B176" s="171" t="s">
        <v>810</v>
      </c>
      <c r="C176" s="171" t="s">
        <v>562</v>
      </c>
      <c r="D176" s="171" t="s">
        <v>498</v>
      </c>
      <c r="E176" s="171" t="s">
        <v>1300</v>
      </c>
      <c r="F176" s="187">
        <v>0</v>
      </c>
      <c r="G176" s="191">
        <v>45323</v>
      </c>
      <c r="H176" s="191">
        <v>46203</v>
      </c>
      <c r="I176" s="187">
        <v>585</v>
      </c>
      <c r="J176" s="187">
        <v>475</v>
      </c>
      <c r="K176" s="187">
        <v>550</v>
      </c>
      <c r="L176" s="187">
        <v>550</v>
      </c>
      <c r="M176" s="187">
        <v>550</v>
      </c>
      <c r="N176" s="187">
        <v>550</v>
      </c>
      <c r="O176" s="187">
        <v>550</v>
      </c>
      <c r="P176" s="187">
        <v>550</v>
      </c>
      <c r="Q176" s="187">
        <v>400</v>
      </c>
      <c r="R176" s="187">
        <v>400</v>
      </c>
      <c r="S176" s="187">
        <v>400</v>
      </c>
      <c r="T176" s="187">
        <v>400</v>
      </c>
      <c r="U176" s="187">
        <v>685</v>
      </c>
      <c r="V176" s="187">
        <v>358</v>
      </c>
      <c r="W176" s="187">
        <v>358</v>
      </c>
      <c r="X176" s="187">
        <v>358</v>
      </c>
      <c r="Y176" s="187">
        <v>358</v>
      </c>
      <c r="Z176" s="187">
        <v>358</v>
      </c>
      <c r="AA176" s="187" t="s">
        <v>338</v>
      </c>
    </row>
    <row r="177" spans="2:27" ht="12" hidden="1" customHeight="1">
      <c r="B177" s="171" t="s">
        <v>811</v>
      </c>
      <c r="C177" s="171" t="s">
        <v>562</v>
      </c>
      <c r="D177" s="171" t="s">
        <v>632</v>
      </c>
      <c r="E177" s="171" t="s">
        <v>1301</v>
      </c>
      <c r="F177" s="187" t="s">
        <v>338</v>
      </c>
      <c r="G177" s="191">
        <v>45170</v>
      </c>
      <c r="H177" s="191">
        <v>46234</v>
      </c>
      <c r="I177" s="187">
        <v>375</v>
      </c>
      <c r="J177" s="187">
        <v>375</v>
      </c>
      <c r="K177" s="187">
        <v>375</v>
      </c>
      <c r="L177" s="187">
        <v>375</v>
      </c>
      <c r="M177" s="187">
        <v>375</v>
      </c>
      <c r="N177" s="187">
        <v>375</v>
      </c>
      <c r="O177" s="187">
        <v>375</v>
      </c>
      <c r="P177" s="187">
        <v>375</v>
      </c>
      <c r="Q177" s="187">
        <v>375</v>
      </c>
      <c r="R177" s="187">
        <v>385</v>
      </c>
      <c r="S177" s="187">
        <v>385</v>
      </c>
      <c r="T177" s="187">
        <v>385</v>
      </c>
      <c r="U177" s="187">
        <v>385</v>
      </c>
      <c r="V177" s="187">
        <v>385</v>
      </c>
      <c r="W177" s="187">
        <v>385</v>
      </c>
      <c r="X177" s="187">
        <v>385</v>
      </c>
      <c r="Y177" s="187">
        <v>385</v>
      </c>
      <c r="Z177" s="187">
        <v>385</v>
      </c>
      <c r="AA177" s="187">
        <v>385</v>
      </c>
    </row>
    <row r="178" spans="2:27" ht="12" hidden="1" customHeight="1">
      <c r="B178" s="171" t="s">
        <v>813</v>
      </c>
      <c r="C178" s="171" t="s">
        <v>497</v>
      </c>
      <c r="D178" s="171" t="s">
        <v>498</v>
      </c>
      <c r="E178" s="171" t="s">
        <v>1300</v>
      </c>
      <c r="F178" s="187">
        <v>3</v>
      </c>
      <c r="G178" s="191">
        <v>45413</v>
      </c>
      <c r="H178" s="191"/>
      <c r="I178" s="187">
        <v>400</v>
      </c>
      <c r="J178" s="187">
        <v>325</v>
      </c>
      <c r="K178" s="187">
        <v>325</v>
      </c>
      <c r="L178" s="187">
        <v>575</v>
      </c>
      <c r="M178" s="187">
        <v>325</v>
      </c>
      <c r="N178" s="187">
        <v>325</v>
      </c>
      <c r="O178" s="187">
        <v>430</v>
      </c>
      <c r="P178" s="187">
        <v>360</v>
      </c>
      <c r="Q178" s="187">
        <v>360</v>
      </c>
      <c r="R178" s="187">
        <v>360</v>
      </c>
      <c r="S178" s="187">
        <v>375</v>
      </c>
      <c r="T178" s="187">
        <v>375</v>
      </c>
      <c r="U178" s="187">
        <v>465</v>
      </c>
      <c r="V178" s="187">
        <v>375</v>
      </c>
      <c r="W178" s="187">
        <v>375</v>
      </c>
      <c r="X178" s="187">
        <v>375</v>
      </c>
      <c r="Y178" s="187">
        <v>375</v>
      </c>
      <c r="Z178" s="187">
        <v>375</v>
      </c>
      <c r="AA178" s="187">
        <v>418</v>
      </c>
    </row>
    <row r="179" spans="2:27" ht="12" hidden="1" customHeight="1">
      <c r="B179" s="171" t="s">
        <v>814</v>
      </c>
      <c r="C179" s="171" t="s">
        <v>497</v>
      </c>
      <c r="D179" s="171" t="s">
        <v>678</v>
      </c>
      <c r="E179" s="171" t="s">
        <v>1178</v>
      </c>
      <c r="F179" s="187">
        <v>0</v>
      </c>
      <c r="G179" s="191">
        <v>44958</v>
      </c>
      <c r="H179" s="191"/>
      <c r="I179" s="187">
        <v>500</v>
      </c>
      <c r="J179" s="187">
        <v>425</v>
      </c>
      <c r="K179" s="187">
        <v>300</v>
      </c>
      <c r="L179" s="187">
        <v>300</v>
      </c>
      <c r="M179" s="187">
        <v>400</v>
      </c>
      <c r="N179" s="187">
        <v>400</v>
      </c>
      <c r="O179" s="187">
        <v>400</v>
      </c>
      <c r="P179" s="187">
        <v>400</v>
      </c>
      <c r="Q179" s="187">
        <v>200</v>
      </c>
      <c r="R179" s="187">
        <v>350</v>
      </c>
      <c r="S179" s="187">
        <v>350</v>
      </c>
      <c r="T179" s="187">
        <v>350</v>
      </c>
      <c r="U179" s="187">
        <v>350</v>
      </c>
      <c r="V179" s="187">
        <v>485</v>
      </c>
      <c r="W179" s="187">
        <v>410</v>
      </c>
      <c r="X179" s="187">
        <v>410</v>
      </c>
      <c r="Y179" s="187">
        <v>410</v>
      </c>
      <c r="Z179" s="187">
        <v>410</v>
      </c>
      <c r="AA179" s="187">
        <v>410</v>
      </c>
    </row>
    <row r="180" spans="2:27" ht="12" hidden="1" customHeight="1">
      <c r="B180" s="171" t="s">
        <v>815</v>
      </c>
      <c r="C180" s="171" t="s">
        <v>497</v>
      </c>
      <c r="D180" s="171" t="s">
        <v>678</v>
      </c>
      <c r="E180" s="171" t="s">
        <v>1178</v>
      </c>
      <c r="F180" s="187">
        <v>2</v>
      </c>
      <c r="G180" s="191">
        <v>45931</v>
      </c>
      <c r="H180" s="191"/>
      <c r="I180" s="187" t="s">
        <v>338</v>
      </c>
      <c r="J180" s="187" t="s">
        <v>338</v>
      </c>
      <c r="K180" s="187" t="s">
        <v>338</v>
      </c>
      <c r="L180" s="187" t="s">
        <v>338</v>
      </c>
      <c r="M180" s="187" t="s">
        <v>338</v>
      </c>
      <c r="N180" s="187" t="s">
        <v>338</v>
      </c>
      <c r="O180" s="187" t="s">
        <v>338</v>
      </c>
      <c r="P180" s="187" t="s">
        <v>338</v>
      </c>
      <c r="Q180" s="187" t="s">
        <v>338</v>
      </c>
      <c r="R180" s="187">
        <v>700</v>
      </c>
      <c r="S180" s="187">
        <v>400</v>
      </c>
      <c r="T180" s="187">
        <v>420</v>
      </c>
      <c r="U180" s="187">
        <v>270</v>
      </c>
      <c r="V180" s="187">
        <v>525</v>
      </c>
      <c r="W180" s="187">
        <v>420</v>
      </c>
      <c r="X180" s="187">
        <v>420</v>
      </c>
      <c r="Y180" s="187">
        <v>420</v>
      </c>
      <c r="Z180" s="187">
        <v>420</v>
      </c>
      <c r="AA180" s="187">
        <v>420</v>
      </c>
    </row>
    <row r="181" spans="2:27" ht="12" hidden="1" customHeight="1">
      <c r="B181" s="171" t="s">
        <v>816</v>
      </c>
      <c r="C181" s="171" t="s">
        <v>562</v>
      </c>
      <c r="D181" s="171" t="s">
        <v>678</v>
      </c>
      <c r="E181" s="171" t="s">
        <v>1178</v>
      </c>
      <c r="F181" s="187" t="s">
        <v>338</v>
      </c>
      <c r="G181" s="191">
        <v>45809</v>
      </c>
      <c r="H181" s="191">
        <v>46173</v>
      </c>
      <c r="I181" s="187" t="s">
        <v>338</v>
      </c>
      <c r="J181" s="187" t="s">
        <v>338</v>
      </c>
      <c r="K181" s="187" t="s">
        <v>338</v>
      </c>
      <c r="L181" s="187" t="s">
        <v>338</v>
      </c>
      <c r="M181" s="187" t="s">
        <v>338</v>
      </c>
      <c r="N181" s="187">
        <v>660</v>
      </c>
      <c r="O181" s="187">
        <v>619.25</v>
      </c>
      <c r="P181" s="187">
        <v>360</v>
      </c>
      <c r="Q181" s="187">
        <v>420</v>
      </c>
      <c r="R181" s="187">
        <v>440</v>
      </c>
      <c r="S181" s="187">
        <v>440</v>
      </c>
      <c r="T181" s="187">
        <v>440</v>
      </c>
      <c r="U181" s="187">
        <v>440</v>
      </c>
      <c r="V181" s="187">
        <v>500</v>
      </c>
      <c r="W181" s="187">
        <v>440</v>
      </c>
      <c r="X181" s="187">
        <v>440</v>
      </c>
      <c r="Y181" s="187">
        <v>440</v>
      </c>
      <c r="Z181" s="187">
        <v>40</v>
      </c>
      <c r="AA181" s="187" t="s">
        <v>338</v>
      </c>
    </row>
    <row r="182" spans="2:27" ht="12" hidden="1" customHeight="1">
      <c r="B182" s="171" t="s">
        <v>817</v>
      </c>
      <c r="C182" s="171" t="s">
        <v>562</v>
      </c>
      <c r="D182" s="171" t="s">
        <v>678</v>
      </c>
      <c r="E182" s="171" t="s">
        <v>1178</v>
      </c>
      <c r="F182" s="187">
        <v>25</v>
      </c>
      <c r="G182" s="191">
        <v>45566</v>
      </c>
      <c r="H182" s="191">
        <v>46203</v>
      </c>
      <c r="I182" s="187">
        <v>395</v>
      </c>
      <c r="J182" s="187">
        <v>395</v>
      </c>
      <c r="K182" s="187">
        <v>395</v>
      </c>
      <c r="L182" s="187">
        <v>395</v>
      </c>
      <c r="M182" s="187">
        <v>395</v>
      </c>
      <c r="N182" s="187">
        <v>395</v>
      </c>
      <c r="O182" s="187">
        <v>395</v>
      </c>
      <c r="P182" s="187">
        <v>395</v>
      </c>
      <c r="Q182" s="187">
        <v>395</v>
      </c>
      <c r="R182" s="187">
        <v>400</v>
      </c>
      <c r="S182" s="187">
        <v>400</v>
      </c>
      <c r="T182" s="187">
        <v>400</v>
      </c>
      <c r="U182" s="187">
        <v>400</v>
      </c>
      <c r="V182" s="187">
        <v>400</v>
      </c>
      <c r="W182" s="187">
        <v>400</v>
      </c>
      <c r="X182" s="187">
        <v>400</v>
      </c>
      <c r="Y182" s="187">
        <v>400</v>
      </c>
      <c r="Z182" s="187">
        <v>400</v>
      </c>
      <c r="AA182" s="187" t="s">
        <v>338</v>
      </c>
    </row>
    <row r="183" spans="2:27" ht="12" hidden="1" customHeight="1">
      <c r="B183" s="171" t="s">
        <v>818</v>
      </c>
      <c r="C183" s="171" t="s">
        <v>562</v>
      </c>
      <c r="D183" s="171" t="s">
        <v>498</v>
      </c>
      <c r="E183" s="171" t="s">
        <v>1300</v>
      </c>
      <c r="F183" s="187">
        <v>4</v>
      </c>
      <c r="G183" s="191">
        <v>45839</v>
      </c>
      <c r="H183" s="191">
        <v>46203</v>
      </c>
      <c r="I183" s="187" t="s">
        <v>338</v>
      </c>
      <c r="J183" s="187" t="s">
        <v>338</v>
      </c>
      <c r="K183" s="187" t="s">
        <v>338</v>
      </c>
      <c r="L183" s="187" t="s">
        <v>338</v>
      </c>
      <c r="M183" s="187" t="s">
        <v>338</v>
      </c>
      <c r="N183" s="187" t="s">
        <v>338</v>
      </c>
      <c r="O183" s="187" t="s">
        <v>338</v>
      </c>
      <c r="P183" s="187">
        <v>490</v>
      </c>
      <c r="Q183" s="187">
        <v>340</v>
      </c>
      <c r="R183" s="187">
        <v>340</v>
      </c>
      <c r="S183" s="187">
        <v>400</v>
      </c>
      <c r="T183" s="187">
        <v>400</v>
      </c>
      <c r="U183" s="187">
        <v>400</v>
      </c>
      <c r="V183" s="187">
        <v>400</v>
      </c>
      <c r="W183" s="187">
        <v>400</v>
      </c>
      <c r="X183" s="187">
        <v>400</v>
      </c>
      <c r="Y183" s="187">
        <v>400</v>
      </c>
      <c r="Z183" s="187">
        <v>400</v>
      </c>
      <c r="AA183" s="187" t="s">
        <v>338</v>
      </c>
    </row>
    <row r="184" spans="2:27" ht="12" hidden="1" customHeight="1">
      <c r="B184" s="171" t="s">
        <v>819</v>
      </c>
      <c r="C184" s="171" t="s">
        <v>562</v>
      </c>
      <c r="D184" s="171" t="s">
        <v>632</v>
      </c>
      <c r="E184" s="171" t="s">
        <v>1301</v>
      </c>
      <c r="F184" s="187" t="s">
        <v>338</v>
      </c>
      <c r="G184" s="191">
        <v>45809</v>
      </c>
      <c r="H184" s="191">
        <v>46173</v>
      </c>
      <c r="I184" s="187" t="s">
        <v>338</v>
      </c>
      <c r="J184" s="187" t="s">
        <v>338</v>
      </c>
      <c r="K184" s="187" t="s">
        <v>338</v>
      </c>
      <c r="L184" s="187" t="s">
        <v>338</v>
      </c>
      <c r="M184" s="187" t="s">
        <v>338</v>
      </c>
      <c r="N184" s="187">
        <v>340</v>
      </c>
      <c r="O184" s="187">
        <v>340</v>
      </c>
      <c r="P184" s="187">
        <v>340</v>
      </c>
      <c r="Q184" s="187">
        <v>1285</v>
      </c>
      <c r="R184" s="187">
        <v>340</v>
      </c>
      <c r="S184" s="187">
        <v>340</v>
      </c>
      <c r="T184" s="187">
        <v>340</v>
      </c>
      <c r="U184" s="187">
        <v>340</v>
      </c>
      <c r="V184" s="187">
        <v>340</v>
      </c>
      <c r="W184" s="187">
        <v>340</v>
      </c>
      <c r="X184" s="187">
        <v>340</v>
      </c>
      <c r="Y184" s="187">
        <v>340</v>
      </c>
      <c r="Z184" s="187" t="s">
        <v>338</v>
      </c>
      <c r="AA184" s="187" t="s">
        <v>338</v>
      </c>
    </row>
    <row r="185" spans="2:27" ht="12" hidden="1" customHeight="1">
      <c r="B185" s="171" t="s">
        <v>820</v>
      </c>
      <c r="C185" s="171" t="s">
        <v>562</v>
      </c>
      <c r="D185" s="171" t="s">
        <v>657</v>
      </c>
      <c r="E185" s="171" t="s">
        <v>1302</v>
      </c>
      <c r="F185" s="187" t="s">
        <v>338</v>
      </c>
      <c r="G185" s="191">
        <v>45505</v>
      </c>
      <c r="H185" s="191">
        <v>46022</v>
      </c>
      <c r="I185" s="187">
        <v>515</v>
      </c>
      <c r="J185" s="187">
        <v>395</v>
      </c>
      <c r="K185" s="187">
        <v>395</v>
      </c>
      <c r="L185" s="187">
        <v>395</v>
      </c>
      <c r="M185" s="187">
        <v>395</v>
      </c>
      <c r="N185" s="187">
        <v>395</v>
      </c>
      <c r="O185" s="187">
        <v>395</v>
      </c>
      <c r="P185" s="187">
        <v>440</v>
      </c>
      <c r="Q185" s="187">
        <v>440</v>
      </c>
      <c r="R185" s="187">
        <v>440</v>
      </c>
      <c r="S185" s="187">
        <v>440</v>
      </c>
      <c r="T185" s="187">
        <v>440</v>
      </c>
      <c r="U185" s="187">
        <v>2025</v>
      </c>
      <c r="V185" s="187">
        <v>90</v>
      </c>
      <c r="W185" s="187" t="s">
        <v>338</v>
      </c>
      <c r="X185" s="187" t="s">
        <v>338</v>
      </c>
      <c r="Y185" s="187" t="s">
        <v>338</v>
      </c>
      <c r="Z185" s="187" t="s">
        <v>338</v>
      </c>
      <c r="AA185" s="187" t="s">
        <v>338</v>
      </c>
    </row>
    <row r="186" spans="2:27" ht="12" hidden="1" customHeight="1">
      <c r="B186" s="171" t="s">
        <v>821</v>
      </c>
      <c r="C186" s="171" t="s">
        <v>497</v>
      </c>
      <c r="D186" s="171" t="s">
        <v>498</v>
      </c>
      <c r="E186" s="171" t="s">
        <v>1300</v>
      </c>
      <c r="F186" s="187">
        <v>8</v>
      </c>
      <c r="G186" s="191">
        <v>46023</v>
      </c>
      <c r="H186" s="191"/>
      <c r="I186" s="187" t="s">
        <v>338</v>
      </c>
      <c r="J186" s="187" t="s">
        <v>338</v>
      </c>
      <c r="K186" s="187" t="s">
        <v>338</v>
      </c>
      <c r="L186" s="187" t="s">
        <v>338</v>
      </c>
      <c r="M186" s="187" t="s">
        <v>338</v>
      </c>
      <c r="N186" s="187" t="s">
        <v>338</v>
      </c>
      <c r="O186" s="187" t="s">
        <v>338</v>
      </c>
      <c r="P186" s="187" t="s">
        <v>338</v>
      </c>
      <c r="Q186" s="187" t="s">
        <v>338</v>
      </c>
      <c r="R186" s="187" t="s">
        <v>338</v>
      </c>
      <c r="S186" s="187" t="s">
        <v>338</v>
      </c>
      <c r="T186" s="187" t="s">
        <v>338</v>
      </c>
      <c r="U186" s="187">
        <v>701</v>
      </c>
      <c r="V186" s="187">
        <v>393</v>
      </c>
      <c r="W186" s="187">
        <v>393</v>
      </c>
      <c r="X186" s="187">
        <v>632</v>
      </c>
      <c r="Y186" s="187">
        <v>719</v>
      </c>
      <c r="Z186" s="187">
        <v>719</v>
      </c>
      <c r="AA186" s="187">
        <v>719</v>
      </c>
    </row>
    <row r="187" spans="2:27" ht="12" hidden="1" customHeight="1">
      <c r="B187" s="171" t="s">
        <v>822</v>
      </c>
      <c r="C187" s="171" t="s">
        <v>497</v>
      </c>
      <c r="D187" s="171" t="s">
        <v>632</v>
      </c>
      <c r="E187" s="171" t="s">
        <v>1301</v>
      </c>
      <c r="F187" s="187" t="s">
        <v>338</v>
      </c>
      <c r="G187" s="191">
        <v>44317</v>
      </c>
      <c r="H187" s="191"/>
      <c r="I187" s="187">
        <v>400</v>
      </c>
      <c r="J187" s="187">
        <v>355</v>
      </c>
      <c r="K187" s="187">
        <v>355</v>
      </c>
      <c r="L187" s="187">
        <v>355</v>
      </c>
      <c r="M187" s="187">
        <v>355</v>
      </c>
      <c r="N187" s="187">
        <v>355</v>
      </c>
      <c r="O187" s="187">
        <v>355</v>
      </c>
      <c r="P187" s="187">
        <v>355</v>
      </c>
      <c r="Q187" s="187">
        <v>370</v>
      </c>
      <c r="R187" s="187">
        <v>370</v>
      </c>
      <c r="S187" s="187">
        <v>325</v>
      </c>
      <c r="T187" s="187">
        <v>355</v>
      </c>
      <c r="U187" s="187">
        <v>355</v>
      </c>
      <c r="V187" s="187">
        <v>370</v>
      </c>
      <c r="W187" s="187">
        <v>355</v>
      </c>
      <c r="X187" s="187">
        <v>355</v>
      </c>
      <c r="Y187" s="187">
        <v>355</v>
      </c>
      <c r="Z187" s="187">
        <v>355</v>
      </c>
      <c r="AA187" s="187">
        <v>355</v>
      </c>
    </row>
    <row r="188" spans="2:27" ht="12" hidden="1" customHeight="1">
      <c r="B188" s="171" t="s">
        <v>824</v>
      </c>
      <c r="C188" s="171" t="s">
        <v>497</v>
      </c>
      <c r="D188" s="171" t="s">
        <v>498</v>
      </c>
      <c r="E188" s="171" t="s">
        <v>1300</v>
      </c>
      <c r="F188" s="187">
        <v>5</v>
      </c>
      <c r="G188" s="191">
        <v>45809</v>
      </c>
      <c r="H188" s="191"/>
      <c r="I188" s="187" t="s">
        <v>338</v>
      </c>
      <c r="J188" s="187" t="s">
        <v>338</v>
      </c>
      <c r="K188" s="187" t="s">
        <v>338</v>
      </c>
      <c r="L188" s="187" t="s">
        <v>338</v>
      </c>
      <c r="M188" s="187" t="s">
        <v>338</v>
      </c>
      <c r="N188" s="187">
        <v>350</v>
      </c>
      <c r="O188" s="187">
        <v>375</v>
      </c>
      <c r="P188" s="187">
        <v>415</v>
      </c>
      <c r="Q188" s="187">
        <v>565</v>
      </c>
      <c r="R188" s="187">
        <v>565</v>
      </c>
      <c r="S188" s="187">
        <v>240</v>
      </c>
      <c r="T188" s="187">
        <v>300</v>
      </c>
      <c r="U188" s="187">
        <v>300</v>
      </c>
      <c r="V188" s="187">
        <v>60</v>
      </c>
      <c r="W188" s="187">
        <v>360</v>
      </c>
      <c r="X188" s="187">
        <v>360</v>
      </c>
      <c r="Y188" s="187">
        <v>360</v>
      </c>
      <c r="Z188" s="187">
        <v>360</v>
      </c>
      <c r="AA188" s="187">
        <v>360</v>
      </c>
    </row>
    <row r="189" spans="2:27" ht="12" hidden="1" customHeight="1">
      <c r="B189" s="171" t="s">
        <v>825</v>
      </c>
      <c r="C189" s="171" t="s">
        <v>497</v>
      </c>
      <c r="D189" s="171" t="s">
        <v>498</v>
      </c>
      <c r="E189" s="171" t="s">
        <v>1300</v>
      </c>
      <c r="F189" s="187">
        <v>8</v>
      </c>
      <c r="G189" s="191">
        <v>46082</v>
      </c>
      <c r="H189" s="191"/>
      <c r="I189" s="187" t="s">
        <v>338</v>
      </c>
      <c r="J189" s="187" t="s">
        <v>338</v>
      </c>
      <c r="K189" s="187" t="s">
        <v>338</v>
      </c>
      <c r="L189" s="187" t="s">
        <v>338</v>
      </c>
      <c r="M189" s="187" t="s">
        <v>338</v>
      </c>
      <c r="N189" s="187" t="s">
        <v>338</v>
      </c>
      <c r="O189" s="187" t="s">
        <v>338</v>
      </c>
      <c r="P189" s="187" t="s">
        <v>338</v>
      </c>
      <c r="Q189" s="187" t="s">
        <v>338</v>
      </c>
      <c r="R189" s="187" t="s">
        <v>338</v>
      </c>
      <c r="S189" s="187" t="s">
        <v>338</v>
      </c>
      <c r="T189" s="187" t="s">
        <v>338</v>
      </c>
      <c r="U189" s="187" t="s">
        <v>338</v>
      </c>
      <c r="V189" s="187" t="s">
        <v>338</v>
      </c>
      <c r="W189" s="187">
        <v>854</v>
      </c>
      <c r="X189" s="187">
        <v>652</v>
      </c>
      <c r="Y189" s="187">
        <v>886</v>
      </c>
      <c r="Z189" s="187">
        <v>926</v>
      </c>
      <c r="AA189" s="187">
        <v>886</v>
      </c>
    </row>
    <row r="190" spans="2:27" ht="12" hidden="1" customHeight="1">
      <c r="B190" s="171" t="s">
        <v>826</v>
      </c>
      <c r="C190" s="171" t="s">
        <v>19</v>
      </c>
      <c r="D190" s="171" t="s">
        <v>498</v>
      </c>
      <c r="E190" s="171" t="s">
        <v>1300</v>
      </c>
      <c r="F190" s="187">
        <v>21</v>
      </c>
      <c r="G190" s="191">
        <v>46174</v>
      </c>
      <c r="H190" s="191"/>
      <c r="I190" s="187" t="s">
        <v>338</v>
      </c>
      <c r="J190" s="187" t="s">
        <v>338</v>
      </c>
      <c r="K190" s="187" t="s">
        <v>338</v>
      </c>
      <c r="L190" s="187" t="s">
        <v>338</v>
      </c>
      <c r="M190" s="187" t="s">
        <v>338</v>
      </c>
      <c r="N190" s="187" t="s">
        <v>338</v>
      </c>
      <c r="O190" s="187" t="s">
        <v>338</v>
      </c>
      <c r="P190" s="187" t="s">
        <v>338</v>
      </c>
      <c r="Q190" s="187" t="s">
        <v>338</v>
      </c>
      <c r="R190" s="187" t="s">
        <v>338</v>
      </c>
      <c r="S190" s="187" t="s">
        <v>338</v>
      </c>
      <c r="T190" s="187" t="s">
        <v>338</v>
      </c>
      <c r="U190" s="187" t="s">
        <v>338</v>
      </c>
      <c r="V190" s="187" t="s">
        <v>338</v>
      </c>
      <c r="W190" s="187" t="s">
        <v>338</v>
      </c>
      <c r="X190" s="187" t="s">
        <v>338</v>
      </c>
      <c r="Y190" s="187" t="s">
        <v>338</v>
      </c>
      <c r="Z190" s="187">
        <v>2656</v>
      </c>
      <c r="AA190" s="187">
        <v>1316</v>
      </c>
    </row>
    <row r="191" spans="2:27" ht="12" hidden="1" customHeight="1">
      <c r="B191" s="171" t="s">
        <v>827</v>
      </c>
      <c r="C191" s="171" t="s">
        <v>562</v>
      </c>
      <c r="D191" s="171" t="s">
        <v>678</v>
      </c>
      <c r="E191" s="171" t="s">
        <v>1178</v>
      </c>
      <c r="F191" s="187" t="s">
        <v>338</v>
      </c>
      <c r="G191" s="191">
        <v>45870</v>
      </c>
      <c r="H191" s="191">
        <v>46142</v>
      </c>
      <c r="I191" s="187" t="s">
        <v>338</v>
      </c>
      <c r="J191" s="187" t="s">
        <v>338</v>
      </c>
      <c r="K191" s="187" t="s">
        <v>338</v>
      </c>
      <c r="L191" s="187" t="s">
        <v>338</v>
      </c>
      <c r="M191" s="187" t="s">
        <v>338</v>
      </c>
      <c r="N191" s="187" t="s">
        <v>338</v>
      </c>
      <c r="O191" s="187" t="s">
        <v>338</v>
      </c>
      <c r="P191" s="187">
        <v>350</v>
      </c>
      <c r="Q191" s="187">
        <v>690</v>
      </c>
      <c r="R191" s="187">
        <v>350</v>
      </c>
      <c r="S191" s="187">
        <v>400</v>
      </c>
      <c r="T191" s="187">
        <v>400</v>
      </c>
      <c r="U191" s="187">
        <v>550</v>
      </c>
      <c r="V191" s="187">
        <v>400</v>
      </c>
      <c r="W191" s="187">
        <v>400</v>
      </c>
      <c r="X191" s="187">
        <v>400</v>
      </c>
      <c r="Y191" s="187">
        <v>0</v>
      </c>
      <c r="Z191" s="187" t="s">
        <v>338</v>
      </c>
      <c r="AA191" s="187" t="s">
        <v>338</v>
      </c>
    </row>
    <row r="192" spans="2:27" ht="12" hidden="1" customHeight="1">
      <c r="B192" s="171" t="s">
        <v>828</v>
      </c>
      <c r="C192" s="171" t="s">
        <v>562</v>
      </c>
      <c r="D192" s="171" t="s">
        <v>498</v>
      </c>
      <c r="E192" s="171" t="s">
        <v>1300</v>
      </c>
      <c r="F192" s="187">
        <v>4</v>
      </c>
      <c r="G192" s="191">
        <v>45748</v>
      </c>
      <c r="H192" s="191">
        <v>46112</v>
      </c>
      <c r="I192" s="187" t="s">
        <v>338</v>
      </c>
      <c r="J192" s="187" t="s">
        <v>338</v>
      </c>
      <c r="K192" s="187" t="s">
        <v>338</v>
      </c>
      <c r="L192" s="187">
        <v>350</v>
      </c>
      <c r="M192" s="187" t="s">
        <v>338</v>
      </c>
      <c r="N192" s="187" t="s">
        <v>338</v>
      </c>
      <c r="O192" s="187">
        <v>360</v>
      </c>
      <c r="P192" s="187">
        <v>420</v>
      </c>
      <c r="Q192" s="187">
        <v>420</v>
      </c>
      <c r="R192" s="187">
        <v>420</v>
      </c>
      <c r="S192" s="187">
        <v>380</v>
      </c>
      <c r="T192" s="187">
        <v>590</v>
      </c>
      <c r="U192" s="187">
        <v>610</v>
      </c>
      <c r="V192" s="187">
        <v>560</v>
      </c>
      <c r="W192" s="187">
        <v>400</v>
      </c>
      <c r="X192" s="187" t="s">
        <v>338</v>
      </c>
      <c r="Y192" s="187" t="s">
        <v>338</v>
      </c>
      <c r="Z192" s="187" t="s">
        <v>338</v>
      </c>
      <c r="AA192" s="187" t="s">
        <v>338</v>
      </c>
    </row>
    <row r="193" spans="2:27" ht="12" hidden="1" customHeight="1">
      <c r="B193" s="171" t="s">
        <v>829</v>
      </c>
      <c r="C193" s="171" t="s">
        <v>562</v>
      </c>
      <c r="D193" s="171" t="s">
        <v>498</v>
      </c>
      <c r="E193" s="171" t="s">
        <v>1300</v>
      </c>
      <c r="F193" s="187">
        <v>2</v>
      </c>
      <c r="G193" s="191">
        <v>45323</v>
      </c>
      <c r="H193" s="191">
        <v>45869</v>
      </c>
      <c r="I193" s="187">
        <v>570</v>
      </c>
      <c r="J193" s="187">
        <v>420</v>
      </c>
      <c r="K193" s="187">
        <v>420</v>
      </c>
      <c r="L193" s="187">
        <v>420</v>
      </c>
      <c r="M193" s="187">
        <v>420</v>
      </c>
      <c r="N193" s="187">
        <v>420</v>
      </c>
      <c r="O193" s="187">
        <v>420</v>
      </c>
      <c r="P193" s="187" t="s">
        <v>338</v>
      </c>
      <c r="Q193" s="187" t="s">
        <v>338</v>
      </c>
      <c r="R193" s="187" t="s">
        <v>338</v>
      </c>
      <c r="S193" s="187" t="s">
        <v>338</v>
      </c>
      <c r="T193" s="187" t="s">
        <v>338</v>
      </c>
      <c r="U193" s="187">
        <v>726</v>
      </c>
      <c r="V193" s="187">
        <v>438</v>
      </c>
      <c r="W193" s="187">
        <v>438</v>
      </c>
      <c r="X193" s="187">
        <v>418</v>
      </c>
      <c r="Y193" s="187">
        <v>918</v>
      </c>
      <c r="Z193" s="187">
        <v>418</v>
      </c>
      <c r="AA193" s="187">
        <v>418</v>
      </c>
    </row>
    <row r="194" spans="2:27" ht="12" hidden="1" customHeight="1">
      <c r="B194" s="171" t="s">
        <v>830</v>
      </c>
      <c r="C194" s="171" t="s">
        <v>497</v>
      </c>
      <c r="D194" s="171" t="s">
        <v>498</v>
      </c>
      <c r="E194" s="171" t="s">
        <v>1300</v>
      </c>
      <c r="F194" s="187">
        <v>22</v>
      </c>
      <c r="G194" s="191">
        <v>46143</v>
      </c>
      <c r="H194" s="191"/>
      <c r="I194" s="187" t="s">
        <v>338</v>
      </c>
      <c r="J194" s="187" t="s">
        <v>338</v>
      </c>
      <c r="K194" s="187" t="s">
        <v>338</v>
      </c>
      <c r="L194" s="187" t="s">
        <v>338</v>
      </c>
      <c r="M194" s="187" t="s">
        <v>338</v>
      </c>
      <c r="N194" s="187" t="s">
        <v>338</v>
      </c>
      <c r="O194" s="187" t="s">
        <v>338</v>
      </c>
      <c r="P194" s="187" t="s">
        <v>338</v>
      </c>
      <c r="Q194" s="187" t="s">
        <v>338</v>
      </c>
      <c r="R194" s="187" t="s">
        <v>338</v>
      </c>
      <c r="S194" s="187" t="s">
        <v>338</v>
      </c>
      <c r="T194" s="187" t="s">
        <v>338</v>
      </c>
      <c r="U194" s="187" t="s">
        <v>338</v>
      </c>
      <c r="V194" s="187" t="s">
        <v>338</v>
      </c>
      <c r="W194" s="187" t="s">
        <v>338</v>
      </c>
      <c r="X194" s="187" t="s">
        <v>338</v>
      </c>
      <c r="Y194" s="187">
        <v>2087</v>
      </c>
      <c r="Z194" s="187">
        <v>797</v>
      </c>
      <c r="AA194" s="187">
        <v>885</v>
      </c>
    </row>
    <row r="195" spans="2:27" ht="12" hidden="1" customHeight="1">
      <c r="B195" s="171" t="s">
        <v>831</v>
      </c>
      <c r="C195" s="171" t="s">
        <v>497</v>
      </c>
      <c r="D195" s="171" t="s">
        <v>498</v>
      </c>
      <c r="E195" s="171" t="s">
        <v>1300</v>
      </c>
      <c r="F195" s="187">
        <v>6</v>
      </c>
      <c r="G195" s="191">
        <v>45992</v>
      </c>
      <c r="H195" s="191"/>
      <c r="I195" s="187" t="s">
        <v>338</v>
      </c>
      <c r="J195" s="187" t="s">
        <v>338</v>
      </c>
      <c r="K195" s="187" t="s">
        <v>338</v>
      </c>
      <c r="L195" s="187" t="s">
        <v>338</v>
      </c>
      <c r="M195" s="187" t="s">
        <v>338</v>
      </c>
      <c r="N195" s="187" t="s">
        <v>338</v>
      </c>
      <c r="O195" s="187" t="s">
        <v>338</v>
      </c>
      <c r="P195" s="187" t="s">
        <v>338</v>
      </c>
      <c r="Q195" s="187" t="s">
        <v>338</v>
      </c>
      <c r="R195" s="187" t="s">
        <v>338</v>
      </c>
      <c r="S195" s="187" t="s">
        <v>338</v>
      </c>
      <c r="T195" s="187">
        <v>700</v>
      </c>
      <c r="U195" s="187">
        <v>570</v>
      </c>
      <c r="V195" s="187">
        <v>415</v>
      </c>
      <c r="W195" s="187">
        <v>400</v>
      </c>
      <c r="X195" s="187">
        <v>400</v>
      </c>
      <c r="Y195" s="187">
        <v>400</v>
      </c>
      <c r="Z195" s="187">
        <v>400</v>
      </c>
      <c r="AA195" s="187">
        <v>475</v>
      </c>
    </row>
    <row r="196" spans="2:27" ht="12" hidden="1" customHeight="1">
      <c r="B196" s="171" t="s">
        <v>832</v>
      </c>
      <c r="C196" s="171" t="s">
        <v>562</v>
      </c>
      <c r="D196" s="171" t="s">
        <v>498</v>
      </c>
      <c r="E196" s="171" t="s">
        <v>1300</v>
      </c>
      <c r="F196" s="187">
        <v>14</v>
      </c>
      <c r="G196" s="191">
        <v>46054</v>
      </c>
      <c r="H196" s="191">
        <v>46203</v>
      </c>
      <c r="I196" s="187" t="s">
        <v>338</v>
      </c>
      <c r="J196" s="187" t="s">
        <v>338</v>
      </c>
      <c r="K196" s="187" t="s">
        <v>338</v>
      </c>
      <c r="L196" s="187" t="s">
        <v>338</v>
      </c>
      <c r="M196" s="187" t="s">
        <v>338</v>
      </c>
      <c r="N196" s="187" t="s">
        <v>338</v>
      </c>
      <c r="O196" s="187" t="s">
        <v>338</v>
      </c>
      <c r="P196" s="187" t="s">
        <v>338</v>
      </c>
      <c r="Q196" s="187" t="s">
        <v>338</v>
      </c>
      <c r="R196" s="187" t="s">
        <v>338</v>
      </c>
      <c r="S196" s="187" t="s">
        <v>338</v>
      </c>
      <c r="T196" s="187" t="s">
        <v>338</v>
      </c>
      <c r="U196" s="187" t="s">
        <v>338</v>
      </c>
      <c r="V196" s="187">
        <v>1053</v>
      </c>
      <c r="W196" s="187">
        <v>798</v>
      </c>
      <c r="X196" s="187">
        <v>623</v>
      </c>
      <c r="Y196" s="187">
        <v>668</v>
      </c>
      <c r="Z196" s="187">
        <v>606</v>
      </c>
      <c r="AA196" s="187" t="s">
        <v>338</v>
      </c>
    </row>
    <row r="197" spans="2:27" ht="12" hidden="1" customHeight="1">
      <c r="B197" s="171" t="s">
        <v>834</v>
      </c>
      <c r="C197" s="171" t="s">
        <v>497</v>
      </c>
      <c r="D197" s="171" t="s">
        <v>498</v>
      </c>
      <c r="E197" s="171" t="s">
        <v>1300</v>
      </c>
      <c r="F197" s="187">
        <v>25</v>
      </c>
      <c r="G197" s="191">
        <v>46113</v>
      </c>
      <c r="H197" s="191"/>
      <c r="I197" s="187" t="s">
        <v>338</v>
      </c>
      <c r="J197" s="187" t="s">
        <v>338</v>
      </c>
      <c r="K197" s="187" t="s">
        <v>338</v>
      </c>
      <c r="L197" s="187" t="s">
        <v>338</v>
      </c>
      <c r="M197" s="187" t="s">
        <v>338</v>
      </c>
      <c r="N197" s="187" t="s">
        <v>338</v>
      </c>
      <c r="O197" s="187" t="s">
        <v>338</v>
      </c>
      <c r="P197" s="187" t="s">
        <v>338</v>
      </c>
      <c r="Q197" s="187" t="s">
        <v>338</v>
      </c>
      <c r="R197" s="187" t="s">
        <v>338</v>
      </c>
      <c r="S197" s="187" t="s">
        <v>338</v>
      </c>
      <c r="T197" s="187" t="s">
        <v>338</v>
      </c>
      <c r="U197" s="187" t="s">
        <v>338</v>
      </c>
      <c r="V197" s="187" t="s">
        <v>338</v>
      </c>
      <c r="W197" s="187" t="s">
        <v>338</v>
      </c>
      <c r="X197" s="187">
        <v>1380</v>
      </c>
      <c r="Y197" s="187">
        <v>780</v>
      </c>
      <c r="Z197" s="187">
        <v>750</v>
      </c>
      <c r="AA197" s="187">
        <v>750</v>
      </c>
    </row>
    <row r="198" spans="2:27" ht="12" hidden="1" customHeight="1">
      <c r="B198" s="171" t="s">
        <v>835</v>
      </c>
      <c r="C198" s="171" t="s">
        <v>497</v>
      </c>
      <c r="D198" s="171" t="s">
        <v>678</v>
      </c>
      <c r="E198" s="171" t="s">
        <v>1178</v>
      </c>
      <c r="F198" s="187" t="s">
        <v>338</v>
      </c>
      <c r="G198" s="191">
        <v>45383</v>
      </c>
      <c r="H198" s="191"/>
      <c r="I198" s="187">
        <v>320</v>
      </c>
      <c r="J198" s="187">
        <v>320</v>
      </c>
      <c r="K198" s="187">
        <v>320</v>
      </c>
      <c r="L198" s="187">
        <v>320</v>
      </c>
      <c r="M198" s="187">
        <v>320</v>
      </c>
      <c r="N198" s="187">
        <v>300</v>
      </c>
      <c r="O198" s="187">
        <v>300</v>
      </c>
      <c r="P198" s="187">
        <v>300</v>
      </c>
      <c r="Q198" s="187">
        <v>300</v>
      </c>
      <c r="R198" s="187">
        <v>300</v>
      </c>
      <c r="S198" s="187">
        <v>300</v>
      </c>
      <c r="T198" s="187">
        <v>300</v>
      </c>
      <c r="U198" s="187">
        <v>300</v>
      </c>
      <c r="V198" s="187">
        <v>300</v>
      </c>
      <c r="W198" s="187">
        <v>300</v>
      </c>
      <c r="X198" s="187">
        <v>300</v>
      </c>
      <c r="Y198" s="187">
        <v>300</v>
      </c>
      <c r="Z198" s="187">
        <v>310</v>
      </c>
      <c r="AA198" s="187">
        <v>310</v>
      </c>
    </row>
    <row r="199" spans="2:27" ht="12" hidden="1" customHeight="1">
      <c r="B199" s="171" t="s">
        <v>836</v>
      </c>
      <c r="C199" s="171" t="s">
        <v>497</v>
      </c>
      <c r="D199" s="171" t="s">
        <v>498</v>
      </c>
      <c r="E199" s="171" t="s">
        <v>1300</v>
      </c>
      <c r="F199" s="187">
        <v>2</v>
      </c>
      <c r="G199" s="191">
        <v>45901</v>
      </c>
      <c r="H199" s="191"/>
      <c r="I199" s="187" t="s">
        <v>338</v>
      </c>
      <c r="J199" s="187" t="s">
        <v>338</v>
      </c>
      <c r="K199" s="187" t="s">
        <v>338</v>
      </c>
      <c r="L199" s="187" t="s">
        <v>338</v>
      </c>
      <c r="M199" s="187" t="s">
        <v>338</v>
      </c>
      <c r="N199" s="187" t="s">
        <v>338</v>
      </c>
      <c r="O199" s="187" t="s">
        <v>338</v>
      </c>
      <c r="P199" s="187" t="s">
        <v>338</v>
      </c>
      <c r="Q199" s="187" t="s">
        <v>338</v>
      </c>
      <c r="R199" s="187">
        <v>440</v>
      </c>
      <c r="S199" s="187">
        <v>290</v>
      </c>
      <c r="T199" s="187">
        <v>290</v>
      </c>
      <c r="U199" s="187">
        <v>290</v>
      </c>
      <c r="V199" s="187">
        <v>305</v>
      </c>
      <c r="W199" s="187">
        <v>290</v>
      </c>
      <c r="X199" s="187">
        <v>440</v>
      </c>
      <c r="Y199" s="187">
        <v>440</v>
      </c>
      <c r="Z199" s="187">
        <v>341.37</v>
      </c>
      <c r="AA199" s="187">
        <v>440</v>
      </c>
    </row>
    <row r="200" spans="2:27" ht="12" hidden="1" customHeight="1">
      <c r="B200" s="171" t="s">
        <v>837</v>
      </c>
      <c r="C200" s="171" t="s">
        <v>497</v>
      </c>
      <c r="D200" s="171" t="s">
        <v>678</v>
      </c>
      <c r="E200" s="171" t="s">
        <v>1178</v>
      </c>
      <c r="F200" s="187" t="s">
        <v>338</v>
      </c>
      <c r="G200" s="191">
        <v>45962</v>
      </c>
      <c r="H200" s="191"/>
      <c r="I200" s="187" t="s">
        <v>338</v>
      </c>
      <c r="J200" s="187" t="s">
        <v>338</v>
      </c>
      <c r="K200" s="187" t="s">
        <v>338</v>
      </c>
      <c r="L200" s="187" t="s">
        <v>338</v>
      </c>
      <c r="M200" s="187" t="s">
        <v>338</v>
      </c>
      <c r="N200" s="187" t="s">
        <v>338</v>
      </c>
      <c r="O200" s="187" t="s">
        <v>338</v>
      </c>
      <c r="P200" s="187" t="s">
        <v>338</v>
      </c>
      <c r="Q200" s="187" t="s">
        <v>338</v>
      </c>
      <c r="R200" s="187" t="s">
        <v>338</v>
      </c>
      <c r="S200" s="187">
        <v>350</v>
      </c>
      <c r="T200" s="187">
        <v>350</v>
      </c>
      <c r="U200" s="187">
        <v>400</v>
      </c>
      <c r="V200" s="187">
        <v>400</v>
      </c>
      <c r="W200" s="187">
        <v>400</v>
      </c>
      <c r="X200" s="187">
        <v>400</v>
      </c>
      <c r="Y200" s="187">
        <v>400</v>
      </c>
      <c r="Z200" s="187">
        <v>400</v>
      </c>
      <c r="AA200" s="187">
        <v>400</v>
      </c>
    </row>
    <row r="201" spans="2:27" ht="12" hidden="1" customHeight="1">
      <c r="B201" s="171" t="s">
        <v>838</v>
      </c>
      <c r="C201" s="171" t="s">
        <v>562</v>
      </c>
      <c r="D201" s="171" t="s">
        <v>498</v>
      </c>
      <c r="E201" s="171" t="s">
        <v>1300</v>
      </c>
      <c r="F201" s="187">
        <v>4</v>
      </c>
      <c r="G201" s="191">
        <v>45474</v>
      </c>
      <c r="H201" s="191">
        <v>46112</v>
      </c>
      <c r="I201" s="187">
        <v>395</v>
      </c>
      <c r="J201" s="187">
        <v>395</v>
      </c>
      <c r="K201" s="187">
        <v>395</v>
      </c>
      <c r="L201" s="187">
        <v>395</v>
      </c>
      <c r="M201" s="187">
        <v>395</v>
      </c>
      <c r="N201" s="187">
        <v>395</v>
      </c>
      <c r="O201" s="187">
        <v>400</v>
      </c>
      <c r="P201" s="187">
        <v>400</v>
      </c>
      <c r="Q201" s="187">
        <v>400</v>
      </c>
      <c r="R201" s="187">
        <v>655</v>
      </c>
      <c r="S201" s="187">
        <v>400</v>
      </c>
      <c r="T201" s="187">
        <v>400</v>
      </c>
      <c r="U201" s="187">
        <v>400</v>
      </c>
      <c r="V201" s="187">
        <v>400</v>
      </c>
      <c r="W201" s="187">
        <v>400</v>
      </c>
      <c r="X201" s="187" t="s">
        <v>338</v>
      </c>
      <c r="Y201" s="187" t="s">
        <v>338</v>
      </c>
      <c r="Z201" s="187" t="s">
        <v>338</v>
      </c>
      <c r="AA201" s="187" t="s">
        <v>338</v>
      </c>
    </row>
    <row r="202" spans="2:27" ht="12" hidden="1" customHeight="1">
      <c r="B202" s="171" t="s">
        <v>839</v>
      </c>
      <c r="C202" s="171" t="s">
        <v>562</v>
      </c>
      <c r="D202" s="171" t="s">
        <v>632</v>
      </c>
      <c r="E202" s="171" t="s">
        <v>1301</v>
      </c>
      <c r="F202" s="187" t="s">
        <v>338</v>
      </c>
      <c r="G202" s="191">
        <v>44805</v>
      </c>
      <c r="H202" s="191">
        <v>46234</v>
      </c>
      <c r="I202" s="187">
        <v>335</v>
      </c>
      <c r="J202" s="187">
        <v>275</v>
      </c>
      <c r="K202" s="187">
        <v>275</v>
      </c>
      <c r="L202" s="187">
        <v>275</v>
      </c>
      <c r="M202" s="187">
        <v>275</v>
      </c>
      <c r="N202" s="187">
        <v>275</v>
      </c>
      <c r="O202" s="187">
        <v>275</v>
      </c>
      <c r="P202" s="187">
        <v>275</v>
      </c>
      <c r="Q202" s="187">
        <v>285</v>
      </c>
      <c r="R202" s="187">
        <v>285</v>
      </c>
      <c r="S202" s="187">
        <v>285</v>
      </c>
      <c r="T202" s="187">
        <v>285</v>
      </c>
      <c r="U202" s="187">
        <v>285</v>
      </c>
      <c r="V202" s="187">
        <v>315</v>
      </c>
      <c r="W202" s="187">
        <v>285</v>
      </c>
      <c r="X202" s="187">
        <v>285</v>
      </c>
      <c r="Y202" s="187">
        <v>285</v>
      </c>
      <c r="Z202" s="187">
        <v>285</v>
      </c>
      <c r="AA202" s="187">
        <v>285</v>
      </c>
    </row>
    <row r="203" spans="2:27" ht="12" hidden="1" customHeight="1">
      <c r="B203" s="171" t="s">
        <v>840</v>
      </c>
      <c r="C203" s="171" t="s">
        <v>562</v>
      </c>
      <c r="D203" s="171" t="s">
        <v>678</v>
      </c>
      <c r="E203" s="171" t="s">
        <v>1178</v>
      </c>
      <c r="F203" s="187" t="s">
        <v>338</v>
      </c>
      <c r="G203" s="191">
        <v>45992</v>
      </c>
      <c r="H203" s="191">
        <v>46173</v>
      </c>
      <c r="I203" s="187" t="s">
        <v>338</v>
      </c>
      <c r="J203" s="187" t="s">
        <v>338</v>
      </c>
      <c r="K203" s="187" t="s">
        <v>338</v>
      </c>
      <c r="L203" s="187" t="s">
        <v>338</v>
      </c>
      <c r="M203" s="187" t="s">
        <v>338</v>
      </c>
      <c r="N203" s="187" t="s">
        <v>338</v>
      </c>
      <c r="O203" s="187" t="s">
        <v>338</v>
      </c>
      <c r="P203" s="187" t="s">
        <v>338</v>
      </c>
      <c r="Q203" s="187" t="s">
        <v>338</v>
      </c>
      <c r="R203" s="187" t="s">
        <v>338</v>
      </c>
      <c r="S203" s="187" t="s">
        <v>338</v>
      </c>
      <c r="T203" s="187">
        <v>640</v>
      </c>
      <c r="U203" s="187">
        <v>425</v>
      </c>
      <c r="V203" s="187">
        <v>595</v>
      </c>
      <c r="W203" s="187">
        <v>700</v>
      </c>
      <c r="X203" s="187">
        <v>420</v>
      </c>
      <c r="Y203" s="187">
        <v>560</v>
      </c>
      <c r="Z203" s="187" t="s">
        <v>338</v>
      </c>
      <c r="AA203" s="187" t="s">
        <v>338</v>
      </c>
    </row>
    <row r="204" spans="2:27" ht="12" hidden="1" customHeight="1">
      <c r="B204" s="171" t="s">
        <v>841</v>
      </c>
      <c r="C204" s="171" t="s">
        <v>19</v>
      </c>
      <c r="D204" s="171" t="s">
        <v>498</v>
      </c>
      <c r="E204" s="171" t="s">
        <v>1300</v>
      </c>
      <c r="F204" s="187">
        <v>15</v>
      </c>
      <c r="G204" s="191">
        <v>46174</v>
      </c>
      <c r="H204" s="191"/>
      <c r="I204" s="187" t="s">
        <v>338</v>
      </c>
      <c r="J204" s="187" t="s">
        <v>338</v>
      </c>
      <c r="K204" s="187" t="s">
        <v>338</v>
      </c>
      <c r="L204" s="187" t="s">
        <v>338</v>
      </c>
      <c r="M204" s="187" t="s">
        <v>338</v>
      </c>
      <c r="N204" s="187" t="s">
        <v>338</v>
      </c>
      <c r="O204" s="187" t="s">
        <v>338</v>
      </c>
      <c r="P204" s="187" t="s">
        <v>338</v>
      </c>
      <c r="Q204" s="187" t="s">
        <v>338</v>
      </c>
      <c r="R204" s="187" t="s">
        <v>338</v>
      </c>
      <c r="S204" s="187" t="s">
        <v>338</v>
      </c>
      <c r="T204" s="187" t="s">
        <v>338</v>
      </c>
      <c r="U204" s="187" t="s">
        <v>338</v>
      </c>
      <c r="V204" s="187" t="s">
        <v>338</v>
      </c>
      <c r="W204" s="187" t="s">
        <v>338</v>
      </c>
      <c r="X204" s="187" t="s">
        <v>338</v>
      </c>
      <c r="Y204" s="187" t="s">
        <v>338</v>
      </c>
      <c r="Z204" s="187">
        <v>2360</v>
      </c>
      <c r="AA204" s="187">
        <v>965</v>
      </c>
    </row>
    <row r="205" spans="2:27" ht="12" hidden="1" customHeight="1">
      <c r="B205" s="171" t="s">
        <v>843</v>
      </c>
      <c r="C205" s="171" t="s">
        <v>497</v>
      </c>
      <c r="D205" s="171" t="s">
        <v>498</v>
      </c>
      <c r="E205" s="171" t="s">
        <v>1300</v>
      </c>
      <c r="F205" s="187">
        <v>10</v>
      </c>
      <c r="G205" s="191">
        <v>46054</v>
      </c>
      <c r="H205" s="191"/>
      <c r="I205" s="187" t="s">
        <v>338</v>
      </c>
      <c r="J205" s="187" t="s">
        <v>338</v>
      </c>
      <c r="K205" s="187" t="s">
        <v>338</v>
      </c>
      <c r="L205" s="187" t="s">
        <v>338</v>
      </c>
      <c r="M205" s="187" t="s">
        <v>338</v>
      </c>
      <c r="N205" s="187" t="s">
        <v>338</v>
      </c>
      <c r="O205" s="187" t="s">
        <v>338</v>
      </c>
      <c r="P205" s="187" t="s">
        <v>338</v>
      </c>
      <c r="Q205" s="187" t="s">
        <v>338</v>
      </c>
      <c r="R205" s="187" t="s">
        <v>338</v>
      </c>
      <c r="S205" s="187" t="s">
        <v>338</v>
      </c>
      <c r="T205" s="187" t="s">
        <v>338</v>
      </c>
      <c r="U205" s="187" t="s">
        <v>338</v>
      </c>
      <c r="V205" s="187">
        <v>668</v>
      </c>
      <c r="W205" s="187">
        <v>390</v>
      </c>
      <c r="X205" s="187">
        <v>464</v>
      </c>
      <c r="Y205" s="187">
        <v>544</v>
      </c>
      <c r="Z205" s="187">
        <v>606</v>
      </c>
      <c r="AA205" s="187">
        <v>606</v>
      </c>
    </row>
    <row r="206" spans="2:27" ht="12" hidden="1" customHeight="1">
      <c r="B206" s="171" t="s">
        <v>844</v>
      </c>
      <c r="C206" s="171" t="s">
        <v>562</v>
      </c>
      <c r="D206" s="171" t="s">
        <v>632</v>
      </c>
      <c r="E206" s="171" t="s">
        <v>1301</v>
      </c>
      <c r="F206" s="187" t="s">
        <v>338</v>
      </c>
      <c r="G206" s="191">
        <v>44317</v>
      </c>
      <c r="H206" s="191">
        <v>46234</v>
      </c>
      <c r="I206" s="187">
        <v>295</v>
      </c>
      <c r="J206" s="187">
        <v>250</v>
      </c>
      <c r="K206" s="187">
        <v>250</v>
      </c>
      <c r="L206" s="187">
        <v>250</v>
      </c>
      <c r="M206" s="187">
        <v>250</v>
      </c>
      <c r="N206" s="187">
        <v>250</v>
      </c>
      <c r="O206" s="187">
        <v>250</v>
      </c>
      <c r="P206" s="187">
        <v>250</v>
      </c>
      <c r="Q206" s="187">
        <v>250</v>
      </c>
      <c r="R206" s="187">
        <v>250</v>
      </c>
      <c r="S206" s="187">
        <v>250</v>
      </c>
      <c r="T206" s="187">
        <v>250</v>
      </c>
      <c r="U206" s="187">
        <v>285</v>
      </c>
      <c r="V206" s="187">
        <v>300</v>
      </c>
      <c r="W206" s="187">
        <v>285</v>
      </c>
      <c r="X206" s="187">
        <v>285</v>
      </c>
      <c r="Y206" s="187">
        <v>285</v>
      </c>
      <c r="Z206" s="187">
        <v>285</v>
      </c>
      <c r="AA206" s="187">
        <v>285</v>
      </c>
    </row>
    <row r="207" spans="2:27" ht="12" hidden="1" customHeight="1">
      <c r="B207" s="171" t="s">
        <v>846</v>
      </c>
      <c r="C207" s="171" t="s">
        <v>497</v>
      </c>
      <c r="D207" s="171" t="s">
        <v>498</v>
      </c>
      <c r="E207" s="171" t="s">
        <v>1300</v>
      </c>
      <c r="F207" s="187">
        <v>4</v>
      </c>
      <c r="G207" s="191">
        <v>45962</v>
      </c>
      <c r="H207" s="191"/>
      <c r="I207" s="187" t="s">
        <v>338</v>
      </c>
      <c r="J207" s="187" t="s">
        <v>338</v>
      </c>
      <c r="K207" s="187" t="s">
        <v>338</v>
      </c>
      <c r="L207" s="187" t="s">
        <v>338</v>
      </c>
      <c r="M207" s="187" t="s">
        <v>338</v>
      </c>
      <c r="N207" s="187" t="s">
        <v>338</v>
      </c>
      <c r="O207" s="187" t="s">
        <v>338</v>
      </c>
      <c r="P207" s="187" t="s">
        <v>338</v>
      </c>
      <c r="Q207" s="187" t="s">
        <v>338</v>
      </c>
      <c r="R207" s="187" t="s">
        <v>338</v>
      </c>
      <c r="S207" s="187">
        <v>400</v>
      </c>
      <c r="T207" s="187">
        <v>325</v>
      </c>
      <c r="U207" s="187">
        <v>325</v>
      </c>
      <c r="V207" s="187">
        <v>415</v>
      </c>
      <c r="W207" s="187">
        <v>250</v>
      </c>
      <c r="X207" s="187">
        <v>325</v>
      </c>
      <c r="Y207" s="187">
        <v>400</v>
      </c>
      <c r="Z207" s="187">
        <v>400</v>
      </c>
      <c r="AA207" s="187">
        <v>400</v>
      </c>
    </row>
    <row r="208" spans="2:27" ht="12" hidden="1" customHeight="1">
      <c r="B208" s="171" t="s">
        <v>847</v>
      </c>
      <c r="C208" s="171" t="s">
        <v>497</v>
      </c>
      <c r="D208" s="171" t="s">
        <v>498</v>
      </c>
      <c r="E208" s="171" t="s">
        <v>1300</v>
      </c>
      <c r="F208" s="187">
        <v>10</v>
      </c>
      <c r="G208" s="191">
        <v>45931</v>
      </c>
      <c r="H208" s="191"/>
      <c r="I208" s="187" t="s">
        <v>338</v>
      </c>
      <c r="J208" s="187" t="s">
        <v>338</v>
      </c>
      <c r="K208" s="187" t="s">
        <v>338</v>
      </c>
      <c r="L208" s="187" t="s">
        <v>338</v>
      </c>
      <c r="M208" s="187" t="s">
        <v>338</v>
      </c>
      <c r="N208" s="187" t="s">
        <v>338</v>
      </c>
      <c r="O208" s="187" t="s">
        <v>338</v>
      </c>
      <c r="P208" s="187" t="s">
        <v>338</v>
      </c>
      <c r="Q208" s="187" t="s">
        <v>338</v>
      </c>
      <c r="R208" s="187">
        <v>595</v>
      </c>
      <c r="S208" s="187" t="s">
        <v>338</v>
      </c>
      <c r="T208" s="187" t="s">
        <v>338</v>
      </c>
      <c r="U208" s="187">
        <v>565</v>
      </c>
      <c r="V208" s="187">
        <v>315</v>
      </c>
      <c r="W208" s="187">
        <v>350</v>
      </c>
      <c r="X208" s="187">
        <v>350</v>
      </c>
      <c r="Y208" s="187">
        <v>350</v>
      </c>
      <c r="Z208" s="187">
        <v>350</v>
      </c>
      <c r="AA208" s="187">
        <v>350</v>
      </c>
    </row>
    <row r="209" spans="2:27" ht="12" hidden="1" customHeight="1">
      <c r="B209" s="171" t="s">
        <v>848</v>
      </c>
      <c r="C209" s="171" t="s">
        <v>497</v>
      </c>
      <c r="D209" s="171" t="s">
        <v>498</v>
      </c>
      <c r="E209" s="171" t="s">
        <v>1300</v>
      </c>
      <c r="F209" s="187">
        <v>12</v>
      </c>
      <c r="G209" s="191">
        <v>46023</v>
      </c>
      <c r="H209" s="191"/>
      <c r="I209" s="187" t="s">
        <v>338</v>
      </c>
      <c r="J209" s="187" t="s">
        <v>338</v>
      </c>
      <c r="K209" s="187" t="s">
        <v>338</v>
      </c>
      <c r="L209" s="187" t="s">
        <v>338</v>
      </c>
      <c r="M209" s="187" t="s">
        <v>338</v>
      </c>
      <c r="N209" s="187" t="s">
        <v>338</v>
      </c>
      <c r="O209" s="187" t="s">
        <v>338</v>
      </c>
      <c r="P209" s="187" t="s">
        <v>338</v>
      </c>
      <c r="Q209" s="187" t="s">
        <v>338</v>
      </c>
      <c r="R209" s="187" t="s">
        <v>338</v>
      </c>
      <c r="S209" s="187" t="s">
        <v>338</v>
      </c>
      <c r="T209" s="187" t="s">
        <v>338</v>
      </c>
      <c r="U209" s="187">
        <v>630</v>
      </c>
      <c r="V209" s="187">
        <v>420</v>
      </c>
      <c r="W209" s="187">
        <v>455</v>
      </c>
      <c r="X209" s="187">
        <v>455</v>
      </c>
      <c r="Y209" s="187">
        <v>420</v>
      </c>
      <c r="Z209" s="187">
        <v>420</v>
      </c>
      <c r="AA209" s="187">
        <v>420</v>
      </c>
    </row>
    <row r="210" spans="2:27" ht="12" hidden="1" customHeight="1">
      <c r="B210" s="171" t="s">
        <v>849</v>
      </c>
      <c r="C210" s="171" t="s">
        <v>562</v>
      </c>
      <c r="D210" s="171" t="s">
        <v>498</v>
      </c>
      <c r="E210" s="171" t="s">
        <v>1300</v>
      </c>
      <c r="F210" s="187">
        <v>9</v>
      </c>
      <c r="G210" s="191">
        <v>45992</v>
      </c>
      <c r="H210" s="191">
        <v>46173</v>
      </c>
      <c r="I210" s="187" t="s">
        <v>338</v>
      </c>
      <c r="J210" s="187" t="s">
        <v>338</v>
      </c>
      <c r="K210" s="187" t="s">
        <v>338</v>
      </c>
      <c r="L210" s="187" t="s">
        <v>338</v>
      </c>
      <c r="M210" s="187" t="s">
        <v>338</v>
      </c>
      <c r="N210" s="187" t="s">
        <v>338</v>
      </c>
      <c r="O210" s="187" t="s">
        <v>338</v>
      </c>
      <c r="P210" s="187" t="s">
        <v>338</v>
      </c>
      <c r="Q210" s="187" t="s">
        <v>338</v>
      </c>
      <c r="R210" s="187" t="s">
        <v>338</v>
      </c>
      <c r="S210" s="187" t="s">
        <v>338</v>
      </c>
      <c r="T210" s="187">
        <v>973</v>
      </c>
      <c r="U210" s="187">
        <v>-183</v>
      </c>
      <c r="V210" s="187">
        <v>453</v>
      </c>
      <c r="W210" s="187">
        <v>690</v>
      </c>
      <c r="X210" s="187">
        <v>595</v>
      </c>
      <c r="Y210" s="187">
        <v>595</v>
      </c>
      <c r="Z210" s="187" t="s">
        <v>338</v>
      </c>
      <c r="AA210" s="187" t="s">
        <v>338</v>
      </c>
    </row>
    <row r="211" spans="2:27" ht="12" hidden="1" customHeight="1">
      <c r="B211" s="171" t="s">
        <v>850</v>
      </c>
      <c r="C211" s="171" t="s">
        <v>562</v>
      </c>
      <c r="D211" s="171" t="s">
        <v>498</v>
      </c>
      <c r="E211" s="171" t="s">
        <v>1300</v>
      </c>
      <c r="F211" s="187">
        <v>8</v>
      </c>
      <c r="G211" s="191">
        <v>46023</v>
      </c>
      <c r="H211" s="191">
        <v>46142</v>
      </c>
      <c r="I211" s="187" t="s">
        <v>338</v>
      </c>
      <c r="J211" s="187" t="s">
        <v>338</v>
      </c>
      <c r="K211" s="187" t="s">
        <v>338</v>
      </c>
      <c r="L211" s="187" t="s">
        <v>338</v>
      </c>
      <c r="M211" s="187" t="s">
        <v>338</v>
      </c>
      <c r="N211" s="187" t="s">
        <v>338</v>
      </c>
      <c r="O211" s="187" t="s">
        <v>338</v>
      </c>
      <c r="P211" s="187" t="s">
        <v>338</v>
      </c>
      <c r="Q211" s="187" t="s">
        <v>338</v>
      </c>
      <c r="R211" s="187" t="s">
        <v>338</v>
      </c>
      <c r="S211" s="187" t="s">
        <v>338</v>
      </c>
      <c r="T211" s="187" t="s">
        <v>338</v>
      </c>
      <c r="U211" s="187">
        <v>1345</v>
      </c>
      <c r="V211" s="187">
        <v>745</v>
      </c>
      <c r="W211" s="187">
        <v>295</v>
      </c>
      <c r="X211" s="187">
        <v>650</v>
      </c>
      <c r="Y211" s="187" t="s">
        <v>338</v>
      </c>
      <c r="Z211" s="187" t="s">
        <v>338</v>
      </c>
      <c r="AA211" s="187" t="s">
        <v>338</v>
      </c>
    </row>
    <row r="212" spans="2:27" ht="12" hidden="1" customHeight="1">
      <c r="B212" s="171" t="s">
        <v>853</v>
      </c>
      <c r="C212" s="171" t="s">
        <v>562</v>
      </c>
      <c r="D212" s="171" t="s">
        <v>657</v>
      </c>
      <c r="E212" s="171" t="s">
        <v>1302</v>
      </c>
      <c r="F212" s="187" t="s">
        <v>338</v>
      </c>
      <c r="G212" s="191">
        <v>45717</v>
      </c>
      <c r="H212" s="191">
        <v>46022</v>
      </c>
      <c r="I212" s="187" t="s">
        <v>338</v>
      </c>
      <c r="J212" s="187" t="s">
        <v>338</v>
      </c>
      <c r="K212" s="187">
        <v>460</v>
      </c>
      <c r="L212" s="187" t="s">
        <v>338</v>
      </c>
      <c r="M212" s="187" t="s">
        <v>338</v>
      </c>
      <c r="N212" s="187">
        <v>917.5</v>
      </c>
      <c r="O212" s="187">
        <v>467.5</v>
      </c>
      <c r="P212" s="187">
        <v>467.5</v>
      </c>
      <c r="Q212" s="187">
        <v>550</v>
      </c>
      <c r="R212" s="187">
        <v>550</v>
      </c>
      <c r="S212" s="187">
        <v>550</v>
      </c>
      <c r="T212" s="187">
        <v>775</v>
      </c>
      <c r="U212" s="187" t="s">
        <v>338</v>
      </c>
      <c r="V212" s="187" t="s">
        <v>338</v>
      </c>
      <c r="W212" s="187">
        <v>90</v>
      </c>
      <c r="X212" s="187" t="s">
        <v>338</v>
      </c>
      <c r="Y212" s="187" t="s">
        <v>338</v>
      </c>
      <c r="Z212" s="187" t="s">
        <v>338</v>
      </c>
      <c r="AA212" s="187" t="s">
        <v>338</v>
      </c>
    </row>
    <row r="213" spans="2:27" ht="12" hidden="1" customHeight="1">
      <c r="B213" s="171" t="s">
        <v>854</v>
      </c>
      <c r="C213" s="171" t="s">
        <v>562</v>
      </c>
      <c r="D213" s="171" t="s">
        <v>498</v>
      </c>
      <c r="E213" s="171" t="s">
        <v>1300</v>
      </c>
      <c r="F213" s="187">
        <v>5</v>
      </c>
      <c r="G213" s="191">
        <v>45658</v>
      </c>
      <c r="H213" s="191">
        <v>46173</v>
      </c>
      <c r="I213" s="187" t="s">
        <v>338</v>
      </c>
      <c r="J213" s="187" t="s">
        <v>338</v>
      </c>
      <c r="K213" s="187" t="s">
        <v>338</v>
      </c>
      <c r="L213" s="187" t="s">
        <v>338</v>
      </c>
      <c r="M213" s="187" t="s">
        <v>338</v>
      </c>
      <c r="N213" s="187" t="s">
        <v>338</v>
      </c>
      <c r="O213" s="187" t="s">
        <v>338</v>
      </c>
      <c r="P213" s="187" t="s">
        <v>338</v>
      </c>
      <c r="Q213" s="187" t="s">
        <v>338</v>
      </c>
      <c r="R213" s="187" t="s">
        <v>338</v>
      </c>
      <c r="S213" s="187" t="s">
        <v>338</v>
      </c>
      <c r="T213" s="187" t="s">
        <v>338</v>
      </c>
      <c r="U213" s="187">
        <v>1118</v>
      </c>
      <c r="V213" s="187">
        <v>470</v>
      </c>
      <c r="W213" s="187">
        <v>398</v>
      </c>
      <c r="X213" s="187">
        <v>470</v>
      </c>
      <c r="Y213" s="187">
        <v>470</v>
      </c>
      <c r="Z213" s="187" t="s">
        <v>338</v>
      </c>
      <c r="AA213" s="187" t="s">
        <v>338</v>
      </c>
    </row>
    <row r="214" spans="2:27" ht="12" hidden="1" customHeight="1">
      <c r="B214" s="171" t="s">
        <v>855</v>
      </c>
      <c r="C214" s="171" t="s">
        <v>562</v>
      </c>
      <c r="D214" s="171" t="s">
        <v>498</v>
      </c>
      <c r="E214" s="171" t="s">
        <v>1300</v>
      </c>
      <c r="F214" s="187">
        <v>4</v>
      </c>
      <c r="G214" s="191">
        <v>45413</v>
      </c>
      <c r="H214" s="191">
        <v>46081</v>
      </c>
      <c r="I214" s="187">
        <v>474</v>
      </c>
      <c r="J214" s="187">
        <v>474</v>
      </c>
      <c r="K214" s="187">
        <v>474</v>
      </c>
      <c r="L214" s="187">
        <v>474</v>
      </c>
      <c r="M214" s="187">
        <v>475</v>
      </c>
      <c r="N214" s="187">
        <v>400</v>
      </c>
      <c r="O214" s="187">
        <v>400</v>
      </c>
      <c r="P214" s="187">
        <v>400</v>
      </c>
      <c r="Q214" s="187">
        <v>400</v>
      </c>
      <c r="R214" s="187">
        <v>400</v>
      </c>
      <c r="S214" s="187">
        <v>400</v>
      </c>
      <c r="T214" s="187">
        <v>400</v>
      </c>
      <c r="U214" s="187">
        <v>400</v>
      </c>
      <c r="V214" s="187">
        <v>475</v>
      </c>
      <c r="W214" s="187" t="s">
        <v>338</v>
      </c>
      <c r="X214" s="187" t="s">
        <v>338</v>
      </c>
      <c r="Y214" s="187" t="s">
        <v>338</v>
      </c>
      <c r="Z214" s="187" t="s">
        <v>338</v>
      </c>
      <c r="AA214" s="187" t="s">
        <v>338</v>
      </c>
    </row>
    <row r="215" spans="2:27" ht="12" hidden="1" customHeight="1">
      <c r="B215" s="171" t="s">
        <v>856</v>
      </c>
      <c r="C215" s="171" t="s">
        <v>497</v>
      </c>
      <c r="D215" s="171" t="s">
        <v>498</v>
      </c>
      <c r="E215" s="171" t="s">
        <v>1300</v>
      </c>
      <c r="F215" s="187">
        <v>6</v>
      </c>
      <c r="G215" s="191">
        <v>46054</v>
      </c>
      <c r="H215" s="191"/>
      <c r="I215" s="187" t="s">
        <v>338</v>
      </c>
      <c r="J215" s="187" t="s">
        <v>338</v>
      </c>
      <c r="K215" s="187" t="s">
        <v>338</v>
      </c>
      <c r="L215" s="187" t="s">
        <v>338</v>
      </c>
      <c r="M215" s="187" t="s">
        <v>338</v>
      </c>
      <c r="N215" s="187" t="s">
        <v>338</v>
      </c>
      <c r="O215" s="187" t="s">
        <v>338</v>
      </c>
      <c r="P215" s="187" t="s">
        <v>338</v>
      </c>
      <c r="Q215" s="187" t="s">
        <v>338</v>
      </c>
      <c r="R215" s="187" t="s">
        <v>338</v>
      </c>
      <c r="S215" s="187" t="s">
        <v>338</v>
      </c>
      <c r="T215" s="187" t="s">
        <v>338</v>
      </c>
      <c r="U215" s="187" t="s">
        <v>338</v>
      </c>
      <c r="V215" s="187">
        <v>718</v>
      </c>
      <c r="W215" s="187">
        <v>408</v>
      </c>
      <c r="X215" s="187">
        <v>408</v>
      </c>
      <c r="Y215" s="187">
        <v>420</v>
      </c>
      <c r="Z215" s="187">
        <v>420</v>
      </c>
      <c r="AA215" s="187">
        <v>420</v>
      </c>
    </row>
    <row r="216" spans="2:27" ht="12" hidden="1" customHeight="1">
      <c r="B216" s="171" t="s">
        <v>857</v>
      </c>
      <c r="C216" s="171" t="s">
        <v>562</v>
      </c>
      <c r="D216" s="171" t="s">
        <v>657</v>
      </c>
      <c r="E216" s="171" t="s">
        <v>1302</v>
      </c>
      <c r="F216" s="187" t="s">
        <v>338</v>
      </c>
      <c r="G216" s="191">
        <v>45323</v>
      </c>
      <c r="H216" s="191">
        <v>46022</v>
      </c>
      <c r="I216" s="187">
        <v>930</v>
      </c>
      <c r="J216" s="187">
        <v>300</v>
      </c>
      <c r="K216" s="187">
        <v>640</v>
      </c>
      <c r="L216" s="187">
        <v>640</v>
      </c>
      <c r="M216" s="187">
        <v>640</v>
      </c>
      <c r="N216" s="187">
        <v>640</v>
      </c>
      <c r="O216" s="187">
        <v>890</v>
      </c>
      <c r="P216" s="187">
        <v>550</v>
      </c>
      <c r="Q216" s="187">
        <v>550</v>
      </c>
      <c r="R216" s="187">
        <v>550</v>
      </c>
      <c r="S216" s="187">
        <v>550</v>
      </c>
      <c r="T216" s="187">
        <v>575</v>
      </c>
      <c r="U216" s="187" t="s">
        <v>338</v>
      </c>
      <c r="V216" s="187" t="s">
        <v>338</v>
      </c>
      <c r="W216" s="187" t="s">
        <v>338</v>
      </c>
      <c r="X216" s="187" t="s">
        <v>338</v>
      </c>
      <c r="Y216" s="187" t="s">
        <v>338</v>
      </c>
      <c r="Z216" s="187" t="s">
        <v>338</v>
      </c>
      <c r="AA216" s="187" t="s">
        <v>338</v>
      </c>
    </row>
    <row r="217" spans="2:27" ht="12" hidden="1" customHeight="1">
      <c r="B217" s="171" t="s">
        <v>858</v>
      </c>
      <c r="C217" s="171" t="s">
        <v>497</v>
      </c>
      <c r="D217" s="171" t="s">
        <v>678</v>
      </c>
      <c r="E217" s="171" t="s">
        <v>1178</v>
      </c>
      <c r="F217" s="187">
        <v>5</v>
      </c>
      <c r="G217" s="191">
        <v>46054</v>
      </c>
      <c r="H217" s="191"/>
      <c r="I217" s="187" t="s">
        <v>338</v>
      </c>
      <c r="J217" s="187" t="s">
        <v>338</v>
      </c>
      <c r="K217" s="187" t="s">
        <v>338</v>
      </c>
      <c r="L217" s="187" t="s">
        <v>338</v>
      </c>
      <c r="M217" s="187" t="s">
        <v>338</v>
      </c>
      <c r="N217" s="187" t="s">
        <v>338</v>
      </c>
      <c r="O217" s="187" t="s">
        <v>338</v>
      </c>
      <c r="P217" s="187" t="s">
        <v>338</v>
      </c>
      <c r="Q217" s="187" t="s">
        <v>338</v>
      </c>
      <c r="R217" s="187" t="s">
        <v>338</v>
      </c>
      <c r="S217" s="187" t="s">
        <v>338</v>
      </c>
      <c r="T217" s="187" t="s">
        <v>338</v>
      </c>
      <c r="U217" s="187" t="s">
        <v>338</v>
      </c>
      <c r="V217" s="187">
        <v>661</v>
      </c>
      <c r="W217" s="187">
        <v>353</v>
      </c>
      <c r="X217" s="187">
        <v>353</v>
      </c>
      <c r="Y217" s="187">
        <v>418</v>
      </c>
      <c r="Z217" s="187">
        <v>418</v>
      </c>
      <c r="AA217" s="187">
        <v>418</v>
      </c>
    </row>
    <row r="218" spans="2:27" ht="12" hidden="1" customHeight="1">
      <c r="B218" s="171" t="s">
        <v>859</v>
      </c>
      <c r="C218" s="171" t="s">
        <v>562</v>
      </c>
      <c r="D218" s="171" t="s">
        <v>657</v>
      </c>
      <c r="E218" s="171" t="s">
        <v>1302</v>
      </c>
      <c r="F218" s="187" t="s">
        <v>338</v>
      </c>
      <c r="G218" s="191">
        <v>45717</v>
      </c>
      <c r="H218" s="191">
        <v>46022</v>
      </c>
      <c r="I218" s="187" t="s">
        <v>338</v>
      </c>
      <c r="J218" s="187" t="s">
        <v>338</v>
      </c>
      <c r="K218" s="187">
        <v>778.75</v>
      </c>
      <c r="L218" s="187">
        <v>488.75</v>
      </c>
      <c r="M218" s="187">
        <v>403.75</v>
      </c>
      <c r="N218" s="187">
        <v>575</v>
      </c>
      <c r="O218" s="187">
        <v>575</v>
      </c>
      <c r="P218" s="187">
        <v>480</v>
      </c>
      <c r="Q218" s="187">
        <v>480</v>
      </c>
      <c r="R218" s="187">
        <v>480</v>
      </c>
      <c r="S218" s="187">
        <v>480</v>
      </c>
      <c r="T218" s="187">
        <v>670</v>
      </c>
      <c r="U218" s="187" t="s">
        <v>338</v>
      </c>
      <c r="V218" s="187" t="s">
        <v>338</v>
      </c>
      <c r="W218" s="187" t="s">
        <v>338</v>
      </c>
      <c r="X218" s="187" t="s">
        <v>338</v>
      </c>
      <c r="Y218" s="187" t="s">
        <v>338</v>
      </c>
      <c r="Z218" s="187" t="s">
        <v>338</v>
      </c>
      <c r="AA218" s="187" t="s">
        <v>338</v>
      </c>
    </row>
    <row r="219" spans="2:27" ht="12" hidden="1" customHeight="1">
      <c r="B219" s="171" t="s">
        <v>860</v>
      </c>
      <c r="C219" s="171" t="s">
        <v>497</v>
      </c>
      <c r="D219" s="171" t="s">
        <v>498</v>
      </c>
      <c r="E219" s="171" t="s">
        <v>1300</v>
      </c>
      <c r="F219" s="187">
        <v>8</v>
      </c>
      <c r="G219" s="191">
        <v>46113</v>
      </c>
      <c r="H219" s="191"/>
      <c r="I219" s="187" t="s">
        <v>338</v>
      </c>
      <c r="J219" s="187" t="s">
        <v>338</v>
      </c>
      <c r="K219" s="187" t="s">
        <v>338</v>
      </c>
      <c r="L219" s="187" t="s">
        <v>338</v>
      </c>
      <c r="M219" s="187" t="s">
        <v>338</v>
      </c>
      <c r="N219" s="187" t="s">
        <v>338</v>
      </c>
      <c r="O219" s="187" t="s">
        <v>338</v>
      </c>
      <c r="P219" s="187" t="s">
        <v>338</v>
      </c>
      <c r="Q219" s="187" t="s">
        <v>338</v>
      </c>
      <c r="R219" s="187" t="s">
        <v>338</v>
      </c>
      <c r="S219" s="187" t="s">
        <v>338</v>
      </c>
      <c r="T219" s="187" t="s">
        <v>338</v>
      </c>
      <c r="U219" s="187" t="s">
        <v>338</v>
      </c>
      <c r="V219" s="187" t="s">
        <v>338</v>
      </c>
      <c r="W219" s="187" t="s">
        <v>338</v>
      </c>
      <c r="X219" s="187">
        <v>938</v>
      </c>
      <c r="Y219" s="187">
        <v>468</v>
      </c>
      <c r="Z219" s="187">
        <v>543</v>
      </c>
      <c r="AA219" s="187">
        <v>632</v>
      </c>
    </row>
    <row r="220" spans="2:27" ht="12" hidden="1" customHeight="1">
      <c r="B220" s="171" t="s">
        <v>861</v>
      </c>
      <c r="C220" s="171" t="s">
        <v>19</v>
      </c>
      <c r="D220" s="171" t="s">
        <v>498</v>
      </c>
      <c r="E220" s="171" t="s">
        <v>1300</v>
      </c>
      <c r="F220" s="187">
        <v>41</v>
      </c>
      <c r="G220" s="191">
        <v>46204</v>
      </c>
      <c r="H220" s="191"/>
      <c r="I220" s="187" t="s">
        <v>338</v>
      </c>
      <c r="J220" s="187" t="s">
        <v>338</v>
      </c>
      <c r="K220" s="187" t="s">
        <v>338</v>
      </c>
      <c r="L220" s="187" t="s">
        <v>338</v>
      </c>
      <c r="M220" s="187" t="s">
        <v>338</v>
      </c>
      <c r="N220" s="187" t="s">
        <v>338</v>
      </c>
      <c r="O220" s="187" t="s">
        <v>338</v>
      </c>
      <c r="P220" s="187" t="s">
        <v>338</v>
      </c>
      <c r="Q220" s="187" t="s">
        <v>338</v>
      </c>
      <c r="R220" s="187" t="s">
        <v>338</v>
      </c>
      <c r="S220" s="187" t="s">
        <v>338</v>
      </c>
      <c r="T220" s="187" t="s">
        <v>338</v>
      </c>
      <c r="U220" s="187" t="s">
        <v>338</v>
      </c>
      <c r="V220" s="187" t="s">
        <v>338</v>
      </c>
      <c r="W220" s="187" t="s">
        <v>338</v>
      </c>
      <c r="X220" s="187" t="s">
        <v>338</v>
      </c>
      <c r="Y220" s="187" t="s">
        <v>338</v>
      </c>
      <c r="Z220" s="187" t="s">
        <v>338</v>
      </c>
      <c r="AA220" s="187">
        <v>2460</v>
      </c>
    </row>
    <row r="221" spans="2:27" ht="12" hidden="1" customHeight="1">
      <c r="B221" s="171" t="s">
        <v>863</v>
      </c>
      <c r="C221" s="171" t="s">
        <v>562</v>
      </c>
      <c r="D221" s="171" t="s">
        <v>498</v>
      </c>
      <c r="E221" s="171" t="s">
        <v>1300</v>
      </c>
      <c r="F221" s="187">
        <v>8</v>
      </c>
      <c r="G221" s="191">
        <v>46082</v>
      </c>
      <c r="H221" s="191">
        <v>46173</v>
      </c>
      <c r="I221" s="187" t="s">
        <v>338</v>
      </c>
      <c r="J221" s="187" t="s">
        <v>338</v>
      </c>
      <c r="K221" s="187" t="s">
        <v>338</v>
      </c>
      <c r="L221" s="187" t="s">
        <v>338</v>
      </c>
      <c r="M221" s="187" t="s">
        <v>338</v>
      </c>
      <c r="N221" s="187" t="s">
        <v>338</v>
      </c>
      <c r="O221" s="187" t="s">
        <v>338</v>
      </c>
      <c r="P221" s="187" t="s">
        <v>338</v>
      </c>
      <c r="Q221" s="187" t="s">
        <v>338</v>
      </c>
      <c r="R221" s="187" t="s">
        <v>338</v>
      </c>
      <c r="S221" s="187" t="s">
        <v>338</v>
      </c>
      <c r="T221" s="187" t="s">
        <v>338</v>
      </c>
      <c r="U221" s="187" t="s">
        <v>338</v>
      </c>
      <c r="V221" s="187" t="s">
        <v>338</v>
      </c>
      <c r="W221" s="187">
        <v>1020</v>
      </c>
      <c r="X221" s="187">
        <v>670</v>
      </c>
      <c r="Y221" s="187">
        <v>670</v>
      </c>
      <c r="Z221" s="187" t="s">
        <v>338</v>
      </c>
      <c r="AA221" s="187" t="s">
        <v>338</v>
      </c>
    </row>
    <row r="222" spans="2:27" ht="12" hidden="1" customHeight="1">
      <c r="B222" s="171" t="s">
        <v>864</v>
      </c>
      <c r="C222" s="171" t="s">
        <v>562</v>
      </c>
      <c r="D222" s="171" t="s">
        <v>657</v>
      </c>
      <c r="E222" s="171" t="s">
        <v>1302</v>
      </c>
      <c r="F222" s="187" t="s">
        <v>338</v>
      </c>
      <c r="G222" s="191">
        <v>45231</v>
      </c>
      <c r="H222" s="191">
        <v>45930</v>
      </c>
      <c r="I222" s="187">
        <v>1175</v>
      </c>
      <c r="J222" s="187">
        <v>1175</v>
      </c>
      <c r="K222" s="187">
        <v>1085</v>
      </c>
      <c r="L222" s="187">
        <v>1155</v>
      </c>
      <c r="M222" s="187">
        <v>1270</v>
      </c>
      <c r="N222" s="187">
        <v>1155</v>
      </c>
      <c r="O222" s="187">
        <v>1270</v>
      </c>
      <c r="P222" s="187">
        <v>1200</v>
      </c>
      <c r="Q222" s="187">
        <v>1130</v>
      </c>
      <c r="R222" s="187" t="s">
        <v>338</v>
      </c>
      <c r="S222" s="187" t="s">
        <v>338</v>
      </c>
      <c r="T222" s="187" t="s">
        <v>338</v>
      </c>
      <c r="U222" s="187" t="s">
        <v>338</v>
      </c>
      <c r="V222" s="187" t="s">
        <v>338</v>
      </c>
      <c r="W222" s="187" t="s">
        <v>338</v>
      </c>
      <c r="X222" s="187" t="s">
        <v>338</v>
      </c>
      <c r="Y222" s="187" t="s">
        <v>338</v>
      </c>
      <c r="Z222" s="187" t="s">
        <v>338</v>
      </c>
      <c r="AA222" s="187" t="s">
        <v>338</v>
      </c>
    </row>
    <row r="223" spans="2:27" ht="12" hidden="1" customHeight="1">
      <c r="B223" s="171" t="s">
        <v>865</v>
      </c>
      <c r="C223" s="171" t="s">
        <v>562</v>
      </c>
      <c r="D223" s="171" t="s">
        <v>632</v>
      </c>
      <c r="E223" s="171" t="s">
        <v>1301</v>
      </c>
      <c r="F223" s="187" t="s">
        <v>338</v>
      </c>
      <c r="G223" s="191">
        <v>44317</v>
      </c>
      <c r="H223" s="191">
        <v>46112</v>
      </c>
      <c r="I223" s="187">
        <v>295</v>
      </c>
      <c r="J223" s="187">
        <v>265</v>
      </c>
      <c r="K223" s="187">
        <v>265</v>
      </c>
      <c r="L223" s="187">
        <v>265</v>
      </c>
      <c r="M223" s="187">
        <v>265</v>
      </c>
      <c r="N223" s="187">
        <v>265</v>
      </c>
      <c r="O223" s="187">
        <v>265</v>
      </c>
      <c r="P223" s="187">
        <v>265</v>
      </c>
      <c r="Q223" s="187">
        <v>265</v>
      </c>
      <c r="R223" s="187">
        <v>265</v>
      </c>
      <c r="S223" s="187">
        <v>265</v>
      </c>
      <c r="T223" s="187">
        <v>265</v>
      </c>
      <c r="U223" s="187">
        <v>295</v>
      </c>
      <c r="V223" s="187">
        <v>310</v>
      </c>
      <c r="W223" s="187">
        <v>295</v>
      </c>
      <c r="X223" s="187" t="s">
        <v>338</v>
      </c>
      <c r="Y223" s="187" t="s">
        <v>338</v>
      </c>
      <c r="Z223" s="187" t="s">
        <v>338</v>
      </c>
      <c r="AA223" s="187" t="s">
        <v>338</v>
      </c>
    </row>
    <row r="224" spans="2:27" ht="12" hidden="1" customHeight="1">
      <c r="B224" s="171" t="s">
        <v>866</v>
      </c>
      <c r="C224" s="171" t="s">
        <v>562</v>
      </c>
      <c r="D224" s="171" t="s">
        <v>657</v>
      </c>
      <c r="E224" s="171" t="s">
        <v>1302</v>
      </c>
      <c r="F224" s="187" t="s">
        <v>338</v>
      </c>
      <c r="G224" s="191">
        <v>45689</v>
      </c>
      <c r="H224" s="191">
        <v>46053</v>
      </c>
      <c r="I224" s="187" t="s">
        <v>338</v>
      </c>
      <c r="J224" s="187">
        <v>350</v>
      </c>
      <c r="K224" s="187" t="s">
        <v>338</v>
      </c>
      <c r="L224" s="187" t="s">
        <v>338</v>
      </c>
      <c r="M224" s="187">
        <v>360</v>
      </c>
      <c r="N224" s="187">
        <v>360</v>
      </c>
      <c r="O224" s="187">
        <v>360</v>
      </c>
      <c r="P224" s="187">
        <v>360</v>
      </c>
      <c r="Q224" s="187">
        <v>360</v>
      </c>
      <c r="R224" s="187">
        <v>360</v>
      </c>
      <c r="S224" s="187">
        <v>375</v>
      </c>
      <c r="T224" s="187">
        <v>375</v>
      </c>
      <c r="U224" s="187">
        <v>375</v>
      </c>
      <c r="V224" s="187" t="s">
        <v>338</v>
      </c>
      <c r="W224" s="187" t="s">
        <v>338</v>
      </c>
      <c r="X224" s="187" t="s">
        <v>338</v>
      </c>
      <c r="Y224" s="187" t="s">
        <v>338</v>
      </c>
      <c r="Z224" s="187" t="s">
        <v>338</v>
      </c>
      <c r="AA224" s="187" t="s">
        <v>338</v>
      </c>
    </row>
    <row r="225" spans="2:27" ht="12" hidden="1" customHeight="1">
      <c r="B225" s="171" t="s">
        <v>867</v>
      </c>
      <c r="C225" s="171" t="s">
        <v>19</v>
      </c>
      <c r="D225" s="171" t="s">
        <v>498</v>
      </c>
      <c r="E225" s="171" t="s">
        <v>1300</v>
      </c>
      <c r="F225" s="187">
        <v>29</v>
      </c>
      <c r="G225" s="191">
        <v>46204</v>
      </c>
      <c r="H225" s="191"/>
      <c r="I225" s="187" t="s">
        <v>338</v>
      </c>
      <c r="J225" s="187" t="s">
        <v>338</v>
      </c>
      <c r="K225" s="187" t="s">
        <v>338</v>
      </c>
      <c r="L225" s="187" t="s">
        <v>338</v>
      </c>
      <c r="M225" s="187" t="s">
        <v>338</v>
      </c>
      <c r="N225" s="187" t="s">
        <v>338</v>
      </c>
      <c r="O225" s="187" t="s">
        <v>338</v>
      </c>
      <c r="P225" s="187" t="s">
        <v>338</v>
      </c>
      <c r="Q225" s="187" t="s">
        <v>338</v>
      </c>
      <c r="R225" s="187" t="s">
        <v>338</v>
      </c>
      <c r="S225" s="187" t="s">
        <v>338</v>
      </c>
      <c r="T225" s="187" t="s">
        <v>338</v>
      </c>
      <c r="U225" s="187" t="s">
        <v>338</v>
      </c>
      <c r="V225" s="187" t="s">
        <v>338</v>
      </c>
      <c r="W225" s="187" t="s">
        <v>338</v>
      </c>
      <c r="X225" s="187" t="s">
        <v>338</v>
      </c>
      <c r="Y225" s="187" t="s">
        <v>338</v>
      </c>
      <c r="Z225" s="187" t="s">
        <v>338</v>
      </c>
      <c r="AA225" s="187">
        <v>2198</v>
      </c>
    </row>
    <row r="226" spans="2:27" ht="12" customHeight="1">
      <c r="B226" s="171" t="s">
        <v>884</v>
      </c>
      <c r="C226" s="171" t="s">
        <v>562</v>
      </c>
      <c r="D226" s="249" t="s">
        <v>728</v>
      </c>
      <c r="E226" s="249" t="s">
        <v>1303</v>
      </c>
      <c r="F226" s="187" t="s">
        <v>338</v>
      </c>
      <c r="G226" s="191">
        <v>45627</v>
      </c>
      <c r="H226" s="191">
        <v>45991</v>
      </c>
      <c r="I226" s="187">
        <v>340</v>
      </c>
      <c r="J226" s="187">
        <v>340</v>
      </c>
      <c r="K226" s="187">
        <v>480</v>
      </c>
      <c r="L226" s="187">
        <v>480</v>
      </c>
      <c r="M226" s="187">
        <v>480</v>
      </c>
      <c r="N226" s="187">
        <v>480</v>
      </c>
      <c r="O226" s="187">
        <v>400</v>
      </c>
      <c r="P226" s="187">
        <v>400</v>
      </c>
      <c r="Q226" s="187">
        <v>400</v>
      </c>
      <c r="R226" s="187">
        <v>400</v>
      </c>
      <c r="S226" s="187">
        <v>400</v>
      </c>
      <c r="T226" s="187" t="s">
        <v>338</v>
      </c>
      <c r="U226" s="187" t="s">
        <v>338</v>
      </c>
      <c r="V226" s="187" t="s">
        <v>338</v>
      </c>
      <c r="W226" s="187" t="s">
        <v>338</v>
      </c>
      <c r="X226" s="187" t="s">
        <v>338</v>
      </c>
      <c r="Y226" s="187" t="s">
        <v>338</v>
      </c>
      <c r="Z226" s="187" t="s">
        <v>338</v>
      </c>
      <c r="AA226" s="187" t="s">
        <v>338</v>
      </c>
    </row>
    <row r="227" spans="2:27" ht="12" hidden="1" customHeight="1">
      <c r="B227" s="171" t="s">
        <v>869</v>
      </c>
      <c r="C227" s="171" t="s">
        <v>562</v>
      </c>
      <c r="D227" s="171" t="s">
        <v>657</v>
      </c>
      <c r="E227" s="171" t="s">
        <v>1302</v>
      </c>
      <c r="F227" s="187" t="s">
        <v>338</v>
      </c>
      <c r="G227" s="191">
        <v>45778</v>
      </c>
      <c r="H227" s="191">
        <v>45991</v>
      </c>
      <c r="I227" s="187" t="s">
        <v>338</v>
      </c>
      <c r="J227" s="187" t="s">
        <v>338</v>
      </c>
      <c r="K227" s="187" t="s">
        <v>338</v>
      </c>
      <c r="L227" s="187" t="s">
        <v>338</v>
      </c>
      <c r="M227" s="187">
        <v>640</v>
      </c>
      <c r="N227" s="187">
        <v>340</v>
      </c>
      <c r="O227" s="187">
        <v>403.75</v>
      </c>
      <c r="P227" s="187">
        <v>475</v>
      </c>
      <c r="Q227" s="187">
        <v>550</v>
      </c>
      <c r="R227" s="187">
        <v>550</v>
      </c>
      <c r="S227" s="187">
        <v>550</v>
      </c>
      <c r="T227" s="187" t="s">
        <v>338</v>
      </c>
      <c r="U227" s="187" t="s">
        <v>338</v>
      </c>
      <c r="V227" s="187">
        <v>60</v>
      </c>
      <c r="W227" s="187" t="s">
        <v>338</v>
      </c>
      <c r="X227" s="187" t="s">
        <v>338</v>
      </c>
      <c r="Y227" s="187" t="s">
        <v>338</v>
      </c>
      <c r="Z227" s="187" t="s">
        <v>338</v>
      </c>
      <c r="AA227" s="187" t="s">
        <v>338</v>
      </c>
    </row>
    <row r="228" spans="2:27" ht="12" hidden="1" customHeight="1">
      <c r="B228" s="171" t="s">
        <v>870</v>
      </c>
      <c r="C228" s="171" t="s">
        <v>497</v>
      </c>
      <c r="D228" s="171" t="s">
        <v>678</v>
      </c>
      <c r="E228" s="171" t="s">
        <v>1178</v>
      </c>
      <c r="F228" s="187">
        <v>5</v>
      </c>
      <c r="G228" s="191">
        <v>46023</v>
      </c>
      <c r="H228" s="191"/>
      <c r="I228" s="187" t="s">
        <v>338</v>
      </c>
      <c r="J228" s="187" t="s">
        <v>338</v>
      </c>
      <c r="K228" s="187" t="s">
        <v>338</v>
      </c>
      <c r="L228" s="187" t="s">
        <v>338</v>
      </c>
      <c r="M228" s="187" t="s">
        <v>338</v>
      </c>
      <c r="N228" s="187" t="s">
        <v>338</v>
      </c>
      <c r="O228" s="187" t="s">
        <v>338</v>
      </c>
      <c r="P228" s="187" t="s">
        <v>338</v>
      </c>
      <c r="Q228" s="187" t="s">
        <v>338</v>
      </c>
      <c r="R228" s="187" t="s">
        <v>338</v>
      </c>
      <c r="S228" s="187" t="s">
        <v>338</v>
      </c>
      <c r="T228" s="187" t="s">
        <v>338</v>
      </c>
      <c r="U228" s="187">
        <v>640</v>
      </c>
      <c r="V228" s="187">
        <v>340</v>
      </c>
      <c r="W228" s="187">
        <v>85</v>
      </c>
      <c r="X228" s="187">
        <v>200</v>
      </c>
      <c r="Y228" s="187">
        <v>300</v>
      </c>
      <c r="Z228" s="187">
        <v>300</v>
      </c>
      <c r="AA228" s="187">
        <v>300</v>
      </c>
    </row>
    <row r="229" spans="2:27" ht="12" hidden="1" customHeight="1">
      <c r="B229" s="171" t="s">
        <v>871</v>
      </c>
      <c r="C229" s="171" t="s">
        <v>562</v>
      </c>
      <c r="D229" s="171" t="s">
        <v>872</v>
      </c>
      <c r="E229" s="171" t="s">
        <v>1301</v>
      </c>
      <c r="F229" s="187" t="s">
        <v>338</v>
      </c>
      <c r="G229" s="191">
        <v>44440</v>
      </c>
      <c r="H229" s="191">
        <v>46081</v>
      </c>
      <c r="I229" s="187">
        <v>310</v>
      </c>
      <c r="J229" s="187">
        <v>295</v>
      </c>
      <c r="K229" s="187">
        <v>295</v>
      </c>
      <c r="L229" s="187">
        <v>295</v>
      </c>
      <c r="M229" s="187">
        <v>295</v>
      </c>
      <c r="N229" s="187">
        <v>295</v>
      </c>
      <c r="O229" s="187">
        <v>295</v>
      </c>
      <c r="P229" s="187">
        <v>295</v>
      </c>
      <c r="Q229" s="187">
        <v>305</v>
      </c>
      <c r="R229" s="187">
        <v>305</v>
      </c>
      <c r="S229" s="187">
        <v>305</v>
      </c>
      <c r="T229" s="187">
        <v>305</v>
      </c>
      <c r="U229" s="187">
        <v>305</v>
      </c>
      <c r="V229" s="187">
        <v>305</v>
      </c>
      <c r="W229" s="187">
        <v>0</v>
      </c>
      <c r="X229" s="187" t="s">
        <v>338</v>
      </c>
      <c r="Y229" s="187" t="s">
        <v>338</v>
      </c>
      <c r="Z229" s="187" t="s">
        <v>338</v>
      </c>
      <c r="AA229" s="187" t="s">
        <v>338</v>
      </c>
    </row>
    <row r="230" spans="2:27" ht="12" hidden="1" customHeight="1">
      <c r="B230" s="171" t="s">
        <v>874</v>
      </c>
      <c r="C230" s="171" t="s">
        <v>562</v>
      </c>
      <c r="D230" s="171" t="s">
        <v>872</v>
      </c>
      <c r="E230" s="171" t="s">
        <v>1301</v>
      </c>
      <c r="F230" s="187" t="s">
        <v>338</v>
      </c>
      <c r="G230" s="191">
        <v>44652</v>
      </c>
      <c r="H230" s="191">
        <v>46053</v>
      </c>
      <c r="I230" s="187">
        <v>345</v>
      </c>
      <c r="J230" s="187">
        <v>330</v>
      </c>
      <c r="K230" s="187">
        <v>330</v>
      </c>
      <c r="L230" s="187">
        <v>350</v>
      </c>
      <c r="M230" s="187">
        <v>350</v>
      </c>
      <c r="N230" s="187">
        <v>350</v>
      </c>
      <c r="O230" s="187">
        <v>350</v>
      </c>
      <c r="P230" s="187">
        <v>350</v>
      </c>
      <c r="Q230" s="187">
        <v>350</v>
      </c>
      <c r="R230" s="187">
        <v>350</v>
      </c>
      <c r="S230" s="187">
        <v>350</v>
      </c>
      <c r="T230" s="187">
        <v>350</v>
      </c>
      <c r="U230" s="187">
        <v>350</v>
      </c>
      <c r="V230" s="187" t="s">
        <v>338</v>
      </c>
      <c r="W230" s="187" t="s">
        <v>338</v>
      </c>
      <c r="X230" s="187" t="s">
        <v>338</v>
      </c>
      <c r="Y230" s="187" t="s">
        <v>338</v>
      </c>
      <c r="Z230" s="187" t="s">
        <v>338</v>
      </c>
      <c r="AA230" s="187" t="s">
        <v>338</v>
      </c>
    </row>
    <row r="231" spans="2:27" ht="12" hidden="1" customHeight="1">
      <c r="B231" s="171" t="s">
        <v>875</v>
      </c>
      <c r="C231" s="171" t="s">
        <v>562</v>
      </c>
      <c r="D231" s="171" t="s">
        <v>498</v>
      </c>
      <c r="E231" s="171" t="s">
        <v>1300</v>
      </c>
      <c r="F231" s="187">
        <v>4</v>
      </c>
      <c r="G231" s="191">
        <v>45778</v>
      </c>
      <c r="H231" s="191">
        <v>46022</v>
      </c>
      <c r="I231" s="187" t="s">
        <v>338</v>
      </c>
      <c r="J231" s="187" t="s">
        <v>338</v>
      </c>
      <c r="K231" s="187" t="s">
        <v>338</v>
      </c>
      <c r="L231" s="187" t="s">
        <v>338</v>
      </c>
      <c r="M231" s="187">
        <v>640</v>
      </c>
      <c r="N231" s="187">
        <v>340</v>
      </c>
      <c r="O231" s="187">
        <v>340</v>
      </c>
      <c r="P231" s="187">
        <v>400</v>
      </c>
      <c r="Q231" s="187">
        <v>400</v>
      </c>
      <c r="R231" s="187">
        <v>400</v>
      </c>
      <c r="S231" s="187">
        <v>400</v>
      </c>
      <c r="T231" s="187">
        <v>700</v>
      </c>
      <c r="U231" s="187">
        <v>-200</v>
      </c>
      <c r="V231" s="187">
        <v>0</v>
      </c>
      <c r="W231" s="187">
        <v>0</v>
      </c>
      <c r="X231" s="187">
        <v>0</v>
      </c>
      <c r="Y231" s="187" t="s">
        <v>338</v>
      </c>
      <c r="Z231" s="187" t="s">
        <v>338</v>
      </c>
      <c r="AA231" s="187" t="s">
        <v>338</v>
      </c>
    </row>
    <row r="232" spans="2:27" ht="12" hidden="1" customHeight="1">
      <c r="B232" s="171" t="s">
        <v>878</v>
      </c>
      <c r="C232" s="171" t="s">
        <v>562</v>
      </c>
      <c r="D232" s="171" t="s">
        <v>657</v>
      </c>
      <c r="E232" s="171" t="s">
        <v>1302</v>
      </c>
      <c r="F232" s="187" t="s">
        <v>338</v>
      </c>
      <c r="G232" s="191">
        <v>45778</v>
      </c>
      <c r="H232" s="191">
        <v>45991</v>
      </c>
      <c r="I232" s="187" t="s">
        <v>338</v>
      </c>
      <c r="J232" s="187" t="s">
        <v>338</v>
      </c>
      <c r="K232" s="187" t="s">
        <v>338</v>
      </c>
      <c r="L232" s="187" t="s">
        <v>338</v>
      </c>
      <c r="M232" s="187">
        <v>3792.5</v>
      </c>
      <c r="N232" s="187">
        <v>695</v>
      </c>
      <c r="O232" s="187">
        <v>718.75</v>
      </c>
      <c r="P232" s="187">
        <v>325</v>
      </c>
      <c r="Q232" s="187">
        <v>640</v>
      </c>
      <c r="R232" s="187">
        <v>550</v>
      </c>
      <c r="S232" s="187">
        <v>550</v>
      </c>
      <c r="T232" s="187" t="s">
        <v>338</v>
      </c>
      <c r="U232" s="187" t="s">
        <v>338</v>
      </c>
      <c r="V232" s="187" t="s">
        <v>338</v>
      </c>
      <c r="W232" s="187" t="s">
        <v>338</v>
      </c>
      <c r="X232" s="187" t="s">
        <v>338</v>
      </c>
      <c r="Y232" s="187" t="s">
        <v>338</v>
      </c>
      <c r="Z232" s="187" t="s">
        <v>338</v>
      </c>
      <c r="AA232" s="187" t="s">
        <v>338</v>
      </c>
    </row>
    <row r="233" spans="2:27" ht="12" hidden="1" customHeight="1">
      <c r="B233" s="171" t="s">
        <v>879</v>
      </c>
      <c r="C233" s="171" t="s">
        <v>497</v>
      </c>
      <c r="D233" s="171" t="s">
        <v>498</v>
      </c>
      <c r="E233" s="171" t="s">
        <v>1300</v>
      </c>
      <c r="F233" s="187">
        <v>3</v>
      </c>
      <c r="G233" s="191">
        <v>46143</v>
      </c>
      <c r="H233" s="191"/>
      <c r="I233" s="187" t="s">
        <v>338</v>
      </c>
      <c r="J233" s="187" t="s">
        <v>338</v>
      </c>
      <c r="K233" s="187" t="s">
        <v>338</v>
      </c>
      <c r="L233" s="187" t="s">
        <v>338</v>
      </c>
      <c r="M233" s="187" t="s">
        <v>338</v>
      </c>
      <c r="N233" s="187" t="s">
        <v>338</v>
      </c>
      <c r="O233" s="187" t="s">
        <v>338</v>
      </c>
      <c r="P233" s="187" t="s">
        <v>338</v>
      </c>
      <c r="Q233" s="187" t="s">
        <v>338</v>
      </c>
      <c r="R233" s="187" t="s">
        <v>338</v>
      </c>
      <c r="S233" s="187" t="s">
        <v>338</v>
      </c>
      <c r="T233" s="187" t="s">
        <v>338</v>
      </c>
      <c r="U233" s="187" t="s">
        <v>338</v>
      </c>
      <c r="V233" s="187" t="s">
        <v>338</v>
      </c>
      <c r="W233" s="187" t="s">
        <v>338</v>
      </c>
      <c r="X233" s="187" t="s">
        <v>338</v>
      </c>
      <c r="Y233" s="187">
        <v>986</v>
      </c>
      <c r="Z233" s="187">
        <v>678</v>
      </c>
      <c r="AA233" s="187">
        <v>378</v>
      </c>
    </row>
    <row r="234" spans="2:27" ht="12" hidden="1" customHeight="1">
      <c r="B234" s="171" t="s">
        <v>880</v>
      </c>
      <c r="C234" s="171" t="s">
        <v>562</v>
      </c>
      <c r="D234" s="171" t="s">
        <v>678</v>
      </c>
      <c r="E234" s="171" t="s">
        <v>1178</v>
      </c>
      <c r="F234" s="187" t="s">
        <v>338</v>
      </c>
      <c r="G234" s="191">
        <v>45444</v>
      </c>
      <c r="H234" s="191">
        <v>46173</v>
      </c>
      <c r="I234" s="187">
        <v>197.5</v>
      </c>
      <c r="J234" s="187">
        <v>242.5</v>
      </c>
      <c r="K234" s="187">
        <v>197.5</v>
      </c>
      <c r="L234" s="187">
        <v>197.5</v>
      </c>
      <c r="M234" s="187">
        <v>197.5</v>
      </c>
      <c r="N234" s="187">
        <v>200</v>
      </c>
      <c r="O234" s="187">
        <v>200</v>
      </c>
      <c r="P234" s="187">
        <v>200</v>
      </c>
      <c r="Q234" s="187">
        <v>200</v>
      </c>
      <c r="R234" s="187">
        <v>200</v>
      </c>
      <c r="S234" s="187">
        <v>200</v>
      </c>
      <c r="T234" s="187">
        <v>200</v>
      </c>
      <c r="U234" s="187">
        <v>200</v>
      </c>
      <c r="V234" s="187">
        <v>200</v>
      </c>
      <c r="W234" s="187">
        <v>200</v>
      </c>
      <c r="X234" s="187">
        <v>200</v>
      </c>
      <c r="Y234" s="187">
        <v>200</v>
      </c>
      <c r="Z234" s="187" t="s">
        <v>338</v>
      </c>
      <c r="AA234" s="187" t="s">
        <v>338</v>
      </c>
    </row>
    <row r="235" spans="2:27" ht="12" hidden="1" customHeight="1">
      <c r="B235" s="171" t="s">
        <v>881</v>
      </c>
      <c r="C235" s="171" t="s">
        <v>562</v>
      </c>
      <c r="D235" s="171" t="s">
        <v>657</v>
      </c>
      <c r="E235" s="171" t="s">
        <v>1302</v>
      </c>
      <c r="F235" s="187" t="s">
        <v>338</v>
      </c>
      <c r="G235" s="191">
        <v>45444</v>
      </c>
      <c r="H235" s="191">
        <v>46173</v>
      </c>
      <c r="I235" s="187">
        <v>197.5</v>
      </c>
      <c r="J235" s="187">
        <v>197.5</v>
      </c>
      <c r="K235" s="187">
        <v>197.5</v>
      </c>
      <c r="L235" s="187">
        <v>197.5</v>
      </c>
      <c r="M235" s="187">
        <v>197.5</v>
      </c>
      <c r="N235" s="187">
        <v>200</v>
      </c>
      <c r="O235" s="187">
        <v>200</v>
      </c>
      <c r="P235" s="187">
        <v>200</v>
      </c>
      <c r="Q235" s="187">
        <v>200</v>
      </c>
      <c r="R235" s="187">
        <v>200</v>
      </c>
      <c r="S235" s="187">
        <v>200</v>
      </c>
      <c r="T235" s="187">
        <v>200</v>
      </c>
      <c r="U235" s="187">
        <v>200</v>
      </c>
      <c r="V235" s="187">
        <v>200</v>
      </c>
      <c r="W235" s="187">
        <v>200</v>
      </c>
      <c r="X235" s="187">
        <v>200</v>
      </c>
      <c r="Y235" s="187">
        <v>200</v>
      </c>
      <c r="Z235" s="187" t="s">
        <v>338</v>
      </c>
      <c r="AA235" s="187" t="s">
        <v>338</v>
      </c>
    </row>
    <row r="236" spans="2:27" ht="12" hidden="1" customHeight="1">
      <c r="B236" s="171" t="s">
        <v>882</v>
      </c>
      <c r="C236" s="171" t="s">
        <v>562</v>
      </c>
      <c r="D236" s="171" t="s">
        <v>657</v>
      </c>
      <c r="E236" s="171" t="s">
        <v>1302</v>
      </c>
      <c r="F236" s="187" t="s">
        <v>338</v>
      </c>
      <c r="G236" s="191">
        <v>45292</v>
      </c>
      <c r="H236" s="191">
        <v>45961</v>
      </c>
      <c r="I236" s="187">
        <v>1185</v>
      </c>
      <c r="J236" s="187">
        <v>960</v>
      </c>
      <c r="K236" s="187">
        <v>870</v>
      </c>
      <c r="L236" s="187">
        <v>1030</v>
      </c>
      <c r="M236" s="187">
        <v>780</v>
      </c>
      <c r="N236" s="187">
        <v>870</v>
      </c>
      <c r="O236" s="187">
        <v>690</v>
      </c>
      <c r="P236" s="187">
        <v>690</v>
      </c>
      <c r="Q236" s="187">
        <v>690</v>
      </c>
      <c r="R236" s="187">
        <v>510</v>
      </c>
      <c r="S236" s="187" t="s">
        <v>338</v>
      </c>
      <c r="T236" s="187" t="s">
        <v>338</v>
      </c>
      <c r="U236" s="187" t="s">
        <v>338</v>
      </c>
      <c r="V236" s="187">
        <v>0</v>
      </c>
      <c r="W236" s="187" t="s">
        <v>338</v>
      </c>
      <c r="X236" s="187" t="s">
        <v>338</v>
      </c>
      <c r="Y236" s="187" t="s">
        <v>338</v>
      </c>
      <c r="Z236" s="187" t="s">
        <v>338</v>
      </c>
      <c r="AA236" s="187" t="s">
        <v>338</v>
      </c>
    </row>
    <row r="237" spans="2:27" ht="12" hidden="1" customHeight="1">
      <c r="B237" s="171" t="s">
        <v>883</v>
      </c>
      <c r="C237" s="171" t="s">
        <v>562</v>
      </c>
      <c r="D237" s="171" t="s">
        <v>498</v>
      </c>
      <c r="E237" s="171" t="s">
        <v>1300</v>
      </c>
      <c r="F237" s="187">
        <v>9</v>
      </c>
      <c r="G237" s="191">
        <v>46113</v>
      </c>
      <c r="H237" s="191">
        <v>46173</v>
      </c>
      <c r="I237" s="187" t="s">
        <v>338</v>
      </c>
      <c r="J237" s="187" t="s">
        <v>338</v>
      </c>
      <c r="K237" s="187" t="s">
        <v>338</v>
      </c>
      <c r="L237" s="187" t="s">
        <v>338</v>
      </c>
      <c r="M237" s="187" t="s">
        <v>338</v>
      </c>
      <c r="N237" s="187" t="s">
        <v>338</v>
      </c>
      <c r="O237" s="187" t="s">
        <v>338</v>
      </c>
      <c r="P237" s="187" t="s">
        <v>338</v>
      </c>
      <c r="Q237" s="187" t="s">
        <v>338</v>
      </c>
      <c r="R237" s="187" t="s">
        <v>338</v>
      </c>
      <c r="S237" s="187" t="s">
        <v>338</v>
      </c>
      <c r="T237" s="187" t="s">
        <v>338</v>
      </c>
      <c r="U237" s="187" t="s">
        <v>338</v>
      </c>
      <c r="V237" s="187" t="s">
        <v>338</v>
      </c>
      <c r="W237" s="187" t="s">
        <v>338</v>
      </c>
      <c r="X237" s="187">
        <v>1036</v>
      </c>
      <c r="Y237" s="187">
        <v>758</v>
      </c>
      <c r="Z237" s="187" t="s">
        <v>338</v>
      </c>
      <c r="AA237" s="187" t="s">
        <v>338</v>
      </c>
    </row>
    <row r="238" spans="2:27" ht="12" customHeight="1">
      <c r="B238" s="171" t="s">
        <v>916</v>
      </c>
      <c r="C238" s="171" t="s">
        <v>562</v>
      </c>
      <c r="D238" s="249" t="s">
        <v>728</v>
      </c>
      <c r="E238" s="249" t="s">
        <v>1303</v>
      </c>
      <c r="F238" s="187">
        <v>5</v>
      </c>
      <c r="G238" s="191">
        <v>45383</v>
      </c>
      <c r="H238" s="191">
        <v>45930</v>
      </c>
      <c r="I238" s="187">
        <v>485</v>
      </c>
      <c r="J238" s="187">
        <v>395</v>
      </c>
      <c r="K238" s="187">
        <v>395</v>
      </c>
      <c r="L238" s="187">
        <v>400</v>
      </c>
      <c r="M238" s="187">
        <v>400</v>
      </c>
      <c r="N238" s="187">
        <v>400</v>
      </c>
      <c r="O238" s="187">
        <v>400</v>
      </c>
      <c r="P238" s="187">
        <v>400</v>
      </c>
      <c r="Q238" s="187">
        <v>475</v>
      </c>
      <c r="R238" s="187" t="s">
        <v>338</v>
      </c>
      <c r="S238" s="187" t="s">
        <v>338</v>
      </c>
      <c r="T238" s="187" t="s">
        <v>338</v>
      </c>
      <c r="U238" s="187" t="s">
        <v>338</v>
      </c>
      <c r="V238" s="187" t="s">
        <v>338</v>
      </c>
      <c r="W238" s="187" t="s">
        <v>338</v>
      </c>
      <c r="X238" s="187" t="s">
        <v>338</v>
      </c>
      <c r="Y238" s="187" t="s">
        <v>338</v>
      </c>
      <c r="Z238" s="187" t="s">
        <v>338</v>
      </c>
      <c r="AA238" s="187" t="s">
        <v>338</v>
      </c>
    </row>
    <row r="239" spans="2:27" ht="12" hidden="1" customHeight="1">
      <c r="B239" s="171" t="s">
        <v>885</v>
      </c>
      <c r="C239" s="171" t="s">
        <v>497</v>
      </c>
      <c r="D239" s="171" t="s">
        <v>498</v>
      </c>
      <c r="E239" s="171" t="s">
        <v>1300</v>
      </c>
      <c r="F239" s="187">
        <v>9</v>
      </c>
      <c r="G239" s="191">
        <v>45931</v>
      </c>
      <c r="H239" s="191"/>
      <c r="I239" s="187" t="s">
        <v>338</v>
      </c>
      <c r="J239" s="187" t="s">
        <v>338</v>
      </c>
      <c r="K239" s="187" t="s">
        <v>338</v>
      </c>
      <c r="L239" s="187" t="s">
        <v>338</v>
      </c>
      <c r="M239" s="187" t="s">
        <v>338</v>
      </c>
      <c r="N239" s="187" t="s">
        <v>338</v>
      </c>
      <c r="O239" s="187" t="s">
        <v>338</v>
      </c>
      <c r="P239" s="187" t="s">
        <v>338</v>
      </c>
      <c r="Q239" s="187" t="s">
        <v>338</v>
      </c>
      <c r="R239" s="187" t="s">
        <v>338</v>
      </c>
      <c r="S239" s="187" t="s">
        <v>338</v>
      </c>
      <c r="T239" s="187" t="s">
        <v>338</v>
      </c>
      <c r="U239" s="187">
        <v>60</v>
      </c>
      <c r="V239" s="187">
        <v>60</v>
      </c>
      <c r="W239" s="187">
        <v>180</v>
      </c>
      <c r="X239" s="187">
        <v>300</v>
      </c>
      <c r="Y239" s="187">
        <v>300</v>
      </c>
      <c r="Z239" s="187">
        <v>300</v>
      </c>
      <c r="AA239" s="187">
        <v>400</v>
      </c>
    </row>
    <row r="240" spans="2:27" ht="12" hidden="1" customHeight="1">
      <c r="B240" s="171" t="s">
        <v>886</v>
      </c>
      <c r="C240" s="171" t="s">
        <v>562</v>
      </c>
      <c r="D240" s="171" t="s">
        <v>657</v>
      </c>
      <c r="E240" s="171" t="s">
        <v>1302</v>
      </c>
      <c r="F240" s="187" t="s">
        <v>338</v>
      </c>
      <c r="G240" s="191">
        <v>45292</v>
      </c>
      <c r="H240" s="191">
        <v>45991</v>
      </c>
      <c r="I240" s="187">
        <v>585</v>
      </c>
      <c r="J240" s="187">
        <v>556</v>
      </c>
      <c r="K240" s="187">
        <v>556</v>
      </c>
      <c r="L240" s="187">
        <v>897</v>
      </c>
      <c r="M240" s="187">
        <v>480</v>
      </c>
      <c r="N240" s="187">
        <v>404</v>
      </c>
      <c r="O240" s="187">
        <v>404</v>
      </c>
      <c r="P240" s="187">
        <v>480</v>
      </c>
      <c r="Q240" s="187">
        <v>404</v>
      </c>
      <c r="R240" s="187">
        <v>328</v>
      </c>
      <c r="S240" s="187">
        <v>100</v>
      </c>
      <c r="T240" s="187" t="s">
        <v>338</v>
      </c>
      <c r="U240" s="187" t="s">
        <v>338</v>
      </c>
      <c r="V240" s="187">
        <v>225</v>
      </c>
      <c r="W240" s="187" t="s">
        <v>338</v>
      </c>
      <c r="X240" s="187" t="s">
        <v>338</v>
      </c>
      <c r="Y240" s="187" t="s">
        <v>338</v>
      </c>
      <c r="Z240" s="187" t="s">
        <v>338</v>
      </c>
      <c r="AA240" s="187" t="s">
        <v>338</v>
      </c>
    </row>
    <row r="241" spans="2:27" ht="12" customHeight="1">
      <c r="B241" s="171" t="s">
        <v>727</v>
      </c>
      <c r="C241" s="171" t="s">
        <v>562</v>
      </c>
      <c r="D241" s="171" t="s">
        <v>728</v>
      </c>
      <c r="E241" s="171" t="s">
        <v>1303</v>
      </c>
      <c r="F241" s="187" t="s">
        <v>338</v>
      </c>
      <c r="G241" s="191">
        <v>45901</v>
      </c>
      <c r="H241" s="248"/>
      <c r="I241" s="187" t="s">
        <v>338</v>
      </c>
      <c r="J241" s="187" t="s">
        <v>338</v>
      </c>
      <c r="K241" s="187" t="s">
        <v>338</v>
      </c>
      <c r="L241" s="187" t="s">
        <v>338</v>
      </c>
      <c r="M241" s="187" t="s">
        <v>338</v>
      </c>
      <c r="N241" s="187" t="s">
        <v>338</v>
      </c>
      <c r="O241" s="187" t="s">
        <v>338</v>
      </c>
      <c r="P241" s="187" t="s">
        <v>338</v>
      </c>
      <c r="Q241" s="187">
        <v>3537.5</v>
      </c>
      <c r="R241" s="187" t="s">
        <v>338</v>
      </c>
      <c r="S241" s="187" t="s">
        <v>338</v>
      </c>
      <c r="T241" s="187">
        <v>875</v>
      </c>
      <c r="U241" s="187" t="s">
        <v>338</v>
      </c>
      <c r="V241" s="187" t="s">
        <v>338</v>
      </c>
      <c r="W241" s="187">
        <v>0</v>
      </c>
      <c r="X241" s="187">
        <v>2662.5</v>
      </c>
      <c r="Y241" s="187" t="s">
        <v>338</v>
      </c>
      <c r="Z241" s="187" t="s">
        <v>338</v>
      </c>
      <c r="AA241" s="187" t="s">
        <v>338</v>
      </c>
    </row>
    <row r="242" spans="2:27" ht="12" customHeight="1">
      <c r="B242" s="171" t="s">
        <v>887</v>
      </c>
      <c r="C242" s="171" t="s">
        <v>562</v>
      </c>
      <c r="D242" s="171" t="s">
        <v>728</v>
      </c>
      <c r="E242" s="171" t="s">
        <v>1303</v>
      </c>
      <c r="F242" s="187" t="s">
        <v>338</v>
      </c>
      <c r="G242" s="191">
        <v>45931</v>
      </c>
      <c r="H242" s="248"/>
      <c r="I242" s="187" t="s">
        <v>338</v>
      </c>
      <c r="J242" s="187" t="s">
        <v>338</v>
      </c>
      <c r="K242" s="187" t="s">
        <v>338</v>
      </c>
      <c r="L242" s="187" t="s">
        <v>338</v>
      </c>
      <c r="M242" s="187" t="s">
        <v>338</v>
      </c>
      <c r="N242" s="187" t="s">
        <v>338</v>
      </c>
      <c r="O242" s="187" t="s">
        <v>338</v>
      </c>
      <c r="P242" s="187" t="s">
        <v>338</v>
      </c>
      <c r="Q242" s="187" t="s">
        <v>338</v>
      </c>
      <c r="R242" s="187">
        <v>765</v>
      </c>
      <c r="S242" s="187" t="s">
        <v>338</v>
      </c>
      <c r="T242" s="187" t="s">
        <v>338</v>
      </c>
      <c r="U242" s="187" t="s">
        <v>338</v>
      </c>
      <c r="V242" s="187" t="s">
        <v>338</v>
      </c>
      <c r="W242" s="187">
        <v>765</v>
      </c>
      <c r="X242" s="187" t="s">
        <v>338</v>
      </c>
      <c r="Y242" s="187" t="s">
        <v>338</v>
      </c>
      <c r="Z242" s="187" t="s">
        <v>338</v>
      </c>
      <c r="AA242" s="187" t="s">
        <v>338</v>
      </c>
    </row>
    <row r="243" spans="2:27" ht="12" customHeight="1">
      <c r="B243" s="171" t="s">
        <v>888</v>
      </c>
      <c r="C243" s="171" t="s">
        <v>562</v>
      </c>
      <c r="D243" s="171" t="s">
        <v>728</v>
      </c>
      <c r="E243" s="171" t="s">
        <v>1303</v>
      </c>
      <c r="F243" s="187" t="s">
        <v>338</v>
      </c>
      <c r="G243" s="191">
        <v>45931</v>
      </c>
      <c r="H243" s="248"/>
      <c r="I243" s="187" t="s">
        <v>338</v>
      </c>
      <c r="J243" s="187" t="s">
        <v>338</v>
      </c>
      <c r="K243" s="187" t="s">
        <v>338</v>
      </c>
      <c r="L243" s="187" t="s">
        <v>338</v>
      </c>
      <c r="M243" s="187" t="s">
        <v>338</v>
      </c>
      <c r="N243" s="187" t="s">
        <v>338</v>
      </c>
      <c r="O243" s="187" t="s">
        <v>338</v>
      </c>
      <c r="P243" s="187" t="s">
        <v>338</v>
      </c>
      <c r="Q243" s="187" t="s">
        <v>338</v>
      </c>
      <c r="R243" s="187">
        <v>765</v>
      </c>
      <c r="S243" s="187" t="s">
        <v>338</v>
      </c>
      <c r="T243" s="187" t="s">
        <v>338</v>
      </c>
      <c r="U243" s="187" t="s">
        <v>338</v>
      </c>
      <c r="V243" s="187" t="s">
        <v>338</v>
      </c>
      <c r="W243" s="187">
        <v>765</v>
      </c>
      <c r="X243" s="187" t="s">
        <v>338</v>
      </c>
      <c r="Y243" s="187" t="s">
        <v>338</v>
      </c>
      <c r="Z243" s="187" t="s">
        <v>338</v>
      </c>
      <c r="AA243" s="187" t="s">
        <v>338</v>
      </c>
    </row>
    <row r="244" spans="2:27" ht="12" customHeight="1">
      <c r="B244" s="171" t="s">
        <v>889</v>
      </c>
      <c r="C244" s="171" t="s">
        <v>562</v>
      </c>
      <c r="D244" s="171" t="s">
        <v>728</v>
      </c>
      <c r="E244" s="171" t="s">
        <v>1303</v>
      </c>
      <c r="F244" s="187" t="s">
        <v>338</v>
      </c>
      <c r="G244" s="191">
        <v>45931</v>
      </c>
      <c r="H244" s="248"/>
      <c r="I244" s="187" t="s">
        <v>338</v>
      </c>
      <c r="J244" s="187" t="s">
        <v>338</v>
      </c>
      <c r="K244" s="187" t="s">
        <v>338</v>
      </c>
      <c r="L244" s="187" t="s">
        <v>338</v>
      </c>
      <c r="M244" s="187" t="s">
        <v>338</v>
      </c>
      <c r="N244" s="187" t="s">
        <v>338</v>
      </c>
      <c r="O244" s="187" t="s">
        <v>338</v>
      </c>
      <c r="P244" s="187" t="s">
        <v>338</v>
      </c>
      <c r="Q244" s="187" t="s">
        <v>338</v>
      </c>
      <c r="R244" s="187">
        <v>765</v>
      </c>
      <c r="S244" s="187" t="s">
        <v>338</v>
      </c>
      <c r="T244" s="187" t="s">
        <v>338</v>
      </c>
      <c r="U244" s="187" t="s">
        <v>338</v>
      </c>
      <c r="V244" s="187" t="s">
        <v>338</v>
      </c>
      <c r="W244" s="187">
        <v>765</v>
      </c>
      <c r="X244" s="187" t="s">
        <v>338</v>
      </c>
      <c r="Y244" s="187" t="s">
        <v>338</v>
      </c>
      <c r="Z244" s="187" t="s">
        <v>338</v>
      </c>
      <c r="AA244" s="187" t="s">
        <v>338</v>
      </c>
    </row>
    <row r="245" spans="2:27" ht="12" customHeight="1">
      <c r="B245" s="171" t="s">
        <v>890</v>
      </c>
      <c r="C245" s="171" t="s">
        <v>562</v>
      </c>
      <c r="D245" s="171" t="s">
        <v>728</v>
      </c>
      <c r="E245" s="171" t="s">
        <v>1303</v>
      </c>
      <c r="F245" s="187" t="s">
        <v>338</v>
      </c>
      <c r="G245" s="191">
        <v>45931</v>
      </c>
      <c r="H245" s="248"/>
      <c r="I245" s="187" t="s">
        <v>338</v>
      </c>
      <c r="J245" s="187" t="s">
        <v>338</v>
      </c>
      <c r="K245" s="187" t="s">
        <v>338</v>
      </c>
      <c r="L245" s="187" t="s">
        <v>338</v>
      </c>
      <c r="M245" s="187" t="s">
        <v>338</v>
      </c>
      <c r="N245" s="187" t="s">
        <v>338</v>
      </c>
      <c r="O245" s="187" t="s">
        <v>338</v>
      </c>
      <c r="P245" s="187" t="s">
        <v>338</v>
      </c>
      <c r="Q245" s="187" t="s">
        <v>338</v>
      </c>
      <c r="R245" s="187">
        <v>765</v>
      </c>
      <c r="S245" s="187" t="s">
        <v>338</v>
      </c>
      <c r="T245" s="187" t="s">
        <v>338</v>
      </c>
      <c r="U245" s="187" t="s">
        <v>338</v>
      </c>
      <c r="V245" s="187" t="s">
        <v>338</v>
      </c>
      <c r="W245" s="187">
        <v>765</v>
      </c>
      <c r="X245" s="187" t="s">
        <v>338</v>
      </c>
      <c r="Y245" s="187" t="s">
        <v>338</v>
      </c>
      <c r="Z245" s="187" t="s">
        <v>338</v>
      </c>
      <c r="AA245" s="187" t="s">
        <v>338</v>
      </c>
    </row>
    <row r="246" spans="2:27" ht="12" customHeight="1">
      <c r="B246" s="171" t="s">
        <v>891</v>
      </c>
      <c r="C246" s="171" t="s">
        <v>562</v>
      </c>
      <c r="D246" s="171" t="s">
        <v>728</v>
      </c>
      <c r="E246" s="171" t="s">
        <v>1303</v>
      </c>
      <c r="F246" s="187" t="s">
        <v>338</v>
      </c>
      <c r="G246" s="191">
        <v>45931</v>
      </c>
      <c r="H246" s="248"/>
      <c r="I246" s="187" t="s">
        <v>338</v>
      </c>
      <c r="J246" s="187" t="s">
        <v>338</v>
      </c>
      <c r="K246" s="187" t="s">
        <v>338</v>
      </c>
      <c r="L246" s="187" t="s">
        <v>338</v>
      </c>
      <c r="M246" s="187" t="s">
        <v>338</v>
      </c>
      <c r="N246" s="187" t="s">
        <v>338</v>
      </c>
      <c r="O246" s="187" t="s">
        <v>338</v>
      </c>
      <c r="P246" s="187" t="s">
        <v>338</v>
      </c>
      <c r="Q246" s="187" t="s">
        <v>338</v>
      </c>
      <c r="R246" s="187">
        <v>765</v>
      </c>
      <c r="S246" s="187" t="s">
        <v>338</v>
      </c>
      <c r="T246" s="187" t="s">
        <v>338</v>
      </c>
      <c r="U246" s="187" t="s">
        <v>338</v>
      </c>
      <c r="V246" s="187" t="s">
        <v>338</v>
      </c>
      <c r="W246" s="187">
        <v>765</v>
      </c>
      <c r="X246" s="187" t="s">
        <v>338</v>
      </c>
      <c r="Y246" s="187" t="s">
        <v>338</v>
      </c>
      <c r="Z246" s="187" t="s">
        <v>338</v>
      </c>
      <c r="AA246" s="187" t="s">
        <v>338</v>
      </c>
    </row>
    <row r="247" spans="2:27" ht="12" hidden="1" customHeight="1">
      <c r="B247" s="171" t="s">
        <v>893</v>
      </c>
      <c r="C247" s="171" t="s">
        <v>562</v>
      </c>
      <c r="D247" s="171" t="s">
        <v>872</v>
      </c>
      <c r="E247" s="171" t="s">
        <v>1301</v>
      </c>
      <c r="F247" s="187" t="s">
        <v>338</v>
      </c>
      <c r="G247" s="191">
        <v>44927</v>
      </c>
      <c r="H247" s="191">
        <v>46022</v>
      </c>
      <c r="I247" s="187">
        <v>380</v>
      </c>
      <c r="J247" s="187">
        <v>305</v>
      </c>
      <c r="K247" s="187">
        <v>305</v>
      </c>
      <c r="L247" s="187">
        <v>305</v>
      </c>
      <c r="M247" s="187">
        <v>305</v>
      </c>
      <c r="N247" s="187">
        <v>305</v>
      </c>
      <c r="O247" s="187">
        <v>305</v>
      </c>
      <c r="P247" s="187">
        <v>305</v>
      </c>
      <c r="Q247" s="187">
        <v>305</v>
      </c>
      <c r="R247" s="187">
        <v>305</v>
      </c>
      <c r="S247" s="187">
        <v>305</v>
      </c>
      <c r="T247" s="187">
        <v>305</v>
      </c>
      <c r="U247" s="187" t="s">
        <v>338</v>
      </c>
      <c r="V247" s="187" t="s">
        <v>338</v>
      </c>
      <c r="W247" s="187" t="s">
        <v>338</v>
      </c>
      <c r="X247" s="187" t="s">
        <v>338</v>
      </c>
      <c r="Y247" s="187" t="s">
        <v>338</v>
      </c>
      <c r="Z247" s="187" t="s">
        <v>338</v>
      </c>
      <c r="AA247" s="187" t="s">
        <v>338</v>
      </c>
    </row>
    <row r="248" spans="2:27" ht="12" hidden="1" customHeight="1">
      <c r="B248" s="171" t="s">
        <v>894</v>
      </c>
      <c r="C248" s="171" t="s">
        <v>497</v>
      </c>
      <c r="D248" s="171" t="s">
        <v>678</v>
      </c>
      <c r="E248" s="171" t="s">
        <v>1178</v>
      </c>
      <c r="F248" s="187">
        <v>0</v>
      </c>
      <c r="G248" s="191">
        <v>46082</v>
      </c>
      <c r="H248" s="191"/>
      <c r="I248" s="187" t="s">
        <v>338</v>
      </c>
      <c r="J248" s="187" t="s">
        <v>338</v>
      </c>
      <c r="K248" s="187" t="s">
        <v>338</v>
      </c>
      <c r="L248" s="187" t="s">
        <v>338</v>
      </c>
      <c r="M248" s="187" t="s">
        <v>338</v>
      </c>
      <c r="N248" s="187" t="s">
        <v>338</v>
      </c>
      <c r="O248" s="187" t="s">
        <v>338</v>
      </c>
      <c r="P248" s="187" t="s">
        <v>338</v>
      </c>
      <c r="Q248" s="187" t="s">
        <v>338</v>
      </c>
      <c r="R248" s="187" t="s">
        <v>338</v>
      </c>
      <c r="S248" s="187" t="s">
        <v>338</v>
      </c>
      <c r="T248" s="187" t="s">
        <v>338</v>
      </c>
      <c r="U248" s="187" t="s">
        <v>338</v>
      </c>
      <c r="V248" s="187" t="s">
        <v>338</v>
      </c>
      <c r="W248" s="187">
        <v>160</v>
      </c>
      <c r="X248" s="187">
        <v>160</v>
      </c>
      <c r="Y248" s="187">
        <v>685</v>
      </c>
      <c r="Z248" s="187">
        <v>260</v>
      </c>
      <c r="AA248" s="187">
        <v>260</v>
      </c>
    </row>
    <row r="249" spans="2:27" ht="12" hidden="1" customHeight="1">
      <c r="B249" s="171" t="s">
        <v>895</v>
      </c>
      <c r="C249" s="171" t="s">
        <v>497</v>
      </c>
      <c r="D249" s="171" t="s">
        <v>498</v>
      </c>
      <c r="E249" s="171" t="s">
        <v>1300</v>
      </c>
      <c r="F249" s="187">
        <v>5</v>
      </c>
      <c r="G249" s="191">
        <v>45748</v>
      </c>
      <c r="H249" s="191"/>
      <c r="I249" s="187" t="s">
        <v>338</v>
      </c>
      <c r="J249" s="187" t="s">
        <v>338</v>
      </c>
      <c r="K249" s="187" t="s">
        <v>338</v>
      </c>
      <c r="L249" s="187">
        <v>350</v>
      </c>
      <c r="M249" s="187" t="s">
        <v>338</v>
      </c>
      <c r="N249" s="187">
        <v>150</v>
      </c>
      <c r="O249" s="187" t="s">
        <v>338</v>
      </c>
      <c r="P249" s="187" t="s">
        <v>338</v>
      </c>
      <c r="Q249" s="187">
        <v>355</v>
      </c>
      <c r="R249" s="187">
        <v>105</v>
      </c>
      <c r="S249" s="187">
        <v>105</v>
      </c>
      <c r="T249" s="187">
        <v>105</v>
      </c>
      <c r="U249" s="187">
        <v>135</v>
      </c>
      <c r="V249" s="187">
        <v>105</v>
      </c>
      <c r="W249" s="187">
        <v>105</v>
      </c>
      <c r="X249" s="187">
        <v>140</v>
      </c>
      <c r="Y249" s="187">
        <v>70</v>
      </c>
      <c r="Z249" s="187">
        <v>140</v>
      </c>
      <c r="AA249" s="187">
        <v>140</v>
      </c>
    </row>
    <row r="250" spans="2:27" ht="12" hidden="1" customHeight="1">
      <c r="B250" s="171" t="s">
        <v>896</v>
      </c>
      <c r="C250" s="171" t="s">
        <v>497</v>
      </c>
      <c r="D250" s="171" t="s">
        <v>498</v>
      </c>
      <c r="E250" s="171" t="s">
        <v>1300</v>
      </c>
      <c r="F250" s="187">
        <v>2</v>
      </c>
      <c r="G250" s="191">
        <v>46054</v>
      </c>
      <c r="H250" s="191"/>
      <c r="I250" s="187" t="s">
        <v>338</v>
      </c>
      <c r="J250" s="187" t="s">
        <v>338</v>
      </c>
      <c r="K250" s="187" t="s">
        <v>338</v>
      </c>
      <c r="L250" s="187" t="s">
        <v>338</v>
      </c>
      <c r="M250" s="187" t="s">
        <v>338</v>
      </c>
      <c r="N250" s="187" t="s">
        <v>338</v>
      </c>
      <c r="O250" s="187" t="s">
        <v>338</v>
      </c>
      <c r="P250" s="187" t="s">
        <v>338</v>
      </c>
      <c r="Q250" s="187" t="s">
        <v>338</v>
      </c>
      <c r="R250" s="187" t="s">
        <v>338</v>
      </c>
      <c r="S250" s="187" t="s">
        <v>338</v>
      </c>
      <c r="T250" s="187" t="s">
        <v>338</v>
      </c>
      <c r="U250" s="187" t="s">
        <v>338</v>
      </c>
      <c r="V250" s="187" t="s">
        <v>338</v>
      </c>
      <c r="W250" s="187">
        <v>725</v>
      </c>
      <c r="X250" s="187">
        <v>417.5</v>
      </c>
      <c r="Y250" s="187">
        <v>120</v>
      </c>
      <c r="Z250" s="187">
        <v>120</v>
      </c>
      <c r="AA250" s="187">
        <v>120</v>
      </c>
    </row>
    <row r="251" spans="2:27" ht="12" hidden="1" customHeight="1">
      <c r="B251" s="171" t="s">
        <v>897</v>
      </c>
      <c r="C251" s="171" t="s">
        <v>562</v>
      </c>
      <c r="D251" s="171" t="s">
        <v>657</v>
      </c>
      <c r="E251" s="171" t="s">
        <v>1302</v>
      </c>
      <c r="F251" s="187" t="s">
        <v>338</v>
      </c>
      <c r="G251" s="191">
        <v>45505</v>
      </c>
      <c r="H251" s="191">
        <v>46022</v>
      </c>
      <c r="I251" s="187">
        <v>250</v>
      </c>
      <c r="J251" s="187">
        <v>250</v>
      </c>
      <c r="K251" s="187">
        <v>250</v>
      </c>
      <c r="L251" s="187">
        <v>250</v>
      </c>
      <c r="M251" s="187">
        <v>250</v>
      </c>
      <c r="N251" s="187">
        <v>250</v>
      </c>
      <c r="O251" s="187">
        <v>250</v>
      </c>
      <c r="P251" s="187">
        <v>250</v>
      </c>
      <c r="Q251" s="187">
        <v>300</v>
      </c>
      <c r="R251" s="187">
        <v>300</v>
      </c>
      <c r="S251" s="187">
        <v>300</v>
      </c>
      <c r="T251" s="187">
        <v>300</v>
      </c>
      <c r="U251" s="187" t="s">
        <v>338</v>
      </c>
      <c r="V251" s="187" t="s">
        <v>338</v>
      </c>
      <c r="W251" s="187" t="s">
        <v>338</v>
      </c>
      <c r="X251" s="187" t="s">
        <v>338</v>
      </c>
      <c r="Y251" s="187" t="s">
        <v>338</v>
      </c>
      <c r="Z251" s="187" t="s">
        <v>338</v>
      </c>
      <c r="AA251" s="187" t="s">
        <v>338</v>
      </c>
    </row>
    <row r="252" spans="2:27" ht="12" hidden="1" customHeight="1">
      <c r="B252" s="171" t="s">
        <v>898</v>
      </c>
      <c r="C252" s="171" t="s">
        <v>562</v>
      </c>
      <c r="D252" s="171" t="s">
        <v>657</v>
      </c>
      <c r="E252" s="171" t="s">
        <v>1302</v>
      </c>
      <c r="F252" s="187" t="s">
        <v>338</v>
      </c>
      <c r="G252" s="191">
        <v>45839</v>
      </c>
      <c r="H252" s="191">
        <v>46053</v>
      </c>
      <c r="I252" s="187" t="s">
        <v>338</v>
      </c>
      <c r="J252" s="187" t="s">
        <v>338</v>
      </c>
      <c r="K252" s="187" t="s">
        <v>338</v>
      </c>
      <c r="L252" s="187" t="s">
        <v>338</v>
      </c>
      <c r="M252" s="187" t="s">
        <v>338</v>
      </c>
      <c r="N252" s="187" t="s">
        <v>338</v>
      </c>
      <c r="O252" s="187">
        <v>350</v>
      </c>
      <c r="P252" s="187">
        <v>360</v>
      </c>
      <c r="Q252" s="187">
        <v>360</v>
      </c>
      <c r="R252" s="187">
        <v>360</v>
      </c>
      <c r="S252" s="187">
        <v>105</v>
      </c>
      <c r="T252" s="187">
        <v>105</v>
      </c>
      <c r="U252" s="187">
        <v>120</v>
      </c>
      <c r="V252" s="187" t="s">
        <v>338</v>
      </c>
      <c r="W252" s="187" t="s">
        <v>338</v>
      </c>
      <c r="X252" s="187" t="s">
        <v>338</v>
      </c>
      <c r="Y252" s="187" t="s">
        <v>338</v>
      </c>
      <c r="Z252" s="187" t="s">
        <v>338</v>
      </c>
      <c r="AA252" s="187" t="s">
        <v>338</v>
      </c>
    </row>
    <row r="253" spans="2:27" ht="12" hidden="1" customHeight="1">
      <c r="B253" s="171" t="s">
        <v>899</v>
      </c>
      <c r="C253" s="171" t="s">
        <v>562</v>
      </c>
      <c r="D253" s="171" t="s">
        <v>678</v>
      </c>
      <c r="E253" s="171" t="s">
        <v>1178</v>
      </c>
      <c r="F253" s="187">
        <v>4</v>
      </c>
      <c r="G253" s="191">
        <v>46054</v>
      </c>
      <c r="H253" s="191">
        <v>46173</v>
      </c>
      <c r="I253" s="187" t="s">
        <v>338</v>
      </c>
      <c r="J253" s="187" t="s">
        <v>338</v>
      </c>
      <c r="K253" s="187" t="s">
        <v>338</v>
      </c>
      <c r="L253" s="187" t="s">
        <v>338</v>
      </c>
      <c r="M253" s="187" t="s">
        <v>338</v>
      </c>
      <c r="N253" s="187" t="s">
        <v>338</v>
      </c>
      <c r="O253" s="187" t="s">
        <v>338</v>
      </c>
      <c r="P253" s="187" t="s">
        <v>338</v>
      </c>
      <c r="Q253" s="187" t="s">
        <v>338</v>
      </c>
      <c r="R253" s="187" t="s">
        <v>338</v>
      </c>
      <c r="S253" s="187" t="s">
        <v>338</v>
      </c>
      <c r="T253" s="187" t="s">
        <v>338</v>
      </c>
      <c r="U253" s="187" t="s">
        <v>338</v>
      </c>
      <c r="V253" s="187">
        <v>263</v>
      </c>
      <c r="W253" s="187">
        <v>263</v>
      </c>
      <c r="X253" s="187">
        <v>263</v>
      </c>
      <c r="Y253" s="187">
        <v>237.5</v>
      </c>
      <c r="Z253" s="187">
        <v>310</v>
      </c>
      <c r="AA253" s="187" t="s">
        <v>338</v>
      </c>
    </row>
    <row r="254" spans="2:27" ht="12" hidden="1" customHeight="1">
      <c r="B254" s="171" t="s">
        <v>900</v>
      </c>
      <c r="C254" s="171" t="s">
        <v>497</v>
      </c>
      <c r="D254" s="171" t="s">
        <v>678</v>
      </c>
      <c r="E254" s="171" t="s">
        <v>1178</v>
      </c>
      <c r="F254" s="187" t="s">
        <v>338</v>
      </c>
      <c r="G254" s="191">
        <v>46113</v>
      </c>
      <c r="H254" s="191"/>
      <c r="I254" s="187" t="s">
        <v>338</v>
      </c>
      <c r="J254" s="187" t="s">
        <v>338</v>
      </c>
      <c r="K254" s="187" t="s">
        <v>338</v>
      </c>
      <c r="L254" s="187" t="s">
        <v>338</v>
      </c>
      <c r="M254" s="187" t="s">
        <v>338</v>
      </c>
      <c r="N254" s="187" t="s">
        <v>338</v>
      </c>
      <c r="O254" s="187" t="s">
        <v>338</v>
      </c>
      <c r="P254" s="187" t="s">
        <v>338</v>
      </c>
      <c r="Q254" s="187" t="s">
        <v>338</v>
      </c>
      <c r="R254" s="187" t="s">
        <v>338</v>
      </c>
      <c r="S254" s="187" t="s">
        <v>338</v>
      </c>
      <c r="T254" s="187" t="s">
        <v>338</v>
      </c>
      <c r="U254" s="187" t="s">
        <v>338</v>
      </c>
      <c r="V254" s="187" t="s">
        <v>338</v>
      </c>
      <c r="W254" s="187" t="s">
        <v>338</v>
      </c>
      <c r="X254" s="187">
        <v>310</v>
      </c>
      <c r="Y254" s="187">
        <v>310</v>
      </c>
      <c r="Z254" s="187">
        <v>310</v>
      </c>
      <c r="AA254" s="187">
        <v>310</v>
      </c>
    </row>
    <row r="255" spans="2:27" ht="12" hidden="1" customHeight="1">
      <c r="B255" s="171" t="s">
        <v>901</v>
      </c>
      <c r="C255" s="171" t="s">
        <v>497</v>
      </c>
      <c r="D255" s="171" t="s">
        <v>498</v>
      </c>
      <c r="E255" s="171" t="s">
        <v>1300</v>
      </c>
      <c r="F255" s="187">
        <v>4</v>
      </c>
      <c r="G255" s="191">
        <v>46174</v>
      </c>
      <c r="H255" s="191"/>
      <c r="I255" s="187" t="s">
        <v>338</v>
      </c>
      <c r="J255" s="187" t="s">
        <v>338</v>
      </c>
      <c r="K255" s="187" t="s">
        <v>338</v>
      </c>
      <c r="L255" s="187" t="s">
        <v>338</v>
      </c>
      <c r="M255" s="187" t="s">
        <v>338</v>
      </c>
      <c r="N255" s="187" t="s">
        <v>338</v>
      </c>
      <c r="O255" s="187" t="s">
        <v>338</v>
      </c>
      <c r="P255" s="187" t="s">
        <v>338</v>
      </c>
      <c r="Q255" s="187" t="s">
        <v>338</v>
      </c>
      <c r="R255" s="187" t="s">
        <v>338</v>
      </c>
      <c r="S255" s="187" t="s">
        <v>338</v>
      </c>
      <c r="T255" s="187" t="s">
        <v>338</v>
      </c>
      <c r="U255" s="187" t="s">
        <v>338</v>
      </c>
      <c r="V255" s="187" t="s">
        <v>338</v>
      </c>
      <c r="W255" s="187" t="s">
        <v>338</v>
      </c>
      <c r="X255" s="187" t="s">
        <v>338</v>
      </c>
      <c r="Y255" s="187" t="s">
        <v>338</v>
      </c>
      <c r="Z255" s="187">
        <v>811</v>
      </c>
      <c r="AA255" s="187">
        <v>418</v>
      </c>
    </row>
    <row r="256" spans="2:27" ht="12" hidden="1" customHeight="1">
      <c r="B256" s="171" t="s">
        <v>903</v>
      </c>
      <c r="C256" s="171" t="s">
        <v>497</v>
      </c>
      <c r="D256" s="171" t="s">
        <v>678</v>
      </c>
      <c r="E256" s="171" t="s">
        <v>1178</v>
      </c>
      <c r="F256" s="187">
        <v>0</v>
      </c>
      <c r="G256" s="191">
        <v>45992</v>
      </c>
      <c r="H256" s="191"/>
      <c r="I256" s="187" t="s">
        <v>338</v>
      </c>
      <c r="J256" s="187" t="s">
        <v>338</v>
      </c>
      <c r="K256" s="187" t="s">
        <v>338</v>
      </c>
      <c r="L256" s="187" t="s">
        <v>338</v>
      </c>
      <c r="M256" s="187" t="s">
        <v>338</v>
      </c>
      <c r="N256" s="187" t="s">
        <v>338</v>
      </c>
      <c r="O256" s="187" t="s">
        <v>338</v>
      </c>
      <c r="P256" s="187" t="s">
        <v>338</v>
      </c>
      <c r="Q256" s="187" t="s">
        <v>338</v>
      </c>
      <c r="R256" s="187" t="s">
        <v>338</v>
      </c>
      <c r="S256" s="187" t="s">
        <v>338</v>
      </c>
      <c r="T256" s="187">
        <v>150</v>
      </c>
      <c r="U256" s="187">
        <v>150</v>
      </c>
      <c r="V256" s="187">
        <v>165</v>
      </c>
      <c r="W256" s="187">
        <v>150</v>
      </c>
      <c r="X256" s="187">
        <v>150</v>
      </c>
      <c r="Y256" s="187">
        <v>150</v>
      </c>
      <c r="Z256" s="187">
        <v>150</v>
      </c>
      <c r="AA256" s="187">
        <v>150</v>
      </c>
    </row>
    <row r="257" spans="2:27" ht="12" hidden="1" customHeight="1">
      <c r="B257" s="171" t="s">
        <v>904</v>
      </c>
      <c r="C257" s="171" t="s">
        <v>497</v>
      </c>
      <c r="D257" s="171" t="s">
        <v>498</v>
      </c>
      <c r="E257" s="171" t="s">
        <v>1300</v>
      </c>
      <c r="F257" s="187">
        <v>3</v>
      </c>
      <c r="G257" s="191">
        <v>46174</v>
      </c>
      <c r="H257" s="191"/>
      <c r="I257" s="187" t="s">
        <v>338</v>
      </c>
      <c r="J257" s="187" t="s">
        <v>338</v>
      </c>
      <c r="K257" s="187" t="s">
        <v>338</v>
      </c>
      <c r="L257" s="187" t="s">
        <v>338</v>
      </c>
      <c r="M257" s="187" t="s">
        <v>338</v>
      </c>
      <c r="N257" s="187" t="s">
        <v>338</v>
      </c>
      <c r="O257" s="187" t="s">
        <v>338</v>
      </c>
      <c r="P257" s="187" t="s">
        <v>338</v>
      </c>
      <c r="Q257" s="187" t="s">
        <v>338</v>
      </c>
      <c r="R257" s="187" t="s">
        <v>338</v>
      </c>
      <c r="S257" s="187" t="s">
        <v>338</v>
      </c>
      <c r="T257" s="187" t="s">
        <v>338</v>
      </c>
      <c r="U257" s="187" t="s">
        <v>338</v>
      </c>
      <c r="V257" s="187" t="s">
        <v>338</v>
      </c>
      <c r="W257" s="187" t="s">
        <v>338</v>
      </c>
      <c r="X257" s="187" t="s">
        <v>338</v>
      </c>
      <c r="Y257" s="187" t="s">
        <v>338</v>
      </c>
      <c r="Z257" s="187">
        <v>833.5</v>
      </c>
      <c r="AA257" s="187">
        <v>373</v>
      </c>
    </row>
    <row r="258" spans="2:27" ht="12" customHeight="1">
      <c r="B258" s="171" t="s">
        <v>892</v>
      </c>
      <c r="C258" s="171" t="s">
        <v>562</v>
      </c>
      <c r="D258" s="171" t="s">
        <v>728</v>
      </c>
      <c r="E258" s="171" t="s">
        <v>1303</v>
      </c>
      <c r="F258" s="187" t="s">
        <v>338</v>
      </c>
      <c r="G258" s="191">
        <v>45931</v>
      </c>
      <c r="H258" s="248"/>
      <c r="I258" s="187" t="s">
        <v>338</v>
      </c>
      <c r="J258" s="187" t="s">
        <v>338</v>
      </c>
      <c r="K258" s="187" t="s">
        <v>338</v>
      </c>
      <c r="L258" s="187" t="s">
        <v>338</v>
      </c>
      <c r="M258" s="187" t="s">
        <v>338</v>
      </c>
      <c r="N258" s="187" t="s">
        <v>338</v>
      </c>
      <c r="O258" s="187" t="s">
        <v>338</v>
      </c>
      <c r="P258" s="187" t="s">
        <v>338</v>
      </c>
      <c r="Q258" s="187" t="s">
        <v>338</v>
      </c>
      <c r="R258" s="187">
        <v>765</v>
      </c>
      <c r="S258" s="187" t="s">
        <v>338</v>
      </c>
      <c r="T258" s="187" t="s">
        <v>338</v>
      </c>
      <c r="U258" s="187" t="s">
        <v>338</v>
      </c>
      <c r="V258" s="187" t="s">
        <v>338</v>
      </c>
      <c r="W258" s="187">
        <v>765</v>
      </c>
      <c r="X258" s="187" t="s">
        <v>338</v>
      </c>
      <c r="Y258" s="187" t="s">
        <v>338</v>
      </c>
      <c r="Z258" s="187" t="s">
        <v>338</v>
      </c>
      <c r="AA258" s="187" t="s">
        <v>338</v>
      </c>
    </row>
    <row r="259" spans="2:27" ht="12" hidden="1" customHeight="1">
      <c r="B259" s="171" t="s">
        <v>906</v>
      </c>
      <c r="C259" s="171" t="s">
        <v>19</v>
      </c>
      <c r="D259" s="171" t="s">
        <v>498</v>
      </c>
      <c r="E259" s="171" t="s">
        <v>1300</v>
      </c>
      <c r="F259" s="187">
        <v>6</v>
      </c>
      <c r="G259" s="191">
        <v>46204</v>
      </c>
      <c r="H259" s="191"/>
      <c r="I259" s="187" t="s">
        <v>338</v>
      </c>
      <c r="J259" s="187" t="s">
        <v>338</v>
      </c>
      <c r="K259" s="187" t="s">
        <v>338</v>
      </c>
      <c r="L259" s="187" t="s">
        <v>338</v>
      </c>
      <c r="M259" s="187" t="s">
        <v>338</v>
      </c>
      <c r="N259" s="187" t="s">
        <v>338</v>
      </c>
      <c r="O259" s="187" t="s">
        <v>338</v>
      </c>
      <c r="P259" s="187" t="s">
        <v>338</v>
      </c>
      <c r="Q259" s="187" t="s">
        <v>338</v>
      </c>
      <c r="R259" s="187" t="s">
        <v>338</v>
      </c>
      <c r="S259" s="187" t="s">
        <v>338</v>
      </c>
      <c r="T259" s="187" t="s">
        <v>338</v>
      </c>
      <c r="U259" s="187" t="s">
        <v>338</v>
      </c>
      <c r="V259" s="187" t="s">
        <v>338</v>
      </c>
      <c r="W259" s="187" t="s">
        <v>338</v>
      </c>
      <c r="X259" s="187" t="s">
        <v>338</v>
      </c>
      <c r="Y259" s="187" t="s">
        <v>338</v>
      </c>
      <c r="Z259" s="187" t="s">
        <v>338</v>
      </c>
      <c r="AA259" s="187">
        <v>1101</v>
      </c>
    </row>
    <row r="260" spans="2:27" ht="12" customHeight="1">
      <c r="B260" s="171" t="s">
        <v>905</v>
      </c>
      <c r="C260" s="171" t="s">
        <v>562</v>
      </c>
      <c r="D260" s="171" t="s">
        <v>728</v>
      </c>
      <c r="E260" s="171" t="s">
        <v>1303</v>
      </c>
      <c r="F260" s="187" t="s">
        <v>338</v>
      </c>
      <c r="G260" s="191">
        <v>46023</v>
      </c>
      <c r="H260" s="248"/>
      <c r="I260" s="187" t="s">
        <v>338</v>
      </c>
      <c r="J260" s="187" t="s">
        <v>338</v>
      </c>
      <c r="K260" s="187" t="s">
        <v>338</v>
      </c>
      <c r="L260" s="187" t="s">
        <v>338</v>
      </c>
      <c r="M260" s="187" t="s">
        <v>338</v>
      </c>
      <c r="N260" s="187" t="s">
        <v>338</v>
      </c>
      <c r="O260" s="187" t="s">
        <v>338</v>
      </c>
      <c r="P260" s="187" t="s">
        <v>338</v>
      </c>
      <c r="Q260" s="187" t="s">
        <v>338</v>
      </c>
      <c r="R260" s="187" t="s">
        <v>338</v>
      </c>
      <c r="S260" s="187" t="s">
        <v>338</v>
      </c>
      <c r="T260" s="187" t="s">
        <v>338</v>
      </c>
      <c r="U260" s="187">
        <v>1125</v>
      </c>
      <c r="V260" s="187" t="s">
        <v>338</v>
      </c>
      <c r="W260" s="187" t="s">
        <v>338</v>
      </c>
      <c r="X260" s="187" t="s">
        <v>338</v>
      </c>
      <c r="Y260" s="187" t="s">
        <v>338</v>
      </c>
      <c r="Z260" s="187" t="s">
        <v>338</v>
      </c>
      <c r="AA260" s="187" t="s">
        <v>338</v>
      </c>
    </row>
    <row r="261" spans="2:27" ht="12" hidden="1" customHeight="1">
      <c r="B261" s="171" t="s">
        <v>908</v>
      </c>
      <c r="C261" s="171" t="s">
        <v>497</v>
      </c>
      <c r="D261" s="171" t="s">
        <v>678</v>
      </c>
      <c r="E261" s="171" t="s">
        <v>1178</v>
      </c>
      <c r="F261" s="187" t="s">
        <v>338</v>
      </c>
      <c r="G261" s="191">
        <v>46113</v>
      </c>
      <c r="H261" s="191"/>
      <c r="I261" s="187" t="s">
        <v>338</v>
      </c>
      <c r="J261" s="187" t="s">
        <v>338</v>
      </c>
      <c r="K261" s="187" t="s">
        <v>338</v>
      </c>
      <c r="L261" s="187" t="s">
        <v>338</v>
      </c>
      <c r="M261" s="187" t="s">
        <v>338</v>
      </c>
      <c r="N261" s="187" t="s">
        <v>338</v>
      </c>
      <c r="O261" s="187" t="s">
        <v>338</v>
      </c>
      <c r="P261" s="187" t="s">
        <v>338</v>
      </c>
      <c r="Q261" s="187" t="s">
        <v>338</v>
      </c>
      <c r="R261" s="187" t="s">
        <v>338</v>
      </c>
      <c r="S261" s="187" t="s">
        <v>338</v>
      </c>
      <c r="T261" s="187" t="s">
        <v>338</v>
      </c>
      <c r="U261" s="187" t="s">
        <v>338</v>
      </c>
      <c r="V261" s="187" t="s">
        <v>338</v>
      </c>
      <c r="W261" s="187" t="s">
        <v>338</v>
      </c>
      <c r="X261" s="187">
        <v>260</v>
      </c>
      <c r="Y261" s="187">
        <v>260</v>
      </c>
      <c r="Z261" s="187">
        <v>260</v>
      </c>
      <c r="AA261" s="187">
        <v>260</v>
      </c>
    </row>
    <row r="262" spans="2:27" ht="12" hidden="1" customHeight="1">
      <c r="B262" s="171" t="s">
        <v>909</v>
      </c>
      <c r="C262" s="171" t="s">
        <v>562</v>
      </c>
      <c r="D262" s="171" t="s">
        <v>632</v>
      </c>
      <c r="E262" s="171" t="s">
        <v>1301</v>
      </c>
      <c r="F262" s="187" t="s">
        <v>338</v>
      </c>
      <c r="G262" s="191">
        <v>44317</v>
      </c>
      <c r="H262" s="191">
        <v>46022</v>
      </c>
      <c r="I262" s="187">
        <v>290</v>
      </c>
      <c r="J262" s="187">
        <v>185</v>
      </c>
      <c r="K262" s="187">
        <v>185</v>
      </c>
      <c r="L262" s="187">
        <v>185</v>
      </c>
      <c r="M262" s="187">
        <v>185</v>
      </c>
      <c r="N262" s="187">
        <v>185</v>
      </c>
      <c r="O262" s="187">
        <v>185</v>
      </c>
      <c r="P262" s="187">
        <v>185</v>
      </c>
      <c r="Q262" s="187">
        <v>185</v>
      </c>
      <c r="R262" s="187">
        <v>185</v>
      </c>
      <c r="S262" s="187">
        <v>185</v>
      </c>
      <c r="T262" s="187">
        <v>185</v>
      </c>
      <c r="U262" s="187" t="s">
        <v>338</v>
      </c>
      <c r="V262" s="187">
        <v>75</v>
      </c>
      <c r="W262" s="187" t="s">
        <v>338</v>
      </c>
      <c r="X262" s="187" t="s">
        <v>338</v>
      </c>
      <c r="Y262" s="187" t="s">
        <v>338</v>
      </c>
      <c r="Z262" s="187" t="s">
        <v>338</v>
      </c>
      <c r="AA262" s="187" t="s">
        <v>338</v>
      </c>
    </row>
    <row r="263" spans="2:27" ht="12" hidden="1" customHeight="1">
      <c r="B263" s="171" t="s">
        <v>910</v>
      </c>
      <c r="C263" s="171" t="s">
        <v>562</v>
      </c>
      <c r="D263" s="171" t="s">
        <v>657</v>
      </c>
      <c r="E263" s="171" t="s">
        <v>1302</v>
      </c>
      <c r="F263" s="187" t="s">
        <v>338</v>
      </c>
      <c r="G263" s="191">
        <v>45870</v>
      </c>
      <c r="H263" s="191">
        <v>45930</v>
      </c>
      <c r="I263" s="187" t="s">
        <v>338</v>
      </c>
      <c r="J263" s="187" t="s">
        <v>338</v>
      </c>
      <c r="K263" s="187" t="s">
        <v>338</v>
      </c>
      <c r="L263" s="187" t="s">
        <v>338</v>
      </c>
      <c r="M263" s="187" t="s">
        <v>338</v>
      </c>
      <c r="N263" s="187" t="s">
        <v>338</v>
      </c>
      <c r="O263" s="187" t="s">
        <v>338</v>
      </c>
      <c r="P263" s="187">
        <v>640</v>
      </c>
      <c r="Q263" s="187">
        <v>340</v>
      </c>
      <c r="R263" s="187" t="s">
        <v>338</v>
      </c>
      <c r="S263" s="187" t="s">
        <v>338</v>
      </c>
      <c r="T263" s="187" t="s">
        <v>338</v>
      </c>
      <c r="U263" s="187" t="s">
        <v>338</v>
      </c>
      <c r="V263" s="187" t="s">
        <v>338</v>
      </c>
      <c r="W263" s="187" t="s">
        <v>338</v>
      </c>
      <c r="X263" s="187" t="s">
        <v>338</v>
      </c>
      <c r="Y263" s="187" t="s">
        <v>338</v>
      </c>
      <c r="Z263" s="187" t="s">
        <v>338</v>
      </c>
      <c r="AA263" s="187" t="s">
        <v>338</v>
      </c>
    </row>
    <row r="264" spans="2:27" ht="12" hidden="1" customHeight="1">
      <c r="B264" s="171" t="s">
        <v>911</v>
      </c>
      <c r="C264" s="171" t="s">
        <v>19</v>
      </c>
      <c r="D264" s="171" t="s">
        <v>678</v>
      </c>
      <c r="E264" s="171" t="s">
        <v>1178</v>
      </c>
      <c r="F264" s="187" t="s">
        <v>338</v>
      </c>
      <c r="G264" s="191">
        <v>46054</v>
      </c>
      <c r="H264" s="191"/>
      <c r="I264" s="187" t="s">
        <v>338</v>
      </c>
      <c r="J264" s="187" t="s">
        <v>338</v>
      </c>
      <c r="K264" s="187" t="s">
        <v>338</v>
      </c>
      <c r="L264" s="187" t="s">
        <v>338</v>
      </c>
      <c r="M264" s="187" t="s">
        <v>338</v>
      </c>
      <c r="N264" s="187" t="s">
        <v>338</v>
      </c>
      <c r="O264" s="187" t="s">
        <v>338</v>
      </c>
      <c r="P264" s="187" t="s">
        <v>338</v>
      </c>
      <c r="Q264" s="187" t="s">
        <v>338</v>
      </c>
      <c r="R264" s="187" t="s">
        <v>338</v>
      </c>
      <c r="S264" s="187" t="s">
        <v>338</v>
      </c>
      <c r="T264" s="187" t="s">
        <v>338</v>
      </c>
      <c r="U264" s="187" t="s">
        <v>338</v>
      </c>
      <c r="V264" s="187">
        <v>975</v>
      </c>
      <c r="W264" s="187" t="s">
        <v>338</v>
      </c>
      <c r="X264" s="187" t="s">
        <v>338</v>
      </c>
      <c r="Y264" s="187" t="s">
        <v>338</v>
      </c>
      <c r="Z264" s="187" t="s">
        <v>338</v>
      </c>
      <c r="AA264" s="187" t="s">
        <v>338</v>
      </c>
    </row>
    <row r="265" spans="2:27" ht="12" customHeight="1">
      <c r="B265" s="171" t="s">
        <v>907</v>
      </c>
      <c r="C265" s="171" t="s">
        <v>562</v>
      </c>
      <c r="D265" s="171" t="s">
        <v>728</v>
      </c>
      <c r="E265" s="171" t="s">
        <v>1303</v>
      </c>
      <c r="F265" s="187" t="s">
        <v>338</v>
      </c>
      <c r="G265" s="191">
        <v>45901</v>
      </c>
      <c r="H265" s="248"/>
      <c r="I265" s="187" t="s">
        <v>338</v>
      </c>
      <c r="J265" s="187" t="s">
        <v>338</v>
      </c>
      <c r="K265" s="187" t="s">
        <v>338</v>
      </c>
      <c r="L265" s="187" t="s">
        <v>338</v>
      </c>
      <c r="M265" s="187" t="s">
        <v>338</v>
      </c>
      <c r="N265" s="187" t="s">
        <v>338</v>
      </c>
      <c r="O265" s="187" t="s">
        <v>338</v>
      </c>
      <c r="P265" s="187" t="s">
        <v>338</v>
      </c>
      <c r="Q265" s="187">
        <v>1080</v>
      </c>
      <c r="R265" s="187" t="s">
        <v>338</v>
      </c>
      <c r="S265" s="187" t="s">
        <v>338</v>
      </c>
      <c r="T265" s="187" t="s">
        <v>338</v>
      </c>
      <c r="U265" s="187" t="s">
        <v>338</v>
      </c>
      <c r="V265" s="187" t="s">
        <v>338</v>
      </c>
      <c r="W265" s="187" t="s">
        <v>338</v>
      </c>
      <c r="X265" s="187" t="s">
        <v>338</v>
      </c>
      <c r="Y265" s="187" t="s">
        <v>338</v>
      </c>
      <c r="Z265" s="187" t="s">
        <v>338</v>
      </c>
      <c r="AA265" s="187" t="s">
        <v>338</v>
      </c>
    </row>
    <row r="266" spans="2:27" ht="12" hidden="1" customHeight="1">
      <c r="B266" s="171" t="s">
        <v>913</v>
      </c>
      <c r="C266" s="171" t="s">
        <v>562</v>
      </c>
      <c r="D266" s="171" t="s">
        <v>632</v>
      </c>
      <c r="E266" s="171" t="s">
        <v>1301</v>
      </c>
      <c r="F266" s="187" t="s">
        <v>338</v>
      </c>
      <c r="G266" s="191">
        <v>44682</v>
      </c>
      <c r="H266" s="191">
        <v>46112</v>
      </c>
      <c r="I266" s="187">
        <v>100</v>
      </c>
      <c r="J266" s="187">
        <v>55</v>
      </c>
      <c r="K266" s="187">
        <v>55</v>
      </c>
      <c r="L266" s="187">
        <v>55</v>
      </c>
      <c r="M266" s="187">
        <v>290</v>
      </c>
      <c r="N266" s="187">
        <v>290</v>
      </c>
      <c r="O266" s="187">
        <v>290</v>
      </c>
      <c r="P266" s="187">
        <v>290</v>
      </c>
      <c r="Q266" s="187">
        <v>290</v>
      </c>
      <c r="R266" s="187">
        <v>60</v>
      </c>
      <c r="S266" s="187">
        <v>60</v>
      </c>
      <c r="T266" s="187">
        <v>60</v>
      </c>
      <c r="U266" s="187">
        <v>60</v>
      </c>
      <c r="V266" s="187">
        <v>76.5</v>
      </c>
      <c r="W266" s="187">
        <v>60</v>
      </c>
      <c r="X266" s="187" t="s">
        <v>338</v>
      </c>
      <c r="Y266" s="187" t="s">
        <v>338</v>
      </c>
      <c r="Z266" s="187" t="s">
        <v>338</v>
      </c>
      <c r="AA266" s="187" t="s">
        <v>338</v>
      </c>
    </row>
    <row r="267" spans="2:27" ht="12" hidden="1" customHeight="1">
      <c r="B267" s="171" t="s">
        <v>915</v>
      </c>
      <c r="C267" s="171" t="s">
        <v>562</v>
      </c>
      <c r="D267" s="171" t="s">
        <v>657</v>
      </c>
      <c r="E267" s="171" t="s">
        <v>1302</v>
      </c>
      <c r="F267" s="187" t="s">
        <v>338</v>
      </c>
      <c r="G267" s="191">
        <v>45536</v>
      </c>
      <c r="H267" s="191">
        <v>45930</v>
      </c>
      <c r="I267" s="187">
        <v>450</v>
      </c>
      <c r="J267" s="187">
        <v>450</v>
      </c>
      <c r="K267" s="187">
        <v>450</v>
      </c>
      <c r="L267" s="187">
        <v>450</v>
      </c>
      <c r="M267" s="187">
        <v>450</v>
      </c>
      <c r="N267" s="187">
        <v>450</v>
      </c>
      <c r="O267" s="187">
        <v>450</v>
      </c>
      <c r="P267" s="187">
        <v>450</v>
      </c>
      <c r="Q267" s="187">
        <v>450</v>
      </c>
      <c r="R267" s="187" t="s">
        <v>338</v>
      </c>
      <c r="S267" s="187" t="s">
        <v>338</v>
      </c>
      <c r="T267" s="187" t="s">
        <v>338</v>
      </c>
      <c r="U267" s="187" t="s">
        <v>338</v>
      </c>
      <c r="V267" s="187" t="s">
        <v>338</v>
      </c>
      <c r="W267" s="187" t="s">
        <v>338</v>
      </c>
      <c r="X267" s="187" t="s">
        <v>338</v>
      </c>
      <c r="Y267" s="187" t="s">
        <v>338</v>
      </c>
      <c r="Z267" s="187" t="s">
        <v>338</v>
      </c>
      <c r="AA267" s="187" t="s">
        <v>338</v>
      </c>
    </row>
    <row r="268" spans="2:27" ht="12" customHeight="1">
      <c r="B268" s="171" t="s">
        <v>912</v>
      </c>
      <c r="C268" s="171" t="s">
        <v>562</v>
      </c>
      <c r="D268" s="171" t="s">
        <v>728</v>
      </c>
      <c r="E268" s="171" t="s">
        <v>1303</v>
      </c>
      <c r="F268" s="187" t="s">
        <v>338</v>
      </c>
      <c r="G268" s="191">
        <v>46054</v>
      </c>
      <c r="H268" s="248"/>
      <c r="I268" s="187" t="s">
        <v>338</v>
      </c>
      <c r="J268" s="187" t="s">
        <v>338</v>
      </c>
      <c r="K268" s="187" t="s">
        <v>338</v>
      </c>
      <c r="L268" s="187" t="s">
        <v>338</v>
      </c>
      <c r="M268" s="187" t="s">
        <v>338</v>
      </c>
      <c r="N268" s="187" t="s">
        <v>338</v>
      </c>
      <c r="O268" s="187" t="s">
        <v>338</v>
      </c>
      <c r="P268" s="187" t="s">
        <v>338</v>
      </c>
      <c r="Q268" s="187" t="s">
        <v>338</v>
      </c>
      <c r="R268" s="187" t="s">
        <v>338</v>
      </c>
      <c r="S268" s="187" t="s">
        <v>338</v>
      </c>
      <c r="T268" s="187" t="s">
        <v>338</v>
      </c>
      <c r="U268" s="187" t="s">
        <v>338</v>
      </c>
      <c r="V268" s="187">
        <v>975</v>
      </c>
      <c r="W268" s="187" t="s">
        <v>338</v>
      </c>
      <c r="X268" s="187" t="s">
        <v>338</v>
      </c>
      <c r="Y268" s="187" t="s">
        <v>338</v>
      </c>
      <c r="Z268" s="187" t="s">
        <v>338</v>
      </c>
      <c r="AA268" s="187" t="s">
        <v>338</v>
      </c>
    </row>
    <row r="269" spans="2:27" ht="12" hidden="1" customHeight="1">
      <c r="B269" s="171" t="s">
        <v>917</v>
      </c>
      <c r="C269" s="171" t="s">
        <v>562</v>
      </c>
      <c r="D269" s="171" t="s">
        <v>678</v>
      </c>
      <c r="E269" s="171" t="s">
        <v>1178</v>
      </c>
      <c r="F269" s="187">
        <v>0</v>
      </c>
      <c r="G269" s="191">
        <v>46023</v>
      </c>
      <c r="H269" s="191">
        <v>46173</v>
      </c>
      <c r="I269" s="187" t="s">
        <v>338</v>
      </c>
      <c r="J269" s="187" t="s">
        <v>338</v>
      </c>
      <c r="K269" s="187" t="s">
        <v>338</v>
      </c>
      <c r="L269" s="187" t="s">
        <v>338</v>
      </c>
      <c r="M269" s="187" t="s">
        <v>338</v>
      </c>
      <c r="N269" s="187" t="s">
        <v>338</v>
      </c>
      <c r="O269" s="187" t="s">
        <v>338</v>
      </c>
      <c r="P269" s="187" t="s">
        <v>338</v>
      </c>
      <c r="Q269" s="187" t="s">
        <v>338</v>
      </c>
      <c r="R269" s="187" t="s">
        <v>338</v>
      </c>
      <c r="S269" s="187" t="s">
        <v>338</v>
      </c>
      <c r="T269" s="187" t="s">
        <v>338</v>
      </c>
      <c r="U269" s="187">
        <v>160</v>
      </c>
      <c r="V269" s="187">
        <v>160</v>
      </c>
      <c r="W269" s="187">
        <v>160</v>
      </c>
      <c r="X269" s="187">
        <v>160</v>
      </c>
      <c r="Y269" s="187">
        <v>160</v>
      </c>
      <c r="Z269" s="187" t="s">
        <v>338</v>
      </c>
      <c r="AA269" s="187" t="s">
        <v>338</v>
      </c>
    </row>
    <row r="270" spans="2:27" ht="12" hidden="1" customHeight="1">
      <c r="B270" s="171" t="s">
        <v>918</v>
      </c>
      <c r="C270" s="171" t="s">
        <v>562</v>
      </c>
      <c r="D270" s="171" t="s">
        <v>678</v>
      </c>
      <c r="E270" s="171" t="s">
        <v>1178</v>
      </c>
      <c r="F270" s="187">
        <v>0</v>
      </c>
      <c r="G270" s="191">
        <v>46023</v>
      </c>
      <c r="H270" s="191">
        <v>46173</v>
      </c>
      <c r="I270" s="187" t="s">
        <v>338</v>
      </c>
      <c r="J270" s="187" t="s">
        <v>338</v>
      </c>
      <c r="K270" s="187" t="s">
        <v>338</v>
      </c>
      <c r="L270" s="187" t="s">
        <v>338</v>
      </c>
      <c r="M270" s="187" t="s">
        <v>338</v>
      </c>
      <c r="N270" s="187" t="s">
        <v>338</v>
      </c>
      <c r="O270" s="187" t="s">
        <v>338</v>
      </c>
      <c r="P270" s="187" t="s">
        <v>338</v>
      </c>
      <c r="Q270" s="187" t="s">
        <v>338</v>
      </c>
      <c r="R270" s="187" t="s">
        <v>338</v>
      </c>
      <c r="S270" s="187" t="s">
        <v>338</v>
      </c>
      <c r="T270" s="187" t="s">
        <v>338</v>
      </c>
      <c r="U270" s="187">
        <v>160</v>
      </c>
      <c r="V270" s="187">
        <v>160</v>
      </c>
      <c r="W270" s="187">
        <v>160</v>
      </c>
      <c r="X270" s="187">
        <v>160</v>
      </c>
      <c r="Y270" s="187">
        <v>160</v>
      </c>
      <c r="Z270" s="187" t="s">
        <v>338</v>
      </c>
      <c r="AA270" s="187" t="s">
        <v>338</v>
      </c>
    </row>
    <row r="271" spans="2:27" ht="12" hidden="1" customHeight="1">
      <c r="B271" s="171" t="s">
        <v>919</v>
      </c>
      <c r="C271" s="171" t="s">
        <v>562</v>
      </c>
      <c r="D271" s="171" t="s">
        <v>872</v>
      </c>
      <c r="E271" s="171" t="s">
        <v>1301</v>
      </c>
      <c r="F271" s="187" t="s">
        <v>338</v>
      </c>
      <c r="G271" s="191">
        <v>45870</v>
      </c>
      <c r="H271" s="191">
        <v>45930</v>
      </c>
      <c r="I271" s="187" t="s">
        <v>338</v>
      </c>
      <c r="J271" s="187" t="s">
        <v>338</v>
      </c>
      <c r="K271" s="187" t="s">
        <v>338</v>
      </c>
      <c r="L271" s="187" t="s">
        <v>338</v>
      </c>
      <c r="M271" s="187" t="s">
        <v>338</v>
      </c>
      <c r="N271" s="187" t="s">
        <v>338</v>
      </c>
      <c r="O271" s="187" t="s">
        <v>338</v>
      </c>
      <c r="P271" s="187">
        <v>400</v>
      </c>
      <c r="Q271" s="187">
        <v>400</v>
      </c>
      <c r="R271" s="187">
        <v>0</v>
      </c>
      <c r="S271" s="187" t="s">
        <v>338</v>
      </c>
      <c r="T271" s="187" t="s">
        <v>338</v>
      </c>
      <c r="U271" s="187" t="s">
        <v>338</v>
      </c>
      <c r="V271" s="187" t="s">
        <v>338</v>
      </c>
      <c r="W271" s="187" t="s">
        <v>338</v>
      </c>
      <c r="X271" s="187" t="s">
        <v>338</v>
      </c>
      <c r="Y271" s="187" t="s">
        <v>338</v>
      </c>
      <c r="Z271" s="187" t="s">
        <v>338</v>
      </c>
      <c r="AA271" s="187" t="s">
        <v>338</v>
      </c>
    </row>
    <row r="272" spans="2:27" ht="12" hidden="1" customHeight="1">
      <c r="B272" s="171" t="s">
        <v>920</v>
      </c>
      <c r="C272" s="171" t="s">
        <v>562</v>
      </c>
      <c r="D272" s="171" t="s">
        <v>657</v>
      </c>
      <c r="E272" s="171" t="s">
        <v>1302</v>
      </c>
      <c r="F272" s="187" t="s">
        <v>338</v>
      </c>
      <c r="G272" s="191">
        <v>45962</v>
      </c>
      <c r="H272" s="191">
        <v>46022</v>
      </c>
      <c r="I272" s="187" t="s">
        <v>338</v>
      </c>
      <c r="J272" s="187" t="s">
        <v>338</v>
      </c>
      <c r="K272" s="187" t="s">
        <v>338</v>
      </c>
      <c r="L272" s="187" t="s">
        <v>338</v>
      </c>
      <c r="M272" s="187" t="s">
        <v>338</v>
      </c>
      <c r="N272" s="187" t="s">
        <v>338</v>
      </c>
      <c r="O272" s="187" t="s">
        <v>338</v>
      </c>
      <c r="P272" s="187" t="s">
        <v>338</v>
      </c>
      <c r="Q272" s="187" t="s">
        <v>338</v>
      </c>
      <c r="R272" s="187" t="s">
        <v>338</v>
      </c>
      <c r="S272" s="187">
        <v>100</v>
      </c>
      <c r="T272" s="187">
        <v>700</v>
      </c>
      <c r="U272" s="187">
        <v>0</v>
      </c>
      <c r="V272" s="187" t="s">
        <v>338</v>
      </c>
      <c r="W272" s="187" t="s">
        <v>338</v>
      </c>
      <c r="X272" s="187" t="s">
        <v>338</v>
      </c>
      <c r="Y272" s="187" t="s">
        <v>338</v>
      </c>
      <c r="Z272" s="187" t="s">
        <v>338</v>
      </c>
      <c r="AA272" s="187" t="s">
        <v>338</v>
      </c>
    </row>
    <row r="273" spans="2:27" ht="12" hidden="1" customHeight="1">
      <c r="B273" s="171" t="s">
        <v>921</v>
      </c>
      <c r="C273" s="171" t="s">
        <v>562</v>
      </c>
      <c r="D273" s="171" t="s">
        <v>632</v>
      </c>
      <c r="E273" s="171" t="s">
        <v>1301</v>
      </c>
      <c r="F273" s="187" t="s">
        <v>338</v>
      </c>
      <c r="G273" s="191">
        <v>44317</v>
      </c>
      <c r="H273" s="191">
        <v>46022</v>
      </c>
      <c r="I273" s="187">
        <v>192</v>
      </c>
      <c r="J273" s="187">
        <v>147</v>
      </c>
      <c r="K273" s="187">
        <v>147</v>
      </c>
      <c r="L273" s="187">
        <v>147</v>
      </c>
      <c r="M273" s="187">
        <v>147</v>
      </c>
      <c r="N273" s="187">
        <v>147</v>
      </c>
      <c r="O273" s="187">
        <v>147</v>
      </c>
      <c r="P273" s="187">
        <v>147</v>
      </c>
      <c r="Q273" s="187">
        <v>147</v>
      </c>
      <c r="R273" s="187">
        <v>147</v>
      </c>
      <c r="S273" s="187">
        <v>147</v>
      </c>
      <c r="T273" s="187">
        <v>147</v>
      </c>
      <c r="U273" s="187" t="s">
        <v>338</v>
      </c>
      <c r="V273" s="187" t="s">
        <v>338</v>
      </c>
      <c r="W273" s="187" t="s">
        <v>338</v>
      </c>
      <c r="X273" s="187" t="s">
        <v>338</v>
      </c>
      <c r="Y273" s="187" t="s">
        <v>338</v>
      </c>
      <c r="Z273" s="187" t="s">
        <v>338</v>
      </c>
      <c r="AA273" s="187" t="s">
        <v>338</v>
      </c>
    </row>
    <row r="274" spans="2:27" ht="12" hidden="1" customHeight="1">
      <c r="B274" s="171" t="s">
        <v>922</v>
      </c>
      <c r="C274" s="171" t="s">
        <v>562</v>
      </c>
      <c r="D274" s="171" t="s">
        <v>657</v>
      </c>
      <c r="E274" s="171" t="s">
        <v>1302</v>
      </c>
      <c r="F274" s="187" t="s">
        <v>338</v>
      </c>
      <c r="G274" s="191">
        <v>45931</v>
      </c>
      <c r="H274" s="191">
        <v>45991</v>
      </c>
      <c r="I274" s="187" t="s">
        <v>338</v>
      </c>
      <c r="J274" s="187" t="s">
        <v>338</v>
      </c>
      <c r="K274" s="187" t="s">
        <v>338</v>
      </c>
      <c r="L274" s="187" t="s">
        <v>338</v>
      </c>
      <c r="M274" s="187" t="s">
        <v>338</v>
      </c>
      <c r="N274" s="187" t="s">
        <v>338</v>
      </c>
      <c r="O274" s="187" t="s">
        <v>338</v>
      </c>
      <c r="P274" s="187" t="s">
        <v>338</v>
      </c>
      <c r="Q274" s="187" t="s">
        <v>338</v>
      </c>
      <c r="R274" s="187">
        <v>400</v>
      </c>
      <c r="S274" s="187">
        <v>325</v>
      </c>
      <c r="T274" s="187" t="s">
        <v>338</v>
      </c>
      <c r="U274" s="187" t="s">
        <v>338</v>
      </c>
      <c r="V274" s="187" t="s">
        <v>338</v>
      </c>
      <c r="W274" s="187" t="s">
        <v>338</v>
      </c>
      <c r="X274" s="187" t="s">
        <v>338</v>
      </c>
      <c r="Y274" s="187" t="s">
        <v>338</v>
      </c>
      <c r="Z274" s="187" t="s">
        <v>338</v>
      </c>
      <c r="AA274" s="187" t="s">
        <v>338</v>
      </c>
    </row>
    <row r="275" spans="2:27" ht="12" customHeight="1">
      <c r="B275" s="171" t="s">
        <v>923</v>
      </c>
      <c r="C275" s="171" t="s">
        <v>562</v>
      </c>
      <c r="D275" s="171" t="s">
        <v>728</v>
      </c>
      <c r="E275" s="171" t="s">
        <v>1303</v>
      </c>
      <c r="F275" s="187" t="s">
        <v>338</v>
      </c>
      <c r="G275" s="191">
        <v>46054</v>
      </c>
      <c r="H275" s="248"/>
      <c r="I275" s="187" t="s">
        <v>338</v>
      </c>
      <c r="J275" s="187" t="s">
        <v>338</v>
      </c>
      <c r="K275" s="187" t="s">
        <v>338</v>
      </c>
      <c r="L275" s="187" t="s">
        <v>338</v>
      </c>
      <c r="M275" s="187" t="s">
        <v>338</v>
      </c>
      <c r="N275" s="187" t="s">
        <v>338</v>
      </c>
      <c r="O275" s="187" t="s">
        <v>338</v>
      </c>
      <c r="P275" s="187" t="s">
        <v>338</v>
      </c>
      <c r="Q275" s="187" t="s">
        <v>338</v>
      </c>
      <c r="R275" s="187" t="s">
        <v>338</v>
      </c>
      <c r="S275" s="187" t="s">
        <v>338</v>
      </c>
      <c r="T275" s="187" t="s">
        <v>338</v>
      </c>
      <c r="U275" s="187" t="s">
        <v>338</v>
      </c>
      <c r="V275" s="187">
        <v>650</v>
      </c>
      <c r="W275" s="187" t="s">
        <v>338</v>
      </c>
      <c r="X275" s="187" t="s">
        <v>338</v>
      </c>
      <c r="Y275" s="187" t="s">
        <v>338</v>
      </c>
      <c r="Z275" s="187" t="s">
        <v>338</v>
      </c>
      <c r="AA275" s="187" t="s">
        <v>338</v>
      </c>
    </row>
    <row r="276" spans="2:27" ht="12" hidden="1" customHeight="1">
      <c r="B276" s="171" t="s">
        <v>924</v>
      </c>
      <c r="C276" s="171" t="s">
        <v>562</v>
      </c>
      <c r="D276" s="171" t="s">
        <v>657</v>
      </c>
      <c r="E276" s="171" t="s">
        <v>1302</v>
      </c>
      <c r="F276" s="187" t="s">
        <v>338</v>
      </c>
      <c r="G276" s="191">
        <v>45323</v>
      </c>
      <c r="H276" s="191">
        <v>45900</v>
      </c>
      <c r="I276" s="187">
        <v>630</v>
      </c>
      <c r="J276" s="187">
        <v>470</v>
      </c>
      <c r="K276" s="187">
        <v>720</v>
      </c>
      <c r="L276" s="187">
        <v>540</v>
      </c>
      <c r="M276" s="187">
        <v>540</v>
      </c>
      <c r="N276" s="187">
        <v>540</v>
      </c>
      <c r="O276" s="187">
        <v>470</v>
      </c>
      <c r="P276" s="187">
        <v>400</v>
      </c>
      <c r="Q276" s="187">
        <v>75</v>
      </c>
      <c r="R276" s="187">
        <v>75</v>
      </c>
      <c r="S276" s="187" t="s">
        <v>338</v>
      </c>
      <c r="T276" s="187" t="s">
        <v>338</v>
      </c>
      <c r="U276" s="187" t="s">
        <v>338</v>
      </c>
      <c r="V276" s="187" t="s">
        <v>338</v>
      </c>
      <c r="W276" s="187" t="s">
        <v>338</v>
      </c>
      <c r="X276" s="187" t="s">
        <v>338</v>
      </c>
      <c r="Y276" s="187" t="s">
        <v>338</v>
      </c>
      <c r="Z276" s="187" t="s">
        <v>338</v>
      </c>
      <c r="AA276" s="187" t="s">
        <v>338</v>
      </c>
    </row>
    <row r="277" spans="2:27" ht="12" customHeight="1">
      <c r="B277" s="171" t="s">
        <v>925</v>
      </c>
      <c r="C277" s="171" t="s">
        <v>562</v>
      </c>
      <c r="D277" s="171" t="s">
        <v>728</v>
      </c>
      <c r="E277" s="171" t="s">
        <v>1303</v>
      </c>
      <c r="F277" s="187" t="s">
        <v>338</v>
      </c>
      <c r="G277" s="191">
        <v>45931</v>
      </c>
      <c r="H277" s="248"/>
      <c r="I277" s="187" t="s">
        <v>338</v>
      </c>
      <c r="J277" s="187" t="s">
        <v>338</v>
      </c>
      <c r="K277" s="187" t="s">
        <v>338</v>
      </c>
      <c r="L277" s="187" t="s">
        <v>338</v>
      </c>
      <c r="M277" s="187" t="s">
        <v>338</v>
      </c>
      <c r="N277" s="187" t="s">
        <v>338</v>
      </c>
      <c r="O277" s="187" t="s">
        <v>338</v>
      </c>
      <c r="P277" s="187" t="s">
        <v>338</v>
      </c>
      <c r="Q277" s="187" t="s">
        <v>338</v>
      </c>
      <c r="R277" s="187">
        <v>495</v>
      </c>
      <c r="S277" s="187" t="s">
        <v>338</v>
      </c>
      <c r="T277" s="187" t="s">
        <v>338</v>
      </c>
      <c r="U277" s="187" t="s">
        <v>338</v>
      </c>
      <c r="V277" s="187" t="s">
        <v>338</v>
      </c>
      <c r="W277" s="187">
        <v>0</v>
      </c>
      <c r="X277" s="187" t="s">
        <v>338</v>
      </c>
      <c r="Y277" s="187" t="s">
        <v>338</v>
      </c>
      <c r="Z277" s="187" t="s">
        <v>338</v>
      </c>
      <c r="AA277" s="187" t="s">
        <v>338</v>
      </c>
    </row>
    <row r="278" spans="2:27" ht="12" hidden="1" customHeight="1">
      <c r="B278" s="171" t="s">
        <v>926</v>
      </c>
      <c r="C278" s="171" t="s">
        <v>19</v>
      </c>
      <c r="D278" s="171" t="s">
        <v>678</v>
      </c>
      <c r="E278" s="171" t="s">
        <v>1178</v>
      </c>
      <c r="F278" s="187" t="s">
        <v>338</v>
      </c>
      <c r="G278" s="191">
        <v>46204</v>
      </c>
      <c r="H278" s="191"/>
      <c r="I278" s="187" t="s">
        <v>338</v>
      </c>
      <c r="J278" s="187" t="s">
        <v>338</v>
      </c>
      <c r="K278" s="187" t="s">
        <v>338</v>
      </c>
      <c r="L278" s="187" t="s">
        <v>338</v>
      </c>
      <c r="M278" s="187" t="s">
        <v>338</v>
      </c>
      <c r="N278" s="187" t="s">
        <v>338</v>
      </c>
      <c r="O278" s="187" t="s">
        <v>338</v>
      </c>
      <c r="P278" s="187" t="s">
        <v>338</v>
      </c>
      <c r="Q278" s="187" t="s">
        <v>338</v>
      </c>
      <c r="R278" s="187" t="s">
        <v>338</v>
      </c>
      <c r="S278" s="187" t="s">
        <v>338</v>
      </c>
      <c r="T278" s="187" t="s">
        <v>338</v>
      </c>
      <c r="U278" s="187" t="s">
        <v>338</v>
      </c>
      <c r="V278" s="187" t="s">
        <v>338</v>
      </c>
      <c r="W278" s="187" t="s">
        <v>338</v>
      </c>
      <c r="X278" s="187" t="s">
        <v>338</v>
      </c>
      <c r="Y278" s="187" t="s">
        <v>338</v>
      </c>
      <c r="Z278" s="187" t="s">
        <v>338</v>
      </c>
      <c r="AA278" s="187">
        <v>418</v>
      </c>
    </row>
    <row r="279" spans="2:27" ht="12" hidden="1" customHeight="1">
      <c r="B279" s="171" t="s">
        <v>927</v>
      </c>
      <c r="C279" s="171" t="s">
        <v>562</v>
      </c>
      <c r="D279" s="171" t="s">
        <v>657</v>
      </c>
      <c r="E279" s="171" t="s">
        <v>1302</v>
      </c>
      <c r="F279" s="187" t="s">
        <v>338</v>
      </c>
      <c r="G279" s="191">
        <v>45536</v>
      </c>
      <c r="H279" s="191">
        <v>45900</v>
      </c>
      <c r="I279" s="187">
        <v>395</v>
      </c>
      <c r="J279" s="187">
        <v>395</v>
      </c>
      <c r="K279" s="187">
        <v>395</v>
      </c>
      <c r="L279" s="187">
        <v>395</v>
      </c>
      <c r="M279" s="187">
        <v>395</v>
      </c>
      <c r="N279" s="187">
        <v>395</v>
      </c>
      <c r="O279" s="187">
        <v>395</v>
      </c>
      <c r="P279" s="187">
        <v>395</v>
      </c>
      <c r="Q279" s="187" t="s">
        <v>338</v>
      </c>
      <c r="R279" s="187" t="s">
        <v>338</v>
      </c>
      <c r="S279" s="187" t="s">
        <v>338</v>
      </c>
      <c r="T279" s="187" t="s">
        <v>338</v>
      </c>
      <c r="U279" s="187" t="s">
        <v>338</v>
      </c>
      <c r="V279" s="187" t="s">
        <v>338</v>
      </c>
      <c r="W279" s="187" t="s">
        <v>338</v>
      </c>
      <c r="X279" s="187" t="s">
        <v>338</v>
      </c>
      <c r="Y279" s="187" t="s">
        <v>338</v>
      </c>
      <c r="Z279" s="187" t="s">
        <v>338</v>
      </c>
      <c r="AA279" s="187" t="s">
        <v>338</v>
      </c>
    </row>
    <row r="280" spans="2:27" ht="12" customHeight="1">
      <c r="B280" s="171" t="s">
        <v>928</v>
      </c>
      <c r="C280" s="171" t="s">
        <v>562</v>
      </c>
      <c r="D280" s="171" t="s">
        <v>728</v>
      </c>
      <c r="E280" s="171" t="s">
        <v>1303</v>
      </c>
      <c r="F280" s="187" t="s">
        <v>338</v>
      </c>
      <c r="G280" s="191">
        <v>45931</v>
      </c>
      <c r="H280" s="248"/>
      <c r="I280" s="187" t="s">
        <v>338</v>
      </c>
      <c r="J280" s="187" t="s">
        <v>338</v>
      </c>
      <c r="K280" s="187" t="s">
        <v>338</v>
      </c>
      <c r="L280" s="187" t="s">
        <v>338</v>
      </c>
      <c r="M280" s="187" t="s">
        <v>338</v>
      </c>
      <c r="N280" s="187" t="s">
        <v>338</v>
      </c>
      <c r="O280" s="187" t="s">
        <v>338</v>
      </c>
      <c r="P280" s="187" t="s">
        <v>338</v>
      </c>
      <c r="Q280" s="187" t="s">
        <v>338</v>
      </c>
      <c r="R280" s="187">
        <v>380.25</v>
      </c>
      <c r="S280" s="187" t="s">
        <v>338</v>
      </c>
      <c r="T280" s="187" t="s">
        <v>338</v>
      </c>
      <c r="U280" s="187" t="s">
        <v>338</v>
      </c>
      <c r="V280" s="187" t="s">
        <v>338</v>
      </c>
      <c r="W280" s="187" t="s">
        <v>338</v>
      </c>
      <c r="X280" s="187" t="s">
        <v>338</v>
      </c>
      <c r="Y280" s="187" t="s">
        <v>338</v>
      </c>
      <c r="Z280" s="187" t="s">
        <v>338</v>
      </c>
      <c r="AA280" s="187" t="s">
        <v>338</v>
      </c>
    </row>
    <row r="281" spans="2:27" ht="12" hidden="1" customHeight="1">
      <c r="B281" s="171" t="s">
        <v>929</v>
      </c>
      <c r="C281" s="171" t="s">
        <v>562</v>
      </c>
      <c r="D281" s="171" t="s">
        <v>657</v>
      </c>
      <c r="E281" s="171" t="s">
        <v>1302</v>
      </c>
      <c r="F281" s="187" t="s">
        <v>338</v>
      </c>
      <c r="G281" s="191">
        <v>45901</v>
      </c>
      <c r="H281" s="191">
        <v>45991</v>
      </c>
      <c r="I281" s="187" t="s">
        <v>338</v>
      </c>
      <c r="J281" s="187" t="s">
        <v>338</v>
      </c>
      <c r="K281" s="187" t="s">
        <v>338</v>
      </c>
      <c r="L281" s="187" t="s">
        <v>338</v>
      </c>
      <c r="M281" s="187" t="s">
        <v>338</v>
      </c>
      <c r="N281" s="187" t="s">
        <v>338</v>
      </c>
      <c r="O281" s="187" t="s">
        <v>338</v>
      </c>
      <c r="P281" s="187" t="s">
        <v>338</v>
      </c>
      <c r="Q281" s="187">
        <v>85</v>
      </c>
      <c r="R281" s="187">
        <v>85</v>
      </c>
      <c r="S281" s="187">
        <v>85</v>
      </c>
      <c r="T281" s="187">
        <v>100</v>
      </c>
      <c r="U281" s="187" t="s">
        <v>338</v>
      </c>
      <c r="V281" s="187" t="s">
        <v>338</v>
      </c>
      <c r="W281" s="187" t="s">
        <v>338</v>
      </c>
      <c r="X281" s="187" t="s">
        <v>338</v>
      </c>
      <c r="Y281" s="187" t="s">
        <v>338</v>
      </c>
      <c r="Z281" s="187" t="s">
        <v>338</v>
      </c>
      <c r="AA281" s="187" t="s">
        <v>338</v>
      </c>
    </row>
    <row r="282" spans="2:27" ht="12" hidden="1" customHeight="1">
      <c r="B282" s="171" t="s">
        <v>930</v>
      </c>
      <c r="C282" s="171" t="s">
        <v>562</v>
      </c>
      <c r="D282" s="171" t="s">
        <v>657</v>
      </c>
      <c r="E282" s="171" t="s">
        <v>1302</v>
      </c>
      <c r="F282" s="187" t="s">
        <v>338</v>
      </c>
      <c r="G282" s="191">
        <v>45992</v>
      </c>
      <c r="H282" s="191">
        <v>46022</v>
      </c>
      <c r="I282" s="187" t="s">
        <v>338</v>
      </c>
      <c r="J282" s="187" t="s">
        <v>338</v>
      </c>
      <c r="K282" s="187" t="s">
        <v>338</v>
      </c>
      <c r="L282" s="187" t="s">
        <v>338</v>
      </c>
      <c r="M282" s="187" t="s">
        <v>338</v>
      </c>
      <c r="N282" s="187" t="s">
        <v>338</v>
      </c>
      <c r="O282" s="187" t="s">
        <v>338</v>
      </c>
      <c r="P282" s="187" t="s">
        <v>338</v>
      </c>
      <c r="Q282" s="187" t="s">
        <v>338</v>
      </c>
      <c r="R282" s="187" t="s">
        <v>338</v>
      </c>
      <c r="S282" s="187" t="s">
        <v>338</v>
      </c>
      <c r="T282" s="187">
        <v>200</v>
      </c>
      <c r="U282" s="187">
        <v>0</v>
      </c>
      <c r="V282" s="187" t="s">
        <v>338</v>
      </c>
      <c r="W282" s="187" t="s">
        <v>338</v>
      </c>
      <c r="X282" s="187" t="s">
        <v>338</v>
      </c>
      <c r="Y282" s="187" t="s">
        <v>338</v>
      </c>
      <c r="Z282" s="187" t="s">
        <v>338</v>
      </c>
      <c r="AA282" s="187" t="s">
        <v>338</v>
      </c>
    </row>
    <row r="283" spans="2:27" ht="12" hidden="1" customHeight="1">
      <c r="B283" s="171" t="s">
        <v>931</v>
      </c>
      <c r="C283" s="171" t="s">
        <v>562</v>
      </c>
      <c r="D283" s="171" t="s">
        <v>657</v>
      </c>
      <c r="E283" s="171" t="s">
        <v>1302</v>
      </c>
      <c r="F283" s="187" t="s">
        <v>338</v>
      </c>
      <c r="G283" s="191">
        <v>45352</v>
      </c>
      <c r="H283" s="191">
        <v>45838</v>
      </c>
      <c r="I283" s="187">
        <v>948</v>
      </c>
      <c r="J283" s="187">
        <v>1075</v>
      </c>
      <c r="K283" s="187">
        <v>940</v>
      </c>
      <c r="L283" s="187">
        <v>925</v>
      </c>
      <c r="M283" s="187">
        <v>1225</v>
      </c>
      <c r="N283" s="187">
        <v>1375</v>
      </c>
      <c r="O283" s="187" t="s">
        <v>338</v>
      </c>
      <c r="P283" s="187" t="s">
        <v>338</v>
      </c>
      <c r="Q283" s="187" t="s">
        <v>338</v>
      </c>
      <c r="R283" s="187" t="s">
        <v>338</v>
      </c>
      <c r="S283" s="187" t="s">
        <v>338</v>
      </c>
      <c r="T283" s="187" t="s">
        <v>338</v>
      </c>
      <c r="U283" s="187">
        <v>75</v>
      </c>
      <c r="V283" s="187">
        <v>15</v>
      </c>
      <c r="W283" s="187" t="s">
        <v>338</v>
      </c>
      <c r="X283" s="187" t="s">
        <v>338</v>
      </c>
      <c r="Y283" s="187" t="s">
        <v>338</v>
      </c>
      <c r="Z283" s="187" t="s">
        <v>338</v>
      </c>
      <c r="AA283" s="187" t="s">
        <v>338</v>
      </c>
    </row>
    <row r="284" spans="2:27" ht="12" hidden="1" customHeight="1">
      <c r="B284" s="171" t="s">
        <v>932</v>
      </c>
      <c r="C284" s="171" t="s">
        <v>562</v>
      </c>
      <c r="D284" s="171" t="s">
        <v>657</v>
      </c>
      <c r="E284" s="171" t="s">
        <v>1302</v>
      </c>
      <c r="F284" s="187" t="s">
        <v>338</v>
      </c>
      <c r="G284" s="191">
        <v>45413</v>
      </c>
      <c r="H284" s="191">
        <v>45777</v>
      </c>
      <c r="I284" s="187">
        <v>1400</v>
      </c>
      <c r="J284" s="187">
        <v>1400</v>
      </c>
      <c r="K284" s="187">
        <v>1400</v>
      </c>
      <c r="L284" s="187">
        <v>1330</v>
      </c>
      <c r="M284" s="187" t="s">
        <v>338</v>
      </c>
      <c r="N284" s="187">
        <v>500</v>
      </c>
      <c r="O284" s="187" t="s">
        <v>338</v>
      </c>
      <c r="P284" s="187" t="s">
        <v>338</v>
      </c>
      <c r="Q284" s="187" t="s">
        <v>338</v>
      </c>
      <c r="R284" s="187" t="s">
        <v>338</v>
      </c>
      <c r="S284" s="187" t="s">
        <v>338</v>
      </c>
      <c r="T284" s="187" t="s">
        <v>338</v>
      </c>
      <c r="U284" s="187" t="s">
        <v>338</v>
      </c>
      <c r="V284" s="187" t="s">
        <v>338</v>
      </c>
      <c r="W284" s="187" t="s">
        <v>338</v>
      </c>
      <c r="X284" s="187" t="s">
        <v>338</v>
      </c>
      <c r="Y284" s="187" t="s">
        <v>338</v>
      </c>
      <c r="Z284" s="187" t="s">
        <v>338</v>
      </c>
      <c r="AA284" s="187" t="s">
        <v>338</v>
      </c>
    </row>
    <row r="285" spans="2:27" ht="12" hidden="1" customHeight="1">
      <c r="B285" s="171" t="s">
        <v>933</v>
      </c>
      <c r="C285" s="171" t="s">
        <v>562</v>
      </c>
      <c r="D285" s="171" t="s">
        <v>872</v>
      </c>
      <c r="E285" s="171" t="s">
        <v>1301</v>
      </c>
      <c r="F285" s="187" t="s">
        <v>338</v>
      </c>
      <c r="G285" s="191">
        <v>44317</v>
      </c>
      <c r="H285" s="191">
        <v>45869</v>
      </c>
      <c r="I285" s="187">
        <v>950</v>
      </c>
      <c r="J285" s="187">
        <v>710</v>
      </c>
      <c r="K285" s="187">
        <v>710</v>
      </c>
      <c r="L285" s="187">
        <v>710</v>
      </c>
      <c r="M285" s="187">
        <v>710</v>
      </c>
      <c r="N285" s="187">
        <v>710</v>
      </c>
      <c r="O285" s="187">
        <v>710</v>
      </c>
      <c r="P285" s="187" t="s">
        <v>338</v>
      </c>
      <c r="Q285" s="187" t="s">
        <v>338</v>
      </c>
      <c r="R285" s="187" t="s">
        <v>338</v>
      </c>
      <c r="S285" s="187" t="s">
        <v>338</v>
      </c>
      <c r="T285" s="187" t="s">
        <v>338</v>
      </c>
      <c r="U285" s="187" t="s">
        <v>338</v>
      </c>
      <c r="V285" s="187" t="s">
        <v>338</v>
      </c>
      <c r="W285" s="187" t="s">
        <v>338</v>
      </c>
      <c r="X285" s="187" t="s">
        <v>338</v>
      </c>
      <c r="Y285" s="187" t="s">
        <v>338</v>
      </c>
      <c r="Z285" s="187" t="s">
        <v>338</v>
      </c>
      <c r="AA285" s="187" t="s">
        <v>338</v>
      </c>
    </row>
    <row r="286" spans="2:27" ht="12" hidden="1" customHeight="1">
      <c r="B286" s="171" t="s">
        <v>934</v>
      </c>
      <c r="C286" s="171" t="s">
        <v>562</v>
      </c>
      <c r="D286" s="171" t="s">
        <v>657</v>
      </c>
      <c r="E286" s="171" t="s">
        <v>1302</v>
      </c>
      <c r="F286" s="187" t="s">
        <v>338</v>
      </c>
      <c r="G286" s="191">
        <v>45536</v>
      </c>
      <c r="H286" s="191">
        <v>45838</v>
      </c>
      <c r="I286" s="187">
        <v>790</v>
      </c>
      <c r="J286" s="187">
        <v>816</v>
      </c>
      <c r="K286" s="187">
        <v>948</v>
      </c>
      <c r="L286" s="187">
        <v>790</v>
      </c>
      <c r="M286" s="187">
        <v>869</v>
      </c>
      <c r="N286" s="187">
        <v>869</v>
      </c>
      <c r="O286" s="187" t="s">
        <v>338</v>
      </c>
      <c r="P286" s="187" t="s">
        <v>338</v>
      </c>
      <c r="Q286" s="187" t="s">
        <v>338</v>
      </c>
      <c r="R286" s="187" t="s">
        <v>338</v>
      </c>
      <c r="S286" s="187" t="s">
        <v>338</v>
      </c>
      <c r="T286" s="187" t="s">
        <v>338</v>
      </c>
      <c r="U286" s="187" t="s">
        <v>338</v>
      </c>
      <c r="V286" s="187" t="s">
        <v>338</v>
      </c>
      <c r="W286" s="187" t="s">
        <v>338</v>
      </c>
      <c r="X286" s="187" t="s">
        <v>338</v>
      </c>
      <c r="Y286" s="187" t="s">
        <v>338</v>
      </c>
      <c r="Z286" s="187" t="s">
        <v>338</v>
      </c>
      <c r="AA286" s="187" t="s">
        <v>338</v>
      </c>
    </row>
    <row r="287" spans="2:27" ht="12" hidden="1" customHeight="1">
      <c r="B287" s="171" t="s">
        <v>935</v>
      </c>
      <c r="C287" s="171" t="s">
        <v>562</v>
      </c>
      <c r="D287" s="171" t="s">
        <v>657</v>
      </c>
      <c r="E287" s="171" t="s">
        <v>1302</v>
      </c>
      <c r="F287" s="187" t="s">
        <v>338</v>
      </c>
      <c r="G287" s="191">
        <v>45292</v>
      </c>
      <c r="H287" s="191">
        <v>45838</v>
      </c>
      <c r="I287" s="187">
        <v>520</v>
      </c>
      <c r="J287" s="187">
        <v>430</v>
      </c>
      <c r="K287" s="187">
        <v>430</v>
      </c>
      <c r="L287" s="187">
        <v>430</v>
      </c>
      <c r="M287" s="187">
        <v>430</v>
      </c>
      <c r="N287" s="187">
        <v>150</v>
      </c>
      <c r="O287" s="187" t="s">
        <v>338</v>
      </c>
      <c r="P287" s="187" t="s">
        <v>338</v>
      </c>
      <c r="Q287" s="187" t="s">
        <v>338</v>
      </c>
      <c r="R287" s="187" t="s">
        <v>338</v>
      </c>
      <c r="S287" s="187" t="s">
        <v>338</v>
      </c>
      <c r="T287" s="187" t="s">
        <v>338</v>
      </c>
      <c r="U287" s="187" t="s">
        <v>338</v>
      </c>
      <c r="V287" s="187" t="s">
        <v>338</v>
      </c>
      <c r="W287" s="187" t="s">
        <v>338</v>
      </c>
      <c r="X287" s="187" t="s">
        <v>338</v>
      </c>
      <c r="Y287" s="187" t="s">
        <v>338</v>
      </c>
      <c r="Z287" s="187" t="s">
        <v>338</v>
      </c>
      <c r="AA287" s="187" t="s">
        <v>338</v>
      </c>
    </row>
    <row r="288" spans="2:27" ht="12" hidden="1" customHeight="1">
      <c r="B288" s="171" t="s">
        <v>936</v>
      </c>
      <c r="C288" s="171" t="s">
        <v>562</v>
      </c>
      <c r="D288" s="171" t="s">
        <v>657</v>
      </c>
      <c r="E288" s="171" t="s">
        <v>1302</v>
      </c>
      <c r="F288" s="187" t="s">
        <v>338</v>
      </c>
      <c r="G288" s="191">
        <v>45627</v>
      </c>
      <c r="H288" s="191">
        <v>45838</v>
      </c>
      <c r="I288" s="187">
        <v>360</v>
      </c>
      <c r="J288" s="187">
        <v>360</v>
      </c>
      <c r="K288" s="187">
        <v>360</v>
      </c>
      <c r="L288" s="187">
        <v>360</v>
      </c>
      <c r="M288" s="187">
        <v>360</v>
      </c>
      <c r="N288" s="187">
        <v>360</v>
      </c>
      <c r="O288" s="187" t="s">
        <v>338</v>
      </c>
      <c r="P288" s="187" t="s">
        <v>338</v>
      </c>
      <c r="Q288" s="187" t="s">
        <v>338</v>
      </c>
      <c r="R288" s="187" t="s">
        <v>338</v>
      </c>
      <c r="S288" s="187" t="s">
        <v>338</v>
      </c>
      <c r="T288" s="187" t="s">
        <v>338</v>
      </c>
      <c r="U288" s="187" t="s">
        <v>338</v>
      </c>
      <c r="V288" s="187" t="s">
        <v>338</v>
      </c>
      <c r="W288" s="187" t="s">
        <v>338</v>
      </c>
      <c r="X288" s="187" t="s">
        <v>338</v>
      </c>
      <c r="Y288" s="187" t="s">
        <v>338</v>
      </c>
      <c r="Z288" s="187" t="s">
        <v>338</v>
      </c>
      <c r="AA288" s="187" t="s">
        <v>338</v>
      </c>
    </row>
    <row r="289" spans="2:27" ht="12" hidden="1" customHeight="1">
      <c r="B289" s="171" t="s">
        <v>937</v>
      </c>
      <c r="C289" s="171" t="s">
        <v>562</v>
      </c>
      <c r="D289" s="171" t="s">
        <v>657</v>
      </c>
      <c r="E289" s="171" t="s">
        <v>1302</v>
      </c>
      <c r="F289" s="187" t="s">
        <v>338</v>
      </c>
      <c r="G289" s="191">
        <v>45748</v>
      </c>
      <c r="H289" s="191">
        <v>45838</v>
      </c>
      <c r="I289" s="187" t="s">
        <v>338</v>
      </c>
      <c r="J289" s="187" t="s">
        <v>338</v>
      </c>
      <c r="K289" s="187" t="s">
        <v>338</v>
      </c>
      <c r="L289" s="187">
        <v>778.75</v>
      </c>
      <c r="M289" s="187">
        <v>403.75</v>
      </c>
      <c r="N289" s="187">
        <v>403.75</v>
      </c>
      <c r="O289" s="187">
        <v>475</v>
      </c>
      <c r="P289" s="187" t="s">
        <v>338</v>
      </c>
      <c r="Q289" s="187" t="s">
        <v>338</v>
      </c>
      <c r="R289" s="187" t="s">
        <v>338</v>
      </c>
      <c r="S289" s="187" t="s">
        <v>338</v>
      </c>
      <c r="T289" s="187" t="s">
        <v>338</v>
      </c>
      <c r="U289" s="187" t="s">
        <v>338</v>
      </c>
      <c r="V289" s="187" t="s">
        <v>338</v>
      </c>
      <c r="W289" s="187" t="s">
        <v>338</v>
      </c>
      <c r="X289" s="187" t="s">
        <v>338</v>
      </c>
      <c r="Y289" s="187" t="s">
        <v>338</v>
      </c>
      <c r="Z289" s="187" t="s">
        <v>338</v>
      </c>
      <c r="AA289" s="187" t="s">
        <v>338</v>
      </c>
    </row>
    <row r="290" spans="2:27" ht="12" hidden="1" customHeight="1">
      <c r="B290" s="171" t="s">
        <v>938</v>
      </c>
      <c r="C290" s="171" t="s">
        <v>562</v>
      </c>
      <c r="D290" s="171" t="s">
        <v>872</v>
      </c>
      <c r="E290" s="171" t="s">
        <v>1301</v>
      </c>
      <c r="F290" s="187" t="s">
        <v>338</v>
      </c>
      <c r="G290" s="191">
        <v>44287</v>
      </c>
      <c r="H290" s="191">
        <v>45838</v>
      </c>
      <c r="I290" s="187">
        <v>405</v>
      </c>
      <c r="J290" s="187">
        <v>360</v>
      </c>
      <c r="K290" s="187">
        <v>360</v>
      </c>
      <c r="L290" s="187">
        <v>360</v>
      </c>
      <c r="M290" s="187">
        <v>275</v>
      </c>
      <c r="N290" s="187">
        <v>275</v>
      </c>
      <c r="O290" s="187" t="s">
        <v>338</v>
      </c>
      <c r="P290" s="187" t="s">
        <v>338</v>
      </c>
      <c r="Q290" s="187" t="s">
        <v>338</v>
      </c>
      <c r="R290" s="187" t="s">
        <v>338</v>
      </c>
      <c r="S290" s="187" t="s">
        <v>338</v>
      </c>
      <c r="T290" s="187" t="s">
        <v>338</v>
      </c>
      <c r="U290" s="187" t="s">
        <v>338</v>
      </c>
      <c r="V290" s="187" t="s">
        <v>338</v>
      </c>
      <c r="W290" s="187" t="s">
        <v>338</v>
      </c>
      <c r="X290" s="187" t="s">
        <v>338</v>
      </c>
      <c r="Y290" s="187" t="s">
        <v>338</v>
      </c>
      <c r="Z290" s="187" t="s">
        <v>338</v>
      </c>
      <c r="AA290" s="187" t="s">
        <v>338</v>
      </c>
    </row>
    <row r="291" spans="2:27" ht="12" hidden="1" customHeight="1">
      <c r="B291" s="171" t="s">
        <v>940</v>
      </c>
      <c r="C291" s="171" t="s">
        <v>562</v>
      </c>
      <c r="D291" s="171" t="s">
        <v>657</v>
      </c>
      <c r="E291" s="171" t="s">
        <v>1302</v>
      </c>
      <c r="F291" s="187" t="s">
        <v>338</v>
      </c>
      <c r="G291" s="191">
        <v>45689</v>
      </c>
      <c r="H291" s="191">
        <v>45838</v>
      </c>
      <c r="I291" s="187" t="s">
        <v>338</v>
      </c>
      <c r="J291" s="187">
        <v>350</v>
      </c>
      <c r="K291" s="187">
        <v>420</v>
      </c>
      <c r="L291" s="187">
        <v>340</v>
      </c>
      <c r="M291" s="187">
        <v>380</v>
      </c>
      <c r="N291" s="187">
        <v>380</v>
      </c>
      <c r="O291" s="187" t="s">
        <v>338</v>
      </c>
      <c r="P291" s="187" t="s">
        <v>338</v>
      </c>
      <c r="Q291" s="187" t="s">
        <v>338</v>
      </c>
      <c r="R291" s="187" t="s">
        <v>338</v>
      </c>
      <c r="S291" s="187" t="s">
        <v>338</v>
      </c>
      <c r="T291" s="187" t="s">
        <v>338</v>
      </c>
      <c r="U291" s="187" t="s">
        <v>338</v>
      </c>
      <c r="V291" s="187" t="s">
        <v>338</v>
      </c>
      <c r="W291" s="187" t="s">
        <v>338</v>
      </c>
      <c r="X291" s="187" t="s">
        <v>338</v>
      </c>
      <c r="Y291" s="187" t="s">
        <v>338</v>
      </c>
      <c r="Z291" s="187" t="s">
        <v>338</v>
      </c>
      <c r="AA291" s="187" t="s">
        <v>338</v>
      </c>
    </row>
    <row r="292" spans="2:27" ht="12" hidden="1" customHeight="1">
      <c r="B292" s="171" t="s">
        <v>941</v>
      </c>
      <c r="C292" s="171" t="s">
        <v>562</v>
      </c>
      <c r="D292" s="171" t="s">
        <v>657</v>
      </c>
      <c r="E292" s="171" t="s">
        <v>1302</v>
      </c>
      <c r="F292" s="187" t="s">
        <v>338</v>
      </c>
      <c r="G292" s="191">
        <v>45323</v>
      </c>
      <c r="H292" s="191">
        <v>45777</v>
      </c>
      <c r="I292" s="187">
        <v>375</v>
      </c>
      <c r="J292" s="187">
        <v>480</v>
      </c>
      <c r="K292" s="187">
        <v>480</v>
      </c>
      <c r="L292" s="187">
        <v>400</v>
      </c>
      <c r="M292" s="187" t="s">
        <v>338</v>
      </c>
      <c r="N292" s="187" t="s">
        <v>338</v>
      </c>
      <c r="O292" s="187" t="s">
        <v>338</v>
      </c>
      <c r="P292" s="187" t="s">
        <v>338</v>
      </c>
      <c r="Q292" s="187" t="s">
        <v>338</v>
      </c>
      <c r="R292" s="187" t="s">
        <v>338</v>
      </c>
      <c r="S292" s="187" t="s">
        <v>338</v>
      </c>
      <c r="T292" s="187" t="s">
        <v>338</v>
      </c>
      <c r="U292" s="187" t="s">
        <v>338</v>
      </c>
      <c r="V292" s="187" t="s">
        <v>338</v>
      </c>
      <c r="W292" s="187" t="s">
        <v>338</v>
      </c>
      <c r="X292" s="187" t="s">
        <v>338</v>
      </c>
      <c r="Y292" s="187" t="s">
        <v>338</v>
      </c>
      <c r="Z292" s="187" t="s">
        <v>338</v>
      </c>
      <c r="AA292" s="187" t="s">
        <v>338</v>
      </c>
    </row>
    <row r="293" spans="2:27" ht="12" hidden="1" customHeight="1">
      <c r="B293" s="171" t="s">
        <v>942</v>
      </c>
      <c r="C293" s="171" t="s">
        <v>562</v>
      </c>
      <c r="D293" s="171" t="s">
        <v>657</v>
      </c>
      <c r="E293" s="171" t="s">
        <v>1302</v>
      </c>
      <c r="F293" s="187" t="s">
        <v>338</v>
      </c>
      <c r="G293" s="191">
        <v>44743</v>
      </c>
      <c r="H293" s="191">
        <v>45808</v>
      </c>
      <c r="I293" s="187">
        <v>330</v>
      </c>
      <c r="J293" s="187">
        <v>330</v>
      </c>
      <c r="K293" s="187">
        <v>330</v>
      </c>
      <c r="L293" s="187">
        <v>330</v>
      </c>
      <c r="M293" s="187">
        <v>345</v>
      </c>
      <c r="N293" s="187" t="s">
        <v>338</v>
      </c>
      <c r="O293" s="187" t="s">
        <v>338</v>
      </c>
      <c r="P293" s="187" t="s">
        <v>338</v>
      </c>
      <c r="Q293" s="187" t="s">
        <v>338</v>
      </c>
      <c r="R293" s="187" t="s">
        <v>338</v>
      </c>
      <c r="S293" s="187" t="s">
        <v>338</v>
      </c>
      <c r="T293" s="187" t="s">
        <v>338</v>
      </c>
      <c r="U293" s="187" t="s">
        <v>338</v>
      </c>
      <c r="V293" s="187" t="s">
        <v>338</v>
      </c>
      <c r="W293" s="187" t="s">
        <v>338</v>
      </c>
      <c r="X293" s="187" t="s">
        <v>338</v>
      </c>
      <c r="Y293" s="187" t="s">
        <v>338</v>
      </c>
      <c r="Z293" s="187" t="s">
        <v>338</v>
      </c>
      <c r="AA293" s="187" t="s">
        <v>338</v>
      </c>
    </row>
    <row r="294" spans="2:27" ht="12" hidden="1" customHeight="1">
      <c r="B294" s="171" t="s">
        <v>943</v>
      </c>
      <c r="C294" s="171" t="s">
        <v>562</v>
      </c>
      <c r="D294" s="171" t="s">
        <v>657</v>
      </c>
      <c r="E294" s="171" t="s">
        <v>1302</v>
      </c>
      <c r="F294" s="187" t="s">
        <v>338</v>
      </c>
      <c r="G294" s="191">
        <v>45383</v>
      </c>
      <c r="H294" s="191">
        <v>45777</v>
      </c>
      <c r="I294" s="187">
        <v>430</v>
      </c>
      <c r="J294" s="187">
        <v>325</v>
      </c>
      <c r="K294" s="187">
        <v>575</v>
      </c>
      <c r="L294" s="187">
        <v>325</v>
      </c>
      <c r="M294" s="187" t="s">
        <v>338</v>
      </c>
      <c r="N294" s="187" t="s">
        <v>338</v>
      </c>
      <c r="O294" s="187" t="s">
        <v>338</v>
      </c>
      <c r="P294" s="187" t="s">
        <v>338</v>
      </c>
      <c r="Q294" s="187" t="s">
        <v>338</v>
      </c>
      <c r="R294" s="187" t="s">
        <v>338</v>
      </c>
      <c r="S294" s="187" t="s">
        <v>338</v>
      </c>
      <c r="T294" s="187" t="s">
        <v>338</v>
      </c>
      <c r="U294" s="187" t="s">
        <v>338</v>
      </c>
      <c r="V294" s="187" t="s">
        <v>338</v>
      </c>
      <c r="W294" s="187" t="s">
        <v>338</v>
      </c>
      <c r="X294" s="187" t="s">
        <v>338</v>
      </c>
      <c r="Y294" s="187" t="s">
        <v>338</v>
      </c>
      <c r="Z294" s="187" t="s">
        <v>338</v>
      </c>
      <c r="AA294" s="187" t="s">
        <v>338</v>
      </c>
    </row>
    <row r="295" spans="2:27" ht="12" hidden="1" customHeight="1">
      <c r="B295" s="171" t="s">
        <v>944</v>
      </c>
      <c r="C295" s="171" t="s">
        <v>562</v>
      </c>
      <c r="D295" s="171" t="s">
        <v>657</v>
      </c>
      <c r="E295" s="171" t="s">
        <v>1302</v>
      </c>
      <c r="F295" s="187" t="s">
        <v>338</v>
      </c>
      <c r="G295" s="191">
        <v>45566</v>
      </c>
      <c r="H295" s="191">
        <v>45777</v>
      </c>
      <c r="I295" s="187">
        <v>395</v>
      </c>
      <c r="J295" s="187">
        <v>395</v>
      </c>
      <c r="K295" s="187">
        <v>395</v>
      </c>
      <c r="L295" s="187">
        <v>395</v>
      </c>
      <c r="M295" s="187" t="s">
        <v>338</v>
      </c>
      <c r="N295" s="187" t="s">
        <v>338</v>
      </c>
      <c r="O295" s="187" t="s">
        <v>338</v>
      </c>
      <c r="P295" s="187" t="s">
        <v>338</v>
      </c>
      <c r="Q295" s="187" t="s">
        <v>338</v>
      </c>
      <c r="R295" s="187" t="s">
        <v>338</v>
      </c>
      <c r="S295" s="187" t="s">
        <v>338</v>
      </c>
      <c r="T295" s="187" t="s">
        <v>338</v>
      </c>
      <c r="U295" s="187" t="s">
        <v>338</v>
      </c>
      <c r="V295" s="187" t="s">
        <v>338</v>
      </c>
      <c r="W295" s="187" t="s">
        <v>338</v>
      </c>
      <c r="X295" s="187" t="s">
        <v>338</v>
      </c>
      <c r="Y295" s="187" t="s">
        <v>338</v>
      </c>
      <c r="Z295" s="187" t="s">
        <v>338</v>
      </c>
      <c r="AA295" s="187" t="s">
        <v>338</v>
      </c>
    </row>
    <row r="296" spans="2:27" ht="12" hidden="1" customHeight="1">
      <c r="B296" s="171" t="s">
        <v>945</v>
      </c>
      <c r="C296" s="171" t="s">
        <v>562</v>
      </c>
      <c r="D296" s="171" t="s">
        <v>872</v>
      </c>
      <c r="E296" s="171" t="s">
        <v>1301</v>
      </c>
      <c r="F296" s="187" t="s">
        <v>338</v>
      </c>
      <c r="G296" s="191">
        <v>44317</v>
      </c>
      <c r="H296" s="191">
        <v>45808</v>
      </c>
      <c r="I296" s="187">
        <v>345</v>
      </c>
      <c r="J296" s="187">
        <v>300</v>
      </c>
      <c r="K296" s="187">
        <v>300</v>
      </c>
      <c r="L296" s="187">
        <v>300</v>
      </c>
      <c r="M296" s="187">
        <v>300</v>
      </c>
      <c r="N296" s="187" t="s">
        <v>338</v>
      </c>
      <c r="O296" s="187" t="s">
        <v>338</v>
      </c>
      <c r="P296" s="187" t="s">
        <v>338</v>
      </c>
      <c r="Q296" s="187" t="s">
        <v>338</v>
      </c>
      <c r="R296" s="187" t="s">
        <v>338</v>
      </c>
      <c r="S296" s="187" t="s">
        <v>338</v>
      </c>
      <c r="T296" s="187" t="s">
        <v>338</v>
      </c>
      <c r="U296" s="187" t="s">
        <v>338</v>
      </c>
      <c r="V296" s="187" t="s">
        <v>338</v>
      </c>
      <c r="W296" s="187" t="s">
        <v>338</v>
      </c>
      <c r="X296" s="187" t="s">
        <v>338</v>
      </c>
      <c r="Y296" s="187" t="s">
        <v>338</v>
      </c>
      <c r="Z296" s="187" t="s">
        <v>338</v>
      </c>
      <c r="AA296" s="187" t="s">
        <v>338</v>
      </c>
    </row>
    <row r="297" spans="2:27" ht="12" hidden="1" customHeight="1">
      <c r="B297" s="171" t="s">
        <v>946</v>
      </c>
      <c r="C297" s="171" t="s">
        <v>562</v>
      </c>
      <c r="D297" s="171" t="s">
        <v>657</v>
      </c>
      <c r="E297" s="171" t="s">
        <v>1302</v>
      </c>
      <c r="F297" s="187" t="s">
        <v>338</v>
      </c>
      <c r="G297" s="191">
        <v>45383</v>
      </c>
      <c r="H297" s="191">
        <v>45747</v>
      </c>
      <c r="I297" s="187">
        <v>395</v>
      </c>
      <c r="J297" s="187">
        <v>395</v>
      </c>
      <c r="K297" s="187">
        <v>395</v>
      </c>
      <c r="L297" s="187" t="s">
        <v>338</v>
      </c>
      <c r="M297" s="187" t="s">
        <v>338</v>
      </c>
      <c r="N297" s="187" t="s">
        <v>338</v>
      </c>
      <c r="O297" s="187" t="s">
        <v>338</v>
      </c>
      <c r="P297" s="187" t="s">
        <v>338</v>
      </c>
      <c r="Q297" s="187" t="s">
        <v>338</v>
      </c>
      <c r="R297" s="187" t="s">
        <v>338</v>
      </c>
      <c r="S297" s="187" t="s">
        <v>338</v>
      </c>
      <c r="T297" s="187" t="s">
        <v>338</v>
      </c>
      <c r="U297" s="187" t="s">
        <v>338</v>
      </c>
      <c r="V297" s="187" t="s">
        <v>338</v>
      </c>
      <c r="W297" s="187" t="s">
        <v>338</v>
      </c>
      <c r="X297" s="187" t="s">
        <v>338</v>
      </c>
      <c r="Y297" s="187" t="s">
        <v>338</v>
      </c>
      <c r="Z297" s="187" t="s">
        <v>338</v>
      </c>
      <c r="AA297" s="187" t="s">
        <v>338</v>
      </c>
    </row>
    <row r="298" spans="2:27" ht="12" hidden="1" customHeight="1">
      <c r="B298" s="171" t="s">
        <v>947</v>
      </c>
      <c r="C298" s="171" t="s">
        <v>562</v>
      </c>
      <c r="D298" s="171" t="s">
        <v>657</v>
      </c>
      <c r="E298" s="171" t="s">
        <v>1302</v>
      </c>
      <c r="F298" s="187" t="s">
        <v>338</v>
      </c>
      <c r="G298" s="191">
        <v>45627</v>
      </c>
      <c r="H298" s="191">
        <v>45747</v>
      </c>
      <c r="I298" s="187">
        <v>335.75</v>
      </c>
      <c r="J298" s="187">
        <v>395</v>
      </c>
      <c r="K298" s="187">
        <v>395</v>
      </c>
      <c r="L298" s="187" t="s">
        <v>338</v>
      </c>
      <c r="M298" s="187" t="s">
        <v>338</v>
      </c>
      <c r="N298" s="187" t="s">
        <v>338</v>
      </c>
      <c r="O298" s="187" t="s">
        <v>338</v>
      </c>
      <c r="P298" s="187" t="s">
        <v>338</v>
      </c>
      <c r="Q298" s="187" t="s">
        <v>338</v>
      </c>
      <c r="R298" s="187" t="s">
        <v>338</v>
      </c>
      <c r="S298" s="187" t="s">
        <v>338</v>
      </c>
      <c r="T298" s="187" t="s">
        <v>338</v>
      </c>
      <c r="U298" s="187" t="s">
        <v>338</v>
      </c>
      <c r="V298" s="187" t="s">
        <v>338</v>
      </c>
      <c r="W298" s="187" t="s">
        <v>338</v>
      </c>
      <c r="X298" s="187" t="s">
        <v>338</v>
      </c>
      <c r="Y298" s="187" t="s">
        <v>338</v>
      </c>
      <c r="Z298" s="187" t="s">
        <v>338</v>
      </c>
      <c r="AA298" s="187" t="s">
        <v>338</v>
      </c>
    </row>
    <row r="299" spans="2:27" ht="12" hidden="1" customHeight="1">
      <c r="B299" s="171" t="s">
        <v>948</v>
      </c>
      <c r="C299" s="171" t="s">
        <v>562</v>
      </c>
      <c r="D299" s="171" t="s">
        <v>872</v>
      </c>
      <c r="E299" s="171" t="s">
        <v>1301</v>
      </c>
      <c r="F299" s="187" t="s">
        <v>338</v>
      </c>
      <c r="G299" s="191">
        <v>44958</v>
      </c>
      <c r="H299" s="191">
        <v>45688</v>
      </c>
      <c r="I299" s="187">
        <v>875</v>
      </c>
      <c r="J299" s="187" t="s">
        <v>338</v>
      </c>
      <c r="K299" s="187" t="s">
        <v>338</v>
      </c>
      <c r="L299" s="187" t="s">
        <v>338</v>
      </c>
      <c r="M299" s="187" t="s">
        <v>338</v>
      </c>
      <c r="N299" s="187" t="s">
        <v>338</v>
      </c>
      <c r="O299" s="187" t="s">
        <v>338</v>
      </c>
      <c r="P299" s="187" t="s">
        <v>338</v>
      </c>
      <c r="Q299" s="187" t="s">
        <v>338</v>
      </c>
      <c r="R299" s="187" t="s">
        <v>338</v>
      </c>
      <c r="S299" s="187" t="s">
        <v>338</v>
      </c>
      <c r="T299" s="187" t="s">
        <v>338</v>
      </c>
      <c r="U299" s="187" t="s">
        <v>338</v>
      </c>
      <c r="V299" s="187" t="s">
        <v>338</v>
      </c>
      <c r="W299" s="187" t="s">
        <v>338</v>
      </c>
      <c r="X299" s="187" t="s">
        <v>338</v>
      </c>
      <c r="Y299" s="187" t="s">
        <v>338</v>
      </c>
      <c r="Z299" s="187" t="s">
        <v>338</v>
      </c>
      <c r="AA299" s="187" t="s">
        <v>338</v>
      </c>
    </row>
    <row r="300" spans="2:27" ht="12" hidden="1" customHeight="1">
      <c r="B300" s="171" t="s">
        <v>949</v>
      </c>
      <c r="C300" s="171" t="s">
        <v>562</v>
      </c>
      <c r="D300" s="171" t="s">
        <v>657</v>
      </c>
      <c r="E300" s="171" t="s">
        <v>1302</v>
      </c>
      <c r="F300" s="187" t="s">
        <v>338</v>
      </c>
      <c r="G300" s="191">
        <v>45383</v>
      </c>
      <c r="H300" s="191">
        <v>45716</v>
      </c>
      <c r="I300" s="187">
        <v>400</v>
      </c>
      <c r="J300" s="187">
        <v>460</v>
      </c>
      <c r="K300" s="187" t="s">
        <v>338</v>
      </c>
      <c r="L300" s="187" t="s">
        <v>338</v>
      </c>
      <c r="M300" s="187" t="s">
        <v>338</v>
      </c>
      <c r="N300" s="187" t="s">
        <v>338</v>
      </c>
      <c r="O300" s="187" t="s">
        <v>338</v>
      </c>
      <c r="P300" s="187" t="s">
        <v>338</v>
      </c>
      <c r="Q300" s="187" t="s">
        <v>338</v>
      </c>
      <c r="R300" s="187" t="s">
        <v>338</v>
      </c>
      <c r="S300" s="187" t="s">
        <v>338</v>
      </c>
      <c r="T300" s="187" t="s">
        <v>338</v>
      </c>
      <c r="U300" s="187" t="s">
        <v>338</v>
      </c>
      <c r="V300" s="187" t="s">
        <v>338</v>
      </c>
      <c r="W300" s="187" t="s">
        <v>338</v>
      </c>
      <c r="X300" s="187" t="s">
        <v>338</v>
      </c>
      <c r="Y300" s="187" t="s">
        <v>338</v>
      </c>
      <c r="Z300" s="187" t="s">
        <v>338</v>
      </c>
      <c r="AA300" s="187" t="s">
        <v>338</v>
      </c>
    </row>
    <row r="301" spans="2:27" ht="12" hidden="1" customHeight="1">
      <c r="B301" s="171" t="s">
        <v>950</v>
      </c>
      <c r="C301" s="171" t="s">
        <v>562</v>
      </c>
      <c r="D301" s="171" t="s">
        <v>872</v>
      </c>
      <c r="E301" s="171" t="s">
        <v>1301</v>
      </c>
      <c r="F301" s="187" t="s">
        <v>338</v>
      </c>
      <c r="G301" s="191">
        <v>45627</v>
      </c>
      <c r="H301" s="191">
        <v>45716</v>
      </c>
      <c r="I301" s="187">
        <v>400</v>
      </c>
      <c r="J301" s="187">
        <v>400</v>
      </c>
      <c r="K301" s="187" t="s">
        <v>338</v>
      </c>
      <c r="L301" s="187" t="s">
        <v>338</v>
      </c>
      <c r="M301" s="187" t="s">
        <v>338</v>
      </c>
      <c r="N301" s="187" t="s">
        <v>338</v>
      </c>
      <c r="O301" s="187" t="s">
        <v>338</v>
      </c>
      <c r="P301" s="187" t="s">
        <v>338</v>
      </c>
      <c r="Q301" s="187" t="s">
        <v>338</v>
      </c>
      <c r="R301" s="187" t="s">
        <v>338</v>
      </c>
      <c r="S301" s="187" t="s">
        <v>338</v>
      </c>
      <c r="T301" s="187" t="s">
        <v>338</v>
      </c>
      <c r="U301" s="187" t="s">
        <v>338</v>
      </c>
      <c r="V301" s="187" t="s">
        <v>338</v>
      </c>
      <c r="W301" s="187" t="s">
        <v>338</v>
      </c>
      <c r="X301" s="187" t="s">
        <v>338</v>
      </c>
      <c r="Y301" s="187" t="s">
        <v>338</v>
      </c>
      <c r="Z301" s="187" t="s">
        <v>338</v>
      </c>
      <c r="AA301" s="187" t="s">
        <v>338</v>
      </c>
    </row>
    <row r="302" spans="2:27" ht="12" hidden="1" customHeight="1">
      <c r="B302" s="171" t="s">
        <v>951</v>
      </c>
      <c r="C302" s="171" t="s">
        <v>562</v>
      </c>
      <c r="D302" s="171" t="s">
        <v>657</v>
      </c>
      <c r="E302" s="171" t="s">
        <v>1302</v>
      </c>
      <c r="F302" s="187" t="s">
        <v>338</v>
      </c>
      <c r="G302" s="191">
        <v>45566</v>
      </c>
      <c r="H302" s="191">
        <v>45716</v>
      </c>
      <c r="I302" s="187">
        <v>395</v>
      </c>
      <c r="J302" s="187">
        <v>395</v>
      </c>
      <c r="K302" s="187" t="s">
        <v>338</v>
      </c>
      <c r="L302" s="187" t="s">
        <v>338</v>
      </c>
      <c r="M302" s="187" t="s">
        <v>338</v>
      </c>
      <c r="N302" s="187" t="s">
        <v>338</v>
      </c>
      <c r="O302" s="187" t="s">
        <v>338</v>
      </c>
      <c r="P302" s="187" t="s">
        <v>338</v>
      </c>
      <c r="Q302" s="187" t="s">
        <v>338</v>
      </c>
      <c r="R302" s="187" t="s">
        <v>338</v>
      </c>
      <c r="S302" s="187" t="s">
        <v>338</v>
      </c>
      <c r="T302" s="187" t="s">
        <v>338</v>
      </c>
      <c r="U302" s="187" t="s">
        <v>338</v>
      </c>
      <c r="V302" s="187" t="s">
        <v>338</v>
      </c>
      <c r="W302" s="187" t="s">
        <v>338</v>
      </c>
      <c r="X302" s="187" t="s">
        <v>338</v>
      </c>
      <c r="Y302" s="187" t="s">
        <v>338</v>
      </c>
      <c r="Z302" s="187" t="s">
        <v>338</v>
      </c>
      <c r="AA302" s="187" t="s">
        <v>338</v>
      </c>
    </row>
    <row r="303" spans="2:27" ht="12" hidden="1" customHeight="1">
      <c r="B303" s="171" t="s">
        <v>952</v>
      </c>
      <c r="C303" s="171" t="s">
        <v>562</v>
      </c>
      <c r="D303" s="171" t="s">
        <v>872</v>
      </c>
      <c r="E303" s="171" t="s">
        <v>1301</v>
      </c>
      <c r="F303" s="187" t="s">
        <v>338</v>
      </c>
      <c r="G303" s="191">
        <v>45597</v>
      </c>
      <c r="H303" s="191">
        <v>45688</v>
      </c>
      <c r="I303" s="187">
        <v>625</v>
      </c>
      <c r="J303" s="187">
        <v>135</v>
      </c>
      <c r="K303" s="187" t="s">
        <v>338</v>
      </c>
      <c r="L303" s="187" t="s">
        <v>338</v>
      </c>
      <c r="M303" s="187" t="s">
        <v>338</v>
      </c>
      <c r="N303" s="187" t="s">
        <v>338</v>
      </c>
      <c r="O303" s="187" t="s">
        <v>338</v>
      </c>
      <c r="P303" s="187" t="s">
        <v>338</v>
      </c>
      <c r="Q303" s="187" t="s">
        <v>338</v>
      </c>
      <c r="R303" s="187" t="s">
        <v>338</v>
      </c>
      <c r="S303" s="187" t="s">
        <v>338</v>
      </c>
      <c r="T303" s="187" t="s">
        <v>338</v>
      </c>
      <c r="U303" s="187" t="s">
        <v>338</v>
      </c>
      <c r="V303" s="187" t="s">
        <v>338</v>
      </c>
      <c r="W303" s="187" t="s">
        <v>338</v>
      </c>
      <c r="X303" s="187" t="s">
        <v>338</v>
      </c>
      <c r="Y303" s="187" t="s">
        <v>338</v>
      </c>
      <c r="Z303" s="187" t="s">
        <v>338</v>
      </c>
      <c r="AA303" s="187" t="s">
        <v>338</v>
      </c>
    </row>
    <row r="304" spans="2:27" ht="12" hidden="1" customHeight="1">
      <c r="B304" s="171" t="s">
        <v>953</v>
      </c>
      <c r="C304" s="171" t="s">
        <v>562</v>
      </c>
      <c r="D304" s="171" t="s">
        <v>657</v>
      </c>
      <c r="E304" s="171" t="s">
        <v>1302</v>
      </c>
      <c r="F304" s="187" t="s">
        <v>338</v>
      </c>
      <c r="G304" s="191">
        <v>45292</v>
      </c>
      <c r="H304" s="191">
        <v>45808</v>
      </c>
      <c r="I304" s="187">
        <v>135</v>
      </c>
      <c r="J304" s="187">
        <v>120</v>
      </c>
      <c r="K304" s="187">
        <v>135</v>
      </c>
      <c r="L304" s="187">
        <v>135</v>
      </c>
      <c r="M304" s="187">
        <v>135</v>
      </c>
      <c r="N304" s="187" t="s">
        <v>338</v>
      </c>
      <c r="O304" s="187" t="s">
        <v>338</v>
      </c>
      <c r="P304" s="187" t="s">
        <v>338</v>
      </c>
      <c r="Q304" s="187" t="s">
        <v>338</v>
      </c>
      <c r="R304" s="187" t="s">
        <v>338</v>
      </c>
      <c r="S304" s="187" t="s">
        <v>338</v>
      </c>
      <c r="T304" s="187" t="s">
        <v>338</v>
      </c>
      <c r="U304" s="187" t="s">
        <v>338</v>
      </c>
      <c r="V304" s="187" t="s">
        <v>338</v>
      </c>
      <c r="W304" s="187" t="s">
        <v>338</v>
      </c>
      <c r="X304" s="187" t="s">
        <v>338</v>
      </c>
      <c r="Y304" s="187" t="s">
        <v>338</v>
      </c>
      <c r="Z304" s="187" t="s">
        <v>338</v>
      </c>
      <c r="AA304" s="187" t="s">
        <v>338</v>
      </c>
    </row>
    <row r="305" spans="2:27" ht="12" hidden="1" customHeight="1">
      <c r="B305" s="171" t="s">
        <v>954</v>
      </c>
      <c r="C305" s="171" t="s">
        <v>562</v>
      </c>
      <c r="D305" s="171" t="s">
        <v>657</v>
      </c>
      <c r="E305" s="171" t="s">
        <v>1302</v>
      </c>
      <c r="F305" s="187" t="s">
        <v>338</v>
      </c>
      <c r="G305" s="191">
        <v>45597</v>
      </c>
      <c r="H305" s="191">
        <v>45688</v>
      </c>
      <c r="I305" s="187">
        <v>531.25</v>
      </c>
      <c r="J305" s="187">
        <v>30</v>
      </c>
      <c r="K305" s="187" t="s">
        <v>338</v>
      </c>
      <c r="L305" s="187" t="s">
        <v>338</v>
      </c>
      <c r="M305" s="187" t="s">
        <v>338</v>
      </c>
      <c r="N305" s="187" t="s">
        <v>338</v>
      </c>
      <c r="O305" s="187" t="s">
        <v>338</v>
      </c>
      <c r="P305" s="187" t="s">
        <v>338</v>
      </c>
      <c r="Q305" s="187" t="s">
        <v>338</v>
      </c>
      <c r="R305" s="187" t="s">
        <v>338</v>
      </c>
      <c r="S305" s="187" t="s">
        <v>338</v>
      </c>
      <c r="T305" s="187" t="s">
        <v>338</v>
      </c>
      <c r="U305" s="187" t="s">
        <v>338</v>
      </c>
      <c r="V305" s="187" t="s">
        <v>338</v>
      </c>
      <c r="W305" s="187" t="s">
        <v>338</v>
      </c>
      <c r="X305" s="187" t="s">
        <v>338</v>
      </c>
      <c r="Y305" s="187" t="s">
        <v>338</v>
      </c>
      <c r="Z305" s="187" t="s">
        <v>338</v>
      </c>
      <c r="AA305" s="187" t="s">
        <v>338</v>
      </c>
    </row>
    <row r="306" spans="2:27" ht="12" hidden="1" customHeight="1">
      <c r="B306" s="171" t="s">
        <v>955</v>
      </c>
      <c r="C306" s="171" t="s">
        <v>562</v>
      </c>
      <c r="D306" s="171" t="s">
        <v>657</v>
      </c>
      <c r="E306" s="171" t="s">
        <v>1302</v>
      </c>
      <c r="F306" s="187" t="s">
        <v>338</v>
      </c>
      <c r="G306" s="191">
        <v>45323</v>
      </c>
      <c r="H306" s="191">
        <v>45688</v>
      </c>
      <c r="I306" s="187">
        <v>510</v>
      </c>
      <c r="J306" s="187" t="s">
        <v>338</v>
      </c>
      <c r="K306" s="187" t="s">
        <v>338</v>
      </c>
      <c r="L306" s="187" t="s">
        <v>338</v>
      </c>
      <c r="M306" s="187" t="s">
        <v>338</v>
      </c>
      <c r="N306" s="187" t="s">
        <v>338</v>
      </c>
      <c r="O306" s="187" t="s">
        <v>338</v>
      </c>
      <c r="P306" s="187" t="s">
        <v>338</v>
      </c>
      <c r="Q306" s="187" t="s">
        <v>338</v>
      </c>
      <c r="R306" s="187" t="s">
        <v>338</v>
      </c>
      <c r="S306" s="187" t="s">
        <v>338</v>
      </c>
      <c r="T306" s="187" t="s">
        <v>338</v>
      </c>
      <c r="U306" s="187" t="s">
        <v>338</v>
      </c>
      <c r="V306" s="187" t="s">
        <v>338</v>
      </c>
      <c r="W306" s="187" t="s">
        <v>338</v>
      </c>
      <c r="X306" s="187" t="s">
        <v>338</v>
      </c>
      <c r="Y306" s="187" t="s">
        <v>338</v>
      </c>
      <c r="Z306" s="187" t="s">
        <v>338</v>
      </c>
      <c r="AA306" s="187" t="s">
        <v>338</v>
      </c>
    </row>
    <row r="307" spans="2:27" ht="12" hidden="1" customHeight="1">
      <c r="B307" s="171" t="s">
        <v>956</v>
      </c>
      <c r="C307" s="171" t="s">
        <v>562</v>
      </c>
      <c r="D307" s="171" t="s">
        <v>657</v>
      </c>
      <c r="E307" s="171" t="s">
        <v>1302</v>
      </c>
      <c r="F307" s="187" t="s">
        <v>338</v>
      </c>
      <c r="G307" s="191">
        <v>45352</v>
      </c>
      <c r="H307" s="191">
        <v>45688</v>
      </c>
      <c r="I307" s="187">
        <v>375</v>
      </c>
      <c r="J307" s="187" t="s">
        <v>338</v>
      </c>
      <c r="K307" s="187" t="s">
        <v>338</v>
      </c>
      <c r="L307" s="187" t="s">
        <v>338</v>
      </c>
      <c r="M307" s="187" t="s">
        <v>338</v>
      </c>
      <c r="N307" s="187" t="s">
        <v>338</v>
      </c>
      <c r="O307" s="187" t="s">
        <v>338</v>
      </c>
      <c r="P307" s="187" t="s">
        <v>338</v>
      </c>
      <c r="Q307" s="187" t="s">
        <v>338</v>
      </c>
      <c r="R307" s="187" t="s">
        <v>338</v>
      </c>
      <c r="S307" s="187" t="s">
        <v>338</v>
      </c>
      <c r="T307" s="187" t="s">
        <v>338</v>
      </c>
      <c r="U307" s="187" t="s">
        <v>338</v>
      </c>
      <c r="V307" s="187" t="s">
        <v>338</v>
      </c>
      <c r="W307" s="187" t="s">
        <v>338</v>
      </c>
      <c r="X307" s="187" t="s">
        <v>338</v>
      </c>
      <c r="Y307" s="187" t="s">
        <v>338</v>
      </c>
      <c r="Z307" s="187" t="s">
        <v>338</v>
      </c>
      <c r="AA307" s="187" t="s">
        <v>338</v>
      </c>
    </row>
    <row r="308" spans="2:27" ht="12" hidden="1" customHeight="1">
      <c r="B308" s="171" t="s">
        <v>957</v>
      </c>
      <c r="C308" s="171" t="s">
        <v>562</v>
      </c>
      <c r="D308" s="171" t="s">
        <v>657</v>
      </c>
      <c r="E308" s="171" t="s">
        <v>1302</v>
      </c>
      <c r="F308" s="187" t="s">
        <v>338</v>
      </c>
      <c r="G308" s="191">
        <v>45627</v>
      </c>
      <c r="H308" s="191">
        <v>45688</v>
      </c>
      <c r="I308" s="187">
        <v>360</v>
      </c>
      <c r="J308" s="187" t="s">
        <v>338</v>
      </c>
      <c r="K308" s="187" t="s">
        <v>338</v>
      </c>
      <c r="L308" s="187" t="s">
        <v>338</v>
      </c>
      <c r="M308" s="187" t="s">
        <v>338</v>
      </c>
      <c r="N308" s="187" t="s">
        <v>338</v>
      </c>
      <c r="O308" s="187" t="s">
        <v>338</v>
      </c>
      <c r="P308" s="187" t="s">
        <v>338</v>
      </c>
      <c r="Q308" s="187" t="s">
        <v>338</v>
      </c>
      <c r="R308" s="187" t="s">
        <v>338</v>
      </c>
      <c r="S308" s="187" t="s">
        <v>338</v>
      </c>
      <c r="T308" s="187" t="s">
        <v>338</v>
      </c>
      <c r="U308" s="187" t="s">
        <v>338</v>
      </c>
      <c r="V308" s="187" t="s">
        <v>338</v>
      </c>
      <c r="W308" s="187" t="s">
        <v>338</v>
      </c>
      <c r="X308" s="187" t="s">
        <v>338</v>
      </c>
      <c r="Y308" s="187" t="s">
        <v>338</v>
      </c>
      <c r="Z308" s="187" t="s">
        <v>338</v>
      </c>
      <c r="AA308" s="187" t="s">
        <v>338</v>
      </c>
    </row>
    <row r="309" spans="2:27" ht="12" hidden="1" customHeight="1">
      <c r="B309" s="171" t="s">
        <v>958</v>
      </c>
      <c r="C309" s="171" t="s">
        <v>562</v>
      </c>
      <c r="D309" s="171" t="s">
        <v>872</v>
      </c>
      <c r="E309" s="171" t="s">
        <v>1301</v>
      </c>
      <c r="F309" s="187" t="s">
        <v>338</v>
      </c>
      <c r="G309" s="191">
        <v>45597</v>
      </c>
      <c r="H309" s="191">
        <v>45688</v>
      </c>
      <c r="I309" s="187">
        <v>350</v>
      </c>
      <c r="J309" s="187" t="s">
        <v>338</v>
      </c>
      <c r="K309" s="187" t="s">
        <v>338</v>
      </c>
      <c r="L309" s="187" t="s">
        <v>338</v>
      </c>
      <c r="M309" s="187" t="s">
        <v>338</v>
      </c>
      <c r="N309" s="187" t="s">
        <v>338</v>
      </c>
      <c r="O309" s="187" t="s">
        <v>338</v>
      </c>
      <c r="P309" s="187" t="s">
        <v>338</v>
      </c>
      <c r="Q309" s="187" t="s">
        <v>338</v>
      </c>
      <c r="R309" s="187" t="s">
        <v>338</v>
      </c>
      <c r="S309" s="187" t="s">
        <v>338</v>
      </c>
      <c r="T309" s="187" t="s">
        <v>338</v>
      </c>
      <c r="U309" s="187" t="s">
        <v>338</v>
      </c>
      <c r="V309" s="187" t="s">
        <v>338</v>
      </c>
      <c r="W309" s="187" t="s">
        <v>338</v>
      </c>
      <c r="X309" s="187" t="s">
        <v>338</v>
      </c>
      <c r="Y309" s="187" t="s">
        <v>338</v>
      </c>
      <c r="Z309" s="187" t="s">
        <v>338</v>
      </c>
      <c r="AA309" s="187" t="s">
        <v>338</v>
      </c>
    </row>
    <row r="310" spans="2:27" ht="12" hidden="1" customHeight="1">
      <c r="B310" s="171" t="s">
        <v>959</v>
      </c>
      <c r="C310" s="171" t="s">
        <v>562</v>
      </c>
      <c r="D310" s="171" t="s">
        <v>657</v>
      </c>
      <c r="E310" s="171" t="s">
        <v>1302</v>
      </c>
      <c r="F310" s="187" t="s">
        <v>338</v>
      </c>
      <c r="G310" s="191">
        <v>45383</v>
      </c>
      <c r="H310" s="191">
        <v>45626</v>
      </c>
      <c r="I310" s="187">
        <v>59.5</v>
      </c>
      <c r="J310" s="187">
        <v>85</v>
      </c>
      <c r="K310" s="187">
        <v>85</v>
      </c>
      <c r="L310" s="187" t="s">
        <v>338</v>
      </c>
      <c r="M310" s="187" t="s">
        <v>338</v>
      </c>
      <c r="N310" s="187" t="s">
        <v>338</v>
      </c>
      <c r="O310" s="187" t="s">
        <v>338</v>
      </c>
      <c r="P310" s="187" t="s">
        <v>338</v>
      </c>
      <c r="Q310" s="187" t="s">
        <v>338</v>
      </c>
      <c r="R310" s="187" t="s">
        <v>338</v>
      </c>
      <c r="S310" s="187" t="s">
        <v>338</v>
      </c>
      <c r="T310" s="187" t="s">
        <v>338</v>
      </c>
      <c r="U310" s="187" t="s">
        <v>338</v>
      </c>
      <c r="V310" s="187" t="s">
        <v>338</v>
      </c>
      <c r="W310" s="187" t="s">
        <v>338</v>
      </c>
      <c r="X310" s="187" t="s">
        <v>338</v>
      </c>
      <c r="Y310" s="187" t="s">
        <v>338</v>
      </c>
      <c r="Z310" s="187" t="s">
        <v>338</v>
      </c>
      <c r="AA310" s="187" t="s">
        <v>338</v>
      </c>
    </row>
    <row r="311" spans="2:27" ht="12" hidden="1" customHeight="1">
      <c r="B311" s="171" t="s">
        <v>960</v>
      </c>
      <c r="C311" s="171" t="s">
        <v>562</v>
      </c>
      <c r="D311" s="171" t="s">
        <v>657</v>
      </c>
      <c r="E311" s="171" t="s">
        <v>1302</v>
      </c>
      <c r="F311" s="187" t="s">
        <v>338</v>
      </c>
      <c r="G311" s="191">
        <v>45261</v>
      </c>
      <c r="H311" s="191">
        <v>45657</v>
      </c>
      <c r="I311" s="187">
        <v>210</v>
      </c>
      <c r="J311" s="187" t="s">
        <v>338</v>
      </c>
      <c r="K311" s="187" t="s">
        <v>338</v>
      </c>
      <c r="L311" s="187" t="s">
        <v>338</v>
      </c>
      <c r="M311" s="187" t="s">
        <v>338</v>
      </c>
      <c r="N311" s="187" t="s">
        <v>338</v>
      </c>
      <c r="O311" s="187" t="s">
        <v>338</v>
      </c>
      <c r="P311" s="187" t="s">
        <v>338</v>
      </c>
      <c r="Q311" s="187" t="s">
        <v>338</v>
      </c>
      <c r="R311" s="187" t="s">
        <v>338</v>
      </c>
      <c r="S311" s="187" t="s">
        <v>338</v>
      </c>
      <c r="T311" s="187" t="s">
        <v>338</v>
      </c>
      <c r="U311" s="187" t="s">
        <v>338</v>
      </c>
      <c r="V311" s="187" t="s">
        <v>338</v>
      </c>
      <c r="W311" s="187" t="s">
        <v>338</v>
      </c>
      <c r="X311" s="187" t="s">
        <v>338</v>
      </c>
      <c r="Y311" s="187" t="s">
        <v>338</v>
      </c>
      <c r="Z311" s="187" t="s">
        <v>338</v>
      </c>
      <c r="AA311" s="187" t="s">
        <v>338</v>
      </c>
    </row>
    <row r="312" spans="2:27" ht="12" hidden="1" customHeight="1">
      <c r="B312" s="171" t="s">
        <v>961</v>
      </c>
      <c r="C312" s="171" t="s">
        <v>562</v>
      </c>
      <c r="D312" s="171" t="s">
        <v>657</v>
      </c>
      <c r="E312" s="171" t="s">
        <v>1302</v>
      </c>
      <c r="F312" s="187" t="s">
        <v>338</v>
      </c>
      <c r="G312" s="191">
        <v>45689</v>
      </c>
      <c r="H312" s="191">
        <v>45716</v>
      </c>
      <c r="I312" s="187" t="s">
        <v>338</v>
      </c>
      <c r="J312" s="187">
        <v>85</v>
      </c>
      <c r="K312" s="187" t="s">
        <v>338</v>
      </c>
      <c r="L312" s="187" t="s">
        <v>338</v>
      </c>
      <c r="M312" s="187" t="s">
        <v>338</v>
      </c>
      <c r="N312" s="187" t="s">
        <v>338</v>
      </c>
      <c r="O312" s="187" t="s">
        <v>338</v>
      </c>
      <c r="P312" s="187" t="s">
        <v>338</v>
      </c>
      <c r="Q312" s="187" t="s">
        <v>338</v>
      </c>
      <c r="R312" s="187" t="s">
        <v>338</v>
      </c>
      <c r="S312" s="187" t="s">
        <v>338</v>
      </c>
      <c r="T312" s="187" t="s">
        <v>338</v>
      </c>
      <c r="U312" s="187" t="s">
        <v>338</v>
      </c>
      <c r="V312" s="187" t="s">
        <v>338</v>
      </c>
      <c r="W312" s="187" t="s">
        <v>338</v>
      </c>
      <c r="X312" s="187" t="s">
        <v>338</v>
      </c>
      <c r="Y312" s="187" t="s">
        <v>338</v>
      </c>
      <c r="Z312" s="187" t="s">
        <v>338</v>
      </c>
      <c r="AA312" s="187" t="s">
        <v>338</v>
      </c>
    </row>
    <row r="313" spans="2:27" ht="12" hidden="1" customHeight="1">
      <c r="B313" s="171" t="s">
        <v>962</v>
      </c>
      <c r="C313" s="171" t="s">
        <v>562</v>
      </c>
      <c r="D313" s="171" t="s">
        <v>872</v>
      </c>
      <c r="E313" s="171" t="s">
        <v>1301</v>
      </c>
      <c r="F313" s="187" t="s">
        <v>338</v>
      </c>
      <c r="G313" s="191">
        <v>44470</v>
      </c>
      <c r="H313" s="191">
        <v>45657</v>
      </c>
      <c r="I313" s="187">
        <v>15</v>
      </c>
      <c r="J313" s="187" t="s">
        <v>338</v>
      </c>
      <c r="K313" s="187" t="s">
        <v>338</v>
      </c>
      <c r="L313" s="187" t="s">
        <v>338</v>
      </c>
      <c r="M313" s="187" t="s">
        <v>338</v>
      </c>
      <c r="N313" s="187" t="s">
        <v>338</v>
      </c>
      <c r="O313" s="187" t="s">
        <v>338</v>
      </c>
      <c r="P313" s="187" t="s">
        <v>338</v>
      </c>
      <c r="Q313" s="187" t="s">
        <v>338</v>
      </c>
      <c r="R313" s="187" t="s">
        <v>338</v>
      </c>
      <c r="S313" s="187" t="s">
        <v>338</v>
      </c>
      <c r="T313" s="187" t="s">
        <v>338</v>
      </c>
      <c r="U313" s="187" t="s">
        <v>338</v>
      </c>
      <c r="V313" s="187" t="s">
        <v>338</v>
      </c>
      <c r="W313" s="187" t="s">
        <v>338</v>
      </c>
      <c r="X313" s="187" t="s">
        <v>338</v>
      </c>
      <c r="Y313" s="187" t="s">
        <v>338</v>
      </c>
      <c r="Z313" s="187" t="s">
        <v>338</v>
      </c>
      <c r="AA313" s="187" t="s">
        <v>338</v>
      </c>
    </row>
    <row r="314" spans="2:27" hidden="1">
      <c r="B314" s="217" t="s">
        <v>1520</v>
      </c>
      <c r="C314" s="217" t="s">
        <v>497</v>
      </c>
      <c r="D314" s="217" t="s">
        <v>498</v>
      </c>
      <c r="E314" s="217" t="s">
        <v>1300</v>
      </c>
      <c r="G314" s="242">
        <v>46235</v>
      </c>
    </row>
    <row r="315" spans="2:27" hidden="1">
      <c r="B315" s="217" t="s">
        <v>1521</v>
      </c>
      <c r="C315" s="217" t="s">
        <v>497</v>
      </c>
      <c r="D315" s="217" t="s">
        <v>498</v>
      </c>
      <c r="E315" s="217" t="s">
        <v>1300</v>
      </c>
      <c r="G315" s="242">
        <v>46235</v>
      </c>
    </row>
    <row r="316" spans="2:27" hidden="1">
      <c r="B316" s="217" t="s">
        <v>1522</v>
      </c>
      <c r="C316" s="217" t="s">
        <v>497</v>
      </c>
      <c r="D316" s="217" t="s">
        <v>498</v>
      </c>
      <c r="E316" s="217" t="s">
        <v>1300</v>
      </c>
      <c r="G316" s="242">
        <v>46235</v>
      </c>
    </row>
    <row r="317" spans="2:27" hidden="1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242">
        <v>46266</v>
      </c>
    </row>
    <row r="318" spans="2:27" hidden="1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242">
        <v>46266</v>
      </c>
    </row>
    <row r="319" spans="2:27" hidden="1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242">
        <v>46266</v>
      </c>
    </row>
    <row r="320" spans="2:27" hidden="1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242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1233</v>
      </c>
    </row>
    <row r="2" spans="1:8">
      <c r="A2" s="145" t="s">
        <v>1234</v>
      </c>
    </row>
    <row r="3" spans="1:8">
      <c r="A3" s="145" t="s">
        <v>1235</v>
      </c>
    </row>
    <row r="4" spans="1:8">
      <c r="A4" s="145" t="s">
        <v>1236</v>
      </c>
    </row>
    <row r="6" spans="1:8">
      <c r="A6" s="145" t="s">
        <v>1237</v>
      </c>
    </row>
    <row r="7" spans="1:8">
      <c r="A7" s="145" t="s">
        <v>1238</v>
      </c>
    </row>
    <row r="8" spans="1:8">
      <c r="A8" s="145" t="s">
        <v>1239</v>
      </c>
    </row>
    <row r="9" spans="1:8">
      <c r="A9" s="145" t="s">
        <v>1240</v>
      </c>
    </row>
    <row r="11" spans="1:8">
      <c r="A11" s="145" t="s">
        <v>1241</v>
      </c>
    </row>
    <row r="12" spans="1:8">
      <c r="A12" s="145" t="s">
        <v>1242</v>
      </c>
      <c r="B12" s="145" t="s">
        <v>1243</v>
      </c>
      <c r="C12" s="145" t="s">
        <v>1244</v>
      </c>
      <c r="D12" s="145" t="s">
        <v>1245</v>
      </c>
      <c r="E12" s="145" t="s">
        <v>1246</v>
      </c>
      <c r="F12" s="145" t="s">
        <v>1247</v>
      </c>
      <c r="G12" s="145" t="s">
        <v>1248</v>
      </c>
      <c r="H12" s="145" t="s">
        <v>1249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338</v>
      </c>
      <c r="G13" s="145" t="s">
        <v>338</v>
      </c>
      <c r="H13" s="145" t="s">
        <v>1250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338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338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1251</v>
      </c>
    </row>
    <row r="17" spans="1:8">
      <c r="A17" s="145" t="s">
        <v>449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338</v>
      </c>
      <c r="G17" s="145" t="s">
        <v>338</v>
      </c>
      <c r="H17" s="145" t="s">
        <v>338</v>
      </c>
    </row>
    <row r="19" spans="1:8">
      <c r="A19" s="145" t="s">
        <v>1252</v>
      </c>
      <c r="B19" s="146">
        <v>3</v>
      </c>
      <c r="C19" s="146">
        <v>4513</v>
      </c>
      <c r="D19" s="145" t="s">
        <v>338</v>
      </c>
      <c r="E19" s="145" t="s">
        <v>338</v>
      </c>
      <c r="F19" s="145" t="s">
        <v>338</v>
      </c>
      <c r="G19" s="145" t="s">
        <v>338</v>
      </c>
      <c r="H19" s="145" t="s">
        <v>1253</v>
      </c>
    </row>
    <row r="21" spans="1:8">
      <c r="A21" s="145" t="s">
        <v>1254</v>
      </c>
    </row>
    <row r="22" spans="1:8">
      <c r="A22" s="145" t="s">
        <v>1255</v>
      </c>
    </row>
    <row r="24" spans="1:8">
      <c r="A24" s="145" t="s">
        <v>1256</v>
      </c>
    </row>
    <row r="26" spans="1:8">
      <c r="A26" s="145" t="s">
        <v>1257</v>
      </c>
    </row>
    <row r="27" spans="1:8">
      <c r="A27" s="145" t="s">
        <v>1258</v>
      </c>
      <c r="B27" s="145" t="s">
        <v>1259</v>
      </c>
      <c r="C27" s="145" t="s">
        <v>1260</v>
      </c>
      <c r="D27" s="145" t="s">
        <v>1261</v>
      </c>
      <c r="E27" s="145" t="s">
        <v>1245</v>
      </c>
    </row>
    <row r="28" spans="1:8">
      <c r="A28" s="145" t="s">
        <v>1262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1263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1264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1265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1266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1267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1268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1269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1270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1271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1272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1273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449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1274</v>
      </c>
    </row>
    <row r="43" spans="1:5">
      <c r="A43" s="145" t="s">
        <v>1275</v>
      </c>
    </row>
    <row r="44" spans="1:5">
      <c r="A44" s="145" t="s">
        <v>1276</v>
      </c>
    </row>
    <row r="46" spans="1:5">
      <c r="A46" s="145" t="s">
        <v>1277</v>
      </c>
    </row>
    <row r="47" spans="1:5">
      <c r="A47" s="145" t="s">
        <v>1278</v>
      </c>
      <c r="B47" s="145" t="s">
        <v>1243</v>
      </c>
      <c r="C47" s="145" t="s">
        <v>1244</v>
      </c>
      <c r="D47" s="145" t="s">
        <v>1279</v>
      </c>
    </row>
    <row r="48" spans="1:5">
      <c r="A48" s="145" t="s">
        <v>1280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1281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1282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1283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1284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1285</v>
      </c>
    </row>
    <row r="55" spans="1:8">
      <c r="A55" s="145" t="s">
        <v>1286</v>
      </c>
      <c r="B55" s="145" t="s">
        <v>1287</v>
      </c>
      <c r="C55" s="145" t="s">
        <v>1288</v>
      </c>
      <c r="D55" s="145" t="s">
        <v>1259</v>
      </c>
    </row>
    <row r="56" spans="1:8">
      <c r="A56" s="145" t="s">
        <v>1289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1290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1291</v>
      </c>
    </row>
    <row r="60" spans="1:8">
      <c r="A60" s="145" t="s">
        <v>1292</v>
      </c>
    </row>
    <row r="61" spans="1:8">
      <c r="A61" s="145" t="s">
        <v>466</v>
      </c>
      <c r="B61" s="145" t="s">
        <v>1185</v>
      </c>
      <c r="C61" s="145" t="s">
        <v>471</v>
      </c>
      <c r="D61" s="145" t="s">
        <v>473</v>
      </c>
      <c r="E61" s="145" t="s">
        <v>472</v>
      </c>
      <c r="F61" s="145" t="s">
        <v>1278</v>
      </c>
      <c r="G61" s="145" t="s">
        <v>1293</v>
      </c>
      <c r="H61" s="145" t="s">
        <v>1258</v>
      </c>
    </row>
    <row r="62" spans="1:8">
      <c r="A62" s="145" t="s">
        <v>621</v>
      </c>
      <c r="B62" s="145" t="s">
        <v>499</v>
      </c>
      <c r="C62" s="145" t="s">
        <v>200</v>
      </c>
      <c r="D62" s="145" t="s">
        <v>622</v>
      </c>
      <c r="E62" s="170">
        <v>19</v>
      </c>
      <c r="F62" s="146">
        <v>2663</v>
      </c>
      <c r="G62" s="145" t="s">
        <v>504</v>
      </c>
      <c r="H62" s="145" t="s">
        <v>1273</v>
      </c>
    </row>
    <row r="63" spans="1:8">
      <c r="A63" s="145" t="s">
        <v>750</v>
      </c>
      <c r="B63" s="145" t="s">
        <v>499</v>
      </c>
      <c r="C63" s="145" t="s">
        <v>245</v>
      </c>
      <c r="D63" s="145" t="s">
        <v>622</v>
      </c>
      <c r="E63" s="170">
        <v>4</v>
      </c>
      <c r="F63" s="146">
        <v>1500</v>
      </c>
      <c r="G63" s="145" t="s">
        <v>505</v>
      </c>
      <c r="H63" s="145" t="s">
        <v>1272</v>
      </c>
    </row>
    <row r="64" spans="1:8">
      <c r="A64" s="145" t="s">
        <v>631</v>
      </c>
      <c r="B64" s="145" t="s">
        <v>1294</v>
      </c>
      <c r="C64" s="145" t="s">
        <v>634</v>
      </c>
      <c r="D64" s="145" t="s">
        <v>622</v>
      </c>
      <c r="E64" s="170">
        <v>63</v>
      </c>
      <c r="F64" s="146">
        <v>1330</v>
      </c>
      <c r="G64" s="145" t="s">
        <v>505</v>
      </c>
      <c r="H64" s="145" t="s">
        <v>1267</v>
      </c>
    </row>
    <row r="65" spans="1:8">
      <c r="A65" s="145" t="s">
        <v>688</v>
      </c>
      <c r="B65" s="145" t="s">
        <v>1294</v>
      </c>
      <c r="C65" s="145" t="s">
        <v>690</v>
      </c>
      <c r="D65" s="145" t="s">
        <v>622</v>
      </c>
      <c r="E65" s="170">
        <v>45</v>
      </c>
      <c r="F65" s="146">
        <v>850</v>
      </c>
      <c r="G65" s="145" t="s">
        <v>505</v>
      </c>
      <c r="H65" s="145" t="s">
        <v>1267</v>
      </c>
    </row>
    <row r="66" spans="1:8">
      <c r="A66" s="145" t="s">
        <v>699</v>
      </c>
      <c r="B66" s="145" t="s">
        <v>1294</v>
      </c>
      <c r="C66" s="145" t="s">
        <v>634</v>
      </c>
      <c r="D66" s="145" t="s">
        <v>622</v>
      </c>
      <c r="E66" s="170">
        <v>63</v>
      </c>
      <c r="F66" s="146">
        <v>750</v>
      </c>
      <c r="G66" s="145" t="s">
        <v>505</v>
      </c>
      <c r="H66" s="145" t="s">
        <v>1267</v>
      </c>
    </row>
    <row r="67" spans="1:8">
      <c r="A67" s="145" t="s">
        <v>730</v>
      </c>
      <c r="B67" s="145" t="s">
        <v>1294</v>
      </c>
      <c r="C67" s="145" t="s">
        <v>732</v>
      </c>
      <c r="D67" s="145" t="s">
        <v>622</v>
      </c>
      <c r="E67" s="170">
        <v>52</v>
      </c>
      <c r="F67" s="146">
        <v>600</v>
      </c>
      <c r="G67" s="145" t="s">
        <v>505</v>
      </c>
      <c r="H67" s="145" t="s">
        <v>1267</v>
      </c>
    </row>
    <row r="68" spans="1:8">
      <c r="A68" s="145" t="s">
        <v>740</v>
      </c>
      <c r="B68" s="145" t="s">
        <v>1294</v>
      </c>
      <c r="C68" s="145" t="s">
        <v>742</v>
      </c>
      <c r="D68" s="145" t="s">
        <v>622</v>
      </c>
      <c r="E68" s="170">
        <v>57</v>
      </c>
      <c r="F68" s="146">
        <v>535</v>
      </c>
      <c r="G68" s="145" t="s">
        <v>505</v>
      </c>
      <c r="H68" s="145" t="s">
        <v>1267</v>
      </c>
    </row>
    <row r="69" spans="1:8">
      <c r="A69" s="145" t="s">
        <v>758</v>
      </c>
      <c r="B69" s="145" t="s">
        <v>1294</v>
      </c>
      <c r="C69" s="145" t="s">
        <v>759</v>
      </c>
      <c r="D69" s="145" t="s">
        <v>622</v>
      </c>
      <c r="E69" s="170">
        <v>36</v>
      </c>
      <c r="F69" s="146">
        <v>485</v>
      </c>
      <c r="G69" s="145" t="s">
        <v>505</v>
      </c>
      <c r="H69" s="145" t="s">
        <v>1267</v>
      </c>
    </row>
    <row r="70" spans="1:8">
      <c r="A70" s="145" t="s">
        <v>762</v>
      </c>
      <c r="B70" s="145" t="s">
        <v>1294</v>
      </c>
      <c r="C70" s="145" t="s">
        <v>732</v>
      </c>
      <c r="D70" s="145" t="s">
        <v>622</v>
      </c>
      <c r="E70" s="170">
        <v>52</v>
      </c>
      <c r="F70" s="146">
        <v>460</v>
      </c>
      <c r="G70" s="145" t="s">
        <v>505</v>
      </c>
      <c r="H70" s="145" t="s">
        <v>1267</v>
      </c>
    </row>
    <row r="71" spans="1:8">
      <c r="A71" s="145" t="s">
        <v>775</v>
      </c>
      <c r="B71" s="145" t="s">
        <v>1294</v>
      </c>
      <c r="C71" s="145" t="s">
        <v>777</v>
      </c>
      <c r="D71" s="145" t="s">
        <v>622</v>
      </c>
      <c r="E71" s="170">
        <v>43</v>
      </c>
      <c r="F71" s="146">
        <v>455</v>
      </c>
      <c r="G71" s="145" t="s">
        <v>505</v>
      </c>
      <c r="H71" s="145" t="s">
        <v>1267</v>
      </c>
    </row>
    <row r="72" spans="1:8">
      <c r="A72" s="145" t="s">
        <v>790</v>
      </c>
      <c r="B72" s="145" t="s">
        <v>1294</v>
      </c>
      <c r="C72" s="145" t="s">
        <v>129</v>
      </c>
      <c r="D72" s="145" t="s">
        <v>622</v>
      </c>
      <c r="E72" s="170">
        <v>24</v>
      </c>
      <c r="F72" s="146">
        <v>410</v>
      </c>
      <c r="G72" s="145" t="s">
        <v>505</v>
      </c>
      <c r="H72" s="145" t="s">
        <v>1267</v>
      </c>
    </row>
    <row r="73" spans="1:8">
      <c r="A73" s="145" t="s">
        <v>796</v>
      </c>
      <c r="B73" s="145" t="s">
        <v>1294</v>
      </c>
      <c r="C73" s="145" t="s">
        <v>757</v>
      </c>
      <c r="D73" s="145" t="s">
        <v>622</v>
      </c>
      <c r="E73" s="170">
        <v>47</v>
      </c>
      <c r="F73" s="146">
        <v>405</v>
      </c>
      <c r="G73" s="145" t="s">
        <v>505</v>
      </c>
      <c r="H73" s="145" t="s">
        <v>1267</v>
      </c>
    </row>
    <row r="74" spans="1:8">
      <c r="A74" s="145" t="s">
        <v>801</v>
      </c>
      <c r="B74" s="145" t="s">
        <v>1294</v>
      </c>
      <c r="C74" s="145" t="s">
        <v>634</v>
      </c>
      <c r="D74" s="145" t="s">
        <v>622</v>
      </c>
      <c r="E74" s="170">
        <v>63</v>
      </c>
      <c r="F74" s="146">
        <v>400</v>
      </c>
      <c r="G74" s="145" t="s">
        <v>505</v>
      </c>
      <c r="H74" s="145" t="s">
        <v>1267</v>
      </c>
    </row>
    <row r="75" spans="1:8">
      <c r="A75" s="145" t="s">
        <v>806</v>
      </c>
      <c r="B75" s="145" t="s">
        <v>1294</v>
      </c>
      <c r="C75" s="145" t="s">
        <v>808</v>
      </c>
      <c r="D75" s="145" t="s">
        <v>622</v>
      </c>
      <c r="E75" s="170">
        <v>58</v>
      </c>
      <c r="F75" s="146">
        <v>385</v>
      </c>
      <c r="G75" s="145" t="s">
        <v>505</v>
      </c>
      <c r="H75" s="145" t="s">
        <v>1267</v>
      </c>
    </row>
    <row r="76" spans="1:8">
      <c r="A76" s="145" t="s">
        <v>811</v>
      </c>
      <c r="B76" s="145" t="s">
        <v>1294</v>
      </c>
      <c r="C76" s="145" t="s">
        <v>597</v>
      </c>
      <c r="D76" s="145" t="s">
        <v>622</v>
      </c>
      <c r="E76" s="170">
        <v>35</v>
      </c>
      <c r="F76" s="146">
        <v>385</v>
      </c>
      <c r="G76" s="145" t="s">
        <v>505</v>
      </c>
      <c r="H76" s="145" t="s">
        <v>1267</v>
      </c>
    </row>
    <row r="77" spans="1:8">
      <c r="A77" s="145" t="s">
        <v>768</v>
      </c>
      <c r="B77" s="145" t="s">
        <v>499</v>
      </c>
      <c r="C77" s="145" t="s">
        <v>129</v>
      </c>
      <c r="D77" s="145" t="s">
        <v>622</v>
      </c>
      <c r="E77" s="170">
        <v>24</v>
      </c>
      <c r="F77" s="146">
        <v>350</v>
      </c>
      <c r="G77" s="145" t="s">
        <v>504</v>
      </c>
      <c r="H77" s="145" t="s">
        <v>1262</v>
      </c>
    </row>
    <row r="78" spans="1:8">
      <c r="A78" s="145" t="s">
        <v>839</v>
      </c>
      <c r="B78" s="145" t="s">
        <v>1294</v>
      </c>
      <c r="C78" s="145" t="s">
        <v>757</v>
      </c>
      <c r="D78" s="145" t="s">
        <v>622</v>
      </c>
      <c r="E78" s="170">
        <v>47</v>
      </c>
      <c r="F78" s="146">
        <v>285</v>
      </c>
      <c r="G78" s="145" t="s">
        <v>505</v>
      </c>
      <c r="H78" s="145" t="s">
        <v>1267</v>
      </c>
    </row>
    <row r="79" spans="1:8">
      <c r="A79" s="145" t="s">
        <v>844</v>
      </c>
      <c r="B79" s="145" t="s">
        <v>1294</v>
      </c>
      <c r="C79" s="145" t="s">
        <v>634</v>
      </c>
      <c r="D79" s="145" t="s">
        <v>622</v>
      </c>
      <c r="E79" s="170">
        <v>63</v>
      </c>
      <c r="F79" s="146">
        <v>285</v>
      </c>
      <c r="G79" s="145" t="s">
        <v>505</v>
      </c>
      <c r="H79" s="145" t="s">
        <v>1267</v>
      </c>
    </row>
    <row r="80" spans="1:8">
      <c r="A80" s="145" t="s">
        <v>832</v>
      </c>
      <c r="B80" s="145" t="s">
        <v>499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504</v>
      </c>
      <c r="H80" s="145" t="s">
        <v>1263</v>
      </c>
    </row>
    <row r="81" spans="1:8">
      <c r="A81" s="145" t="s">
        <v>817</v>
      </c>
      <c r="B81" s="145" t="s">
        <v>499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504</v>
      </c>
      <c r="H81" s="145" t="s">
        <v>1262</v>
      </c>
    </row>
    <row r="82" spans="1:8">
      <c r="A82" s="145" t="s">
        <v>818</v>
      </c>
      <c r="B82" s="145" t="s">
        <v>499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504</v>
      </c>
      <c r="H82" s="145" t="s">
        <v>1262</v>
      </c>
    </row>
    <row r="83" spans="1:8">
      <c r="A83" s="145" t="s">
        <v>810</v>
      </c>
      <c r="B83" s="145" t="s">
        <v>499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504</v>
      </c>
      <c r="H83" s="145" t="s">
        <v>1263</v>
      </c>
    </row>
    <row r="84" spans="1:8">
      <c r="A84" s="145" t="s">
        <v>723</v>
      </c>
      <c r="B84" s="145" t="s">
        <v>499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504</v>
      </c>
      <c r="H84" s="145" t="s">
        <v>1265</v>
      </c>
    </row>
    <row r="85" spans="1:8">
      <c r="A85" s="145" t="s">
        <v>883</v>
      </c>
      <c r="B85" s="145" t="s">
        <v>499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505</v>
      </c>
      <c r="H85" s="145" t="s">
        <v>1269</v>
      </c>
    </row>
    <row r="86" spans="1:8">
      <c r="A86" s="145" t="s">
        <v>863</v>
      </c>
      <c r="B86" s="145" t="s">
        <v>499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505</v>
      </c>
      <c r="H86" s="145" t="s">
        <v>1262</v>
      </c>
    </row>
    <row r="87" spans="1:8">
      <c r="A87" s="145" t="s">
        <v>849</v>
      </c>
      <c r="B87" s="145" t="s">
        <v>499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504</v>
      </c>
      <c r="H87" s="145" t="s">
        <v>1265</v>
      </c>
    </row>
    <row r="88" spans="1:8">
      <c r="A88" s="145" t="s">
        <v>840</v>
      </c>
      <c r="B88" s="145" t="s">
        <v>499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504</v>
      </c>
      <c r="H88" s="145" t="s">
        <v>1262</v>
      </c>
    </row>
    <row r="89" spans="1:8">
      <c r="A89" s="145" t="s">
        <v>770</v>
      </c>
      <c r="B89" s="145" t="s">
        <v>499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504</v>
      </c>
      <c r="H89" s="145" t="s">
        <v>1262</v>
      </c>
    </row>
    <row r="90" spans="1:8">
      <c r="A90" s="145" t="s">
        <v>854</v>
      </c>
      <c r="B90" s="145" t="s">
        <v>499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504</v>
      </c>
      <c r="H90" s="145" t="s">
        <v>1263</v>
      </c>
    </row>
    <row r="91" spans="1:8">
      <c r="A91" s="145" t="s">
        <v>763</v>
      </c>
      <c r="B91" s="145" t="s">
        <v>499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504</v>
      </c>
      <c r="H91" s="145" t="s">
        <v>1264</v>
      </c>
    </row>
    <row r="92" spans="1:8">
      <c r="A92" s="145" t="s">
        <v>816</v>
      </c>
      <c r="B92" s="145" t="s">
        <v>499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504</v>
      </c>
      <c r="H92" s="145" t="s">
        <v>1263</v>
      </c>
    </row>
    <row r="93" spans="1:8">
      <c r="A93" s="145" t="s">
        <v>819</v>
      </c>
      <c r="B93" s="145" t="s">
        <v>1294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504</v>
      </c>
      <c r="H93" s="145" t="s">
        <v>1263</v>
      </c>
    </row>
    <row r="94" spans="1:8">
      <c r="A94" s="145" t="s">
        <v>899</v>
      </c>
      <c r="B94" s="145" t="s">
        <v>499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504</v>
      </c>
      <c r="H94" s="145" t="s">
        <v>1268</v>
      </c>
    </row>
    <row r="95" spans="1:8">
      <c r="A95" s="145" t="s">
        <v>880</v>
      </c>
      <c r="B95" s="145" t="s">
        <v>499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504</v>
      </c>
      <c r="H95" s="145" t="s">
        <v>1264</v>
      </c>
    </row>
    <row r="96" spans="1:8">
      <c r="A96" s="145" t="s">
        <v>881</v>
      </c>
      <c r="B96" s="145" t="s">
        <v>499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504</v>
      </c>
      <c r="H96" s="145" t="s">
        <v>1264</v>
      </c>
    </row>
    <row r="97" spans="1:8">
      <c r="A97" s="145" t="s">
        <v>917</v>
      </c>
      <c r="B97" s="145" t="s">
        <v>499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504</v>
      </c>
      <c r="H97" s="145" t="s">
        <v>1263</v>
      </c>
    </row>
    <row r="98" spans="1:8">
      <c r="A98" s="145" t="s">
        <v>918</v>
      </c>
      <c r="B98" s="145" t="s">
        <v>499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504</v>
      </c>
      <c r="H98" s="145" t="s">
        <v>1263</v>
      </c>
    </row>
    <row r="99" spans="1:8">
      <c r="A99" s="145" t="s">
        <v>561</v>
      </c>
      <c r="B99" s="145" t="s">
        <v>499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504</v>
      </c>
      <c r="H99" s="145" t="s">
        <v>1263</v>
      </c>
    </row>
    <row r="100" spans="1:8">
      <c r="A100" s="145" t="s">
        <v>850</v>
      </c>
      <c r="B100" s="145" t="s">
        <v>499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504</v>
      </c>
      <c r="H100" s="145" t="s">
        <v>1263</v>
      </c>
    </row>
    <row r="101" spans="1:8">
      <c r="A101" s="145" t="s">
        <v>809</v>
      </c>
      <c r="B101" s="145" t="s">
        <v>499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505</v>
      </c>
      <c r="H101" s="145" t="s">
        <v>1266</v>
      </c>
    </row>
    <row r="102" spans="1:8">
      <c r="A102" s="145" t="s">
        <v>827</v>
      </c>
      <c r="B102" s="145" t="s">
        <v>499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504</v>
      </c>
      <c r="H102" s="145" t="s">
        <v>1263</v>
      </c>
    </row>
    <row r="103" spans="1:8">
      <c r="A103" s="145" t="s">
        <v>828</v>
      </c>
      <c r="B103" s="145" t="s">
        <v>499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504</v>
      </c>
      <c r="H103" s="145" t="s">
        <v>1264</v>
      </c>
    </row>
    <row r="104" spans="1:8">
      <c r="A104" s="145" t="s">
        <v>838</v>
      </c>
      <c r="B104" s="145" t="s">
        <v>499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504</v>
      </c>
      <c r="H104" s="145" t="s">
        <v>1264</v>
      </c>
    </row>
    <row r="105" spans="1:8">
      <c r="A105" s="145" t="s">
        <v>865</v>
      </c>
      <c r="B105" s="145" t="s">
        <v>1294</v>
      </c>
      <c r="C105" s="145" t="s">
        <v>634</v>
      </c>
      <c r="D105" s="145" t="s">
        <v>245</v>
      </c>
      <c r="E105" s="170">
        <v>59</v>
      </c>
      <c r="F105" s="146">
        <v>295</v>
      </c>
      <c r="G105" s="145" t="s">
        <v>504</v>
      </c>
      <c r="H105" s="145" t="s">
        <v>1265</v>
      </c>
    </row>
    <row r="106" spans="1:8">
      <c r="A106" s="145" t="s">
        <v>913</v>
      </c>
      <c r="B106" s="145" t="s">
        <v>1294</v>
      </c>
      <c r="C106" s="145" t="s">
        <v>914</v>
      </c>
      <c r="D106" s="145" t="s">
        <v>245</v>
      </c>
      <c r="E106" s="170">
        <v>47</v>
      </c>
      <c r="F106" s="146">
        <v>60</v>
      </c>
      <c r="G106" s="145" t="s">
        <v>504</v>
      </c>
      <c r="H106" s="145" t="s">
        <v>1265</v>
      </c>
    </row>
    <row r="107" spans="1:8">
      <c r="A107" s="145" t="s">
        <v>855</v>
      </c>
      <c r="B107" s="145" t="s">
        <v>499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504</v>
      </c>
      <c r="H107" s="145" t="s">
        <v>1263</v>
      </c>
    </row>
    <row r="108" spans="1:8">
      <c r="A108" s="145" t="s">
        <v>871</v>
      </c>
      <c r="B108" s="145" t="s">
        <v>1294</v>
      </c>
      <c r="C108" s="145" t="s">
        <v>873</v>
      </c>
      <c r="D108" s="145" t="s">
        <v>244</v>
      </c>
      <c r="E108" s="170">
        <v>54</v>
      </c>
      <c r="F108" s="146">
        <v>305</v>
      </c>
      <c r="G108" s="145" t="s">
        <v>504</v>
      </c>
      <c r="H108" s="145" t="s">
        <v>1264</v>
      </c>
    </row>
    <row r="109" spans="1:8">
      <c r="A109" s="145" t="s">
        <v>707</v>
      </c>
      <c r="B109" s="145" t="s">
        <v>499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505</v>
      </c>
      <c r="H109" s="145" t="s">
        <v>1266</v>
      </c>
    </row>
    <row r="110" spans="1:8">
      <c r="A110" s="145" t="s">
        <v>866</v>
      </c>
      <c r="B110" s="145" t="s">
        <v>499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505</v>
      </c>
      <c r="H110" s="145" t="s">
        <v>1270</v>
      </c>
    </row>
    <row r="111" spans="1:8">
      <c r="A111" s="145" t="s">
        <v>874</v>
      </c>
      <c r="B111" s="145" t="s">
        <v>1294</v>
      </c>
      <c r="C111" s="145" t="s">
        <v>732</v>
      </c>
      <c r="D111" s="145" t="s">
        <v>243</v>
      </c>
      <c r="E111" s="170">
        <v>46</v>
      </c>
      <c r="F111" s="146">
        <v>350</v>
      </c>
      <c r="G111" s="145" t="s">
        <v>504</v>
      </c>
      <c r="H111" s="145" t="s">
        <v>1265</v>
      </c>
    </row>
    <row r="112" spans="1:8">
      <c r="A112" s="145" t="s">
        <v>898</v>
      </c>
      <c r="B112" s="145" t="s">
        <v>499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504</v>
      </c>
      <c r="H112" s="145" t="s">
        <v>1262</v>
      </c>
    </row>
    <row r="113" spans="1:8">
      <c r="A113" s="145" t="s">
        <v>656</v>
      </c>
      <c r="B113" s="145" t="s">
        <v>499</v>
      </c>
      <c r="C113" s="145" t="s">
        <v>620</v>
      </c>
      <c r="D113" s="145" t="s">
        <v>242</v>
      </c>
      <c r="E113" s="170">
        <v>42</v>
      </c>
      <c r="F113" s="146">
        <v>2404</v>
      </c>
      <c r="G113" s="145" t="s">
        <v>504</v>
      </c>
      <c r="H113" s="145" t="s">
        <v>1263</v>
      </c>
    </row>
    <row r="114" spans="1:8">
      <c r="A114" s="145" t="s">
        <v>853</v>
      </c>
      <c r="B114" s="145" t="s">
        <v>499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504</v>
      </c>
      <c r="H114" s="145" t="s">
        <v>1265</v>
      </c>
    </row>
    <row r="115" spans="1:8">
      <c r="A115" s="145" t="s">
        <v>859</v>
      </c>
      <c r="B115" s="145" t="s">
        <v>499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504</v>
      </c>
      <c r="H115" s="145" t="s">
        <v>1265</v>
      </c>
    </row>
    <row r="116" spans="1:8">
      <c r="A116" s="145" t="s">
        <v>857</v>
      </c>
      <c r="B116" s="145" t="s">
        <v>499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505</v>
      </c>
      <c r="H116" s="145" t="s">
        <v>1266</v>
      </c>
    </row>
    <row r="117" spans="1:8">
      <c r="A117" s="145" t="s">
        <v>920</v>
      </c>
      <c r="B117" s="145" t="s">
        <v>499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505</v>
      </c>
      <c r="H117" s="145" t="s">
        <v>1266</v>
      </c>
    </row>
    <row r="118" spans="1:8">
      <c r="A118" s="145" t="s">
        <v>820</v>
      </c>
      <c r="B118" s="145" t="s">
        <v>499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504</v>
      </c>
      <c r="H118" s="145" t="s">
        <v>1264</v>
      </c>
    </row>
    <row r="119" spans="1:8">
      <c r="A119" s="145" t="s">
        <v>875</v>
      </c>
      <c r="B119" s="145" t="s">
        <v>499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505</v>
      </c>
      <c r="H119" s="145" t="s">
        <v>1266</v>
      </c>
    </row>
    <row r="120" spans="1:8">
      <c r="A120" s="145" t="s">
        <v>893</v>
      </c>
      <c r="B120" s="145" t="s">
        <v>1294</v>
      </c>
      <c r="C120" s="145" t="s">
        <v>777</v>
      </c>
      <c r="D120" s="145" t="s">
        <v>242</v>
      </c>
      <c r="E120" s="170">
        <v>36</v>
      </c>
      <c r="F120" s="146">
        <v>305</v>
      </c>
      <c r="G120" s="145" t="s">
        <v>504</v>
      </c>
      <c r="H120" s="145" t="s">
        <v>1264</v>
      </c>
    </row>
    <row r="121" spans="1:8">
      <c r="A121" s="145" t="s">
        <v>897</v>
      </c>
      <c r="B121" s="145" t="s">
        <v>499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504</v>
      </c>
      <c r="H121" s="145" t="s">
        <v>1262</v>
      </c>
    </row>
    <row r="122" spans="1:8">
      <c r="A122" s="145" t="s">
        <v>930</v>
      </c>
      <c r="B122" s="145" t="s">
        <v>499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505</v>
      </c>
      <c r="H122" s="145" t="s">
        <v>1266</v>
      </c>
    </row>
    <row r="123" spans="1:8">
      <c r="A123" s="145" t="s">
        <v>909</v>
      </c>
      <c r="B123" s="145" t="s">
        <v>1294</v>
      </c>
      <c r="C123" s="145" t="s">
        <v>634</v>
      </c>
      <c r="D123" s="145" t="s">
        <v>242</v>
      </c>
      <c r="E123" s="170">
        <v>56</v>
      </c>
      <c r="F123" s="146">
        <v>185</v>
      </c>
      <c r="G123" s="145" t="s">
        <v>504</v>
      </c>
      <c r="H123" s="145" t="s">
        <v>1265</v>
      </c>
    </row>
    <row r="124" spans="1:8">
      <c r="A124" s="145" t="s">
        <v>921</v>
      </c>
      <c r="B124" s="145" t="s">
        <v>1294</v>
      </c>
      <c r="C124" s="145" t="s">
        <v>634</v>
      </c>
      <c r="D124" s="145" t="s">
        <v>242</v>
      </c>
      <c r="E124" s="170">
        <v>56</v>
      </c>
      <c r="F124" s="146">
        <v>147</v>
      </c>
      <c r="G124" s="145" t="s">
        <v>504</v>
      </c>
      <c r="H124" s="145" t="s">
        <v>1265</v>
      </c>
    </row>
    <row r="125" spans="1:8">
      <c r="A125" s="145" t="s">
        <v>726</v>
      </c>
      <c r="B125" s="145" t="s">
        <v>499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505</v>
      </c>
      <c r="H125" s="145" t="s">
        <v>1266</v>
      </c>
    </row>
    <row r="126" spans="1:8">
      <c r="A126" s="145" t="s">
        <v>748</v>
      </c>
      <c r="B126" s="145" t="s">
        <v>499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504</v>
      </c>
      <c r="H126" s="145" t="s">
        <v>1262</v>
      </c>
    </row>
    <row r="127" spans="1:8">
      <c r="A127" s="145" t="s">
        <v>869</v>
      </c>
      <c r="B127" s="145" t="s">
        <v>499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504</v>
      </c>
      <c r="H127" s="145" t="s">
        <v>1262</v>
      </c>
    </row>
    <row r="128" spans="1:8">
      <c r="A128" s="145" t="s">
        <v>878</v>
      </c>
      <c r="B128" s="145" t="s">
        <v>499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505</v>
      </c>
      <c r="H128" s="145" t="s">
        <v>1262</v>
      </c>
    </row>
    <row r="129" spans="1:8">
      <c r="A129" s="145" t="s">
        <v>686</v>
      </c>
      <c r="B129" s="145" t="s">
        <v>499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505</v>
      </c>
      <c r="H129" s="145" t="s">
        <v>1266</v>
      </c>
    </row>
    <row r="130" spans="1:8">
      <c r="A130" s="145" t="s">
        <v>886</v>
      </c>
      <c r="B130" s="145" t="s">
        <v>499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504</v>
      </c>
      <c r="H130" s="145" t="s">
        <v>1264</v>
      </c>
    </row>
    <row r="131" spans="1:8">
      <c r="A131" s="145" t="s">
        <v>922</v>
      </c>
      <c r="B131" s="145" t="s">
        <v>499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505</v>
      </c>
      <c r="H131" s="145" t="s">
        <v>1262</v>
      </c>
    </row>
    <row r="132" spans="1:8">
      <c r="A132" s="145" t="s">
        <v>929</v>
      </c>
      <c r="B132" s="145" t="s">
        <v>499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505</v>
      </c>
      <c r="H132" s="145" t="s">
        <v>1266</v>
      </c>
    </row>
    <row r="133" spans="1:8">
      <c r="A133" s="145" t="s">
        <v>882</v>
      </c>
      <c r="B133" s="145" t="s">
        <v>499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504</v>
      </c>
      <c r="H133" s="145" t="s">
        <v>1264</v>
      </c>
    </row>
    <row r="134" spans="1:8">
      <c r="A134" s="145" t="s">
        <v>864</v>
      </c>
      <c r="B134" s="145" t="s">
        <v>499</v>
      </c>
      <c r="C134" s="145" t="s">
        <v>570</v>
      </c>
      <c r="D134" s="145" t="s">
        <v>209</v>
      </c>
      <c r="E134" s="170">
        <v>23</v>
      </c>
      <c r="F134" s="146">
        <v>1130</v>
      </c>
      <c r="G134" s="145" t="s">
        <v>504</v>
      </c>
      <c r="H134" s="145" t="s">
        <v>1262</v>
      </c>
    </row>
    <row r="135" spans="1:8">
      <c r="A135" s="145" t="s">
        <v>915</v>
      </c>
      <c r="B135" s="145" t="s">
        <v>499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504</v>
      </c>
      <c r="H135" s="145" t="s">
        <v>1262</v>
      </c>
    </row>
    <row r="136" spans="1:8">
      <c r="A136" s="145" t="s">
        <v>919</v>
      </c>
      <c r="B136" s="145" t="s">
        <v>1294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505</v>
      </c>
      <c r="H136" s="145" t="s">
        <v>1268</v>
      </c>
    </row>
    <row r="137" spans="1:8">
      <c r="A137" s="145" t="s">
        <v>910</v>
      </c>
      <c r="B137" s="145" t="s">
        <v>499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505</v>
      </c>
      <c r="H137" s="145" t="s">
        <v>1263</v>
      </c>
    </row>
    <row r="138" spans="1:8">
      <c r="A138" s="145" t="s">
        <v>924</v>
      </c>
      <c r="B138" s="145" t="s">
        <v>499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504</v>
      </c>
      <c r="H138" s="145" t="s">
        <v>1265</v>
      </c>
    </row>
    <row r="139" spans="1:8">
      <c r="A139" s="145" t="s">
        <v>927</v>
      </c>
      <c r="B139" s="145" t="s">
        <v>499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504</v>
      </c>
      <c r="H139" s="145" t="s">
        <v>1270</v>
      </c>
    </row>
    <row r="140" spans="1:8">
      <c r="A140" s="145" t="s">
        <v>711</v>
      </c>
      <c r="B140" s="145" t="s">
        <v>499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504</v>
      </c>
      <c r="H140" s="145" t="s">
        <v>1263</v>
      </c>
    </row>
    <row r="141" spans="1:8">
      <c r="A141" s="145" t="s">
        <v>933</v>
      </c>
      <c r="B141" s="145" t="s">
        <v>1294</v>
      </c>
      <c r="C141" s="145" t="s">
        <v>634</v>
      </c>
      <c r="D141" s="145" t="s">
        <v>207</v>
      </c>
      <c r="E141" s="170">
        <v>51</v>
      </c>
      <c r="F141" s="146">
        <v>710</v>
      </c>
      <c r="G141" s="145" t="s">
        <v>504</v>
      </c>
      <c r="H141" s="145" t="s">
        <v>1262</v>
      </c>
    </row>
    <row r="142" spans="1:8">
      <c r="A142" s="145" t="s">
        <v>829</v>
      </c>
      <c r="B142" s="145" t="s">
        <v>499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504</v>
      </c>
      <c r="H142" s="145" t="s">
        <v>1264</v>
      </c>
    </row>
    <row r="143" spans="1:8">
      <c r="A143" s="145" t="s">
        <v>931</v>
      </c>
      <c r="B143" s="145" t="s">
        <v>499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504</v>
      </c>
      <c r="H143" s="145" t="s">
        <v>1264</v>
      </c>
    </row>
    <row r="144" spans="1:8">
      <c r="A144" s="145" t="s">
        <v>934</v>
      </c>
      <c r="B144" s="145" t="s">
        <v>499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504</v>
      </c>
      <c r="H144" s="145" t="s">
        <v>1265</v>
      </c>
    </row>
    <row r="145" spans="1:8">
      <c r="A145" s="145" t="s">
        <v>935</v>
      </c>
      <c r="B145" s="145" t="s">
        <v>499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505</v>
      </c>
      <c r="H145" s="145" t="s">
        <v>1264</v>
      </c>
    </row>
    <row r="146" spans="1:8">
      <c r="A146" s="145" t="s">
        <v>937</v>
      </c>
      <c r="B146" s="145" t="s">
        <v>499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504</v>
      </c>
      <c r="H146" s="145" t="s">
        <v>1266</v>
      </c>
    </row>
    <row r="147" spans="1:8">
      <c r="A147" s="145" t="s">
        <v>940</v>
      </c>
      <c r="B147" s="145" t="s">
        <v>499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504</v>
      </c>
      <c r="H147" s="145" t="s">
        <v>1265</v>
      </c>
    </row>
    <row r="148" spans="1:8">
      <c r="A148" s="145" t="s">
        <v>936</v>
      </c>
      <c r="B148" s="145" t="s">
        <v>499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504</v>
      </c>
      <c r="H148" s="145" t="s">
        <v>1263</v>
      </c>
    </row>
    <row r="149" spans="1:8">
      <c r="A149" s="145" t="s">
        <v>938</v>
      </c>
      <c r="B149" s="145" t="s">
        <v>1294</v>
      </c>
      <c r="C149" s="145" t="s">
        <v>939</v>
      </c>
      <c r="D149" s="145" t="s">
        <v>206</v>
      </c>
      <c r="E149" s="170">
        <v>51</v>
      </c>
      <c r="F149" s="146">
        <v>275</v>
      </c>
      <c r="G149" s="145" t="s">
        <v>504</v>
      </c>
      <c r="H149" s="145" t="s">
        <v>1265</v>
      </c>
    </row>
    <row r="150" spans="1:8">
      <c r="A150" s="145" t="s">
        <v>942</v>
      </c>
      <c r="B150" s="145" t="s">
        <v>499</v>
      </c>
      <c r="C150" s="145" t="s">
        <v>620</v>
      </c>
      <c r="D150" s="145" t="s">
        <v>205</v>
      </c>
      <c r="E150" s="170">
        <v>35</v>
      </c>
      <c r="F150" s="146">
        <v>345</v>
      </c>
      <c r="G150" s="145" t="s">
        <v>505</v>
      </c>
      <c r="H150" s="145" t="s">
        <v>1263</v>
      </c>
    </row>
    <row r="151" spans="1:8">
      <c r="A151" s="145" t="s">
        <v>945</v>
      </c>
      <c r="B151" s="145" t="s">
        <v>1294</v>
      </c>
      <c r="C151" s="145" t="s">
        <v>634</v>
      </c>
      <c r="D151" s="145" t="s">
        <v>205</v>
      </c>
      <c r="E151" s="170">
        <v>49</v>
      </c>
      <c r="F151" s="146">
        <v>300</v>
      </c>
      <c r="G151" s="145" t="s">
        <v>504</v>
      </c>
      <c r="H151" s="145" t="s">
        <v>1264</v>
      </c>
    </row>
    <row r="152" spans="1:8">
      <c r="A152" s="145" t="s">
        <v>953</v>
      </c>
      <c r="B152" s="145" t="s">
        <v>499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505</v>
      </c>
      <c r="H152" s="145" t="s">
        <v>1263</v>
      </c>
    </row>
    <row r="153" spans="1:8">
      <c r="A153" s="145" t="s">
        <v>932</v>
      </c>
      <c r="B153" s="145" t="s">
        <v>499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504</v>
      </c>
      <c r="H153" s="145" t="s">
        <v>1262</v>
      </c>
    </row>
    <row r="154" spans="1:8">
      <c r="A154" s="145" t="s">
        <v>941</v>
      </c>
      <c r="B154" s="145" t="s">
        <v>499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504</v>
      </c>
      <c r="H154" s="145" t="s">
        <v>1264</v>
      </c>
    </row>
    <row r="155" spans="1:8">
      <c r="A155" s="145" t="s">
        <v>943</v>
      </c>
      <c r="B155" s="145" t="s">
        <v>499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504</v>
      </c>
      <c r="H155" s="145" t="s">
        <v>1262</v>
      </c>
    </row>
    <row r="156" spans="1:8">
      <c r="A156" s="145" t="s">
        <v>944</v>
      </c>
      <c r="B156" s="145" t="s">
        <v>499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505</v>
      </c>
      <c r="H156" s="145" t="s">
        <v>1262</v>
      </c>
    </row>
    <row r="157" spans="1:8">
      <c r="A157" s="145" t="s">
        <v>946</v>
      </c>
      <c r="B157" s="145" t="s">
        <v>499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504</v>
      </c>
      <c r="H157" s="145" t="s">
        <v>1265</v>
      </c>
    </row>
    <row r="158" spans="1:8">
      <c r="A158" s="145" t="s">
        <v>947</v>
      </c>
      <c r="B158" s="145" t="s">
        <v>499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505</v>
      </c>
      <c r="H158" s="145" t="s">
        <v>1266</v>
      </c>
    </row>
    <row r="159" spans="1:8">
      <c r="A159" s="145" t="s">
        <v>949</v>
      </c>
      <c r="B159" s="145" t="s">
        <v>499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504</v>
      </c>
      <c r="H159" s="145" t="s">
        <v>1263</v>
      </c>
    </row>
    <row r="160" spans="1:8">
      <c r="A160" s="145" t="s">
        <v>950</v>
      </c>
      <c r="B160" s="145" t="s">
        <v>1294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505</v>
      </c>
      <c r="H160" s="145" t="s">
        <v>1269</v>
      </c>
    </row>
    <row r="161" spans="1:8">
      <c r="A161" s="145" t="s">
        <v>951</v>
      </c>
      <c r="B161" s="145" t="s">
        <v>499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504</v>
      </c>
      <c r="H161" s="145" t="s">
        <v>1263</v>
      </c>
    </row>
    <row r="162" spans="1:8">
      <c r="A162" s="145" t="s">
        <v>961</v>
      </c>
      <c r="B162" s="145" t="s">
        <v>499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505</v>
      </c>
      <c r="H162" s="145" t="s">
        <v>1269</v>
      </c>
    </row>
    <row r="163" spans="1:8">
      <c r="A163" s="145" t="s">
        <v>948</v>
      </c>
      <c r="B163" s="145" t="s">
        <v>1294</v>
      </c>
      <c r="C163" s="145" t="s">
        <v>572</v>
      </c>
      <c r="D163" s="145" t="s">
        <v>201</v>
      </c>
      <c r="E163" s="170">
        <v>24</v>
      </c>
      <c r="F163" s="146">
        <v>785</v>
      </c>
      <c r="G163" s="145" t="s">
        <v>504</v>
      </c>
      <c r="H163" s="145" t="s">
        <v>1265</v>
      </c>
    </row>
    <row r="164" spans="1:8">
      <c r="A164" s="145" t="s">
        <v>952</v>
      </c>
      <c r="B164" s="145" t="s">
        <v>1294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505</v>
      </c>
      <c r="H164" s="145" t="s">
        <v>1263</v>
      </c>
    </row>
    <row r="165" spans="1:8">
      <c r="A165" s="145" t="s">
        <v>954</v>
      </c>
      <c r="B165" s="145" t="s">
        <v>499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505</v>
      </c>
      <c r="H165" s="145" t="s">
        <v>1263</v>
      </c>
    </row>
    <row r="166" spans="1:8">
      <c r="A166" s="145" t="s">
        <v>955</v>
      </c>
      <c r="B166" s="145" t="s">
        <v>499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505</v>
      </c>
      <c r="H166" s="145" t="s">
        <v>1265</v>
      </c>
    </row>
    <row r="167" spans="1:8">
      <c r="A167" s="145" t="s">
        <v>956</v>
      </c>
      <c r="B167" s="145" t="s">
        <v>499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505</v>
      </c>
      <c r="H167" s="145" t="s">
        <v>1266</v>
      </c>
    </row>
    <row r="168" spans="1:8">
      <c r="A168" s="145" t="s">
        <v>957</v>
      </c>
      <c r="B168" s="145" t="s">
        <v>499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505</v>
      </c>
      <c r="H168" s="145" t="s">
        <v>1266</v>
      </c>
    </row>
    <row r="169" spans="1:8">
      <c r="A169" s="145" t="s">
        <v>958</v>
      </c>
      <c r="B169" s="145" t="s">
        <v>1294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505</v>
      </c>
      <c r="H169" s="145" t="s">
        <v>1263</v>
      </c>
    </row>
    <row r="170" spans="1:8">
      <c r="A170" s="145" t="s">
        <v>960</v>
      </c>
      <c r="B170" s="145" t="s">
        <v>499</v>
      </c>
      <c r="C170" s="145" t="s">
        <v>588</v>
      </c>
      <c r="D170" s="145" t="s">
        <v>200</v>
      </c>
      <c r="E170" s="170">
        <v>13</v>
      </c>
      <c r="F170" s="146">
        <v>570</v>
      </c>
      <c r="G170" s="145" t="s">
        <v>504</v>
      </c>
      <c r="H170" s="145" t="s">
        <v>1264</v>
      </c>
    </row>
    <row r="171" spans="1:8">
      <c r="A171" s="145" t="s">
        <v>962</v>
      </c>
      <c r="B171" s="145" t="s">
        <v>1294</v>
      </c>
      <c r="C171" s="145" t="s">
        <v>808</v>
      </c>
      <c r="D171" s="145" t="s">
        <v>200</v>
      </c>
      <c r="E171" s="170">
        <v>39</v>
      </c>
      <c r="F171" s="146">
        <v>420</v>
      </c>
      <c r="G171" s="145" t="s">
        <v>504</v>
      </c>
      <c r="H171" s="145" t="s">
        <v>1266</v>
      </c>
    </row>
    <row r="172" spans="1:8">
      <c r="A172" s="145" t="s">
        <v>959</v>
      </c>
      <c r="B172" s="145" t="s">
        <v>499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504</v>
      </c>
      <c r="H172" s="145" t="s">
        <v>1262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1098</v>
      </c>
    </row>
    <row r="2" spans="1:36">
      <c r="A2" s="145" t="s">
        <v>1099</v>
      </c>
    </row>
    <row r="3" spans="1:36">
      <c r="A3" s="145" t="s">
        <v>1100</v>
      </c>
    </row>
    <row r="4" spans="1:36">
      <c r="A4" s="145" t="s">
        <v>1101</v>
      </c>
    </row>
    <row r="5" spans="1:36">
      <c r="A5" s="145" t="s">
        <v>1102</v>
      </c>
    </row>
    <row r="7" spans="1:36">
      <c r="A7" s="145" t="s">
        <v>466</v>
      </c>
      <c r="B7" s="145" t="s">
        <v>116</v>
      </c>
      <c r="C7" s="145" t="s">
        <v>467</v>
      </c>
      <c r="D7" s="145" t="s">
        <v>469</v>
      </c>
      <c r="E7" s="145" t="s">
        <v>475</v>
      </c>
      <c r="F7" s="145" t="s">
        <v>476</v>
      </c>
      <c r="G7" s="145" t="s">
        <v>471</v>
      </c>
      <c r="H7" s="145" t="s">
        <v>472</v>
      </c>
      <c r="I7" s="145" t="s">
        <v>474</v>
      </c>
      <c r="J7" s="145" t="s">
        <v>473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1103</v>
      </c>
      <c r="AE7" s="145" t="s">
        <v>1104</v>
      </c>
      <c r="AF7" s="145" t="s">
        <v>4</v>
      </c>
      <c r="AG7" s="145" t="s">
        <v>481</v>
      </c>
      <c r="AH7" s="145" t="s">
        <v>1105</v>
      </c>
      <c r="AI7" s="145" t="s">
        <v>1106</v>
      </c>
      <c r="AJ7" s="145" t="s">
        <v>1096</v>
      </c>
    </row>
    <row r="8" spans="1:36">
      <c r="A8" s="145" t="s">
        <v>496</v>
      </c>
      <c r="B8" s="145" t="s">
        <v>497</v>
      </c>
      <c r="C8" s="145" t="s">
        <v>498</v>
      </c>
      <c r="D8" s="145" t="s">
        <v>500</v>
      </c>
      <c r="E8" s="145">
        <v>206</v>
      </c>
      <c r="F8" s="145" t="s">
        <v>502</v>
      </c>
      <c r="G8" s="145" t="s">
        <v>132</v>
      </c>
      <c r="H8" s="145">
        <v>21</v>
      </c>
      <c r="I8" s="146">
        <v>9193.0300000000007</v>
      </c>
      <c r="J8" s="145" t="s">
        <v>338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504</v>
      </c>
    </row>
    <row r="9" spans="1:36">
      <c r="A9" s="145" t="s">
        <v>512</v>
      </c>
      <c r="B9" s="145" t="s">
        <v>497</v>
      </c>
      <c r="C9" s="145" t="s">
        <v>498</v>
      </c>
      <c r="D9" s="145" t="s">
        <v>500</v>
      </c>
      <c r="E9" s="145">
        <v>163</v>
      </c>
      <c r="F9" s="145" t="s">
        <v>502</v>
      </c>
      <c r="G9" s="145" t="s">
        <v>209</v>
      </c>
      <c r="H9" s="145">
        <v>10</v>
      </c>
      <c r="I9" s="146">
        <v>8686</v>
      </c>
      <c r="J9" s="145" t="s">
        <v>338</v>
      </c>
      <c r="K9" s="145" t="s">
        <v>338</v>
      </c>
      <c r="L9" s="145" t="s">
        <v>338</v>
      </c>
      <c r="M9" s="145" t="s">
        <v>338</v>
      </c>
      <c r="N9" s="145" t="s">
        <v>338</v>
      </c>
      <c r="O9" s="145" t="s">
        <v>338</v>
      </c>
      <c r="P9" s="145" t="s">
        <v>338</v>
      </c>
      <c r="Q9" s="145" t="s">
        <v>338</v>
      </c>
      <c r="R9" s="145" t="s">
        <v>338</v>
      </c>
      <c r="S9" s="145" t="s">
        <v>338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504</v>
      </c>
    </row>
    <row r="10" spans="1:36">
      <c r="A10" s="145" t="s">
        <v>519</v>
      </c>
      <c r="B10" s="145" t="s">
        <v>497</v>
      </c>
      <c r="C10" s="145" t="s">
        <v>498</v>
      </c>
      <c r="D10" s="145" t="s">
        <v>500</v>
      </c>
      <c r="E10" s="145">
        <v>85</v>
      </c>
      <c r="F10" s="145" t="s">
        <v>502</v>
      </c>
      <c r="G10" s="145" t="s">
        <v>520</v>
      </c>
      <c r="H10" s="145">
        <v>56</v>
      </c>
      <c r="I10" s="146">
        <v>3750</v>
      </c>
      <c r="J10" s="145" t="s">
        <v>338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504</v>
      </c>
    </row>
    <row r="11" spans="1:36">
      <c r="A11" s="145" t="s">
        <v>524</v>
      </c>
      <c r="B11" s="145" t="s">
        <v>497</v>
      </c>
      <c r="C11" s="145" t="s">
        <v>498</v>
      </c>
      <c r="D11" s="145" t="s">
        <v>500</v>
      </c>
      <c r="E11" s="145">
        <v>99</v>
      </c>
      <c r="F11" s="145" t="s">
        <v>502</v>
      </c>
      <c r="G11" s="145" t="s">
        <v>202</v>
      </c>
      <c r="H11" s="145">
        <v>17</v>
      </c>
      <c r="I11" s="146">
        <v>3773</v>
      </c>
      <c r="J11" s="145" t="s">
        <v>338</v>
      </c>
      <c r="K11" s="145" t="s">
        <v>338</v>
      </c>
      <c r="L11" s="145" t="s">
        <v>338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504</v>
      </c>
    </row>
    <row r="12" spans="1:36">
      <c r="A12" s="145" t="s">
        <v>528</v>
      </c>
      <c r="B12" s="145" t="s">
        <v>497</v>
      </c>
      <c r="C12" s="145" t="s">
        <v>498</v>
      </c>
      <c r="D12" s="145" t="s">
        <v>500</v>
      </c>
      <c r="E12" s="145">
        <v>73</v>
      </c>
      <c r="F12" s="145" t="s">
        <v>502</v>
      </c>
      <c r="G12" s="145" t="s">
        <v>529</v>
      </c>
      <c r="H12" s="145">
        <v>50</v>
      </c>
      <c r="I12" s="146">
        <v>3651</v>
      </c>
      <c r="J12" s="145" t="s">
        <v>338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504</v>
      </c>
    </row>
    <row r="13" spans="1:36">
      <c r="A13" s="145" t="s">
        <v>534</v>
      </c>
      <c r="B13" s="145" t="s">
        <v>497</v>
      </c>
      <c r="C13" s="145" t="s">
        <v>498</v>
      </c>
      <c r="D13" s="145" t="s">
        <v>500</v>
      </c>
      <c r="E13" s="145">
        <v>54</v>
      </c>
      <c r="F13" s="145" t="s">
        <v>502</v>
      </c>
      <c r="G13" s="145" t="s">
        <v>127</v>
      </c>
      <c r="H13" s="145">
        <v>26</v>
      </c>
      <c r="I13" s="146">
        <v>3487.3333333333335</v>
      </c>
      <c r="J13" s="145" t="s">
        <v>338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504</v>
      </c>
    </row>
    <row r="14" spans="1:36">
      <c r="A14" s="145" t="s">
        <v>537</v>
      </c>
      <c r="B14" s="145" t="s">
        <v>497</v>
      </c>
      <c r="C14" s="145" t="s">
        <v>498</v>
      </c>
      <c r="D14" s="145" t="s">
        <v>500</v>
      </c>
      <c r="E14" s="145">
        <v>81</v>
      </c>
      <c r="F14" s="145" t="s">
        <v>502</v>
      </c>
      <c r="G14" s="145" t="s">
        <v>202</v>
      </c>
      <c r="H14" s="145">
        <v>17</v>
      </c>
      <c r="I14" s="146">
        <v>6357</v>
      </c>
      <c r="J14" s="145" t="s">
        <v>338</v>
      </c>
      <c r="K14" s="145" t="s">
        <v>338</v>
      </c>
      <c r="L14" s="145" t="s">
        <v>338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504</v>
      </c>
    </row>
    <row r="15" spans="1:36">
      <c r="A15" s="145" t="s">
        <v>539</v>
      </c>
      <c r="B15" s="145" t="s">
        <v>497</v>
      </c>
      <c r="C15" s="145" t="s">
        <v>498</v>
      </c>
      <c r="D15" s="145" t="s">
        <v>500</v>
      </c>
      <c r="E15" s="145">
        <v>33</v>
      </c>
      <c r="F15" s="145" t="s">
        <v>502</v>
      </c>
      <c r="G15" s="145" t="s">
        <v>123</v>
      </c>
      <c r="H15" s="145">
        <v>30</v>
      </c>
      <c r="I15" s="146">
        <v>2752.6666666666665</v>
      </c>
      <c r="J15" s="145" t="s">
        <v>338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504</v>
      </c>
    </row>
    <row r="16" spans="1:36">
      <c r="A16" s="145" t="s">
        <v>542</v>
      </c>
      <c r="B16" s="145" t="s">
        <v>497</v>
      </c>
      <c r="C16" s="145" t="s">
        <v>498</v>
      </c>
      <c r="D16" s="145" t="s">
        <v>500</v>
      </c>
      <c r="E16" s="145">
        <v>36</v>
      </c>
      <c r="F16" s="145" t="s">
        <v>502</v>
      </c>
      <c r="G16" s="145" t="s">
        <v>529</v>
      </c>
      <c r="H16" s="145">
        <v>50</v>
      </c>
      <c r="I16" s="146">
        <v>2708.7833333333333</v>
      </c>
      <c r="J16" s="145" t="s">
        <v>338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504</v>
      </c>
    </row>
    <row r="17" spans="1:36">
      <c r="A17" s="145" t="s">
        <v>544</v>
      </c>
      <c r="B17" s="145" t="s">
        <v>497</v>
      </c>
      <c r="C17" s="145" t="s">
        <v>498</v>
      </c>
      <c r="D17" s="145" t="s">
        <v>500</v>
      </c>
      <c r="E17" s="145">
        <v>38</v>
      </c>
      <c r="F17" s="145" t="s">
        <v>502</v>
      </c>
      <c r="G17" s="145" t="s">
        <v>126</v>
      </c>
      <c r="H17" s="145">
        <v>27</v>
      </c>
      <c r="I17" s="146">
        <v>3075</v>
      </c>
      <c r="J17" s="145" t="s">
        <v>338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504</v>
      </c>
    </row>
    <row r="18" spans="1:36">
      <c r="A18" s="145" t="s">
        <v>547</v>
      </c>
      <c r="B18" s="145" t="s">
        <v>497</v>
      </c>
      <c r="C18" s="145" t="s">
        <v>498</v>
      </c>
      <c r="D18" s="145" t="s">
        <v>500</v>
      </c>
      <c r="E18" s="145">
        <v>61</v>
      </c>
      <c r="F18" s="145" t="s">
        <v>502</v>
      </c>
      <c r="G18" s="145" t="s">
        <v>548</v>
      </c>
      <c r="H18" s="145">
        <v>34</v>
      </c>
      <c r="I18" s="146">
        <v>2881.6666666666665</v>
      </c>
      <c r="J18" s="145" t="s">
        <v>338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504</v>
      </c>
    </row>
    <row r="19" spans="1:36">
      <c r="A19" s="145" t="s">
        <v>551</v>
      </c>
      <c r="B19" s="145" t="s">
        <v>497</v>
      </c>
      <c r="C19" s="145" t="s">
        <v>498</v>
      </c>
      <c r="D19" s="145" t="s">
        <v>500</v>
      </c>
      <c r="E19" s="145">
        <v>27</v>
      </c>
      <c r="F19" s="145" t="s">
        <v>502</v>
      </c>
      <c r="G19" s="145" t="s">
        <v>125</v>
      </c>
      <c r="H19" s="145">
        <v>28</v>
      </c>
      <c r="I19" s="146">
        <v>2432.8733333333334</v>
      </c>
      <c r="J19" s="145" t="s">
        <v>338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504</v>
      </c>
    </row>
    <row r="20" spans="1:36">
      <c r="A20" s="145" t="s">
        <v>552</v>
      </c>
      <c r="B20" s="145" t="s">
        <v>497</v>
      </c>
      <c r="C20" s="145" t="s">
        <v>498</v>
      </c>
      <c r="D20" s="145" t="s">
        <v>500</v>
      </c>
      <c r="E20" s="145">
        <v>21</v>
      </c>
      <c r="F20" s="145" t="s">
        <v>502</v>
      </c>
      <c r="G20" s="145" t="s">
        <v>128</v>
      </c>
      <c r="H20" s="145">
        <v>25</v>
      </c>
      <c r="I20" s="146">
        <v>2035.6666666666667</v>
      </c>
      <c r="J20" s="145" t="s">
        <v>338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504</v>
      </c>
    </row>
    <row r="21" spans="1:36">
      <c r="A21" s="145" t="s">
        <v>554</v>
      </c>
      <c r="B21" s="145" t="s">
        <v>497</v>
      </c>
      <c r="C21" s="145" t="s">
        <v>498</v>
      </c>
      <c r="D21" s="145" t="s">
        <v>500</v>
      </c>
      <c r="E21" s="145">
        <v>25</v>
      </c>
      <c r="F21" s="145" t="s">
        <v>555</v>
      </c>
      <c r="G21" s="145" t="s">
        <v>122</v>
      </c>
      <c r="H21" s="145">
        <v>31</v>
      </c>
      <c r="I21" s="146">
        <v>2285</v>
      </c>
      <c r="J21" s="145" t="s">
        <v>338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504</v>
      </c>
    </row>
    <row r="22" spans="1:36">
      <c r="A22" s="145" t="s">
        <v>559</v>
      </c>
      <c r="B22" s="145" t="s">
        <v>497</v>
      </c>
      <c r="C22" s="145" t="s">
        <v>498</v>
      </c>
      <c r="D22" s="145" t="s">
        <v>500</v>
      </c>
      <c r="E22" s="145">
        <v>60</v>
      </c>
      <c r="F22" s="145" t="s">
        <v>502</v>
      </c>
      <c r="G22" s="145" t="s">
        <v>204</v>
      </c>
      <c r="H22" s="145">
        <v>15</v>
      </c>
      <c r="I22" s="146">
        <v>2644.6666666666665</v>
      </c>
      <c r="J22" s="145" t="s">
        <v>338</v>
      </c>
      <c r="K22" s="145" t="s">
        <v>338</v>
      </c>
      <c r="L22" s="145" t="s">
        <v>338</v>
      </c>
      <c r="M22" s="145" t="s">
        <v>338</v>
      </c>
      <c r="N22" s="145" t="s">
        <v>338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504</v>
      </c>
    </row>
    <row r="23" spans="1:36">
      <c r="A23" s="145" t="s">
        <v>561</v>
      </c>
      <c r="B23" s="145" t="s">
        <v>562</v>
      </c>
      <c r="C23" s="145" t="s">
        <v>498</v>
      </c>
      <c r="D23" s="145" t="s">
        <v>500</v>
      </c>
      <c r="E23" s="145">
        <v>73</v>
      </c>
      <c r="F23" s="145" t="s">
        <v>563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338</v>
      </c>
      <c r="L23" s="145" t="s">
        <v>338</v>
      </c>
      <c r="M23" s="145" t="s">
        <v>338</v>
      </c>
      <c r="N23" s="145" t="s">
        <v>338</v>
      </c>
      <c r="O23" s="145" t="s">
        <v>338</v>
      </c>
      <c r="P23" s="145" t="s">
        <v>338</v>
      </c>
      <c r="Q23" s="145" t="s">
        <v>338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338</v>
      </c>
      <c r="AB23" s="145" t="s">
        <v>338</v>
      </c>
      <c r="AC23" s="145" t="s">
        <v>338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505</v>
      </c>
    </row>
    <row r="24" spans="1:36">
      <c r="A24" s="145" t="s">
        <v>567</v>
      </c>
      <c r="B24" s="145" t="s">
        <v>497</v>
      </c>
      <c r="C24" s="145" t="s">
        <v>498</v>
      </c>
      <c r="D24" s="145" t="s">
        <v>500</v>
      </c>
      <c r="E24" s="145">
        <v>42</v>
      </c>
      <c r="F24" s="145" t="s">
        <v>502</v>
      </c>
      <c r="G24" s="145" t="s">
        <v>206</v>
      </c>
      <c r="H24" s="145">
        <v>13</v>
      </c>
      <c r="I24" s="146">
        <v>2335.6666666666665</v>
      </c>
      <c r="J24" s="145" t="s">
        <v>338</v>
      </c>
      <c r="K24" s="145" t="s">
        <v>338</v>
      </c>
      <c r="L24" s="145" t="s">
        <v>338</v>
      </c>
      <c r="M24" s="145" t="s">
        <v>338</v>
      </c>
      <c r="N24" s="145" t="s">
        <v>338</v>
      </c>
      <c r="O24" s="145" t="s">
        <v>338</v>
      </c>
      <c r="P24" s="145" t="s">
        <v>338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504</v>
      </c>
    </row>
    <row r="25" spans="1:36">
      <c r="A25" s="145" t="s">
        <v>569</v>
      </c>
      <c r="B25" s="145" t="s">
        <v>497</v>
      </c>
      <c r="C25" s="145" t="s">
        <v>498</v>
      </c>
      <c r="D25" s="145" t="s">
        <v>500</v>
      </c>
      <c r="E25" s="145">
        <v>47</v>
      </c>
      <c r="F25" s="145" t="s">
        <v>502</v>
      </c>
      <c r="G25" s="145" t="s">
        <v>570</v>
      </c>
      <c r="H25" s="145">
        <v>33</v>
      </c>
      <c r="I25" s="146">
        <v>3262.6666666666665</v>
      </c>
      <c r="J25" s="145" t="s">
        <v>338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504</v>
      </c>
    </row>
    <row r="26" spans="1:36">
      <c r="A26" s="145" t="s">
        <v>571</v>
      </c>
      <c r="B26" s="145" t="s">
        <v>497</v>
      </c>
      <c r="C26" s="145" t="s">
        <v>498</v>
      </c>
      <c r="D26" s="145" t="s">
        <v>500</v>
      </c>
      <c r="E26" s="145">
        <v>26</v>
      </c>
      <c r="F26" s="145" t="s">
        <v>502</v>
      </c>
      <c r="G26" s="145" t="s">
        <v>572</v>
      </c>
      <c r="H26" s="145">
        <v>42</v>
      </c>
      <c r="I26" s="146">
        <v>2095.6666666666665</v>
      </c>
      <c r="J26" s="145" t="s">
        <v>338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504</v>
      </c>
    </row>
    <row r="27" spans="1:36">
      <c r="A27" s="145" t="s">
        <v>575</v>
      </c>
      <c r="B27" s="145" t="s">
        <v>497</v>
      </c>
      <c r="C27" s="145" t="s">
        <v>498</v>
      </c>
      <c r="D27" s="145" t="s">
        <v>500</v>
      </c>
      <c r="E27" s="145">
        <v>26</v>
      </c>
      <c r="F27" s="145" t="s">
        <v>502</v>
      </c>
      <c r="G27" s="145" t="s">
        <v>200</v>
      </c>
      <c r="H27" s="145">
        <v>19</v>
      </c>
      <c r="I27" s="146">
        <v>1808.3333333333333</v>
      </c>
      <c r="J27" s="145" t="s">
        <v>338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504</v>
      </c>
    </row>
    <row r="28" spans="1:36">
      <c r="A28" s="145" t="s">
        <v>577</v>
      </c>
      <c r="B28" s="145" t="s">
        <v>497</v>
      </c>
      <c r="C28" s="145" t="s">
        <v>498</v>
      </c>
      <c r="D28" s="145" t="s">
        <v>500</v>
      </c>
      <c r="E28" s="145">
        <v>34</v>
      </c>
      <c r="F28" s="145" t="s">
        <v>502</v>
      </c>
      <c r="G28" s="145" t="s">
        <v>570</v>
      </c>
      <c r="H28" s="145">
        <v>33</v>
      </c>
      <c r="I28" s="146">
        <v>1933.3333333333333</v>
      </c>
      <c r="J28" s="145" t="s">
        <v>338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504</v>
      </c>
    </row>
    <row r="29" spans="1:36">
      <c r="A29" s="145" t="s">
        <v>578</v>
      </c>
      <c r="B29" s="145" t="s">
        <v>497</v>
      </c>
      <c r="C29" s="145" t="s">
        <v>498</v>
      </c>
      <c r="D29" s="145" t="s">
        <v>500</v>
      </c>
      <c r="E29" s="145">
        <v>28</v>
      </c>
      <c r="F29" s="145" t="s">
        <v>555</v>
      </c>
      <c r="G29" s="145" t="s">
        <v>572</v>
      </c>
      <c r="H29" s="145">
        <v>42</v>
      </c>
      <c r="I29" s="146">
        <v>1973.3333333333333</v>
      </c>
      <c r="J29" s="145" t="s">
        <v>338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504</v>
      </c>
    </row>
    <row r="30" spans="1:36">
      <c r="A30" s="145" t="s">
        <v>582</v>
      </c>
      <c r="B30" s="145" t="s">
        <v>497</v>
      </c>
      <c r="C30" s="145" t="s">
        <v>498</v>
      </c>
      <c r="D30" s="145" t="s">
        <v>500</v>
      </c>
      <c r="E30" s="145">
        <v>24</v>
      </c>
      <c r="F30" s="145" t="s">
        <v>502</v>
      </c>
      <c r="G30" s="145" t="s">
        <v>583</v>
      </c>
      <c r="H30" s="145">
        <v>37</v>
      </c>
      <c r="I30" s="146">
        <v>2051</v>
      </c>
      <c r="J30" s="145" t="s">
        <v>338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504</v>
      </c>
    </row>
    <row r="31" spans="1:36">
      <c r="A31" s="145" t="s">
        <v>585</v>
      </c>
      <c r="B31" s="145" t="s">
        <v>497</v>
      </c>
      <c r="C31" s="145" t="s">
        <v>498</v>
      </c>
      <c r="D31" s="145" t="s">
        <v>500</v>
      </c>
      <c r="E31" s="145">
        <v>30</v>
      </c>
      <c r="F31" s="145" t="s">
        <v>502</v>
      </c>
      <c r="G31" s="145" t="s">
        <v>204</v>
      </c>
      <c r="H31" s="145">
        <v>15</v>
      </c>
      <c r="I31" s="146">
        <v>2461</v>
      </c>
      <c r="J31" s="145" t="s">
        <v>338</v>
      </c>
      <c r="K31" s="145" t="s">
        <v>338</v>
      </c>
      <c r="L31" s="145" t="s">
        <v>338</v>
      </c>
      <c r="M31" s="145" t="s">
        <v>338</v>
      </c>
      <c r="N31" s="145" t="s">
        <v>338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504</v>
      </c>
    </row>
    <row r="32" spans="1:36">
      <c r="A32" s="145" t="s">
        <v>586</v>
      </c>
      <c r="B32" s="145" t="s">
        <v>497</v>
      </c>
      <c r="C32" s="145" t="s">
        <v>498</v>
      </c>
      <c r="D32" s="145" t="s">
        <v>500</v>
      </c>
      <c r="E32" s="145">
        <v>18</v>
      </c>
      <c r="F32" s="145" t="s">
        <v>502</v>
      </c>
      <c r="G32" s="145" t="s">
        <v>588</v>
      </c>
      <c r="H32" s="145">
        <v>32</v>
      </c>
      <c r="I32" s="146">
        <v>1596.3333333333333</v>
      </c>
      <c r="J32" s="145" t="s">
        <v>338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504</v>
      </c>
    </row>
    <row r="33" spans="1:36">
      <c r="A33" s="145" t="s">
        <v>590</v>
      </c>
      <c r="B33" s="145" t="s">
        <v>497</v>
      </c>
      <c r="C33" s="145" t="s">
        <v>498</v>
      </c>
      <c r="D33" s="145" t="s">
        <v>500</v>
      </c>
      <c r="E33" s="145">
        <v>55</v>
      </c>
      <c r="F33" s="145" t="s">
        <v>502</v>
      </c>
      <c r="G33" s="145" t="s">
        <v>211</v>
      </c>
      <c r="H33" s="145">
        <v>8</v>
      </c>
      <c r="I33" s="146">
        <v>2784.6666666666665</v>
      </c>
      <c r="J33" s="145" t="s">
        <v>338</v>
      </c>
      <c r="K33" s="145" t="s">
        <v>338</v>
      </c>
      <c r="L33" s="145" t="s">
        <v>338</v>
      </c>
      <c r="M33" s="145" t="s">
        <v>338</v>
      </c>
      <c r="N33" s="145" t="s">
        <v>338</v>
      </c>
      <c r="O33" s="145" t="s">
        <v>338</v>
      </c>
      <c r="P33" s="145" t="s">
        <v>338</v>
      </c>
      <c r="Q33" s="145" t="s">
        <v>338</v>
      </c>
      <c r="R33" s="145" t="s">
        <v>338</v>
      </c>
      <c r="S33" s="145" t="s">
        <v>338</v>
      </c>
      <c r="T33" s="145" t="s">
        <v>338</v>
      </c>
      <c r="U33" s="145" t="s">
        <v>338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504</v>
      </c>
    </row>
    <row r="34" spans="1:36">
      <c r="A34" s="145" t="s">
        <v>592</v>
      </c>
      <c r="B34" s="145" t="s">
        <v>497</v>
      </c>
      <c r="C34" s="145" t="s">
        <v>498</v>
      </c>
      <c r="D34" s="145" t="s">
        <v>500</v>
      </c>
      <c r="E34" s="145">
        <v>34</v>
      </c>
      <c r="F34" s="145" t="s">
        <v>502</v>
      </c>
      <c r="G34" s="145" t="s">
        <v>131</v>
      </c>
      <c r="H34" s="145">
        <v>22</v>
      </c>
      <c r="I34" s="146">
        <v>1826.6666666666667</v>
      </c>
      <c r="J34" s="145" t="s">
        <v>338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504</v>
      </c>
    </row>
    <row r="35" spans="1:36">
      <c r="A35" s="145" t="s">
        <v>593</v>
      </c>
      <c r="B35" s="145" t="s">
        <v>497</v>
      </c>
      <c r="C35" s="145" t="s">
        <v>498</v>
      </c>
      <c r="D35" s="145" t="s">
        <v>338</v>
      </c>
      <c r="E35" s="145">
        <v>90</v>
      </c>
      <c r="F35" s="145" t="s">
        <v>502</v>
      </c>
      <c r="G35" s="145" t="s">
        <v>583</v>
      </c>
      <c r="H35" s="145">
        <v>37</v>
      </c>
      <c r="I35" s="146">
        <v>1640</v>
      </c>
      <c r="J35" s="145" t="s">
        <v>338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504</v>
      </c>
    </row>
    <row r="36" spans="1:36">
      <c r="A36" s="145" t="s">
        <v>596</v>
      </c>
      <c r="B36" s="145" t="s">
        <v>497</v>
      </c>
      <c r="C36" s="145" t="s">
        <v>498</v>
      </c>
      <c r="D36" s="145" t="s">
        <v>500</v>
      </c>
      <c r="E36" s="145">
        <v>22</v>
      </c>
      <c r="F36" s="145" t="s">
        <v>502</v>
      </c>
      <c r="G36" s="145" t="s">
        <v>597</v>
      </c>
      <c r="H36" s="145">
        <v>35</v>
      </c>
      <c r="I36" s="146">
        <v>1825</v>
      </c>
      <c r="J36" s="145" t="s">
        <v>338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504</v>
      </c>
    </row>
    <row r="37" spans="1:36">
      <c r="A37" s="145" t="s">
        <v>599</v>
      </c>
      <c r="B37" s="145" t="s">
        <v>497</v>
      </c>
      <c r="C37" s="145" t="s">
        <v>498</v>
      </c>
      <c r="D37" s="145" t="s">
        <v>500</v>
      </c>
      <c r="E37" s="145">
        <v>32</v>
      </c>
      <c r="F37" s="145" t="s">
        <v>502</v>
      </c>
      <c r="G37" s="145" t="s">
        <v>131</v>
      </c>
      <c r="H37" s="145">
        <v>22</v>
      </c>
      <c r="I37" s="146">
        <v>2176.3333333333335</v>
      </c>
      <c r="J37" s="145" t="s">
        <v>338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504</v>
      </c>
    </row>
    <row r="38" spans="1:36">
      <c r="A38" s="145" t="s">
        <v>601</v>
      </c>
      <c r="B38" s="145" t="s">
        <v>562</v>
      </c>
      <c r="C38" s="145" t="s">
        <v>498</v>
      </c>
      <c r="D38" s="145" t="s">
        <v>500</v>
      </c>
      <c r="E38" s="145">
        <v>32</v>
      </c>
      <c r="F38" s="145" t="s">
        <v>563</v>
      </c>
      <c r="G38" s="145" t="s">
        <v>583</v>
      </c>
      <c r="H38" s="145">
        <v>37</v>
      </c>
      <c r="I38" s="146">
        <v>2735.3333333333335</v>
      </c>
      <c r="J38" s="145" t="s">
        <v>338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338</v>
      </c>
      <c r="AC38" s="145" t="s">
        <v>338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505</v>
      </c>
    </row>
    <row r="39" spans="1:36">
      <c r="A39" s="145" t="s">
        <v>603</v>
      </c>
      <c r="B39" s="145" t="s">
        <v>562</v>
      </c>
      <c r="C39" s="145" t="s">
        <v>498</v>
      </c>
      <c r="D39" s="145" t="s">
        <v>338</v>
      </c>
      <c r="E39" s="145">
        <v>25</v>
      </c>
      <c r="F39" s="145" t="s">
        <v>563</v>
      </c>
      <c r="G39" s="145" t="s">
        <v>132</v>
      </c>
      <c r="H39" s="145">
        <v>21</v>
      </c>
      <c r="I39" s="146">
        <v>2319</v>
      </c>
      <c r="J39" s="145" t="s">
        <v>338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338</v>
      </c>
      <c r="AC39" s="145" t="s">
        <v>338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505</v>
      </c>
    </row>
    <row r="40" spans="1:36">
      <c r="A40" s="145" t="s">
        <v>604</v>
      </c>
      <c r="B40" s="145" t="s">
        <v>497</v>
      </c>
      <c r="C40" s="145" t="s">
        <v>498</v>
      </c>
      <c r="D40" s="145" t="s">
        <v>500</v>
      </c>
      <c r="E40" s="145">
        <v>16</v>
      </c>
      <c r="F40" s="145" t="s">
        <v>502</v>
      </c>
      <c r="G40" s="145" t="s">
        <v>122</v>
      </c>
      <c r="H40" s="145">
        <v>31</v>
      </c>
      <c r="I40" s="146">
        <v>1581.6666666666667</v>
      </c>
      <c r="J40" s="145" t="s">
        <v>338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504</v>
      </c>
    </row>
    <row r="41" spans="1:36">
      <c r="A41" s="145" t="s">
        <v>605</v>
      </c>
      <c r="B41" s="145" t="s">
        <v>497</v>
      </c>
      <c r="C41" s="145" t="s">
        <v>498</v>
      </c>
      <c r="D41" s="145" t="s">
        <v>500</v>
      </c>
      <c r="E41" s="145">
        <v>84</v>
      </c>
      <c r="F41" s="145" t="s">
        <v>502</v>
      </c>
      <c r="G41" s="145" t="s">
        <v>210</v>
      </c>
      <c r="H41" s="145">
        <v>9</v>
      </c>
      <c r="I41" s="146">
        <v>2935</v>
      </c>
      <c r="J41" s="145" t="s">
        <v>338</v>
      </c>
      <c r="K41" s="145" t="s">
        <v>338</v>
      </c>
      <c r="L41" s="145" t="s">
        <v>338</v>
      </c>
      <c r="M41" s="145" t="s">
        <v>338</v>
      </c>
      <c r="N41" s="145" t="s">
        <v>338</v>
      </c>
      <c r="O41" s="145" t="s">
        <v>338</v>
      </c>
      <c r="P41" s="145" t="s">
        <v>338</v>
      </c>
      <c r="Q41" s="145" t="s">
        <v>338</v>
      </c>
      <c r="R41" s="145" t="s">
        <v>338</v>
      </c>
      <c r="S41" s="145" t="s">
        <v>338</v>
      </c>
      <c r="T41" s="145" t="s">
        <v>338</v>
      </c>
      <c r="U41" s="145" t="s">
        <v>338</v>
      </c>
      <c r="V41" s="145" t="s">
        <v>338</v>
      </c>
      <c r="W41" s="145" t="s">
        <v>338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504</v>
      </c>
    </row>
    <row r="42" spans="1:36">
      <c r="A42" s="145" t="s">
        <v>606</v>
      </c>
      <c r="B42" s="145" t="s">
        <v>497</v>
      </c>
      <c r="C42" s="145" t="s">
        <v>498</v>
      </c>
      <c r="D42" s="145" t="s">
        <v>607</v>
      </c>
      <c r="E42" s="145">
        <v>66</v>
      </c>
      <c r="F42" s="145" t="s">
        <v>555</v>
      </c>
      <c r="G42" s="145" t="s">
        <v>124</v>
      </c>
      <c r="H42" s="145">
        <v>29</v>
      </c>
      <c r="I42" s="146">
        <v>2225</v>
      </c>
      <c r="J42" s="145" t="s">
        <v>338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504</v>
      </c>
    </row>
    <row r="43" spans="1:36">
      <c r="A43" s="145" t="s">
        <v>609</v>
      </c>
      <c r="B43" s="145" t="s">
        <v>497</v>
      </c>
      <c r="C43" s="145" t="s">
        <v>498</v>
      </c>
      <c r="D43" s="145" t="s">
        <v>500</v>
      </c>
      <c r="E43" s="145">
        <v>39</v>
      </c>
      <c r="F43" s="145" t="s">
        <v>502</v>
      </c>
      <c r="G43" s="145" t="s">
        <v>208</v>
      </c>
      <c r="H43" s="145">
        <v>11</v>
      </c>
      <c r="I43" s="146">
        <v>1915</v>
      </c>
      <c r="J43" s="145" t="s">
        <v>338</v>
      </c>
      <c r="K43" s="145" t="s">
        <v>338</v>
      </c>
      <c r="L43" s="145" t="s">
        <v>338</v>
      </c>
      <c r="M43" s="145" t="s">
        <v>338</v>
      </c>
      <c r="N43" s="145" t="s">
        <v>338</v>
      </c>
      <c r="O43" s="145" t="s">
        <v>338</v>
      </c>
      <c r="P43" s="145" t="s">
        <v>338</v>
      </c>
      <c r="Q43" s="145" t="s">
        <v>338</v>
      </c>
      <c r="R43" s="145" t="s">
        <v>338</v>
      </c>
      <c r="S43" s="145" t="s">
        <v>338</v>
      </c>
      <c r="T43" s="145" t="s">
        <v>338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504</v>
      </c>
    </row>
    <row r="44" spans="1:36">
      <c r="A44" s="145" t="s">
        <v>611</v>
      </c>
      <c r="B44" s="145" t="s">
        <v>497</v>
      </c>
      <c r="C44" s="145" t="s">
        <v>498</v>
      </c>
      <c r="D44" s="145" t="s">
        <v>500</v>
      </c>
      <c r="E44" s="145">
        <v>45</v>
      </c>
      <c r="F44" s="145" t="s">
        <v>502</v>
      </c>
      <c r="G44" s="145" t="s">
        <v>242</v>
      </c>
      <c r="H44" s="145">
        <v>7</v>
      </c>
      <c r="I44" s="146">
        <v>2458</v>
      </c>
      <c r="J44" s="145" t="s">
        <v>338</v>
      </c>
      <c r="K44" s="145" t="s">
        <v>338</v>
      </c>
      <c r="L44" s="145" t="s">
        <v>338</v>
      </c>
      <c r="M44" s="145" t="s">
        <v>338</v>
      </c>
      <c r="N44" s="145" t="s">
        <v>338</v>
      </c>
      <c r="O44" s="145" t="s">
        <v>338</v>
      </c>
      <c r="P44" s="145" t="s">
        <v>338</v>
      </c>
      <c r="Q44" s="145" t="s">
        <v>338</v>
      </c>
      <c r="R44" s="145" t="s">
        <v>338</v>
      </c>
      <c r="S44" s="145" t="s">
        <v>338</v>
      </c>
      <c r="T44" s="145" t="s">
        <v>338</v>
      </c>
      <c r="U44" s="145" t="s">
        <v>338</v>
      </c>
      <c r="V44" s="145" t="s">
        <v>338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504</v>
      </c>
    </row>
    <row r="45" spans="1:36">
      <c r="A45" s="145" t="s">
        <v>614</v>
      </c>
      <c r="B45" s="145" t="s">
        <v>497</v>
      </c>
      <c r="C45" s="145" t="s">
        <v>498</v>
      </c>
      <c r="D45" s="145" t="s">
        <v>500</v>
      </c>
      <c r="E45" s="145">
        <v>18</v>
      </c>
      <c r="F45" s="145" t="s">
        <v>502</v>
      </c>
      <c r="G45" s="145" t="s">
        <v>127</v>
      </c>
      <c r="H45" s="145">
        <v>26</v>
      </c>
      <c r="I45" s="146">
        <v>1551</v>
      </c>
      <c r="J45" s="145" t="s">
        <v>338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504</v>
      </c>
    </row>
    <row r="46" spans="1:36">
      <c r="A46" s="145" t="s">
        <v>615</v>
      </c>
      <c r="B46" s="145" t="s">
        <v>497</v>
      </c>
      <c r="C46" s="145" t="s">
        <v>498</v>
      </c>
      <c r="D46" s="145" t="s">
        <v>616</v>
      </c>
      <c r="E46" s="145">
        <v>48</v>
      </c>
      <c r="F46" s="145" t="s">
        <v>502</v>
      </c>
      <c r="G46" s="145" t="s">
        <v>211</v>
      </c>
      <c r="H46" s="145">
        <v>8</v>
      </c>
      <c r="I46" s="146">
        <v>2476.15</v>
      </c>
      <c r="J46" s="145" t="s">
        <v>338</v>
      </c>
      <c r="K46" s="145" t="s">
        <v>338</v>
      </c>
      <c r="L46" s="145" t="s">
        <v>338</v>
      </c>
      <c r="M46" s="145" t="s">
        <v>338</v>
      </c>
      <c r="N46" s="145" t="s">
        <v>338</v>
      </c>
      <c r="O46" s="145" t="s">
        <v>338</v>
      </c>
      <c r="P46" s="145" t="s">
        <v>338</v>
      </c>
      <c r="Q46" s="145" t="s">
        <v>338</v>
      </c>
      <c r="R46" s="145" t="s">
        <v>338</v>
      </c>
      <c r="S46" s="145" t="s">
        <v>338</v>
      </c>
      <c r="T46" s="145" t="s">
        <v>338</v>
      </c>
      <c r="U46" s="145" t="s">
        <v>338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504</v>
      </c>
    </row>
    <row r="47" spans="1:36">
      <c r="A47" s="145" t="s">
        <v>618</v>
      </c>
      <c r="B47" s="145" t="s">
        <v>497</v>
      </c>
      <c r="C47" s="145" t="s">
        <v>498</v>
      </c>
      <c r="D47" s="145" t="s">
        <v>500</v>
      </c>
      <c r="E47" s="145">
        <v>20</v>
      </c>
      <c r="F47" s="145" t="s">
        <v>502</v>
      </c>
      <c r="G47" s="145" t="s">
        <v>124</v>
      </c>
      <c r="H47" s="145">
        <v>29</v>
      </c>
      <c r="I47" s="146">
        <v>1947.3333333333333</v>
      </c>
      <c r="J47" s="145" t="s">
        <v>338</v>
      </c>
      <c r="K47" s="145" t="s">
        <v>338</v>
      </c>
      <c r="L47" s="145" t="s">
        <v>338</v>
      </c>
      <c r="M47" s="145" t="s">
        <v>338</v>
      </c>
      <c r="N47" s="145" t="s">
        <v>338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504</v>
      </c>
    </row>
    <row r="48" spans="1:36">
      <c r="A48" s="145" t="s">
        <v>619</v>
      </c>
      <c r="B48" s="145" t="s">
        <v>497</v>
      </c>
      <c r="C48" s="145" t="s">
        <v>498</v>
      </c>
      <c r="D48" s="145" t="s">
        <v>500</v>
      </c>
      <c r="E48" s="145">
        <v>24</v>
      </c>
      <c r="F48" s="145" t="s">
        <v>502</v>
      </c>
      <c r="G48" s="145" t="s">
        <v>620</v>
      </c>
      <c r="H48" s="145">
        <v>49</v>
      </c>
      <c r="I48" s="146">
        <v>1651</v>
      </c>
      <c r="J48" s="145" t="s">
        <v>338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504</v>
      </c>
    </row>
    <row r="49" spans="1:36">
      <c r="A49" s="145" t="s">
        <v>621</v>
      </c>
      <c r="B49" s="145" t="s">
        <v>562</v>
      </c>
      <c r="C49" s="145" t="s">
        <v>498</v>
      </c>
      <c r="D49" s="145" t="s">
        <v>500</v>
      </c>
      <c r="E49" s="145">
        <v>26</v>
      </c>
      <c r="F49" s="145" t="s">
        <v>502</v>
      </c>
      <c r="G49" s="145" t="s">
        <v>200</v>
      </c>
      <c r="H49" s="145">
        <v>19</v>
      </c>
      <c r="I49" s="146">
        <v>2556.6666666666665</v>
      </c>
      <c r="J49" s="145" t="s">
        <v>622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504</v>
      </c>
    </row>
    <row r="50" spans="1:36">
      <c r="A50" s="145" t="s">
        <v>623</v>
      </c>
      <c r="B50" s="145" t="s">
        <v>497</v>
      </c>
      <c r="C50" s="145" t="s">
        <v>498</v>
      </c>
      <c r="D50" s="145" t="s">
        <v>500</v>
      </c>
      <c r="E50" s="145">
        <v>26</v>
      </c>
      <c r="F50" s="145" t="s">
        <v>502</v>
      </c>
      <c r="G50" s="145" t="s">
        <v>200</v>
      </c>
      <c r="H50" s="145">
        <v>19</v>
      </c>
      <c r="I50" s="146">
        <v>1712.33</v>
      </c>
      <c r="J50" s="145" t="s">
        <v>338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504</v>
      </c>
    </row>
    <row r="51" spans="1:36">
      <c r="A51" s="145" t="s">
        <v>625</v>
      </c>
      <c r="B51" s="145" t="s">
        <v>497</v>
      </c>
      <c r="C51" s="145" t="s">
        <v>498</v>
      </c>
      <c r="D51" s="145" t="s">
        <v>500</v>
      </c>
      <c r="E51" s="145">
        <v>15</v>
      </c>
      <c r="F51" s="145" t="s">
        <v>502</v>
      </c>
      <c r="G51" s="145" t="s">
        <v>122</v>
      </c>
      <c r="H51" s="145">
        <v>31</v>
      </c>
      <c r="I51" s="146">
        <v>1290</v>
      </c>
      <c r="J51" s="145" t="s">
        <v>338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504</v>
      </c>
    </row>
    <row r="52" spans="1:36">
      <c r="A52" s="145" t="s">
        <v>627</v>
      </c>
      <c r="B52" s="145" t="s">
        <v>497</v>
      </c>
      <c r="C52" s="145" t="s">
        <v>498</v>
      </c>
      <c r="D52" s="145" t="s">
        <v>607</v>
      </c>
      <c r="E52" s="145">
        <v>18</v>
      </c>
      <c r="F52" s="145" t="s">
        <v>555</v>
      </c>
      <c r="G52" s="145" t="s">
        <v>205</v>
      </c>
      <c r="H52" s="145">
        <v>14</v>
      </c>
      <c r="I52" s="146">
        <v>901.66666666666663</v>
      </c>
      <c r="J52" s="145" t="s">
        <v>338</v>
      </c>
      <c r="K52" s="145" t="s">
        <v>338</v>
      </c>
      <c r="L52" s="145" t="s">
        <v>338</v>
      </c>
      <c r="M52" s="145" t="s">
        <v>338</v>
      </c>
      <c r="N52" s="145" t="s">
        <v>338</v>
      </c>
      <c r="O52" s="145" t="s">
        <v>338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504</v>
      </c>
    </row>
    <row r="53" spans="1:36">
      <c r="A53" s="145" t="s">
        <v>628</v>
      </c>
      <c r="B53" s="145" t="s">
        <v>497</v>
      </c>
      <c r="C53" s="145" t="s">
        <v>498</v>
      </c>
      <c r="D53" s="145" t="s">
        <v>338</v>
      </c>
      <c r="E53" s="145">
        <v>120</v>
      </c>
      <c r="F53" s="145" t="s">
        <v>502</v>
      </c>
      <c r="G53" s="145" t="s">
        <v>246</v>
      </c>
      <c r="H53" s="145">
        <v>3</v>
      </c>
      <c r="I53" s="146">
        <v>5728.666666666667</v>
      </c>
      <c r="J53" s="145" t="s">
        <v>338</v>
      </c>
      <c r="K53" s="145" t="s">
        <v>338</v>
      </c>
      <c r="L53" s="145" t="s">
        <v>338</v>
      </c>
      <c r="M53" s="145" t="s">
        <v>338</v>
      </c>
      <c r="N53" s="145" t="s">
        <v>338</v>
      </c>
      <c r="O53" s="145" t="s">
        <v>338</v>
      </c>
      <c r="P53" s="145" t="s">
        <v>338</v>
      </c>
      <c r="Q53" s="145" t="s">
        <v>338</v>
      </c>
      <c r="R53" s="145" t="s">
        <v>338</v>
      </c>
      <c r="S53" s="145" t="s">
        <v>338</v>
      </c>
      <c r="T53" s="145" t="s">
        <v>338</v>
      </c>
      <c r="U53" s="145" t="s">
        <v>338</v>
      </c>
      <c r="V53" s="145" t="s">
        <v>338</v>
      </c>
      <c r="W53" s="145" t="s">
        <v>338</v>
      </c>
      <c r="X53" s="145" t="s">
        <v>338</v>
      </c>
      <c r="Y53" s="145" t="s">
        <v>338</v>
      </c>
      <c r="Z53" s="145" t="s">
        <v>338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504</v>
      </c>
    </row>
    <row r="54" spans="1:36">
      <c r="A54" s="145" t="s">
        <v>629</v>
      </c>
      <c r="B54" s="145" t="s">
        <v>497</v>
      </c>
      <c r="C54" s="145" t="s">
        <v>498</v>
      </c>
      <c r="D54" s="145" t="s">
        <v>500</v>
      </c>
      <c r="E54" s="145">
        <v>26</v>
      </c>
      <c r="F54" s="145" t="s">
        <v>502</v>
      </c>
      <c r="G54" s="145" t="s">
        <v>204</v>
      </c>
      <c r="H54" s="145">
        <v>15</v>
      </c>
      <c r="I54" s="146">
        <v>1827.3333333333333</v>
      </c>
      <c r="J54" s="145" t="s">
        <v>338</v>
      </c>
      <c r="K54" s="145" t="s">
        <v>338</v>
      </c>
      <c r="L54" s="145" t="s">
        <v>338</v>
      </c>
      <c r="M54" s="145" t="s">
        <v>338</v>
      </c>
      <c r="N54" s="145" t="s">
        <v>338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504</v>
      </c>
    </row>
    <row r="55" spans="1:36">
      <c r="A55" s="145" t="s">
        <v>630</v>
      </c>
      <c r="B55" s="145" t="s">
        <v>497</v>
      </c>
      <c r="C55" s="145" t="s">
        <v>498</v>
      </c>
      <c r="D55" s="145" t="s">
        <v>500</v>
      </c>
      <c r="E55" s="145">
        <v>22</v>
      </c>
      <c r="F55" s="145" t="s">
        <v>502</v>
      </c>
      <c r="G55" s="145" t="s">
        <v>242</v>
      </c>
      <c r="H55" s="145">
        <v>7</v>
      </c>
      <c r="I55" s="146">
        <v>2498</v>
      </c>
      <c r="J55" s="145" t="s">
        <v>338</v>
      </c>
      <c r="K55" s="145" t="s">
        <v>338</v>
      </c>
      <c r="L55" s="145" t="s">
        <v>338</v>
      </c>
      <c r="M55" s="145" t="s">
        <v>338</v>
      </c>
      <c r="N55" s="145" t="s">
        <v>338</v>
      </c>
      <c r="O55" s="145" t="s">
        <v>338</v>
      </c>
      <c r="P55" s="145" t="s">
        <v>338</v>
      </c>
      <c r="Q55" s="145" t="s">
        <v>338</v>
      </c>
      <c r="R55" s="145" t="s">
        <v>338</v>
      </c>
      <c r="S55" s="145" t="s">
        <v>338</v>
      </c>
      <c r="T55" s="145" t="s">
        <v>338</v>
      </c>
      <c r="U55" s="145" t="s">
        <v>338</v>
      </c>
      <c r="V55" s="145" t="s">
        <v>338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504</v>
      </c>
    </row>
    <row r="56" spans="1:36">
      <c r="A56" s="145" t="s">
        <v>631</v>
      </c>
      <c r="B56" s="145" t="s">
        <v>562</v>
      </c>
      <c r="C56" s="145" t="s">
        <v>632</v>
      </c>
      <c r="D56" s="145" t="s">
        <v>338</v>
      </c>
      <c r="E56" s="145" t="s">
        <v>338</v>
      </c>
      <c r="F56" s="145" t="s">
        <v>635</v>
      </c>
      <c r="G56" s="145" t="s">
        <v>634</v>
      </c>
      <c r="H56" s="145">
        <v>63</v>
      </c>
      <c r="I56" s="146">
        <v>1330</v>
      </c>
      <c r="J56" s="145" t="s">
        <v>622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504</v>
      </c>
    </row>
    <row r="57" spans="1:36">
      <c r="A57" s="145" t="s">
        <v>639</v>
      </c>
      <c r="B57" s="145" t="s">
        <v>497</v>
      </c>
      <c r="C57" s="145" t="s">
        <v>498</v>
      </c>
      <c r="D57" s="145" t="s">
        <v>500</v>
      </c>
      <c r="E57" s="145">
        <v>42</v>
      </c>
      <c r="F57" s="145" t="s">
        <v>502</v>
      </c>
      <c r="G57" s="145" t="s">
        <v>200</v>
      </c>
      <c r="H57" s="145">
        <v>19</v>
      </c>
      <c r="I57" s="146">
        <v>1861.6666666666667</v>
      </c>
      <c r="J57" s="145" t="s">
        <v>338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504</v>
      </c>
    </row>
    <row r="58" spans="1:36">
      <c r="A58" s="145" t="s">
        <v>641</v>
      </c>
      <c r="B58" s="145" t="s">
        <v>497</v>
      </c>
      <c r="C58" s="145" t="s">
        <v>498</v>
      </c>
      <c r="D58" s="145" t="s">
        <v>500</v>
      </c>
      <c r="E58" s="145">
        <v>16</v>
      </c>
      <c r="F58" s="145" t="s">
        <v>502</v>
      </c>
      <c r="G58" s="145" t="s">
        <v>132</v>
      </c>
      <c r="H58" s="145">
        <v>21</v>
      </c>
      <c r="I58" s="146">
        <v>1218.3333333333333</v>
      </c>
      <c r="J58" s="145" t="s">
        <v>338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504</v>
      </c>
    </row>
    <row r="59" spans="1:36">
      <c r="A59" s="145" t="s">
        <v>642</v>
      </c>
      <c r="B59" s="145" t="s">
        <v>497</v>
      </c>
      <c r="C59" s="145" t="s">
        <v>498</v>
      </c>
      <c r="D59" s="145" t="s">
        <v>616</v>
      </c>
      <c r="E59" s="145">
        <v>26</v>
      </c>
      <c r="F59" s="145" t="s">
        <v>502</v>
      </c>
      <c r="G59" s="145" t="s">
        <v>211</v>
      </c>
      <c r="H59" s="145">
        <v>8</v>
      </c>
      <c r="I59" s="146">
        <v>1709.3333333333333</v>
      </c>
      <c r="J59" s="145" t="s">
        <v>338</v>
      </c>
      <c r="K59" s="145" t="s">
        <v>338</v>
      </c>
      <c r="L59" s="145" t="s">
        <v>338</v>
      </c>
      <c r="M59" s="145" t="s">
        <v>338</v>
      </c>
      <c r="N59" s="145" t="s">
        <v>338</v>
      </c>
      <c r="O59" s="145" t="s">
        <v>338</v>
      </c>
      <c r="P59" s="145" t="s">
        <v>338</v>
      </c>
      <c r="Q59" s="145" t="s">
        <v>338</v>
      </c>
      <c r="R59" s="145" t="s">
        <v>338</v>
      </c>
      <c r="S59" s="145" t="s">
        <v>338</v>
      </c>
      <c r="T59" s="145" t="s">
        <v>338</v>
      </c>
      <c r="U59" s="145" t="s">
        <v>338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504</v>
      </c>
    </row>
    <row r="60" spans="1:36">
      <c r="A60" s="145" t="s">
        <v>644</v>
      </c>
      <c r="B60" s="145" t="s">
        <v>497</v>
      </c>
      <c r="C60" s="145" t="s">
        <v>498</v>
      </c>
      <c r="D60" s="145" t="s">
        <v>500</v>
      </c>
      <c r="E60" s="145">
        <v>32</v>
      </c>
      <c r="F60" s="145" t="s">
        <v>502</v>
      </c>
      <c r="G60" s="145" t="s">
        <v>242</v>
      </c>
      <c r="H60" s="145">
        <v>7</v>
      </c>
      <c r="I60" s="146">
        <v>1838.3333333333333</v>
      </c>
      <c r="J60" s="145" t="s">
        <v>338</v>
      </c>
      <c r="K60" s="145" t="s">
        <v>338</v>
      </c>
      <c r="L60" s="145" t="s">
        <v>338</v>
      </c>
      <c r="M60" s="145" t="s">
        <v>338</v>
      </c>
      <c r="N60" s="145" t="s">
        <v>338</v>
      </c>
      <c r="O60" s="145" t="s">
        <v>338</v>
      </c>
      <c r="P60" s="145" t="s">
        <v>338</v>
      </c>
      <c r="Q60" s="145" t="s">
        <v>338</v>
      </c>
      <c r="R60" s="145" t="s">
        <v>338</v>
      </c>
      <c r="S60" s="145" t="s">
        <v>338</v>
      </c>
      <c r="T60" s="145" t="s">
        <v>338</v>
      </c>
      <c r="U60" s="145" t="s">
        <v>338</v>
      </c>
      <c r="V60" s="145" t="s">
        <v>338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504</v>
      </c>
    </row>
    <row r="61" spans="1:36">
      <c r="A61" s="145" t="s">
        <v>645</v>
      </c>
      <c r="B61" s="145" t="s">
        <v>497</v>
      </c>
      <c r="C61" s="145" t="s">
        <v>498</v>
      </c>
      <c r="D61" s="145" t="s">
        <v>500</v>
      </c>
      <c r="E61" s="145">
        <v>15</v>
      </c>
      <c r="F61" s="145" t="s">
        <v>502</v>
      </c>
      <c r="G61" s="145" t="s">
        <v>132</v>
      </c>
      <c r="H61" s="145">
        <v>21</v>
      </c>
      <c r="I61" s="146">
        <v>1208</v>
      </c>
      <c r="J61" s="145" t="s">
        <v>338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504</v>
      </c>
    </row>
    <row r="62" spans="1:36">
      <c r="A62" s="145" t="s">
        <v>646</v>
      </c>
      <c r="B62" s="145" t="s">
        <v>497</v>
      </c>
      <c r="C62" s="145" t="s">
        <v>498</v>
      </c>
      <c r="D62" s="145" t="s">
        <v>500</v>
      </c>
      <c r="E62" s="145">
        <v>16</v>
      </c>
      <c r="F62" s="145" t="s">
        <v>502</v>
      </c>
      <c r="G62" s="145" t="s">
        <v>122</v>
      </c>
      <c r="H62" s="145">
        <v>31</v>
      </c>
      <c r="I62" s="146">
        <v>1169.3333333333333</v>
      </c>
      <c r="J62" s="145" t="s">
        <v>338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504</v>
      </c>
    </row>
    <row r="63" spans="1:36">
      <c r="A63" s="145" t="s">
        <v>647</v>
      </c>
      <c r="B63" s="145" t="s">
        <v>497</v>
      </c>
      <c r="C63" s="145" t="s">
        <v>498</v>
      </c>
      <c r="D63" s="145" t="s">
        <v>500</v>
      </c>
      <c r="E63" s="145">
        <v>44</v>
      </c>
      <c r="F63" s="145" t="s">
        <v>502</v>
      </c>
      <c r="G63" s="145" t="s">
        <v>245</v>
      </c>
      <c r="H63" s="145">
        <v>4</v>
      </c>
      <c r="I63" s="146">
        <v>2637</v>
      </c>
      <c r="J63" s="145" t="s">
        <v>338</v>
      </c>
      <c r="K63" s="145" t="s">
        <v>338</v>
      </c>
      <c r="L63" s="145" t="s">
        <v>338</v>
      </c>
      <c r="M63" s="145" t="s">
        <v>338</v>
      </c>
      <c r="N63" s="145" t="s">
        <v>338</v>
      </c>
      <c r="O63" s="145" t="s">
        <v>338</v>
      </c>
      <c r="P63" s="145" t="s">
        <v>338</v>
      </c>
      <c r="Q63" s="145" t="s">
        <v>338</v>
      </c>
      <c r="R63" s="145" t="s">
        <v>338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504</v>
      </c>
    </row>
    <row r="64" spans="1:36">
      <c r="A64" s="145" t="s">
        <v>649</v>
      </c>
      <c r="B64" s="145" t="s">
        <v>497</v>
      </c>
      <c r="C64" s="145" t="s">
        <v>498</v>
      </c>
      <c r="D64" s="145" t="s">
        <v>500</v>
      </c>
      <c r="E64" s="145">
        <v>13</v>
      </c>
      <c r="F64" s="145" t="s">
        <v>502</v>
      </c>
      <c r="G64" s="145" t="s">
        <v>132</v>
      </c>
      <c r="H64" s="145">
        <v>21</v>
      </c>
      <c r="I64" s="146">
        <v>1237</v>
      </c>
      <c r="J64" s="145" t="s">
        <v>338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338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504</v>
      </c>
    </row>
    <row r="65" spans="1:36">
      <c r="A65" s="145" t="s">
        <v>650</v>
      </c>
      <c r="B65" s="145" t="s">
        <v>19</v>
      </c>
      <c r="C65" s="145" t="s">
        <v>498</v>
      </c>
      <c r="D65" s="145" t="s">
        <v>616</v>
      </c>
      <c r="E65" s="145">
        <v>51</v>
      </c>
      <c r="F65" s="145" t="s">
        <v>502</v>
      </c>
      <c r="G65" s="145" t="s">
        <v>244</v>
      </c>
      <c r="H65" s="145">
        <v>5</v>
      </c>
      <c r="I65" s="146">
        <v>2178.3333333333335</v>
      </c>
      <c r="J65" s="145" t="s">
        <v>338</v>
      </c>
      <c r="K65" s="145" t="s">
        <v>338</v>
      </c>
      <c r="L65" s="145" t="s">
        <v>338</v>
      </c>
      <c r="M65" s="145" t="s">
        <v>338</v>
      </c>
      <c r="N65" s="145" t="s">
        <v>338</v>
      </c>
      <c r="O65" s="145" t="s">
        <v>338</v>
      </c>
      <c r="P65" s="145" t="s">
        <v>338</v>
      </c>
      <c r="Q65" s="145" t="s">
        <v>338</v>
      </c>
      <c r="R65" s="145" t="s">
        <v>338</v>
      </c>
      <c r="S65" s="145" t="s">
        <v>338</v>
      </c>
      <c r="T65" s="145" t="s">
        <v>338</v>
      </c>
      <c r="U65" s="145" t="s">
        <v>338</v>
      </c>
      <c r="V65" s="145" t="s">
        <v>338</v>
      </c>
      <c r="W65" s="145" t="s">
        <v>338</v>
      </c>
      <c r="X65" s="145" t="s">
        <v>338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504</v>
      </c>
    </row>
    <row r="66" spans="1:36">
      <c r="A66" s="145" t="s">
        <v>654</v>
      </c>
      <c r="B66" s="145" t="s">
        <v>497</v>
      </c>
      <c r="C66" s="145" t="s">
        <v>498</v>
      </c>
      <c r="D66" s="145" t="s">
        <v>500</v>
      </c>
      <c r="E66" s="145">
        <v>22</v>
      </c>
      <c r="F66" s="145" t="s">
        <v>502</v>
      </c>
      <c r="G66" s="145" t="s">
        <v>655</v>
      </c>
      <c r="H66" s="145">
        <v>41</v>
      </c>
      <c r="I66" s="146">
        <v>1340.3333333333333</v>
      </c>
      <c r="J66" s="145" t="s">
        <v>338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504</v>
      </c>
    </row>
    <row r="67" spans="1:36">
      <c r="A67" s="145" t="s">
        <v>656</v>
      </c>
      <c r="B67" s="145" t="s">
        <v>562</v>
      </c>
      <c r="C67" s="145" t="s">
        <v>657</v>
      </c>
      <c r="D67" s="145" t="s">
        <v>338</v>
      </c>
      <c r="E67" s="145" t="s">
        <v>338</v>
      </c>
      <c r="F67" s="145" t="s">
        <v>635</v>
      </c>
      <c r="G67" s="145" t="s">
        <v>620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338</v>
      </c>
      <c r="Y67" s="145" t="s">
        <v>338</v>
      </c>
      <c r="Z67" s="145" t="s">
        <v>338</v>
      </c>
      <c r="AA67" s="145" t="s">
        <v>338</v>
      </c>
      <c r="AB67" s="145" t="s">
        <v>338</v>
      </c>
      <c r="AC67" s="145" t="s">
        <v>338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505</v>
      </c>
    </row>
    <row r="68" spans="1:36">
      <c r="A68" s="145" t="s">
        <v>658</v>
      </c>
      <c r="B68" s="145" t="s">
        <v>497</v>
      </c>
      <c r="C68" s="145" t="s">
        <v>498</v>
      </c>
      <c r="D68" s="145" t="s">
        <v>500</v>
      </c>
      <c r="E68" s="145">
        <v>19</v>
      </c>
      <c r="F68" s="145" t="s">
        <v>502</v>
      </c>
      <c r="G68" s="145" t="s">
        <v>208</v>
      </c>
      <c r="H68" s="145">
        <v>11</v>
      </c>
      <c r="I68" s="146">
        <v>1335</v>
      </c>
      <c r="J68" s="145" t="s">
        <v>338</v>
      </c>
      <c r="K68" s="145" t="s">
        <v>338</v>
      </c>
      <c r="L68" s="145" t="s">
        <v>338</v>
      </c>
      <c r="M68" s="145" t="s">
        <v>338</v>
      </c>
      <c r="N68" s="145" t="s">
        <v>338</v>
      </c>
      <c r="O68" s="145" t="s">
        <v>338</v>
      </c>
      <c r="P68" s="145" t="s">
        <v>338</v>
      </c>
      <c r="Q68" s="145" t="s">
        <v>338</v>
      </c>
      <c r="R68" s="145" t="s">
        <v>338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504</v>
      </c>
    </row>
    <row r="69" spans="1:36">
      <c r="A69" s="145" t="s">
        <v>659</v>
      </c>
      <c r="B69" s="145" t="s">
        <v>497</v>
      </c>
      <c r="C69" s="145" t="s">
        <v>498</v>
      </c>
      <c r="D69" s="145" t="s">
        <v>500</v>
      </c>
      <c r="E69" s="145">
        <v>17</v>
      </c>
      <c r="F69" s="145" t="s">
        <v>555</v>
      </c>
      <c r="G69" s="145" t="s">
        <v>127</v>
      </c>
      <c r="H69" s="145">
        <v>26</v>
      </c>
      <c r="I69" s="146">
        <v>1129.3333333333333</v>
      </c>
      <c r="J69" s="145" t="s">
        <v>338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504</v>
      </c>
    </row>
    <row r="70" spans="1:36">
      <c r="A70" s="145" t="s">
        <v>660</v>
      </c>
      <c r="B70" s="145" t="s">
        <v>497</v>
      </c>
      <c r="C70" s="145" t="s">
        <v>498</v>
      </c>
      <c r="D70" s="145" t="s">
        <v>616</v>
      </c>
      <c r="E70" s="145">
        <v>21</v>
      </c>
      <c r="F70" s="145" t="s">
        <v>502</v>
      </c>
      <c r="G70" s="145" t="s">
        <v>201</v>
      </c>
      <c r="H70" s="145">
        <v>18</v>
      </c>
      <c r="I70" s="146">
        <v>1011.3333333333334</v>
      </c>
      <c r="J70" s="145" t="s">
        <v>338</v>
      </c>
      <c r="K70" s="145" t="s">
        <v>338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504</v>
      </c>
    </row>
    <row r="71" spans="1:36">
      <c r="A71" s="145" t="s">
        <v>661</v>
      </c>
      <c r="B71" s="145" t="s">
        <v>497</v>
      </c>
      <c r="C71" s="145" t="s">
        <v>498</v>
      </c>
      <c r="D71" s="145" t="s">
        <v>500</v>
      </c>
      <c r="E71" s="145">
        <v>11</v>
      </c>
      <c r="F71" s="145" t="s">
        <v>502</v>
      </c>
      <c r="G71" s="145" t="s">
        <v>200</v>
      </c>
      <c r="H71" s="145">
        <v>19</v>
      </c>
      <c r="I71" s="146">
        <v>922</v>
      </c>
      <c r="J71" s="145" t="s">
        <v>338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504</v>
      </c>
    </row>
    <row r="72" spans="1:36">
      <c r="A72" s="145" t="s">
        <v>662</v>
      </c>
      <c r="B72" s="145" t="s">
        <v>497</v>
      </c>
      <c r="C72" s="145" t="s">
        <v>498</v>
      </c>
      <c r="D72" s="145" t="s">
        <v>500</v>
      </c>
      <c r="E72" s="145">
        <v>17</v>
      </c>
      <c r="F72" s="145" t="s">
        <v>502</v>
      </c>
      <c r="G72" s="145" t="s">
        <v>208</v>
      </c>
      <c r="H72" s="145">
        <v>11</v>
      </c>
      <c r="I72" s="146">
        <v>1143.3333333333333</v>
      </c>
      <c r="J72" s="145" t="s">
        <v>338</v>
      </c>
      <c r="K72" s="145" t="s">
        <v>338</v>
      </c>
      <c r="L72" s="145" t="s">
        <v>338</v>
      </c>
      <c r="M72" s="145" t="s">
        <v>338</v>
      </c>
      <c r="N72" s="145" t="s">
        <v>338</v>
      </c>
      <c r="O72" s="145" t="s">
        <v>338</v>
      </c>
      <c r="P72" s="145" t="s">
        <v>338</v>
      </c>
      <c r="Q72" s="145" t="s">
        <v>338</v>
      </c>
      <c r="R72" s="145" t="s">
        <v>338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504</v>
      </c>
    </row>
    <row r="73" spans="1:36">
      <c r="A73" s="145" t="s">
        <v>663</v>
      </c>
      <c r="B73" s="145" t="s">
        <v>497</v>
      </c>
      <c r="C73" s="145" t="s">
        <v>498</v>
      </c>
      <c r="D73" s="145" t="s">
        <v>500</v>
      </c>
      <c r="E73" s="145">
        <v>32</v>
      </c>
      <c r="F73" s="145" t="s">
        <v>502</v>
      </c>
      <c r="G73" s="145" t="s">
        <v>244</v>
      </c>
      <c r="H73" s="145">
        <v>5</v>
      </c>
      <c r="I73" s="146">
        <v>1993</v>
      </c>
      <c r="J73" s="145" t="s">
        <v>338</v>
      </c>
      <c r="K73" s="145" t="s">
        <v>338</v>
      </c>
      <c r="L73" s="145" t="s">
        <v>338</v>
      </c>
      <c r="M73" s="145" t="s">
        <v>338</v>
      </c>
      <c r="N73" s="145" t="s">
        <v>338</v>
      </c>
      <c r="O73" s="145" t="s">
        <v>338</v>
      </c>
      <c r="P73" s="145" t="s">
        <v>338</v>
      </c>
      <c r="Q73" s="145" t="s">
        <v>338</v>
      </c>
      <c r="R73" s="145" t="s">
        <v>338</v>
      </c>
      <c r="S73" s="145" t="s">
        <v>338</v>
      </c>
      <c r="T73" s="145" t="s">
        <v>338</v>
      </c>
      <c r="U73" s="145" t="s">
        <v>338</v>
      </c>
      <c r="V73" s="145" t="s">
        <v>338</v>
      </c>
      <c r="W73" s="145" t="s">
        <v>338</v>
      </c>
      <c r="X73" s="145" t="s">
        <v>338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504</v>
      </c>
    </row>
    <row r="74" spans="1:36">
      <c r="A74" s="145" t="s">
        <v>666</v>
      </c>
      <c r="B74" s="145" t="s">
        <v>497</v>
      </c>
      <c r="C74" s="145" t="s">
        <v>632</v>
      </c>
      <c r="D74" s="145" t="s">
        <v>338</v>
      </c>
      <c r="E74" s="145" t="s">
        <v>338</v>
      </c>
      <c r="F74" s="145" t="s">
        <v>668</v>
      </c>
      <c r="G74" s="145" t="s">
        <v>634</v>
      </c>
      <c r="H74" s="145">
        <v>63</v>
      </c>
      <c r="I74" s="146">
        <v>995</v>
      </c>
      <c r="J74" s="145" t="s">
        <v>338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504</v>
      </c>
    </row>
    <row r="75" spans="1:36">
      <c r="A75" s="145" t="s">
        <v>670</v>
      </c>
      <c r="B75" s="145" t="s">
        <v>497</v>
      </c>
      <c r="C75" s="145" t="s">
        <v>498</v>
      </c>
      <c r="D75" s="145" t="s">
        <v>616</v>
      </c>
      <c r="E75" s="145">
        <v>37</v>
      </c>
      <c r="F75" s="145" t="s">
        <v>502</v>
      </c>
      <c r="G75" s="145" t="s">
        <v>243</v>
      </c>
      <c r="H75" s="145">
        <v>6</v>
      </c>
      <c r="I75" s="146">
        <v>2082</v>
      </c>
      <c r="J75" s="145" t="s">
        <v>338</v>
      </c>
      <c r="K75" s="145" t="s">
        <v>338</v>
      </c>
      <c r="L75" s="145" t="s">
        <v>338</v>
      </c>
      <c r="M75" s="145" t="s">
        <v>338</v>
      </c>
      <c r="N75" s="145" t="s">
        <v>338</v>
      </c>
      <c r="O75" s="145" t="s">
        <v>338</v>
      </c>
      <c r="P75" s="145" t="s">
        <v>338</v>
      </c>
      <c r="Q75" s="145" t="s">
        <v>338</v>
      </c>
      <c r="R75" s="145" t="s">
        <v>338</v>
      </c>
      <c r="S75" s="145" t="s">
        <v>338</v>
      </c>
      <c r="T75" s="145" t="s">
        <v>338</v>
      </c>
      <c r="U75" s="145" t="s">
        <v>338</v>
      </c>
      <c r="V75" s="145" t="s">
        <v>338</v>
      </c>
      <c r="W75" s="145" t="s">
        <v>338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504</v>
      </c>
    </row>
    <row r="76" spans="1:36">
      <c r="A76" s="145" t="s">
        <v>671</v>
      </c>
      <c r="B76" s="145" t="s">
        <v>497</v>
      </c>
      <c r="C76" s="145" t="s">
        <v>498</v>
      </c>
      <c r="D76" s="145" t="s">
        <v>500</v>
      </c>
      <c r="E76" s="145">
        <v>19</v>
      </c>
      <c r="F76" s="145" t="s">
        <v>502</v>
      </c>
      <c r="G76" s="145" t="s">
        <v>548</v>
      </c>
      <c r="H76" s="145">
        <v>34</v>
      </c>
      <c r="I76" s="146">
        <v>1460.6666666666667</v>
      </c>
      <c r="J76" s="145" t="s">
        <v>338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504</v>
      </c>
    </row>
    <row r="77" spans="1:36">
      <c r="A77" s="145" t="s">
        <v>672</v>
      </c>
      <c r="B77" s="145" t="s">
        <v>497</v>
      </c>
      <c r="C77" s="145" t="s">
        <v>498</v>
      </c>
      <c r="D77" s="145" t="s">
        <v>500</v>
      </c>
      <c r="E77" s="145">
        <v>28</v>
      </c>
      <c r="F77" s="145" t="s">
        <v>502</v>
      </c>
      <c r="G77" s="145" t="s">
        <v>207</v>
      </c>
      <c r="H77" s="145">
        <v>12</v>
      </c>
      <c r="I77" s="146">
        <v>1231.6666666666667</v>
      </c>
      <c r="J77" s="145" t="s">
        <v>338</v>
      </c>
      <c r="K77" s="145" t="s">
        <v>338</v>
      </c>
      <c r="L77" s="145" t="s">
        <v>338</v>
      </c>
      <c r="M77" s="145" t="s">
        <v>338</v>
      </c>
      <c r="N77" s="145" t="s">
        <v>338</v>
      </c>
      <c r="O77" s="145" t="s">
        <v>338</v>
      </c>
      <c r="P77" s="145" t="s">
        <v>338</v>
      </c>
      <c r="Q77" s="145" t="s">
        <v>338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504</v>
      </c>
    </row>
    <row r="78" spans="1:36">
      <c r="A78" s="145" t="s">
        <v>673</v>
      </c>
      <c r="B78" s="145" t="s">
        <v>497</v>
      </c>
      <c r="C78" s="145" t="s">
        <v>498</v>
      </c>
      <c r="D78" s="145" t="s">
        <v>500</v>
      </c>
      <c r="E78" s="145">
        <v>13</v>
      </c>
      <c r="F78" s="145" t="s">
        <v>502</v>
      </c>
      <c r="G78" s="145" t="s">
        <v>200</v>
      </c>
      <c r="H78" s="145">
        <v>19</v>
      </c>
      <c r="I78" s="146">
        <v>1125</v>
      </c>
      <c r="J78" s="145" t="s">
        <v>338</v>
      </c>
      <c r="K78" s="145" t="s">
        <v>338</v>
      </c>
      <c r="L78" s="145" t="s">
        <v>338</v>
      </c>
      <c r="M78" s="145" t="s">
        <v>338</v>
      </c>
      <c r="N78" s="145" t="s">
        <v>338</v>
      </c>
      <c r="O78" s="145" t="s">
        <v>338</v>
      </c>
      <c r="P78" s="145" t="s">
        <v>338</v>
      </c>
      <c r="Q78" s="145" t="s">
        <v>338</v>
      </c>
      <c r="R78" s="145" t="s">
        <v>338</v>
      </c>
      <c r="S78" s="145" t="s">
        <v>338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504</v>
      </c>
    </row>
    <row r="79" spans="1:36">
      <c r="A79" s="145" t="s">
        <v>674</v>
      </c>
      <c r="B79" s="145" t="s">
        <v>497</v>
      </c>
      <c r="C79" s="145" t="s">
        <v>498</v>
      </c>
      <c r="D79" s="145" t="s">
        <v>500</v>
      </c>
      <c r="E79" s="145">
        <v>14</v>
      </c>
      <c r="F79" s="145" t="s">
        <v>502</v>
      </c>
      <c r="G79" s="145" t="s">
        <v>243</v>
      </c>
      <c r="H79" s="145">
        <v>6</v>
      </c>
      <c r="I79" s="146">
        <v>1696</v>
      </c>
      <c r="J79" s="145" t="s">
        <v>338</v>
      </c>
      <c r="K79" s="145" t="s">
        <v>338</v>
      </c>
      <c r="L79" s="145" t="s">
        <v>338</v>
      </c>
      <c r="M79" s="145" t="s">
        <v>338</v>
      </c>
      <c r="N79" s="145" t="s">
        <v>338</v>
      </c>
      <c r="O79" s="145" t="s">
        <v>338</v>
      </c>
      <c r="P79" s="145" t="s">
        <v>338</v>
      </c>
      <c r="Q79" s="145" t="s">
        <v>338</v>
      </c>
      <c r="R79" s="145" t="s">
        <v>338</v>
      </c>
      <c r="S79" s="145" t="s">
        <v>338</v>
      </c>
      <c r="T79" s="145" t="s">
        <v>338</v>
      </c>
      <c r="U79" s="145" t="s">
        <v>338</v>
      </c>
      <c r="V79" s="145" t="s">
        <v>338</v>
      </c>
      <c r="W79" s="145" t="s">
        <v>338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504</v>
      </c>
    </row>
    <row r="80" spans="1:36">
      <c r="A80" s="145" t="s">
        <v>675</v>
      </c>
      <c r="B80" s="145" t="s">
        <v>497</v>
      </c>
      <c r="C80" s="145" t="s">
        <v>498</v>
      </c>
      <c r="D80" s="145" t="s">
        <v>500</v>
      </c>
      <c r="E80" s="145">
        <v>9</v>
      </c>
      <c r="F80" s="145" t="s">
        <v>502</v>
      </c>
      <c r="G80" s="145" t="s">
        <v>588</v>
      </c>
      <c r="H80" s="145">
        <v>32</v>
      </c>
      <c r="I80" s="146">
        <v>855</v>
      </c>
      <c r="J80" s="145" t="s">
        <v>338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504</v>
      </c>
    </row>
    <row r="81" spans="1:36">
      <c r="A81" s="145" t="s">
        <v>676</v>
      </c>
      <c r="B81" s="145" t="s">
        <v>497</v>
      </c>
      <c r="C81" s="145" t="s">
        <v>498</v>
      </c>
      <c r="D81" s="145" t="s">
        <v>500</v>
      </c>
      <c r="E81" s="145">
        <v>15</v>
      </c>
      <c r="F81" s="145" t="s">
        <v>502</v>
      </c>
      <c r="G81" s="145" t="s">
        <v>588</v>
      </c>
      <c r="H81" s="145">
        <v>32</v>
      </c>
      <c r="I81" s="146">
        <v>1100</v>
      </c>
      <c r="J81" s="145" t="s">
        <v>338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504</v>
      </c>
    </row>
    <row r="82" spans="1:36">
      <c r="A82" s="145" t="s">
        <v>677</v>
      </c>
      <c r="B82" s="145" t="s">
        <v>497</v>
      </c>
      <c r="C82" s="145" t="s">
        <v>678</v>
      </c>
      <c r="D82" s="145" t="s">
        <v>338</v>
      </c>
      <c r="E82" s="145">
        <v>14</v>
      </c>
      <c r="F82" s="145" t="s">
        <v>502</v>
      </c>
      <c r="G82" s="145" t="s">
        <v>200</v>
      </c>
      <c r="H82" s="145">
        <v>19</v>
      </c>
      <c r="I82" s="146">
        <v>828.66666666666663</v>
      </c>
      <c r="J82" s="145" t="s">
        <v>338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504</v>
      </c>
    </row>
    <row r="83" spans="1:36">
      <c r="A83" s="145" t="s">
        <v>683</v>
      </c>
      <c r="B83" s="145" t="s">
        <v>562</v>
      </c>
      <c r="C83" s="145" t="s">
        <v>498</v>
      </c>
      <c r="D83" s="145" t="s">
        <v>500</v>
      </c>
      <c r="E83" s="145">
        <v>13</v>
      </c>
      <c r="F83" s="145" t="s">
        <v>563</v>
      </c>
      <c r="G83" s="145" t="s">
        <v>133</v>
      </c>
      <c r="H83" s="145">
        <v>20</v>
      </c>
      <c r="I83" s="146">
        <v>1450</v>
      </c>
      <c r="J83" s="145" t="s">
        <v>338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338</v>
      </c>
      <c r="AB83" s="145" t="s">
        <v>338</v>
      </c>
      <c r="AC83" s="145" t="s">
        <v>338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505</v>
      </c>
    </row>
    <row r="84" spans="1:36">
      <c r="A84" s="145" t="s">
        <v>684</v>
      </c>
      <c r="B84" s="145" t="s">
        <v>497</v>
      </c>
      <c r="C84" s="145" t="s">
        <v>498</v>
      </c>
      <c r="D84" s="145" t="s">
        <v>607</v>
      </c>
      <c r="E84" s="145">
        <v>45</v>
      </c>
      <c r="F84" s="145" t="s">
        <v>502</v>
      </c>
      <c r="G84" s="145" t="s">
        <v>211</v>
      </c>
      <c r="H84" s="145">
        <v>8</v>
      </c>
      <c r="I84" s="146">
        <v>1280</v>
      </c>
      <c r="J84" s="145" t="s">
        <v>338</v>
      </c>
      <c r="K84" s="145" t="s">
        <v>338</v>
      </c>
      <c r="L84" s="145" t="s">
        <v>338</v>
      </c>
      <c r="M84" s="145" t="s">
        <v>338</v>
      </c>
      <c r="N84" s="145" t="s">
        <v>338</v>
      </c>
      <c r="O84" s="145" t="s">
        <v>338</v>
      </c>
      <c r="P84" s="145" t="s">
        <v>338</v>
      </c>
      <c r="Q84" s="145" t="s">
        <v>338</v>
      </c>
      <c r="R84" s="145" t="s">
        <v>338</v>
      </c>
      <c r="S84" s="145" t="s">
        <v>338</v>
      </c>
      <c r="T84" s="145" t="s">
        <v>338</v>
      </c>
      <c r="U84" s="145" t="s">
        <v>338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504</v>
      </c>
    </row>
    <row r="85" spans="1:36">
      <c r="A85" s="145" t="s">
        <v>685</v>
      </c>
      <c r="B85" s="145" t="s">
        <v>497</v>
      </c>
      <c r="C85" s="145" t="s">
        <v>498</v>
      </c>
      <c r="D85" s="145" t="s">
        <v>500</v>
      </c>
      <c r="E85" s="145">
        <v>14</v>
      </c>
      <c r="F85" s="145" t="s">
        <v>502</v>
      </c>
      <c r="G85" s="145" t="s">
        <v>122</v>
      </c>
      <c r="H85" s="145">
        <v>31</v>
      </c>
      <c r="I85" s="146">
        <v>1115</v>
      </c>
      <c r="J85" s="145" t="s">
        <v>338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504</v>
      </c>
    </row>
    <row r="86" spans="1:36">
      <c r="A86" s="145" t="s">
        <v>686</v>
      </c>
      <c r="B86" s="145" t="s">
        <v>562</v>
      </c>
      <c r="C86" s="145" t="s">
        <v>657</v>
      </c>
      <c r="D86" s="145" t="s">
        <v>338</v>
      </c>
      <c r="E86" s="145" t="s">
        <v>338</v>
      </c>
      <c r="F86" s="145" t="s">
        <v>635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338</v>
      </c>
      <c r="AA86" s="145" t="s">
        <v>338</v>
      </c>
      <c r="AB86" s="145" t="s">
        <v>338</v>
      </c>
      <c r="AC86" s="145" t="s">
        <v>338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505</v>
      </c>
    </row>
    <row r="87" spans="1:36">
      <c r="A87" s="145" t="s">
        <v>687</v>
      </c>
      <c r="B87" s="145" t="s">
        <v>497</v>
      </c>
      <c r="C87" s="145" t="s">
        <v>498</v>
      </c>
      <c r="D87" s="145" t="s">
        <v>500</v>
      </c>
      <c r="E87" s="145">
        <v>13</v>
      </c>
      <c r="F87" s="145" t="s">
        <v>502</v>
      </c>
      <c r="G87" s="145" t="s">
        <v>122</v>
      </c>
      <c r="H87" s="145">
        <v>31</v>
      </c>
      <c r="I87" s="146">
        <v>971.33333333333337</v>
      </c>
      <c r="J87" s="145" t="s">
        <v>338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504</v>
      </c>
    </row>
    <row r="88" spans="1:36">
      <c r="A88" s="145" t="s">
        <v>688</v>
      </c>
      <c r="B88" s="145" t="s">
        <v>562</v>
      </c>
      <c r="C88" s="145" t="s">
        <v>632</v>
      </c>
      <c r="D88" s="145" t="s">
        <v>338</v>
      </c>
      <c r="E88" s="145" t="s">
        <v>338</v>
      </c>
      <c r="F88" s="145" t="s">
        <v>635</v>
      </c>
      <c r="G88" s="145" t="s">
        <v>690</v>
      </c>
      <c r="H88" s="145">
        <v>45</v>
      </c>
      <c r="I88" s="146">
        <v>850</v>
      </c>
      <c r="J88" s="145" t="s">
        <v>622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504</v>
      </c>
    </row>
    <row r="89" spans="1:36">
      <c r="A89" s="145" t="s">
        <v>691</v>
      </c>
      <c r="B89" s="145" t="s">
        <v>497</v>
      </c>
      <c r="C89" s="145" t="s">
        <v>498</v>
      </c>
      <c r="D89" s="145" t="s">
        <v>500</v>
      </c>
      <c r="E89" s="145">
        <v>11</v>
      </c>
      <c r="F89" s="145" t="s">
        <v>502</v>
      </c>
      <c r="G89" s="145" t="s">
        <v>692</v>
      </c>
      <c r="H89" s="145">
        <v>39</v>
      </c>
      <c r="I89" s="146">
        <v>1038</v>
      </c>
      <c r="J89" s="145" t="s">
        <v>338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338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504</v>
      </c>
    </row>
    <row r="90" spans="1:36">
      <c r="A90" s="145" t="s">
        <v>693</v>
      </c>
      <c r="B90" s="145" t="s">
        <v>497</v>
      </c>
      <c r="C90" s="145" t="s">
        <v>498</v>
      </c>
      <c r="D90" s="145" t="s">
        <v>607</v>
      </c>
      <c r="E90" s="145">
        <v>21</v>
      </c>
      <c r="F90" s="145" t="s">
        <v>502</v>
      </c>
      <c r="G90" s="145" t="s">
        <v>133</v>
      </c>
      <c r="H90" s="145">
        <v>20</v>
      </c>
      <c r="I90" s="146">
        <v>1069.5</v>
      </c>
      <c r="J90" s="145" t="s">
        <v>338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504</v>
      </c>
    </row>
    <row r="91" spans="1:36">
      <c r="A91" s="145" t="s">
        <v>694</v>
      </c>
      <c r="B91" s="145" t="s">
        <v>497</v>
      </c>
      <c r="C91" s="145" t="s">
        <v>498</v>
      </c>
      <c r="D91" s="145" t="s">
        <v>500</v>
      </c>
      <c r="E91" s="145">
        <v>19</v>
      </c>
      <c r="F91" s="145" t="s">
        <v>502</v>
      </c>
      <c r="G91" s="145" t="s">
        <v>202</v>
      </c>
      <c r="H91" s="145">
        <v>17</v>
      </c>
      <c r="I91" s="146">
        <v>1105.6666666666667</v>
      </c>
      <c r="J91" s="145" t="s">
        <v>338</v>
      </c>
      <c r="K91" s="145" t="s">
        <v>338</v>
      </c>
      <c r="L91" s="145" t="s">
        <v>338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504</v>
      </c>
    </row>
    <row r="92" spans="1:36">
      <c r="A92" s="145" t="s">
        <v>695</v>
      </c>
      <c r="B92" s="145" t="s">
        <v>497</v>
      </c>
      <c r="C92" s="145" t="s">
        <v>498</v>
      </c>
      <c r="D92" s="145" t="s">
        <v>500</v>
      </c>
      <c r="E92" s="145">
        <v>19</v>
      </c>
      <c r="F92" s="145" t="s">
        <v>502</v>
      </c>
      <c r="G92" s="145" t="s">
        <v>203</v>
      </c>
      <c r="H92" s="145">
        <v>16</v>
      </c>
      <c r="I92" s="146">
        <v>1076.6666666666667</v>
      </c>
      <c r="J92" s="145" t="s">
        <v>338</v>
      </c>
      <c r="K92" s="145" t="s">
        <v>338</v>
      </c>
      <c r="L92" s="145" t="s">
        <v>338</v>
      </c>
      <c r="M92" s="145" t="s">
        <v>338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504</v>
      </c>
    </row>
    <row r="93" spans="1:36">
      <c r="A93" s="145" t="s">
        <v>696</v>
      </c>
      <c r="B93" s="145" t="s">
        <v>497</v>
      </c>
      <c r="C93" s="145" t="s">
        <v>498</v>
      </c>
      <c r="D93" s="145" t="s">
        <v>500</v>
      </c>
      <c r="E93" s="145">
        <v>9</v>
      </c>
      <c r="F93" s="145" t="s">
        <v>555</v>
      </c>
      <c r="G93" s="145" t="s">
        <v>210</v>
      </c>
      <c r="H93" s="145">
        <v>9</v>
      </c>
      <c r="I93" s="146">
        <v>955</v>
      </c>
      <c r="J93" s="145" t="s">
        <v>338</v>
      </c>
      <c r="K93" s="145" t="s">
        <v>338</v>
      </c>
      <c r="L93" s="145" t="s">
        <v>338</v>
      </c>
      <c r="M93" s="145" t="s">
        <v>338</v>
      </c>
      <c r="N93" s="145" t="s">
        <v>338</v>
      </c>
      <c r="O93" s="145" t="s">
        <v>338</v>
      </c>
      <c r="P93" s="145" t="s">
        <v>338</v>
      </c>
      <c r="Q93" s="145" t="s">
        <v>338</v>
      </c>
      <c r="R93" s="145" t="s">
        <v>338</v>
      </c>
      <c r="S93" s="145" t="s">
        <v>338</v>
      </c>
      <c r="T93" s="145" t="s">
        <v>338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504</v>
      </c>
    </row>
    <row r="94" spans="1:36">
      <c r="A94" s="145" t="s">
        <v>697</v>
      </c>
      <c r="B94" s="145" t="s">
        <v>497</v>
      </c>
      <c r="C94" s="145" t="s">
        <v>498</v>
      </c>
      <c r="D94" s="145" t="s">
        <v>500</v>
      </c>
      <c r="E94" s="145">
        <v>8</v>
      </c>
      <c r="F94" s="145" t="s">
        <v>555</v>
      </c>
      <c r="G94" s="145" t="s">
        <v>203</v>
      </c>
      <c r="H94" s="145">
        <v>16</v>
      </c>
      <c r="I94" s="146">
        <v>922</v>
      </c>
      <c r="J94" s="145" t="s">
        <v>338</v>
      </c>
      <c r="K94" s="145" t="s">
        <v>338</v>
      </c>
      <c r="L94" s="145" t="s">
        <v>338</v>
      </c>
      <c r="M94" s="145" t="s">
        <v>338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504</v>
      </c>
    </row>
    <row r="95" spans="1:36">
      <c r="A95" s="145" t="s">
        <v>698</v>
      </c>
      <c r="B95" s="145" t="s">
        <v>497</v>
      </c>
      <c r="C95" s="145" t="s">
        <v>498</v>
      </c>
      <c r="D95" s="145" t="s">
        <v>500</v>
      </c>
      <c r="E95" s="145">
        <v>11</v>
      </c>
      <c r="F95" s="145" t="s">
        <v>555</v>
      </c>
      <c r="G95" s="145" t="s">
        <v>206</v>
      </c>
      <c r="H95" s="145">
        <v>13</v>
      </c>
      <c r="I95" s="146">
        <v>1284</v>
      </c>
      <c r="J95" s="145" t="s">
        <v>338</v>
      </c>
      <c r="K95" s="145" t="s">
        <v>338</v>
      </c>
      <c r="L95" s="145" t="s">
        <v>338</v>
      </c>
      <c r="M95" s="145" t="s">
        <v>338</v>
      </c>
      <c r="N95" s="145" t="s">
        <v>338</v>
      </c>
      <c r="O95" s="145" t="s">
        <v>338</v>
      </c>
      <c r="P95" s="145" t="s">
        <v>338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504</v>
      </c>
    </row>
    <row r="96" spans="1:36">
      <c r="A96" s="145" t="s">
        <v>699</v>
      </c>
      <c r="B96" s="145" t="s">
        <v>562</v>
      </c>
      <c r="C96" s="145" t="s">
        <v>632</v>
      </c>
      <c r="D96" s="145" t="s">
        <v>338</v>
      </c>
      <c r="E96" s="145" t="s">
        <v>338</v>
      </c>
      <c r="F96" s="145" t="s">
        <v>635</v>
      </c>
      <c r="G96" s="145" t="s">
        <v>634</v>
      </c>
      <c r="H96" s="145">
        <v>63</v>
      </c>
      <c r="I96" s="146">
        <v>750</v>
      </c>
      <c r="J96" s="145" t="s">
        <v>622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504</v>
      </c>
    </row>
    <row r="97" spans="1:36">
      <c r="A97" s="145" t="s">
        <v>701</v>
      </c>
      <c r="B97" s="145" t="s">
        <v>497</v>
      </c>
      <c r="C97" s="145" t="s">
        <v>498</v>
      </c>
      <c r="D97" s="145" t="s">
        <v>500</v>
      </c>
      <c r="E97" s="145">
        <v>27</v>
      </c>
      <c r="F97" s="145" t="s">
        <v>502</v>
      </c>
      <c r="G97" s="145" t="s">
        <v>245</v>
      </c>
      <c r="H97" s="145">
        <v>4</v>
      </c>
      <c r="I97" s="146">
        <v>1829.6666666666667</v>
      </c>
      <c r="J97" s="145" t="s">
        <v>338</v>
      </c>
      <c r="K97" s="145" t="s">
        <v>338</v>
      </c>
      <c r="L97" s="145" t="s">
        <v>338</v>
      </c>
      <c r="M97" s="145" t="s">
        <v>338</v>
      </c>
      <c r="N97" s="145" t="s">
        <v>338</v>
      </c>
      <c r="O97" s="145" t="s">
        <v>338</v>
      </c>
      <c r="P97" s="145" t="s">
        <v>338</v>
      </c>
      <c r="Q97" s="145" t="s">
        <v>338</v>
      </c>
      <c r="R97" s="145" t="s">
        <v>338</v>
      </c>
      <c r="S97" s="145" t="s">
        <v>338</v>
      </c>
      <c r="T97" s="145" t="s">
        <v>338</v>
      </c>
      <c r="U97" s="145" t="s">
        <v>338</v>
      </c>
      <c r="V97" s="145" t="s">
        <v>338</v>
      </c>
      <c r="W97" s="145" t="s">
        <v>338</v>
      </c>
      <c r="X97" s="145" t="s">
        <v>338</v>
      </c>
      <c r="Y97" s="145" t="s">
        <v>338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504</v>
      </c>
    </row>
    <row r="98" spans="1:36">
      <c r="A98" s="145" t="s">
        <v>702</v>
      </c>
      <c r="B98" s="145" t="s">
        <v>497</v>
      </c>
      <c r="C98" s="145" t="s">
        <v>498</v>
      </c>
      <c r="D98" s="145" t="s">
        <v>500</v>
      </c>
      <c r="E98" s="145">
        <v>22</v>
      </c>
      <c r="F98" s="145" t="s">
        <v>502</v>
      </c>
      <c r="G98" s="145" t="s">
        <v>202</v>
      </c>
      <c r="H98" s="145">
        <v>17</v>
      </c>
      <c r="I98" s="146">
        <v>932.66666666666663</v>
      </c>
      <c r="J98" s="145" t="s">
        <v>338</v>
      </c>
      <c r="K98" s="145" t="s">
        <v>338</v>
      </c>
      <c r="L98" s="145" t="s">
        <v>338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504</v>
      </c>
    </row>
    <row r="99" spans="1:36">
      <c r="A99" s="145" t="s">
        <v>703</v>
      </c>
      <c r="B99" s="145" t="s">
        <v>497</v>
      </c>
      <c r="C99" s="145" t="s">
        <v>678</v>
      </c>
      <c r="D99" s="145" t="s">
        <v>338</v>
      </c>
      <c r="E99" s="145" t="s">
        <v>338</v>
      </c>
      <c r="F99" s="145" t="s">
        <v>704</v>
      </c>
      <c r="G99" s="145" t="s">
        <v>122</v>
      </c>
      <c r="H99" s="145">
        <v>31</v>
      </c>
      <c r="I99" s="146">
        <v>418</v>
      </c>
      <c r="J99" s="145" t="s">
        <v>338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504</v>
      </c>
    </row>
    <row r="100" spans="1:36">
      <c r="A100" s="145" t="s">
        <v>706</v>
      </c>
      <c r="B100" s="145" t="s">
        <v>497</v>
      </c>
      <c r="C100" s="145" t="s">
        <v>498</v>
      </c>
      <c r="D100" s="145" t="s">
        <v>607</v>
      </c>
      <c r="E100" s="145">
        <v>5</v>
      </c>
      <c r="F100" s="145" t="s">
        <v>502</v>
      </c>
      <c r="G100" s="145" t="s">
        <v>123</v>
      </c>
      <c r="H100" s="145">
        <v>30</v>
      </c>
      <c r="I100" s="146">
        <v>692</v>
      </c>
      <c r="J100" s="145" t="s">
        <v>338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504</v>
      </c>
    </row>
    <row r="101" spans="1:36">
      <c r="A101" s="145" t="s">
        <v>707</v>
      </c>
      <c r="B101" s="145" t="s">
        <v>562</v>
      </c>
      <c r="C101" s="145" t="s">
        <v>498</v>
      </c>
      <c r="D101" s="145" t="s">
        <v>616</v>
      </c>
      <c r="E101" s="145">
        <v>90</v>
      </c>
      <c r="F101" s="145" t="s">
        <v>563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338</v>
      </c>
      <c r="L101" s="145" t="s">
        <v>338</v>
      </c>
      <c r="M101" s="145" t="s">
        <v>338</v>
      </c>
      <c r="N101" s="145" t="s">
        <v>338</v>
      </c>
      <c r="O101" s="145" t="s">
        <v>338</v>
      </c>
      <c r="P101" s="145" t="s">
        <v>338</v>
      </c>
      <c r="Q101" s="145" t="s">
        <v>338</v>
      </c>
      <c r="R101" s="145" t="s">
        <v>338</v>
      </c>
      <c r="S101" s="145" t="s">
        <v>338</v>
      </c>
      <c r="T101" s="145" t="s">
        <v>338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338</v>
      </c>
      <c r="Z101" s="145" t="s">
        <v>338</v>
      </c>
      <c r="AA101" s="145" t="s">
        <v>338</v>
      </c>
      <c r="AB101" s="145" t="s">
        <v>338</v>
      </c>
      <c r="AC101" s="145" t="s">
        <v>338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505</v>
      </c>
    </row>
    <row r="102" spans="1:36">
      <c r="A102" s="145" t="s">
        <v>709</v>
      </c>
      <c r="B102" s="145" t="s">
        <v>497</v>
      </c>
      <c r="C102" s="145" t="s">
        <v>498</v>
      </c>
      <c r="D102" s="145" t="s">
        <v>500</v>
      </c>
      <c r="E102" s="145">
        <v>12</v>
      </c>
      <c r="F102" s="145" t="s">
        <v>555</v>
      </c>
      <c r="G102" s="145" t="s">
        <v>588</v>
      </c>
      <c r="H102" s="145">
        <v>32</v>
      </c>
      <c r="I102" s="146">
        <v>1300</v>
      </c>
      <c r="J102" s="145" t="s">
        <v>338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504</v>
      </c>
    </row>
    <row r="103" spans="1:36">
      <c r="A103" s="145" t="s">
        <v>710</v>
      </c>
      <c r="B103" s="145" t="s">
        <v>497</v>
      </c>
      <c r="C103" s="145" t="s">
        <v>498</v>
      </c>
      <c r="D103" s="145" t="s">
        <v>500</v>
      </c>
      <c r="E103" s="145">
        <v>12</v>
      </c>
      <c r="F103" s="145" t="s">
        <v>502</v>
      </c>
      <c r="G103" s="145" t="s">
        <v>128</v>
      </c>
      <c r="H103" s="145">
        <v>25</v>
      </c>
      <c r="I103" s="146">
        <v>726.66666666666663</v>
      </c>
      <c r="J103" s="145" t="s">
        <v>338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504</v>
      </c>
    </row>
    <row r="104" spans="1:36">
      <c r="A104" s="145" t="s">
        <v>711</v>
      </c>
      <c r="B104" s="145" t="s">
        <v>562</v>
      </c>
      <c r="C104" s="145" t="s">
        <v>498</v>
      </c>
      <c r="D104" s="145" t="s">
        <v>616</v>
      </c>
      <c r="E104" s="145">
        <v>48</v>
      </c>
      <c r="F104" s="145" t="s">
        <v>502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338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338</v>
      </c>
      <c r="S104" s="145" t="s">
        <v>338</v>
      </c>
      <c r="T104" s="145" t="s">
        <v>338</v>
      </c>
      <c r="U104" s="145" t="s">
        <v>338</v>
      </c>
      <c r="V104" s="145" t="s">
        <v>338</v>
      </c>
      <c r="W104" s="145" t="s">
        <v>338</v>
      </c>
      <c r="X104" s="145" t="s">
        <v>338</v>
      </c>
      <c r="Y104" s="145" t="s">
        <v>338</v>
      </c>
      <c r="Z104" s="145" t="s">
        <v>338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504</v>
      </c>
    </row>
    <row r="105" spans="1:36">
      <c r="A105" s="145" t="s">
        <v>712</v>
      </c>
      <c r="B105" s="145" t="s">
        <v>497</v>
      </c>
      <c r="C105" s="145" t="s">
        <v>498</v>
      </c>
      <c r="D105" s="145" t="s">
        <v>500</v>
      </c>
      <c r="E105" s="145">
        <v>12</v>
      </c>
      <c r="F105" s="145" t="s">
        <v>502</v>
      </c>
      <c r="G105" s="145" t="s">
        <v>129</v>
      </c>
      <c r="H105" s="145">
        <v>24</v>
      </c>
      <c r="I105" s="146">
        <v>775</v>
      </c>
      <c r="J105" s="145" t="s">
        <v>338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504</v>
      </c>
    </row>
    <row r="106" spans="1:36">
      <c r="A106" s="145" t="s">
        <v>713</v>
      </c>
      <c r="B106" s="145" t="s">
        <v>497</v>
      </c>
      <c r="C106" s="145" t="s">
        <v>498</v>
      </c>
      <c r="D106" s="145" t="s">
        <v>500</v>
      </c>
      <c r="E106" s="145">
        <v>7</v>
      </c>
      <c r="F106" s="145" t="s">
        <v>502</v>
      </c>
      <c r="G106" s="145" t="s">
        <v>131</v>
      </c>
      <c r="H106" s="145">
        <v>22</v>
      </c>
      <c r="I106" s="146">
        <v>813.33333333333337</v>
      </c>
      <c r="J106" s="145" t="s">
        <v>338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504</v>
      </c>
    </row>
    <row r="107" spans="1:36">
      <c r="A107" s="145" t="s">
        <v>714</v>
      </c>
      <c r="B107" s="145" t="s">
        <v>19</v>
      </c>
      <c r="C107" s="145" t="s">
        <v>498</v>
      </c>
      <c r="D107" s="145" t="s">
        <v>607</v>
      </c>
      <c r="E107" s="145">
        <v>79</v>
      </c>
      <c r="F107" s="145" t="s">
        <v>502</v>
      </c>
      <c r="G107" s="145" t="s">
        <v>245</v>
      </c>
      <c r="H107" s="145">
        <v>4</v>
      </c>
      <c r="I107" s="146">
        <v>1600</v>
      </c>
      <c r="J107" s="145" t="s">
        <v>338</v>
      </c>
      <c r="K107" s="145" t="s">
        <v>338</v>
      </c>
      <c r="L107" s="145" t="s">
        <v>338</v>
      </c>
      <c r="M107" s="145" t="s">
        <v>338</v>
      </c>
      <c r="N107" s="145" t="s">
        <v>338</v>
      </c>
      <c r="O107" s="145" t="s">
        <v>338</v>
      </c>
      <c r="P107" s="145" t="s">
        <v>338</v>
      </c>
      <c r="Q107" s="145" t="s">
        <v>338</v>
      </c>
      <c r="R107" s="145" t="s">
        <v>338</v>
      </c>
      <c r="S107" s="145" t="s">
        <v>338</v>
      </c>
      <c r="T107" s="145" t="s">
        <v>338</v>
      </c>
      <c r="U107" s="145" t="s">
        <v>338</v>
      </c>
      <c r="V107" s="145" t="s">
        <v>338</v>
      </c>
      <c r="W107" s="145" t="s">
        <v>338</v>
      </c>
      <c r="X107" s="145" t="s">
        <v>338</v>
      </c>
      <c r="Y107" s="145" t="s">
        <v>338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504</v>
      </c>
    </row>
    <row r="108" spans="1:36">
      <c r="A108" s="145" t="s">
        <v>717</v>
      </c>
      <c r="B108" s="145" t="s">
        <v>497</v>
      </c>
      <c r="C108" s="145" t="s">
        <v>498</v>
      </c>
      <c r="D108" s="145" t="s">
        <v>338</v>
      </c>
      <c r="E108" s="145">
        <v>29</v>
      </c>
      <c r="F108" s="145" t="s">
        <v>502</v>
      </c>
      <c r="G108" s="145" t="s">
        <v>246</v>
      </c>
      <c r="H108" s="145">
        <v>3</v>
      </c>
      <c r="I108" s="146">
        <v>2639</v>
      </c>
      <c r="J108" s="145" t="s">
        <v>338</v>
      </c>
      <c r="K108" s="145" t="s">
        <v>338</v>
      </c>
      <c r="L108" s="145" t="s">
        <v>338</v>
      </c>
      <c r="M108" s="145" t="s">
        <v>338</v>
      </c>
      <c r="N108" s="145" t="s">
        <v>338</v>
      </c>
      <c r="O108" s="145" t="s">
        <v>338</v>
      </c>
      <c r="P108" s="145" t="s">
        <v>338</v>
      </c>
      <c r="Q108" s="145" t="s">
        <v>338</v>
      </c>
      <c r="R108" s="145" t="s">
        <v>338</v>
      </c>
      <c r="S108" s="145" t="s">
        <v>338</v>
      </c>
      <c r="T108" s="145" t="s">
        <v>338</v>
      </c>
      <c r="U108" s="145" t="s">
        <v>338</v>
      </c>
      <c r="V108" s="145" t="s">
        <v>338</v>
      </c>
      <c r="W108" s="145" t="s">
        <v>338</v>
      </c>
      <c r="X108" s="145" t="s">
        <v>338</v>
      </c>
      <c r="Y108" s="145" t="s">
        <v>338</v>
      </c>
      <c r="Z108" s="145" t="s">
        <v>338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504</v>
      </c>
    </row>
    <row r="109" spans="1:36">
      <c r="A109" s="145" t="s">
        <v>720</v>
      </c>
      <c r="B109" s="145" t="s">
        <v>497</v>
      </c>
      <c r="C109" s="145" t="s">
        <v>498</v>
      </c>
      <c r="D109" s="145" t="s">
        <v>500</v>
      </c>
      <c r="E109" s="145">
        <v>6</v>
      </c>
      <c r="F109" s="145" t="s">
        <v>555</v>
      </c>
      <c r="G109" s="145" t="s">
        <v>125</v>
      </c>
      <c r="H109" s="145">
        <v>28</v>
      </c>
      <c r="I109" s="146">
        <v>572</v>
      </c>
      <c r="J109" s="145" t="s">
        <v>338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504</v>
      </c>
    </row>
    <row r="110" spans="1:36">
      <c r="A110" s="145" t="s">
        <v>721</v>
      </c>
      <c r="B110" s="145" t="s">
        <v>497</v>
      </c>
      <c r="C110" s="145" t="s">
        <v>498</v>
      </c>
      <c r="D110" s="145" t="s">
        <v>500</v>
      </c>
      <c r="E110" s="145">
        <v>6</v>
      </c>
      <c r="F110" s="145" t="s">
        <v>502</v>
      </c>
      <c r="G110" s="145" t="s">
        <v>122</v>
      </c>
      <c r="H110" s="145">
        <v>31</v>
      </c>
      <c r="I110" s="146">
        <v>567.66666666666663</v>
      </c>
      <c r="J110" s="145" t="s">
        <v>338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504</v>
      </c>
    </row>
    <row r="111" spans="1:36">
      <c r="A111" s="145" t="s">
        <v>722</v>
      </c>
      <c r="B111" s="145" t="s">
        <v>497</v>
      </c>
      <c r="C111" s="145" t="s">
        <v>498</v>
      </c>
      <c r="D111" s="145" t="s">
        <v>500</v>
      </c>
      <c r="E111" s="145">
        <v>8</v>
      </c>
      <c r="F111" s="145" t="s">
        <v>502</v>
      </c>
      <c r="G111" s="145" t="s">
        <v>130</v>
      </c>
      <c r="H111" s="145">
        <v>23</v>
      </c>
      <c r="I111" s="146">
        <v>650</v>
      </c>
      <c r="J111" s="145" t="s">
        <v>338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504</v>
      </c>
    </row>
    <row r="112" spans="1:36">
      <c r="A112" s="145" t="s">
        <v>723</v>
      </c>
      <c r="B112" s="145" t="s">
        <v>562</v>
      </c>
      <c r="C112" s="145" t="s">
        <v>498</v>
      </c>
      <c r="D112" s="145" t="s">
        <v>500</v>
      </c>
      <c r="E112" s="145">
        <v>0</v>
      </c>
      <c r="F112" s="145" t="s">
        <v>502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338</v>
      </c>
      <c r="AC112" s="145" t="s">
        <v>338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505</v>
      </c>
    </row>
    <row r="113" spans="1:36">
      <c r="A113" s="145" t="s">
        <v>724</v>
      </c>
      <c r="B113" s="145" t="s">
        <v>497</v>
      </c>
      <c r="C113" s="145" t="s">
        <v>498</v>
      </c>
      <c r="D113" s="145" t="s">
        <v>500</v>
      </c>
      <c r="E113" s="145">
        <v>6</v>
      </c>
      <c r="F113" s="145" t="s">
        <v>502</v>
      </c>
      <c r="G113" s="145" t="s">
        <v>655</v>
      </c>
      <c r="H113" s="145">
        <v>41</v>
      </c>
      <c r="I113" s="146">
        <v>659.66666666666663</v>
      </c>
      <c r="J113" s="145" t="s">
        <v>338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504</v>
      </c>
    </row>
    <row r="114" spans="1:36">
      <c r="A114" s="145" t="s">
        <v>725</v>
      </c>
      <c r="B114" s="145" t="s">
        <v>497</v>
      </c>
      <c r="C114" s="145" t="s">
        <v>498</v>
      </c>
      <c r="D114" s="145" t="s">
        <v>500</v>
      </c>
      <c r="E114" s="145">
        <v>8</v>
      </c>
      <c r="F114" s="145" t="s">
        <v>502</v>
      </c>
      <c r="G114" s="145" t="s">
        <v>202</v>
      </c>
      <c r="H114" s="145">
        <v>17</v>
      </c>
      <c r="I114" s="146">
        <v>649</v>
      </c>
      <c r="J114" s="145" t="s">
        <v>338</v>
      </c>
      <c r="K114" s="145" t="s">
        <v>338</v>
      </c>
      <c r="L114" s="145" t="s">
        <v>338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504</v>
      </c>
    </row>
    <row r="115" spans="1:36">
      <c r="A115" s="145" t="s">
        <v>726</v>
      </c>
      <c r="B115" s="145" t="s">
        <v>562</v>
      </c>
      <c r="C115" s="145" t="s">
        <v>657</v>
      </c>
      <c r="D115" s="145" t="s">
        <v>338</v>
      </c>
      <c r="E115" s="145" t="s">
        <v>338</v>
      </c>
      <c r="F115" s="145" t="s">
        <v>635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338</v>
      </c>
      <c r="L115" s="145" t="s">
        <v>338</v>
      </c>
      <c r="M115" s="145" t="s">
        <v>338</v>
      </c>
      <c r="N115" s="145" t="s">
        <v>338</v>
      </c>
      <c r="O115" s="145" t="s">
        <v>338</v>
      </c>
      <c r="P115" s="145" t="s">
        <v>338</v>
      </c>
      <c r="Q115" s="145" t="s">
        <v>338</v>
      </c>
      <c r="R115" s="145" t="s">
        <v>338</v>
      </c>
      <c r="S115" s="146">
        <v>415</v>
      </c>
      <c r="T115" s="146">
        <v>3580</v>
      </c>
      <c r="U115" s="146">
        <v>3205</v>
      </c>
      <c r="V115" s="145" t="s">
        <v>338</v>
      </c>
      <c r="W115" s="145" t="s">
        <v>338</v>
      </c>
      <c r="X115" s="145" t="s">
        <v>338</v>
      </c>
      <c r="Y115" s="145" t="s">
        <v>338</v>
      </c>
      <c r="Z115" s="145" t="s">
        <v>338</v>
      </c>
      <c r="AA115" s="145" t="s">
        <v>338</v>
      </c>
      <c r="AB115" s="145" t="s">
        <v>338</v>
      </c>
      <c r="AC115" s="145" t="s">
        <v>338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505</v>
      </c>
    </row>
    <row r="116" spans="1:36">
      <c r="A116" s="145" t="s">
        <v>727</v>
      </c>
      <c r="B116" s="145" t="s">
        <v>562</v>
      </c>
      <c r="C116" s="145" t="s">
        <v>728</v>
      </c>
      <c r="D116" s="145" t="s">
        <v>338</v>
      </c>
      <c r="E116" s="145" t="s">
        <v>338</v>
      </c>
      <c r="F116" s="145" t="s">
        <v>635</v>
      </c>
      <c r="G116" s="145" t="s">
        <v>208</v>
      </c>
      <c r="H116" s="145">
        <v>11</v>
      </c>
      <c r="I116" s="146">
        <v>2358.3333333333335</v>
      </c>
      <c r="J116" s="145" t="s">
        <v>338</v>
      </c>
      <c r="K116" s="145" t="s">
        <v>338</v>
      </c>
      <c r="L116" s="145" t="s">
        <v>338</v>
      </c>
      <c r="M116" s="145" t="s">
        <v>338</v>
      </c>
      <c r="N116" s="145" t="s">
        <v>338</v>
      </c>
      <c r="O116" s="145" t="s">
        <v>338</v>
      </c>
      <c r="P116" s="145" t="s">
        <v>338</v>
      </c>
      <c r="Q116" s="145" t="s">
        <v>338</v>
      </c>
      <c r="R116" s="145" t="s">
        <v>338</v>
      </c>
      <c r="S116" s="146">
        <v>3537.5</v>
      </c>
      <c r="T116" s="145" t="s">
        <v>338</v>
      </c>
      <c r="U116" s="145" t="s">
        <v>338</v>
      </c>
      <c r="V116" s="146">
        <v>875</v>
      </c>
      <c r="W116" s="145" t="s">
        <v>338</v>
      </c>
      <c r="X116" s="145" t="s">
        <v>338</v>
      </c>
      <c r="Y116" s="146">
        <v>0</v>
      </c>
      <c r="Z116" s="146">
        <v>2662.5</v>
      </c>
      <c r="AA116" s="145" t="s">
        <v>338</v>
      </c>
      <c r="AB116" s="145" t="s">
        <v>338</v>
      </c>
      <c r="AC116" s="145" t="s">
        <v>338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505</v>
      </c>
    </row>
    <row r="117" spans="1:36">
      <c r="A117" s="145" t="s">
        <v>729</v>
      </c>
      <c r="B117" s="145" t="s">
        <v>497</v>
      </c>
      <c r="C117" s="145" t="s">
        <v>678</v>
      </c>
      <c r="D117" s="145" t="s">
        <v>338</v>
      </c>
      <c r="E117" s="145" t="s">
        <v>338</v>
      </c>
      <c r="F117" s="145" t="s">
        <v>704</v>
      </c>
      <c r="G117" s="145" t="s">
        <v>126</v>
      </c>
      <c r="H117" s="145">
        <v>27</v>
      </c>
      <c r="I117" s="146">
        <v>669.33333333333337</v>
      </c>
      <c r="J117" s="145" t="s">
        <v>338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504</v>
      </c>
    </row>
    <row r="118" spans="1:36">
      <c r="A118" s="145" t="s">
        <v>730</v>
      </c>
      <c r="B118" s="145" t="s">
        <v>562</v>
      </c>
      <c r="C118" s="145" t="s">
        <v>632</v>
      </c>
      <c r="D118" s="145" t="s">
        <v>338</v>
      </c>
      <c r="E118" s="145" t="s">
        <v>338</v>
      </c>
      <c r="F118" s="145" t="s">
        <v>635</v>
      </c>
      <c r="G118" s="145" t="s">
        <v>732</v>
      </c>
      <c r="H118" s="145">
        <v>52</v>
      </c>
      <c r="I118" s="146">
        <v>600</v>
      </c>
      <c r="J118" s="145" t="s">
        <v>622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504</v>
      </c>
    </row>
    <row r="119" spans="1:36">
      <c r="A119" s="145" t="s">
        <v>733</v>
      </c>
      <c r="B119" s="145" t="s">
        <v>497</v>
      </c>
      <c r="C119" s="145" t="s">
        <v>498</v>
      </c>
      <c r="D119" s="145" t="s">
        <v>500</v>
      </c>
      <c r="E119" s="145">
        <v>8</v>
      </c>
      <c r="F119" s="145" t="s">
        <v>502</v>
      </c>
      <c r="G119" s="145" t="s">
        <v>127</v>
      </c>
      <c r="H119" s="145">
        <v>26</v>
      </c>
      <c r="I119" s="146">
        <v>446.33333333333331</v>
      </c>
      <c r="J119" s="145" t="s">
        <v>338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504</v>
      </c>
    </row>
    <row r="120" spans="1:36">
      <c r="A120" s="145" t="s">
        <v>734</v>
      </c>
      <c r="B120" s="145" t="s">
        <v>497</v>
      </c>
      <c r="C120" s="145" t="s">
        <v>498</v>
      </c>
      <c r="D120" s="145" t="s">
        <v>500</v>
      </c>
      <c r="E120" s="145">
        <v>8</v>
      </c>
      <c r="F120" s="145" t="s">
        <v>502</v>
      </c>
      <c r="G120" s="145" t="s">
        <v>242</v>
      </c>
      <c r="H120" s="145">
        <v>7</v>
      </c>
      <c r="I120" s="146">
        <v>910</v>
      </c>
      <c r="J120" s="145" t="s">
        <v>338</v>
      </c>
      <c r="K120" s="145" t="s">
        <v>338</v>
      </c>
      <c r="L120" s="145" t="s">
        <v>338</v>
      </c>
      <c r="M120" s="145" t="s">
        <v>338</v>
      </c>
      <c r="N120" s="145" t="s">
        <v>338</v>
      </c>
      <c r="O120" s="145" t="s">
        <v>338</v>
      </c>
      <c r="P120" s="145" t="s">
        <v>338</v>
      </c>
      <c r="Q120" s="145" t="s">
        <v>338</v>
      </c>
      <c r="R120" s="145" t="s">
        <v>338</v>
      </c>
      <c r="S120" s="145" t="s">
        <v>338</v>
      </c>
      <c r="T120" s="145" t="s">
        <v>338</v>
      </c>
      <c r="U120" s="145" t="s">
        <v>338</v>
      </c>
      <c r="V120" s="145" t="s">
        <v>338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504</v>
      </c>
    </row>
    <row r="121" spans="1:36">
      <c r="A121" s="145" t="s">
        <v>735</v>
      </c>
      <c r="B121" s="145" t="s">
        <v>497</v>
      </c>
      <c r="C121" s="145" t="s">
        <v>498</v>
      </c>
      <c r="D121" s="145" t="s">
        <v>500</v>
      </c>
      <c r="E121" s="145">
        <v>8</v>
      </c>
      <c r="F121" s="145" t="s">
        <v>555</v>
      </c>
      <c r="G121" s="145" t="s">
        <v>202</v>
      </c>
      <c r="H121" s="145">
        <v>17</v>
      </c>
      <c r="I121" s="146">
        <v>649</v>
      </c>
      <c r="J121" s="145" t="s">
        <v>338</v>
      </c>
      <c r="K121" s="145" t="s">
        <v>338</v>
      </c>
      <c r="L121" s="145" t="s">
        <v>338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504</v>
      </c>
    </row>
    <row r="122" spans="1:36">
      <c r="A122" s="145" t="s">
        <v>736</v>
      </c>
      <c r="B122" s="145" t="s">
        <v>497</v>
      </c>
      <c r="C122" s="145" t="s">
        <v>498</v>
      </c>
      <c r="D122" s="145" t="s">
        <v>500</v>
      </c>
      <c r="E122" s="145">
        <v>3</v>
      </c>
      <c r="F122" s="145" t="s">
        <v>555</v>
      </c>
      <c r="G122" s="145" t="s">
        <v>128</v>
      </c>
      <c r="H122" s="145">
        <v>25</v>
      </c>
      <c r="I122" s="146">
        <v>493</v>
      </c>
      <c r="J122" s="145" t="s">
        <v>338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504</v>
      </c>
    </row>
    <row r="123" spans="1:36">
      <c r="A123" s="145" t="s">
        <v>737</v>
      </c>
      <c r="B123" s="145" t="s">
        <v>497</v>
      </c>
      <c r="C123" s="145" t="s">
        <v>498</v>
      </c>
      <c r="D123" s="145" t="s">
        <v>500</v>
      </c>
      <c r="E123" s="145">
        <v>6</v>
      </c>
      <c r="F123" s="145" t="s">
        <v>555</v>
      </c>
      <c r="G123" s="145" t="s">
        <v>130</v>
      </c>
      <c r="H123" s="145">
        <v>23</v>
      </c>
      <c r="I123" s="146">
        <v>630</v>
      </c>
      <c r="J123" s="145" t="s">
        <v>338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504</v>
      </c>
    </row>
    <row r="124" spans="1:36">
      <c r="A124" s="145" t="s">
        <v>738</v>
      </c>
      <c r="B124" s="145" t="s">
        <v>497</v>
      </c>
      <c r="C124" s="145" t="s">
        <v>498</v>
      </c>
      <c r="D124" s="145" t="s">
        <v>500</v>
      </c>
      <c r="E124" s="145">
        <v>4</v>
      </c>
      <c r="F124" s="145" t="s">
        <v>555</v>
      </c>
      <c r="G124" s="145" t="s">
        <v>209</v>
      </c>
      <c r="H124" s="145">
        <v>10</v>
      </c>
      <c r="I124" s="146">
        <v>650</v>
      </c>
      <c r="J124" s="145" t="s">
        <v>338</v>
      </c>
      <c r="K124" s="145" t="s">
        <v>338</v>
      </c>
      <c r="L124" s="145" t="s">
        <v>338</v>
      </c>
      <c r="M124" s="145" t="s">
        <v>338</v>
      </c>
      <c r="N124" s="145" t="s">
        <v>338</v>
      </c>
      <c r="O124" s="145" t="s">
        <v>338</v>
      </c>
      <c r="P124" s="145" t="s">
        <v>338</v>
      </c>
      <c r="Q124" s="145" t="s">
        <v>338</v>
      </c>
      <c r="R124" s="145" t="s">
        <v>338</v>
      </c>
      <c r="S124" s="145" t="s">
        <v>338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504</v>
      </c>
    </row>
    <row r="125" spans="1:36">
      <c r="A125" s="145" t="s">
        <v>739</v>
      </c>
      <c r="B125" s="145" t="s">
        <v>497</v>
      </c>
      <c r="C125" s="145" t="s">
        <v>498</v>
      </c>
      <c r="D125" s="145" t="s">
        <v>500</v>
      </c>
      <c r="E125" s="145">
        <v>15</v>
      </c>
      <c r="F125" s="145" t="s">
        <v>555</v>
      </c>
      <c r="G125" s="145" t="s">
        <v>127</v>
      </c>
      <c r="H125" s="145">
        <v>26</v>
      </c>
      <c r="I125" s="146">
        <v>476.66666666666669</v>
      </c>
      <c r="J125" s="145" t="s">
        <v>338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504</v>
      </c>
    </row>
    <row r="126" spans="1:36">
      <c r="A126" s="145" t="s">
        <v>740</v>
      </c>
      <c r="B126" s="145" t="s">
        <v>562</v>
      </c>
      <c r="C126" s="145" t="s">
        <v>632</v>
      </c>
      <c r="D126" s="145" t="s">
        <v>338</v>
      </c>
      <c r="E126" s="145" t="s">
        <v>338</v>
      </c>
      <c r="F126" s="145" t="s">
        <v>635</v>
      </c>
      <c r="G126" s="145" t="s">
        <v>742</v>
      </c>
      <c r="H126" s="145">
        <v>57</v>
      </c>
      <c r="I126" s="146">
        <v>535</v>
      </c>
      <c r="J126" s="145" t="s">
        <v>622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504</v>
      </c>
    </row>
    <row r="127" spans="1:36">
      <c r="A127" s="145" t="s">
        <v>743</v>
      </c>
      <c r="B127" s="145" t="s">
        <v>497</v>
      </c>
      <c r="C127" s="145" t="s">
        <v>498</v>
      </c>
      <c r="D127" s="145" t="s">
        <v>500</v>
      </c>
      <c r="E127" s="145">
        <v>4</v>
      </c>
      <c r="F127" s="145" t="s">
        <v>555</v>
      </c>
      <c r="G127" s="145" t="s">
        <v>597</v>
      </c>
      <c r="H127" s="145">
        <v>35</v>
      </c>
      <c r="I127" s="146">
        <v>520</v>
      </c>
      <c r="J127" s="145" t="s">
        <v>338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504</v>
      </c>
    </row>
    <row r="128" spans="1:36">
      <c r="A128" s="145" t="s">
        <v>744</v>
      </c>
      <c r="B128" s="145" t="s">
        <v>497</v>
      </c>
      <c r="C128" s="145" t="s">
        <v>498</v>
      </c>
      <c r="D128" s="145" t="s">
        <v>607</v>
      </c>
      <c r="E128" s="145">
        <v>17</v>
      </c>
      <c r="F128" s="145" t="s">
        <v>502</v>
      </c>
      <c r="G128" s="145" t="s">
        <v>210</v>
      </c>
      <c r="H128" s="145">
        <v>9</v>
      </c>
      <c r="I128" s="146">
        <v>1040</v>
      </c>
      <c r="J128" s="145" t="s">
        <v>338</v>
      </c>
      <c r="K128" s="145" t="s">
        <v>338</v>
      </c>
      <c r="L128" s="145" t="s">
        <v>338</v>
      </c>
      <c r="M128" s="145" t="s">
        <v>338</v>
      </c>
      <c r="N128" s="145" t="s">
        <v>338</v>
      </c>
      <c r="O128" s="145" t="s">
        <v>338</v>
      </c>
      <c r="P128" s="145" t="s">
        <v>338</v>
      </c>
      <c r="Q128" s="145" t="s">
        <v>338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504</v>
      </c>
    </row>
    <row r="129" spans="1:36">
      <c r="A129" s="145" t="s">
        <v>745</v>
      </c>
      <c r="B129" s="145" t="s">
        <v>19</v>
      </c>
      <c r="C129" s="145" t="s">
        <v>498</v>
      </c>
      <c r="D129" s="145" t="s">
        <v>616</v>
      </c>
      <c r="E129" s="145">
        <v>23</v>
      </c>
      <c r="F129" s="145" t="s">
        <v>502</v>
      </c>
      <c r="G129" s="145" t="s">
        <v>245</v>
      </c>
      <c r="H129" s="145">
        <v>4</v>
      </c>
      <c r="I129" s="146">
        <v>1327</v>
      </c>
      <c r="J129" s="145" t="s">
        <v>338</v>
      </c>
      <c r="K129" s="145" t="s">
        <v>338</v>
      </c>
      <c r="L129" s="145" t="s">
        <v>338</v>
      </c>
      <c r="M129" s="145" t="s">
        <v>338</v>
      </c>
      <c r="N129" s="145" t="s">
        <v>338</v>
      </c>
      <c r="O129" s="145" t="s">
        <v>338</v>
      </c>
      <c r="P129" s="145" t="s">
        <v>338</v>
      </c>
      <c r="Q129" s="145" t="s">
        <v>338</v>
      </c>
      <c r="R129" s="145" t="s">
        <v>338</v>
      </c>
      <c r="S129" s="145" t="s">
        <v>338</v>
      </c>
      <c r="T129" s="145" t="s">
        <v>338</v>
      </c>
      <c r="U129" s="145" t="s">
        <v>338</v>
      </c>
      <c r="V129" s="145" t="s">
        <v>338</v>
      </c>
      <c r="W129" s="145" t="s">
        <v>338</v>
      </c>
      <c r="X129" s="145" t="s">
        <v>338</v>
      </c>
      <c r="Y129" s="145" t="s">
        <v>338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504</v>
      </c>
    </row>
    <row r="130" spans="1:36">
      <c r="A130" s="145" t="s">
        <v>746</v>
      </c>
      <c r="B130" s="145" t="s">
        <v>19</v>
      </c>
      <c r="C130" s="145" t="s">
        <v>498</v>
      </c>
      <c r="D130" s="145" t="s">
        <v>338</v>
      </c>
      <c r="E130" s="145">
        <v>83</v>
      </c>
      <c r="F130" s="145" t="s">
        <v>502</v>
      </c>
      <c r="G130" s="145" t="s">
        <v>248</v>
      </c>
      <c r="H130" s="145">
        <v>1</v>
      </c>
      <c r="I130" s="146">
        <v>6252</v>
      </c>
      <c r="J130" s="145" t="s">
        <v>338</v>
      </c>
      <c r="K130" s="145" t="s">
        <v>338</v>
      </c>
      <c r="L130" s="145" t="s">
        <v>338</v>
      </c>
      <c r="M130" s="145" t="s">
        <v>338</v>
      </c>
      <c r="N130" s="145" t="s">
        <v>338</v>
      </c>
      <c r="O130" s="145" t="s">
        <v>338</v>
      </c>
      <c r="P130" s="145" t="s">
        <v>338</v>
      </c>
      <c r="Q130" s="145" t="s">
        <v>338</v>
      </c>
      <c r="R130" s="145" t="s">
        <v>338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504</v>
      </c>
    </row>
    <row r="131" spans="1:36">
      <c r="A131" s="145" t="s">
        <v>747</v>
      </c>
      <c r="B131" s="145" t="s">
        <v>497</v>
      </c>
      <c r="C131" s="145" t="s">
        <v>498</v>
      </c>
      <c r="D131" s="145" t="s">
        <v>607</v>
      </c>
      <c r="E131" s="145">
        <v>47</v>
      </c>
      <c r="F131" s="145" t="s">
        <v>502</v>
      </c>
      <c r="G131" s="145" t="s">
        <v>246</v>
      </c>
      <c r="H131" s="145">
        <v>3</v>
      </c>
      <c r="I131" s="146">
        <v>2063</v>
      </c>
      <c r="J131" s="145" t="s">
        <v>338</v>
      </c>
      <c r="K131" s="145" t="s">
        <v>338</v>
      </c>
      <c r="L131" s="145" t="s">
        <v>338</v>
      </c>
      <c r="M131" s="145" t="s">
        <v>338</v>
      </c>
      <c r="N131" s="145" t="s">
        <v>338</v>
      </c>
      <c r="O131" s="145" t="s">
        <v>338</v>
      </c>
      <c r="P131" s="145" t="s">
        <v>338</v>
      </c>
      <c r="Q131" s="145" t="s">
        <v>338</v>
      </c>
      <c r="R131" s="145" t="s">
        <v>338</v>
      </c>
      <c r="S131" s="145" t="s">
        <v>338</v>
      </c>
      <c r="T131" s="145" t="s">
        <v>338</v>
      </c>
      <c r="U131" s="145" t="s">
        <v>338</v>
      </c>
      <c r="V131" s="145" t="s">
        <v>338</v>
      </c>
      <c r="W131" s="145" t="s">
        <v>338</v>
      </c>
      <c r="X131" s="145" t="s">
        <v>338</v>
      </c>
      <c r="Y131" s="145" t="s">
        <v>338</v>
      </c>
      <c r="Z131" s="145" t="s">
        <v>338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504</v>
      </c>
    </row>
    <row r="132" spans="1:36">
      <c r="A132" s="145" t="s">
        <v>748</v>
      </c>
      <c r="B132" s="145" t="s">
        <v>562</v>
      </c>
      <c r="C132" s="145" t="s">
        <v>657</v>
      </c>
      <c r="D132" s="145" t="s">
        <v>338</v>
      </c>
      <c r="E132" s="145" t="s">
        <v>338</v>
      </c>
      <c r="F132" s="145" t="s">
        <v>635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338</v>
      </c>
      <c r="L132" s="145" t="s">
        <v>338</v>
      </c>
      <c r="M132" s="145" t="s">
        <v>338</v>
      </c>
      <c r="N132" s="145" t="s">
        <v>338</v>
      </c>
      <c r="O132" s="145" t="s">
        <v>338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338</v>
      </c>
      <c r="W132" s="145" t="s">
        <v>338</v>
      </c>
      <c r="X132" s="145" t="s">
        <v>338</v>
      </c>
      <c r="Y132" s="145" t="s">
        <v>338</v>
      </c>
      <c r="Z132" s="145" t="s">
        <v>338</v>
      </c>
      <c r="AA132" s="145" t="s">
        <v>338</v>
      </c>
      <c r="AB132" s="145" t="s">
        <v>338</v>
      </c>
      <c r="AC132" s="145" t="s">
        <v>338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505</v>
      </c>
    </row>
    <row r="133" spans="1:36">
      <c r="A133" s="145" t="s">
        <v>749</v>
      </c>
      <c r="B133" s="145" t="s">
        <v>497</v>
      </c>
      <c r="C133" s="145" t="s">
        <v>498</v>
      </c>
      <c r="D133" s="145" t="s">
        <v>607</v>
      </c>
      <c r="E133" s="145">
        <v>5</v>
      </c>
      <c r="F133" s="145" t="s">
        <v>555</v>
      </c>
      <c r="G133" s="145" t="s">
        <v>207</v>
      </c>
      <c r="H133" s="145">
        <v>12</v>
      </c>
      <c r="I133" s="146">
        <v>200</v>
      </c>
      <c r="J133" s="145" t="s">
        <v>338</v>
      </c>
      <c r="K133" s="145" t="s">
        <v>338</v>
      </c>
      <c r="L133" s="145" t="s">
        <v>338</v>
      </c>
      <c r="M133" s="145" t="s">
        <v>338</v>
      </c>
      <c r="N133" s="145" t="s">
        <v>338</v>
      </c>
      <c r="O133" s="145" t="s">
        <v>338</v>
      </c>
      <c r="P133" s="145" t="s">
        <v>338</v>
      </c>
      <c r="Q133" s="145" t="s">
        <v>338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504</v>
      </c>
    </row>
    <row r="134" spans="1:36">
      <c r="A134" s="145" t="s">
        <v>750</v>
      </c>
      <c r="B134" s="145" t="s">
        <v>562</v>
      </c>
      <c r="C134" s="145" t="s">
        <v>657</v>
      </c>
      <c r="D134" s="145" t="s">
        <v>338</v>
      </c>
      <c r="E134" s="145" t="s">
        <v>338</v>
      </c>
      <c r="F134" s="145" t="s">
        <v>635</v>
      </c>
      <c r="G134" s="145" t="s">
        <v>245</v>
      </c>
      <c r="H134" s="145">
        <v>4</v>
      </c>
      <c r="I134" s="146">
        <v>1500</v>
      </c>
      <c r="J134" s="145" t="s">
        <v>622</v>
      </c>
      <c r="K134" s="145" t="s">
        <v>338</v>
      </c>
      <c r="L134" s="145" t="s">
        <v>338</v>
      </c>
      <c r="M134" s="145" t="s">
        <v>338</v>
      </c>
      <c r="N134" s="145" t="s">
        <v>338</v>
      </c>
      <c r="O134" s="145" t="s">
        <v>338</v>
      </c>
      <c r="P134" s="145" t="s">
        <v>338</v>
      </c>
      <c r="Q134" s="145" t="s">
        <v>338</v>
      </c>
      <c r="R134" s="145" t="s">
        <v>338</v>
      </c>
      <c r="S134" s="145" t="s">
        <v>338</v>
      </c>
      <c r="T134" s="145" t="s">
        <v>338</v>
      </c>
      <c r="U134" s="145" t="s">
        <v>338</v>
      </c>
      <c r="V134" s="145" t="s">
        <v>338</v>
      </c>
      <c r="W134" s="145" t="s">
        <v>338</v>
      </c>
      <c r="X134" s="145" t="s">
        <v>338</v>
      </c>
      <c r="Y134" s="145" t="s">
        <v>338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504</v>
      </c>
    </row>
    <row r="135" spans="1:36">
      <c r="A135" s="145" t="s">
        <v>751</v>
      </c>
      <c r="B135" s="145" t="s">
        <v>497</v>
      </c>
      <c r="C135" s="145" t="s">
        <v>498</v>
      </c>
      <c r="D135" s="145" t="s">
        <v>500</v>
      </c>
      <c r="E135" s="145">
        <v>10</v>
      </c>
      <c r="F135" s="145" t="s">
        <v>502</v>
      </c>
      <c r="G135" s="145" t="s">
        <v>203</v>
      </c>
      <c r="H135" s="145">
        <v>16</v>
      </c>
      <c r="I135" s="146">
        <v>546.33333333333337</v>
      </c>
      <c r="J135" s="145" t="s">
        <v>338</v>
      </c>
      <c r="K135" s="145" t="s">
        <v>338</v>
      </c>
      <c r="L135" s="145" t="s">
        <v>338</v>
      </c>
      <c r="M135" s="145" t="s">
        <v>338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504</v>
      </c>
    </row>
    <row r="136" spans="1:36">
      <c r="A136" s="145" t="s">
        <v>753</v>
      </c>
      <c r="B136" s="145" t="s">
        <v>497</v>
      </c>
      <c r="C136" s="145" t="s">
        <v>498</v>
      </c>
      <c r="D136" s="145" t="s">
        <v>500</v>
      </c>
      <c r="E136" s="145">
        <v>16</v>
      </c>
      <c r="F136" s="145" t="s">
        <v>502</v>
      </c>
      <c r="G136" s="145" t="s">
        <v>126</v>
      </c>
      <c r="H136" s="145">
        <v>27</v>
      </c>
      <c r="I136" s="146">
        <v>495</v>
      </c>
      <c r="J136" s="145" t="s">
        <v>338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504</v>
      </c>
    </row>
    <row r="137" spans="1:36">
      <c r="A137" s="145" t="s">
        <v>754</v>
      </c>
      <c r="B137" s="145" t="s">
        <v>497</v>
      </c>
      <c r="C137" s="145" t="s">
        <v>498</v>
      </c>
      <c r="D137" s="145" t="s">
        <v>616</v>
      </c>
      <c r="E137" s="145">
        <v>11</v>
      </c>
      <c r="F137" s="145" t="s">
        <v>502</v>
      </c>
      <c r="G137" s="145" t="s">
        <v>211</v>
      </c>
      <c r="H137" s="145">
        <v>8</v>
      </c>
      <c r="I137" s="146">
        <v>840</v>
      </c>
      <c r="J137" s="145" t="s">
        <v>338</v>
      </c>
      <c r="K137" s="145" t="s">
        <v>338</v>
      </c>
      <c r="L137" s="145" t="s">
        <v>338</v>
      </c>
      <c r="M137" s="145" t="s">
        <v>338</v>
      </c>
      <c r="N137" s="145" t="s">
        <v>338</v>
      </c>
      <c r="O137" s="145" t="s">
        <v>338</v>
      </c>
      <c r="P137" s="145" t="s">
        <v>338</v>
      </c>
      <c r="Q137" s="145" t="s">
        <v>338</v>
      </c>
      <c r="R137" s="145" t="s">
        <v>338</v>
      </c>
      <c r="S137" s="145" t="s">
        <v>338</v>
      </c>
      <c r="T137" s="145" t="s">
        <v>338</v>
      </c>
      <c r="U137" s="145" t="s">
        <v>338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504</v>
      </c>
    </row>
    <row r="138" spans="1:36">
      <c r="A138" s="145" t="s">
        <v>755</v>
      </c>
      <c r="B138" s="145" t="s">
        <v>497</v>
      </c>
      <c r="C138" s="145" t="s">
        <v>498</v>
      </c>
      <c r="D138" s="145" t="s">
        <v>500</v>
      </c>
      <c r="E138" s="145">
        <v>6</v>
      </c>
      <c r="F138" s="145" t="s">
        <v>555</v>
      </c>
      <c r="G138" s="145" t="s">
        <v>206</v>
      </c>
      <c r="H138" s="145">
        <v>13</v>
      </c>
      <c r="I138" s="146">
        <v>653.9666666666667</v>
      </c>
      <c r="J138" s="145" t="s">
        <v>338</v>
      </c>
      <c r="K138" s="145" t="s">
        <v>338</v>
      </c>
      <c r="L138" s="145" t="s">
        <v>338</v>
      </c>
      <c r="M138" s="145" t="s">
        <v>338</v>
      </c>
      <c r="N138" s="145" t="s">
        <v>338</v>
      </c>
      <c r="O138" s="145" t="s">
        <v>338</v>
      </c>
      <c r="P138" s="145" t="s">
        <v>338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504</v>
      </c>
    </row>
    <row r="139" spans="1:36">
      <c r="A139" s="145" t="s">
        <v>756</v>
      </c>
      <c r="B139" s="145" t="s">
        <v>497</v>
      </c>
      <c r="C139" s="145" t="s">
        <v>678</v>
      </c>
      <c r="D139" s="145" t="s">
        <v>338</v>
      </c>
      <c r="E139" s="145">
        <v>0</v>
      </c>
      <c r="F139" s="145" t="s">
        <v>502</v>
      </c>
      <c r="G139" s="145" t="s">
        <v>757</v>
      </c>
      <c r="H139" s="145">
        <v>47</v>
      </c>
      <c r="I139" s="146">
        <v>500</v>
      </c>
      <c r="J139" s="145" t="s">
        <v>338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504</v>
      </c>
    </row>
    <row r="140" spans="1:36">
      <c r="A140" s="145" t="s">
        <v>758</v>
      </c>
      <c r="B140" s="145" t="s">
        <v>562</v>
      </c>
      <c r="C140" s="145" t="s">
        <v>632</v>
      </c>
      <c r="D140" s="145" t="s">
        <v>338</v>
      </c>
      <c r="E140" s="145" t="s">
        <v>338</v>
      </c>
      <c r="F140" s="145" t="s">
        <v>635</v>
      </c>
      <c r="G140" s="145" t="s">
        <v>759</v>
      </c>
      <c r="H140" s="145">
        <v>36</v>
      </c>
      <c r="I140" s="146">
        <v>485</v>
      </c>
      <c r="J140" s="145" t="s">
        <v>622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504</v>
      </c>
    </row>
    <row r="141" spans="1:36">
      <c r="A141" s="145" t="s">
        <v>760</v>
      </c>
      <c r="B141" s="145" t="s">
        <v>497</v>
      </c>
      <c r="C141" s="145" t="s">
        <v>678</v>
      </c>
      <c r="D141" s="145" t="s">
        <v>338</v>
      </c>
      <c r="E141" s="145" t="s">
        <v>338</v>
      </c>
      <c r="F141" s="145" t="s">
        <v>704</v>
      </c>
      <c r="G141" s="145" t="s">
        <v>204</v>
      </c>
      <c r="H141" s="145">
        <v>15</v>
      </c>
      <c r="I141" s="146">
        <v>495</v>
      </c>
      <c r="J141" s="145" t="s">
        <v>338</v>
      </c>
      <c r="K141" s="145" t="s">
        <v>338</v>
      </c>
      <c r="L141" s="145" t="s">
        <v>338</v>
      </c>
      <c r="M141" s="145" t="s">
        <v>338</v>
      </c>
      <c r="N141" s="145" t="s">
        <v>338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504</v>
      </c>
    </row>
    <row r="142" spans="1:36">
      <c r="A142" s="145" t="s">
        <v>761</v>
      </c>
      <c r="B142" s="145" t="s">
        <v>497</v>
      </c>
      <c r="C142" s="145" t="s">
        <v>678</v>
      </c>
      <c r="D142" s="145" t="s">
        <v>338</v>
      </c>
      <c r="E142" s="145" t="s">
        <v>338</v>
      </c>
      <c r="F142" s="145" t="s">
        <v>704</v>
      </c>
      <c r="G142" s="145" t="s">
        <v>128</v>
      </c>
      <c r="H142" s="145">
        <v>25</v>
      </c>
      <c r="I142" s="146">
        <v>406</v>
      </c>
      <c r="J142" s="145" t="s">
        <v>338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504</v>
      </c>
    </row>
    <row r="143" spans="1:36">
      <c r="A143" s="145" t="s">
        <v>762</v>
      </c>
      <c r="B143" s="145" t="s">
        <v>562</v>
      </c>
      <c r="C143" s="145" t="s">
        <v>632</v>
      </c>
      <c r="D143" s="145" t="s">
        <v>338</v>
      </c>
      <c r="E143" s="145" t="s">
        <v>338</v>
      </c>
      <c r="F143" s="145" t="s">
        <v>635</v>
      </c>
      <c r="G143" s="145" t="s">
        <v>732</v>
      </c>
      <c r="H143" s="145">
        <v>52</v>
      </c>
      <c r="I143" s="146">
        <v>460</v>
      </c>
      <c r="J143" s="145" t="s">
        <v>622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504</v>
      </c>
    </row>
    <row r="144" spans="1:36">
      <c r="A144" s="145" t="s">
        <v>763</v>
      </c>
      <c r="B144" s="145" t="s">
        <v>562</v>
      </c>
      <c r="C144" s="145" t="s">
        <v>498</v>
      </c>
      <c r="D144" s="145" t="s">
        <v>500</v>
      </c>
      <c r="E144" s="145">
        <v>0</v>
      </c>
      <c r="F144" s="145" t="s">
        <v>502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338</v>
      </c>
      <c r="AC144" s="145" t="s">
        <v>338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505</v>
      </c>
    </row>
    <row r="145" spans="1:36">
      <c r="A145" s="145" t="s">
        <v>765</v>
      </c>
      <c r="B145" s="145" t="s">
        <v>497</v>
      </c>
      <c r="C145" s="145" t="s">
        <v>678</v>
      </c>
      <c r="D145" s="145" t="s">
        <v>338</v>
      </c>
      <c r="E145" s="145" t="s">
        <v>338</v>
      </c>
      <c r="F145" s="145" t="s">
        <v>704</v>
      </c>
      <c r="G145" s="145" t="s">
        <v>127</v>
      </c>
      <c r="H145" s="145">
        <v>26</v>
      </c>
      <c r="I145" s="146">
        <v>358.33333333333331</v>
      </c>
      <c r="J145" s="145" t="s">
        <v>338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504</v>
      </c>
    </row>
    <row r="146" spans="1:36">
      <c r="A146" s="145" t="s">
        <v>767</v>
      </c>
      <c r="B146" s="145" t="s">
        <v>497</v>
      </c>
      <c r="C146" s="145" t="s">
        <v>678</v>
      </c>
      <c r="D146" s="145" t="s">
        <v>338</v>
      </c>
      <c r="E146" s="145" t="s">
        <v>338</v>
      </c>
      <c r="F146" s="145" t="s">
        <v>704</v>
      </c>
      <c r="G146" s="145" t="s">
        <v>211</v>
      </c>
      <c r="H146" s="145">
        <v>8</v>
      </c>
      <c r="I146" s="146">
        <v>725</v>
      </c>
      <c r="J146" s="145" t="s">
        <v>338</v>
      </c>
      <c r="K146" s="145" t="s">
        <v>338</v>
      </c>
      <c r="L146" s="145" t="s">
        <v>338</v>
      </c>
      <c r="M146" s="145" t="s">
        <v>338</v>
      </c>
      <c r="N146" s="145" t="s">
        <v>338</v>
      </c>
      <c r="O146" s="145" t="s">
        <v>338</v>
      </c>
      <c r="P146" s="145" t="s">
        <v>338</v>
      </c>
      <c r="Q146" s="145" t="s">
        <v>338</v>
      </c>
      <c r="R146" s="145" t="s">
        <v>338</v>
      </c>
      <c r="S146" s="145" t="s">
        <v>338</v>
      </c>
      <c r="T146" s="145" t="s">
        <v>338</v>
      </c>
      <c r="U146" s="145" t="s">
        <v>338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504</v>
      </c>
    </row>
    <row r="147" spans="1:36">
      <c r="A147" s="145" t="s">
        <v>768</v>
      </c>
      <c r="B147" s="145" t="s">
        <v>562</v>
      </c>
      <c r="C147" s="145" t="s">
        <v>498</v>
      </c>
      <c r="D147" s="145" t="s">
        <v>500</v>
      </c>
      <c r="E147" s="145">
        <v>4</v>
      </c>
      <c r="F147" s="145" t="s">
        <v>563</v>
      </c>
      <c r="G147" s="145" t="s">
        <v>129</v>
      </c>
      <c r="H147" s="145">
        <v>24</v>
      </c>
      <c r="I147" s="146">
        <v>350</v>
      </c>
      <c r="J147" s="145" t="s">
        <v>622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504</v>
      </c>
    </row>
    <row r="148" spans="1:36">
      <c r="A148" s="145" t="s">
        <v>770</v>
      </c>
      <c r="B148" s="145" t="s">
        <v>562</v>
      </c>
      <c r="C148" s="145" t="s">
        <v>678</v>
      </c>
      <c r="D148" s="145" t="s">
        <v>338</v>
      </c>
      <c r="E148" s="145" t="s">
        <v>338</v>
      </c>
      <c r="F148" s="145" t="s">
        <v>635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338</v>
      </c>
      <c r="AC148" s="145" t="s">
        <v>338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505</v>
      </c>
    </row>
    <row r="149" spans="1:36">
      <c r="A149" s="145" t="s">
        <v>771</v>
      </c>
      <c r="B149" s="145" t="s">
        <v>497</v>
      </c>
      <c r="C149" s="145" t="s">
        <v>498</v>
      </c>
      <c r="D149" s="145" t="s">
        <v>500</v>
      </c>
      <c r="E149" s="145">
        <v>17</v>
      </c>
      <c r="F149" s="145" t="s">
        <v>502</v>
      </c>
      <c r="G149" s="145" t="s">
        <v>244</v>
      </c>
      <c r="H149" s="145">
        <v>5</v>
      </c>
      <c r="I149" s="146">
        <v>1119.4666666666667</v>
      </c>
      <c r="J149" s="145" t="s">
        <v>338</v>
      </c>
      <c r="K149" s="145" t="s">
        <v>338</v>
      </c>
      <c r="L149" s="145" t="s">
        <v>338</v>
      </c>
      <c r="M149" s="145" t="s">
        <v>338</v>
      </c>
      <c r="N149" s="145" t="s">
        <v>338</v>
      </c>
      <c r="O149" s="145" t="s">
        <v>338</v>
      </c>
      <c r="P149" s="145" t="s">
        <v>338</v>
      </c>
      <c r="Q149" s="145" t="s">
        <v>338</v>
      </c>
      <c r="R149" s="145" t="s">
        <v>338</v>
      </c>
      <c r="S149" s="145" t="s">
        <v>338</v>
      </c>
      <c r="T149" s="145" t="s">
        <v>338</v>
      </c>
      <c r="U149" s="145" t="s">
        <v>338</v>
      </c>
      <c r="V149" s="145" t="s">
        <v>338</v>
      </c>
      <c r="W149" s="145" t="s">
        <v>338</v>
      </c>
      <c r="X149" s="145" t="s">
        <v>338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504</v>
      </c>
    </row>
    <row r="150" spans="1:36">
      <c r="A150" s="145" t="s">
        <v>772</v>
      </c>
      <c r="B150" s="145" t="s">
        <v>497</v>
      </c>
      <c r="C150" s="145" t="s">
        <v>498</v>
      </c>
      <c r="D150" s="145" t="s">
        <v>500</v>
      </c>
      <c r="E150" s="145">
        <v>4</v>
      </c>
      <c r="F150" s="145" t="s">
        <v>555</v>
      </c>
      <c r="G150" s="145" t="s">
        <v>203</v>
      </c>
      <c r="H150" s="145">
        <v>16</v>
      </c>
      <c r="I150" s="146">
        <v>495</v>
      </c>
      <c r="J150" s="145" t="s">
        <v>338</v>
      </c>
      <c r="K150" s="145" t="s">
        <v>338</v>
      </c>
      <c r="L150" s="145" t="s">
        <v>338</v>
      </c>
      <c r="M150" s="145" t="s">
        <v>338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504</v>
      </c>
    </row>
    <row r="151" spans="1:36">
      <c r="A151" s="145" t="s">
        <v>773</v>
      </c>
      <c r="B151" s="145" t="s">
        <v>562</v>
      </c>
      <c r="C151" s="145" t="s">
        <v>632</v>
      </c>
      <c r="D151" s="145" t="s">
        <v>338</v>
      </c>
      <c r="E151" s="145" t="s">
        <v>338</v>
      </c>
      <c r="F151" s="145" t="s">
        <v>635</v>
      </c>
      <c r="G151" s="145" t="s">
        <v>634</v>
      </c>
      <c r="H151" s="145">
        <v>63</v>
      </c>
      <c r="I151" s="146">
        <v>455</v>
      </c>
      <c r="J151" s="145" t="s">
        <v>338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504</v>
      </c>
    </row>
    <row r="152" spans="1:36">
      <c r="A152" s="145" t="s">
        <v>775</v>
      </c>
      <c r="B152" s="145" t="s">
        <v>562</v>
      </c>
      <c r="C152" s="145" t="s">
        <v>632</v>
      </c>
      <c r="D152" s="145" t="s">
        <v>338</v>
      </c>
      <c r="E152" s="145" t="s">
        <v>338</v>
      </c>
      <c r="F152" s="145" t="s">
        <v>635</v>
      </c>
      <c r="G152" s="145" t="s">
        <v>777</v>
      </c>
      <c r="H152" s="145">
        <v>43</v>
      </c>
      <c r="I152" s="146">
        <v>455</v>
      </c>
      <c r="J152" s="145" t="s">
        <v>622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504</v>
      </c>
    </row>
    <row r="153" spans="1:36">
      <c r="A153" s="145" t="s">
        <v>778</v>
      </c>
      <c r="B153" s="145" t="s">
        <v>497</v>
      </c>
      <c r="C153" s="145" t="s">
        <v>678</v>
      </c>
      <c r="D153" s="145" t="s">
        <v>338</v>
      </c>
      <c r="E153" s="145" t="s">
        <v>338</v>
      </c>
      <c r="F153" s="145" t="s">
        <v>704</v>
      </c>
      <c r="G153" s="145" t="s">
        <v>131</v>
      </c>
      <c r="H153" s="145">
        <v>22</v>
      </c>
      <c r="I153" s="146">
        <v>425</v>
      </c>
      <c r="J153" s="145" t="s">
        <v>338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504</v>
      </c>
    </row>
    <row r="154" spans="1:36">
      <c r="A154" s="145" t="s">
        <v>779</v>
      </c>
      <c r="B154" s="145" t="s">
        <v>497</v>
      </c>
      <c r="C154" s="145" t="s">
        <v>678</v>
      </c>
      <c r="D154" s="145" t="s">
        <v>338</v>
      </c>
      <c r="E154" s="145" t="s">
        <v>338</v>
      </c>
      <c r="F154" s="145" t="s">
        <v>704</v>
      </c>
      <c r="G154" s="145" t="s">
        <v>200</v>
      </c>
      <c r="H154" s="145">
        <v>19</v>
      </c>
      <c r="I154" s="146">
        <v>406.66666666666669</v>
      </c>
      <c r="J154" s="145" t="s">
        <v>338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504</v>
      </c>
    </row>
    <row r="155" spans="1:36">
      <c r="A155" s="145" t="s">
        <v>780</v>
      </c>
      <c r="B155" s="145" t="s">
        <v>497</v>
      </c>
      <c r="C155" s="145" t="s">
        <v>498</v>
      </c>
      <c r="D155" s="145" t="s">
        <v>500</v>
      </c>
      <c r="E155" s="145">
        <v>13</v>
      </c>
      <c r="F155" s="145" t="s">
        <v>502</v>
      </c>
      <c r="G155" s="145" t="s">
        <v>245</v>
      </c>
      <c r="H155" s="145">
        <v>4</v>
      </c>
      <c r="I155" s="146">
        <v>1265</v>
      </c>
      <c r="J155" s="145" t="s">
        <v>338</v>
      </c>
      <c r="K155" s="145" t="s">
        <v>338</v>
      </c>
      <c r="L155" s="145" t="s">
        <v>338</v>
      </c>
      <c r="M155" s="145" t="s">
        <v>338</v>
      </c>
      <c r="N155" s="145" t="s">
        <v>338</v>
      </c>
      <c r="O155" s="145" t="s">
        <v>338</v>
      </c>
      <c r="P155" s="145" t="s">
        <v>338</v>
      </c>
      <c r="Q155" s="145" t="s">
        <v>338</v>
      </c>
      <c r="R155" s="145" t="s">
        <v>338</v>
      </c>
      <c r="S155" s="145" t="s">
        <v>338</v>
      </c>
      <c r="T155" s="145" t="s">
        <v>338</v>
      </c>
      <c r="U155" s="145" t="s">
        <v>338</v>
      </c>
      <c r="V155" s="145" t="s">
        <v>338</v>
      </c>
      <c r="W155" s="145" t="s">
        <v>338</v>
      </c>
      <c r="X155" s="145" t="s">
        <v>338</v>
      </c>
      <c r="Y155" s="145" t="s">
        <v>338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504</v>
      </c>
    </row>
    <row r="156" spans="1:36">
      <c r="A156" s="145" t="s">
        <v>782</v>
      </c>
      <c r="B156" s="145" t="s">
        <v>497</v>
      </c>
      <c r="C156" s="145" t="s">
        <v>498</v>
      </c>
      <c r="D156" s="145" t="s">
        <v>500</v>
      </c>
      <c r="E156" s="145">
        <v>5</v>
      </c>
      <c r="F156" s="145" t="s">
        <v>555</v>
      </c>
      <c r="G156" s="145" t="s">
        <v>207</v>
      </c>
      <c r="H156" s="145">
        <v>12</v>
      </c>
      <c r="I156" s="146">
        <v>596.62</v>
      </c>
      <c r="J156" s="145" t="s">
        <v>338</v>
      </c>
      <c r="K156" s="145" t="s">
        <v>338</v>
      </c>
      <c r="L156" s="145" t="s">
        <v>338</v>
      </c>
      <c r="M156" s="145" t="s">
        <v>338</v>
      </c>
      <c r="N156" s="145" t="s">
        <v>338</v>
      </c>
      <c r="O156" s="145" t="s">
        <v>338</v>
      </c>
      <c r="P156" s="145" t="s">
        <v>338</v>
      </c>
      <c r="Q156" s="145" t="s">
        <v>338</v>
      </c>
      <c r="R156" s="145" t="s">
        <v>338</v>
      </c>
      <c r="S156" s="145" t="s">
        <v>338</v>
      </c>
      <c r="T156" s="145" t="s">
        <v>338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504</v>
      </c>
    </row>
    <row r="157" spans="1:36">
      <c r="A157" s="145" t="s">
        <v>783</v>
      </c>
      <c r="B157" s="145" t="s">
        <v>497</v>
      </c>
      <c r="C157" s="145" t="s">
        <v>678</v>
      </c>
      <c r="D157" s="145" t="s">
        <v>338</v>
      </c>
      <c r="E157" s="145" t="s">
        <v>338</v>
      </c>
      <c r="F157" s="145" t="s">
        <v>704</v>
      </c>
      <c r="G157" s="145" t="s">
        <v>207</v>
      </c>
      <c r="H157" s="145">
        <v>12</v>
      </c>
      <c r="I157" s="146">
        <v>410</v>
      </c>
      <c r="J157" s="145" t="s">
        <v>338</v>
      </c>
      <c r="K157" s="145" t="s">
        <v>338</v>
      </c>
      <c r="L157" s="145" t="s">
        <v>338</v>
      </c>
      <c r="M157" s="145" t="s">
        <v>338</v>
      </c>
      <c r="N157" s="145" t="s">
        <v>338</v>
      </c>
      <c r="O157" s="145" t="s">
        <v>338</v>
      </c>
      <c r="P157" s="145" t="s">
        <v>338</v>
      </c>
      <c r="Q157" s="145" t="s">
        <v>338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504</v>
      </c>
    </row>
    <row r="158" spans="1:36">
      <c r="A158" s="145" t="s">
        <v>784</v>
      </c>
      <c r="B158" s="145" t="s">
        <v>562</v>
      </c>
      <c r="C158" s="145" t="s">
        <v>498</v>
      </c>
      <c r="D158" s="145" t="s">
        <v>338</v>
      </c>
      <c r="E158" s="145">
        <v>14</v>
      </c>
      <c r="F158" s="145" t="s">
        <v>563</v>
      </c>
      <c r="G158" s="145" t="s">
        <v>785</v>
      </c>
      <c r="H158" s="145">
        <v>44</v>
      </c>
      <c r="I158" s="146">
        <v>666.66666666666663</v>
      </c>
      <c r="J158" s="145" t="s">
        <v>338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338</v>
      </c>
      <c r="AA158" s="145" t="s">
        <v>338</v>
      </c>
      <c r="AB158" s="145" t="s">
        <v>338</v>
      </c>
      <c r="AC158" s="145" t="s">
        <v>338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505</v>
      </c>
    </row>
    <row r="159" spans="1:36">
      <c r="A159" s="145" t="s">
        <v>786</v>
      </c>
      <c r="B159" s="145" t="s">
        <v>497</v>
      </c>
      <c r="C159" s="145" t="s">
        <v>678</v>
      </c>
      <c r="D159" s="145" t="s">
        <v>338</v>
      </c>
      <c r="E159" s="145">
        <v>0</v>
      </c>
      <c r="F159" s="145" t="s">
        <v>502</v>
      </c>
      <c r="G159" s="145" t="s">
        <v>690</v>
      </c>
      <c r="H159" s="145">
        <v>45</v>
      </c>
      <c r="I159" s="146">
        <v>425</v>
      </c>
      <c r="J159" s="145" t="s">
        <v>338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504</v>
      </c>
    </row>
    <row r="160" spans="1:36">
      <c r="A160" s="145" t="s">
        <v>787</v>
      </c>
      <c r="B160" s="145" t="s">
        <v>497</v>
      </c>
      <c r="C160" s="145" t="s">
        <v>678</v>
      </c>
      <c r="D160" s="145" t="s">
        <v>338</v>
      </c>
      <c r="E160" s="145">
        <v>11</v>
      </c>
      <c r="F160" s="145" t="s">
        <v>502</v>
      </c>
      <c r="G160" s="145" t="s">
        <v>570</v>
      </c>
      <c r="H160" s="145">
        <v>33</v>
      </c>
      <c r="I160" s="146">
        <v>425</v>
      </c>
      <c r="J160" s="145" t="s">
        <v>338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504</v>
      </c>
    </row>
    <row r="161" spans="1:36">
      <c r="A161" s="145" t="s">
        <v>788</v>
      </c>
      <c r="B161" s="145" t="s">
        <v>497</v>
      </c>
      <c r="C161" s="145" t="s">
        <v>498</v>
      </c>
      <c r="D161" s="145" t="s">
        <v>500</v>
      </c>
      <c r="E161" s="145">
        <v>2</v>
      </c>
      <c r="F161" s="145" t="s">
        <v>502</v>
      </c>
      <c r="G161" s="145" t="s">
        <v>127</v>
      </c>
      <c r="H161" s="145">
        <v>26</v>
      </c>
      <c r="I161" s="146">
        <v>452</v>
      </c>
      <c r="J161" s="145" t="s">
        <v>338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504</v>
      </c>
    </row>
    <row r="162" spans="1:36">
      <c r="A162" s="145" t="s">
        <v>789</v>
      </c>
      <c r="B162" s="145" t="s">
        <v>497</v>
      </c>
      <c r="C162" s="145" t="s">
        <v>678</v>
      </c>
      <c r="D162" s="145" t="s">
        <v>338</v>
      </c>
      <c r="E162" s="145" t="s">
        <v>338</v>
      </c>
      <c r="F162" s="145" t="s">
        <v>704</v>
      </c>
      <c r="G162" s="145" t="s">
        <v>206</v>
      </c>
      <c r="H162" s="145">
        <v>13</v>
      </c>
      <c r="I162" s="146">
        <v>406</v>
      </c>
      <c r="J162" s="145" t="s">
        <v>338</v>
      </c>
      <c r="K162" s="145" t="s">
        <v>338</v>
      </c>
      <c r="L162" s="145" t="s">
        <v>338</v>
      </c>
      <c r="M162" s="145" t="s">
        <v>338</v>
      </c>
      <c r="N162" s="145" t="s">
        <v>338</v>
      </c>
      <c r="O162" s="145" t="s">
        <v>338</v>
      </c>
      <c r="P162" s="145" t="s">
        <v>338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504</v>
      </c>
    </row>
    <row r="163" spans="1:36">
      <c r="A163" s="145" t="s">
        <v>790</v>
      </c>
      <c r="B163" s="145" t="s">
        <v>562</v>
      </c>
      <c r="C163" s="145" t="s">
        <v>632</v>
      </c>
      <c r="D163" s="145" t="s">
        <v>338</v>
      </c>
      <c r="E163" s="145" t="s">
        <v>338</v>
      </c>
      <c r="F163" s="145" t="s">
        <v>635</v>
      </c>
      <c r="G163" s="145" t="s">
        <v>122</v>
      </c>
      <c r="H163" s="145">
        <v>31</v>
      </c>
      <c r="I163" s="146">
        <v>410</v>
      </c>
      <c r="J163" s="145" t="s">
        <v>622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504</v>
      </c>
    </row>
    <row r="164" spans="1:36">
      <c r="A164" s="145" t="s">
        <v>792</v>
      </c>
      <c r="B164" s="145" t="s">
        <v>497</v>
      </c>
      <c r="C164" s="145" t="s">
        <v>498</v>
      </c>
      <c r="D164" s="145" t="s">
        <v>500</v>
      </c>
      <c r="E164" s="145">
        <v>4</v>
      </c>
      <c r="F164" s="145" t="s">
        <v>555</v>
      </c>
      <c r="G164" s="145" t="s">
        <v>203</v>
      </c>
      <c r="H164" s="145">
        <v>16</v>
      </c>
      <c r="I164" s="146">
        <v>418</v>
      </c>
      <c r="J164" s="145" t="s">
        <v>338</v>
      </c>
      <c r="K164" s="145" t="s">
        <v>338</v>
      </c>
      <c r="L164" s="145" t="s">
        <v>338</v>
      </c>
      <c r="M164" s="145" t="s">
        <v>338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504</v>
      </c>
    </row>
    <row r="165" spans="1:36">
      <c r="A165" s="145" t="s">
        <v>793</v>
      </c>
      <c r="B165" s="145" t="s">
        <v>497</v>
      </c>
      <c r="C165" s="145" t="s">
        <v>678</v>
      </c>
      <c r="D165" s="145" t="s">
        <v>338</v>
      </c>
      <c r="E165" s="145" t="s">
        <v>338</v>
      </c>
      <c r="F165" s="145" t="s">
        <v>704</v>
      </c>
      <c r="G165" s="145" t="s">
        <v>794</v>
      </c>
      <c r="H165" s="145">
        <v>48</v>
      </c>
      <c r="I165" s="146">
        <v>400</v>
      </c>
      <c r="J165" s="145" t="s">
        <v>338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504</v>
      </c>
    </row>
    <row r="166" spans="1:36">
      <c r="A166" s="145" t="s">
        <v>795</v>
      </c>
      <c r="B166" s="145" t="s">
        <v>497</v>
      </c>
      <c r="C166" s="145" t="s">
        <v>678</v>
      </c>
      <c r="D166" s="145" t="s">
        <v>338</v>
      </c>
      <c r="E166" s="145">
        <v>12</v>
      </c>
      <c r="F166" s="145" t="s">
        <v>502</v>
      </c>
      <c r="G166" s="145" t="s">
        <v>205</v>
      </c>
      <c r="H166" s="145">
        <v>14</v>
      </c>
      <c r="I166" s="146">
        <v>412</v>
      </c>
      <c r="J166" s="145" t="s">
        <v>338</v>
      </c>
      <c r="K166" s="145" t="s">
        <v>338</v>
      </c>
      <c r="L166" s="145" t="s">
        <v>338</v>
      </c>
      <c r="M166" s="145" t="s">
        <v>338</v>
      </c>
      <c r="N166" s="145" t="s">
        <v>338</v>
      </c>
      <c r="O166" s="145" t="s">
        <v>338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504</v>
      </c>
    </row>
    <row r="167" spans="1:36">
      <c r="A167" s="145" t="s">
        <v>796</v>
      </c>
      <c r="B167" s="145" t="s">
        <v>562</v>
      </c>
      <c r="C167" s="145" t="s">
        <v>632</v>
      </c>
      <c r="D167" s="145" t="s">
        <v>338</v>
      </c>
      <c r="E167" s="145" t="s">
        <v>338</v>
      </c>
      <c r="F167" s="145" t="s">
        <v>635</v>
      </c>
      <c r="G167" s="145" t="s">
        <v>757</v>
      </c>
      <c r="H167" s="145">
        <v>47</v>
      </c>
      <c r="I167" s="146">
        <v>405</v>
      </c>
      <c r="J167" s="145" t="s">
        <v>622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504</v>
      </c>
    </row>
    <row r="168" spans="1:36">
      <c r="A168" s="145" t="s">
        <v>797</v>
      </c>
      <c r="B168" s="145" t="s">
        <v>497</v>
      </c>
      <c r="C168" s="145" t="s">
        <v>678</v>
      </c>
      <c r="D168" s="145" t="s">
        <v>338</v>
      </c>
      <c r="E168" s="145" t="s">
        <v>338</v>
      </c>
      <c r="F168" s="145" t="s">
        <v>704</v>
      </c>
      <c r="G168" s="145" t="s">
        <v>204</v>
      </c>
      <c r="H168" s="145">
        <v>15</v>
      </c>
      <c r="I168" s="146">
        <v>418</v>
      </c>
      <c r="J168" s="145" t="s">
        <v>338</v>
      </c>
      <c r="K168" s="145" t="s">
        <v>338</v>
      </c>
      <c r="L168" s="145" t="s">
        <v>338</v>
      </c>
      <c r="M168" s="145" t="s">
        <v>338</v>
      </c>
      <c r="N168" s="145" t="s">
        <v>338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504</v>
      </c>
    </row>
    <row r="169" spans="1:36">
      <c r="A169" s="145" t="s">
        <v>798</v>
      </c>
      <c r="B169" s="145" t="s">
        <v>497</v>
      </c>
      <c r="C169" s="145" t="s">
        <v>678</v>
      </c>
      <c r="D169" s="145" t="s">
        <v>338</v>
      </c>
      <c r="E169" s="145" t="s">
        <v>338</v>
      </c>
      <c r="F169" s="145" t="s">
        <v>704</v>
      </c>
      <c r="G169" s="145" t="s">
        <v>588</v>
      </c>
      <c r="H169" s="145">
        <v>32</v>
      </c>
      <c r="I169" s="146">
        <v>400</v>
      </c>
      <c r="J169" s="145" t="s">
        <v>338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504</v>
      </c>
    </row>
    <row r="170" spans="1:36">
      <c r="A170" s="145" t="s">
        <v>799</v>
      </c>
      <c r="B170" s="145" t="s">
        <v>562</v>
      </c>
      <c r="C170" s="145" t="s">
        <v>678</v>
      </c>
      <c r="D170" s="145" t="s">
        <v>338</v>
      </c>
      <c r="E170" s="145" t="s">
        <v>338</v>
      </c>
      <c r="F170" s="145" t="s">
        <v>635</v>
      </c>
      <c r="G170" s="145" t="s">
        <v>203</v>
      </c>
      <c r="H170" s="145">
        <v>16</v>
      </c>
      <c r="I170" s="146">
        <v>648.33333333333337</v>
      </c>
      <c r="J170" s="145" t="s">
        <v>338</v>
      </c>
      <c r="K170" s="145" t="s">
        <v>338</v>
      </c>
      <c r="L170" s="145" t="s">
        <v>338</v>
      </c>
      <c r="M170" s="145" t="s">
        <v>338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338</v>
      </c>
      <c r="AA170" s="145" t="s">
        <v>338</v>
      </c>
      <c r="AB170" s="145" t="s">
        <v>338</v>
      </c>
      <c r="AC170" s="145" t="s">
        <v>338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505</v>
      </c>
    </row>
    <row r="171" spans="1:36">
      <c r="A171" s="145" t="s">
        <v>800</v>
      </c>
      <c r="B171" s="145" t="s">
        <v>497</v>
      </c>
      <c r="C171" s="145" t="s">
        <v>498</v>
      </c>
      <c r="D171" s="145" t="s">
        <v>616</v>
      </c>
      <c r="E171" s="145">
        <v>15</v>
      </c>
      <c r="F171" s="145" t="s">
        <v>502</v>
      </c>
      <c r="G171" s="145" t="s">
        <v>246</v>
      </c>
      <c r="H171" s="145">
        <v>3</v>
      </c>
      <c r="I171" s="146">
        <v>1592.6666666666667</v>
      </c>
      <c r="J171" s="145" t="s">
        <v>338</v>
      </c>
      <c r="K171" s="145" t="s">
        <v>338</v>
      </c>
      <c r="L171" s="145" t="s">
        <v>338</v>
      </c>
      <c r="M171" s="145" t="s">
        <v>338</v>
      </c>
      <c r="N171" s="145" t="s">
        <v>338</v>
      </c>
      <c r="O171" s="145" t="s">
        <v>338</v>
      </c>
      <c r="P171" s="145" t="s">
        <v>338</v>
      </c>
      <c r="Q171" s="145" t="s">
        <v>338</v>
      </c>
      <c r="R171" s="145" t="s">
        <v>338</v>
      </c>
      <c r="S171" s="145" t="s">
        <v>338</v>
      </c>
      <c r="T171" s="145" t="s">
        <v>338</v>
      </c>
      <c r="U171" s="145" t="s">
        <v>338</v>
      </c>
      <c r="V171" s="145" t="s">
        <v>338</v>
      </c>
      <c r="W171" s="145" t="s">
        <v>338</v>
      </c>
      <c r="X171" s="145" t="s">
        <v>338</v>
      </c>
      <c r="Y171" s="145" t="s">
        <v>338</v>
      </c>
      <c r="Z171" s="145" t="s">
        <v>338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504</v>
      </c>
    </row>
    <row r="172" spans="1:36">
      <c r="A172" s="145" t="s">
        <v>801</v>
      </c>
      <c r="B172" s="145" t="s">
        <v>562</v>
      </c>
      <c r="C172" s="145" t="s">
        <v>632</v>
      </c>
      <c r="D172" s="145" t="s">
        <v>338</v>
      </c>
      <c r="E172" s="145" t="s">
        <v>338</v>
      </c>
      <c r="F172" s="145" t="s">
        <v>635</v>
      </c>
      <c r="G172" s="145" t="s">
        <v>634</v>
      </c>
      <c r="H172" s="145">
        <v>63</v>
      </c>
      <c r="I172" s="146">
        <v>400</v>
      </c>
      <c r="J172" s="145" t="s">
        <v>622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504</v>
      </c>
    </row>
    <row r="173" spans="1:36">
      <c r="A173" s="145" t="s">
        <v>803</v>
      </c>
      <c r="B173" s="145" t="s">
        <v>497</v>
      </c>
      <c r="C173" s="145" t="s">
        <v>498</v>
      </c>
      <c r="D173" s="145" t="s">
        <v>607</v>
      </c>
      <c r="E173" s="145">
        <v>10</v>
      </c>
      <c r="F173" s="145" t="s">
        <v>502</v>
      </c>
      <c r="G173" s="145" t="s">
        <v>205</v>
      </c>
      <c r="H173" s="145">
        <v>14</v>
      </c>
      <c r="I173" s="146">
        <v>363.3</v>
      </c>
      <c r="J173" s="145" t="s">
        <v>338</v>
      </c>
      <c r="K173" s="145" t="s">
        <v>338</v>
      </c>
      <c r="L173" s="145" t="s">
        <v>338</v>
      </c>
      <c r="M173" s="145" t="s">
        <v>338</v>
      </c>
      <c r="N173" s="145" t="s">
        <v>338</v>
      </c>
      <c r="O173" s="145" t="s">
        <v>338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504</v>
      </c>
    </row>
    <row r="174" spans="1:36">
      <c r="A174" s="145" t="s">
        <v>804</v>
      </c>
      <c r="B174" s="145" t="s">
        <v>497</v>
      </c>
      <c r="C174" s="145" t="s">
        <v>498</v>
      </c>
      <c r="D174" s="145" t="s">
        <v>500</v>
      </c>
      <c r="E174" s="145">
        <v>2</v>
      </c>
      <c r="F174" s="145" t="s">
        <v>502</v>
      </c>
      <c r="G174" s="145" t="s">
        <v>206</v>
      </c>
      <c r="H174" s="145">
        <v>13</v>
      </c>
      <c r="I174" s="146">
        <v>386</v>
      </c>
      <c r="J174" s="145" t="s">
        <v>338</v>
      </c>
      <c r="K174" s="145" t="s">
        <v>338</v>
      </c>
      <c r="L174" s="145" t="s">
        <v>338</v>
      </c>
      <c r="M174" s="145" t="s">
        <v>338</v>
      </c>
      <c r="N174" s="145" t="s">
        <v>338</v>
      </c>
      <c r="O174" s="145" t="s">
        <v>338</v>
      </c>
      <c r="P174" s="145" t="s">
        <v>338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504</v>
      </c>
    </row>
    <row r="175" spans="1:36">
      <c r="A175" s="145" t="s">
        <v>806</v>
      </c>
      <c r="B175" s="145" t="s">
        <v>562</v>
      </c>
      <c r="C175" s="145" t="s">
        <v>632</v>
      </c>
      <c r="D175" s="145" t="s">
        <v>338</v>
      </c>
      <c r="E175" s="145" t="s">
        <v>338</v>
      </c>
      <c r="F175" s="145" t="s">
        <v>635</v>
      </c>
      <c r="G175" s="145" t="s">
        <v>808</v>
      </c>
      <c r="H175" s="145">
        <v>58</v>
      </c>
      <c r="I175" s="146">
        <v>385</v>
      </c>
      <c r="J175" s="145" t="s">
        <v>622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504</v>
      </c>
    </row>
    <row r="176" spans="1:36">
      <c r="A176" s="145" t="s">
        <v>809</v>
      </c>
      <c r="B176" s="145" t="s">
        <v>562</v>
      </c>
      <c r="C176" s="145" t="s">
        <v>498</v>
      </c>
      <c r="D176" s="145" t="s">
        <v>500</v>
      </c>
      <c r="E176" s="145">
        <v>0</v>
      </c>
      <c r="F176" s="145" t="s">
        <v>502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338</v>
      </c>
      <c r="L176" s="145" t="s">
        <v>338</v>
      </c>
      <c r="M176" s="145" t="s">
        <v>338</v>
      </c>
      <c r="N176" s="145" t="s">
        <v>338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338</v>
      </c>
      <c r="AB176" s="145" t="s">
        <v>338</v>
      </c>
      <c r="AC176" s="145" t="s">
        <v>338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505</v>
      </c>
    </row>
    <row r="177" spans="1:36">
      <c r="A177" s="145" t="s">
        <v>810</v>
      </c>
      <c r="B177" s="145" t="s">
        <v>562</v>
      </c>
      <c r="C177" s="145" t="s">
        <v>498</v>
      </c>
      <c r="D177" s="145" t="s">
        <v>500</v>
      </c>
      <c r="E177" s="145">
        <v>0</v>
      </c>
      <c r="F177" s="145" t="s">
        <v>502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338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504</v>
      </c>
    </row>
    <row r="178" spans="1:36">
      <c r="A178" s="145" t="s">
        <v>811</v>
      </c>
      <c r="B178" s="145" t="s">
        <v>562</v>
      </c>
      <c r="C178" s="145" t="s">
        <v>632</v>
      </c>
      <c r="D178" s="145" t="s">
        <v>338</v>
      </c>
      <c r="E178" s="145" t="s">
        <v>338</v>
      </c>
      <c r="F178" s="145" t="s">
        <v>635</v>
      </c>
      <c r="G178" s="145" t="s">
        <v>597</v>
      </c>
      <c r="H178" s="145">
        <v>35</v>
      </c>
      <c r="I178" s="146">
        <v>385</v>
      </c>
      <c r="J178" s="145" t="s">
        <v>622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504</v>
      </c>
    </row>
    <row r="179" spans="1:36">
      <c r="A179" s="145" t="s">
        <v>813</v>
      </c>
      <c r="B179" s="145" t="s">
        <v>497</v>
      </c>
      <c r="C179" s="145" t="s">
        <v>498</v>
      </c>
      <c r="D179" s="145" t="s">
        <v>500</v>
      </c>
      <c r="E179" s="145">
        <v>3</v>
      </c>
      <c r="F179" s="145" t="s">
        <v>555</v>
      </c>
      <c r="G179" s="145" t="s">
        <v>126</v>
      </c>
      <c r="H179" s="145">
        <v>27</v>
      </c>
      <c r="I179" s="146">
        <v>389.33333333333331</v>
      </c>
      <c r="J179" s="145" t="s">
        <v>338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504</v>
      </c>
    </row>
    <row r="180" spans="1:36">
      <c r="A180" s="145" t="s">
        <v>814</v>
      </c>
      <c r="B180" s="145" t="s">
        <v>497</v>
      </c>
      <c r="C180" s="145" t="s">
        <v>678</v>
      </c>
      <c r="D180" s="145" t="s">
        <v>338</v>
      </c>
      <c r="E180" s="145">
        <v>0</v>
      </c>
      <c r="F180" s="145" t="s">
        <v>502</v>
      </c>
      <c r="G180" s="145" t="s">
        <v>572</v>
      </c>
      <c r="H180" s="145">
        <v>42</v>
      </c>
      <c r="I180" s="146">
        <v>410</v>
      </c>
      <c r="J180" s="145" t="s">
        <v>338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504</v>
      </c>
    </row>
    <row r="181" spans="1:36">
      <c r="A181" s="145" t="s">
        <v>815</v>
      </c>
      <c r="B181" s="145" t="s">
        <v>497</v>
      </c>
      <c r="C181" s="145" t="s">
        <v>678</v>
      </c>
      <c r="D181" s="145" t="s">
        <v>338</v>
      </c>
      <c r="E181" s="145">
        <v>2</v>
      </c>
      <c r="F181" s="145" t="s">
        <v>502</v>
      </c>
      <c r="G181" s="145" t="s">
        <v>209</v>
      </c>
      <c r="H181" s="145">
        <v>10</v>
      </c>
      <c r="I181" s="146">
        <v>420</v>
      </c>
      <c r="J181" s="145" t="s">
        <v>338</v>
      </c>
      <c r="K181" s="145" t="s">
        <v>338</v>
      </c>
      <c r="L181" s="145" t="s">
        <v>338</v>
      </c>
      <c r="M181" s="145" t="s">
        <v>338</v>
      </c>
      <c r="N181" s="145" t="s">
        <v>338</v>
      </c>
      <c r="O181" s="145" t="s">
        <v>338</v>
      </c>
      <c r="P181" s="145" t="s">
        <v>338</v>
      </c>
      <c r="Q181" s="145" t="s">
        <v>338</v>
      </c>
      <c r="R181" s="145" t="s">
        <v>338</v>
      </c>
      <c r="S181" s="145" t="s">
        <v>338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504</v>
      </c>
    </row>
    <row r="182" spans="1:36">
      <c r="A182" s="145" t="s">
        <v>816</v>
      </c>
      <c r="B182" s="145" t="s">
        <v>562</v>
      </c>
      <c r="C182" s="145" t="s">
        <v>678</v>
      </c>
      <c r="D182" s="145" t="s">
        <v>338</v>
      </c>
      <c r="E182" s="145" t="s">
        <v>338</v>
      </c>
      <c r="F182" s="145" t="s">
        <v>635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338</v>
      </c>
      <c r="L182" s="145" t="s">
        <v>338</v>
      </c>
      <c r="M182" s="145" t="s">
        <v>338</v>
      </c>
      <c r="N182" s="145" t="s">
        <v>338</v>
      </c>
      <c r="O182" s="145" t="s">
        <v>338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338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504</v>
      </c>
    </row>
    <row r="183" spans="1:36">
      <c r="A183" s="145" t="s">
        <v>817</v>
      </c>
      <c r="B183" s="145" t="s">
        <v>562</v>
      </c>
      <c r="C183" s="145" t="s">
        <v>678</v>
      </c>
      <c r="D183" s="145" t="s">
        <v>338</v>
      </c>
      <c r="E183" s="145">
        <v>25</v>
      </c>
      <c r="F183" s="145" t="s">
        <v>502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338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504</v>
      </c>
    </row>
    <row r="184" spans="1:36">
      <c r="A184" s="145" t="s">
        <v>818</v>
      </c>
      <c r="B184" s="145" t="s">
        <v>562</v>
      </c>
      <c r="C184" s="145" t="s">
        <v>498</v>
      </c>
      <c r="D184" s="145" t="s">
        <v>500</v>
      </c>
      <c r="E184" s="145">
        <v>4</v>
      </c>
      <c r="F184" s="145" t="s">
        <v>563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338</v>
      </c>
      <c r="L184" s="145" t="s">
        <v>338</v>
      </c>
      <c r="M184" s="145" t="s">
        <v>338</v>
      </c>
      <c r="N184" s="145" t="s">
        <v>338</v>
      </c>
      <c r="O184" s="145" t="s">
        <v>338</v>
      </c>
      <c r="P184" s="145" t="s">
        <v>338</v>
      </c>
      <c r="Q184" s="145" t="s">
        <v>338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338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504</v>
      </c>
    </row>
    <row r="185" spans="1:36">
      <c r="A185" s="145" t="s">
        <v>819</v>
      </c>
      <c r="B185" s="145" t="s">
        <v>562</v>
      </c>
      <c r="C185" s="145" t="s">
        <v>632</v>
      </c>
      <c r="D185" s="145" t="s">
        <v>338</v>
      </c>
      <c r="E185" s="145" t="s">
        <v>338</v>
      </c>
      <c r="F185" s="145" t="s">
        <v>635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338</v>
      </c>
      <c r="L185" s="145" t="s">
        <v>338</v>
      </c>
      <c r="M185" s="145" t="s">
        <v>338</v>
      </c>
      <c r="N185" s="145" t="s">
        <v>338</v>
      </c>
      <c r="O185" s="145" t="s">
        <v>338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338</v>
      </c>
      <c r="AC185" s="145" t="s">
        <v>338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505</v>
      </c>
    </row>
    <row r="186" spans="1:36">
      <c r="A186" s="145" t="s">
        <v>820</v>
      </c>
      <c r="B186" s="145" t="s">
        <v>562</v>
      </c>
      <c r="C186" s="145" t="s">
        <v>657</v>
      </c>
      <c r="D186" s="145" t="s">
        <v>338</v>
      </c>
      <c r="E186" s="145" t="s">
        <v>338</v>
      </c>
      <c r="F186" s="145" t="s">
        <v>635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338</v>
      </c>
      <c r="Z186" s="145" t="s">
        <v>338</v>
      </c>
      <c r="AA186" s="145" t="s">
        <v>338</v>
      </c>
      <c r="AB186" s="145" t="s">
        <v>338</v>
      </c>
      <c r="AC186" s="145" t="s">
        <v>338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505</v>
      </c>
    </row>
    <row r="187" spans="1:36">
      <c r="A187" s="145" t="s">
        <v>821</v>
      </c>
      <c r="B187" s="145" t="s">
        <v>497</v>
      </c>
      <c r="C187" s="145" t="s">
        <v>498</v>
      </c>
      <c r="D187" s="145" t="s">
        <v>500</v>
      </c>
      <c r="E187" s="145">
        <v>8</v>
      </c>
      <c r="F187" s="145" t="s">
        <v>502</v>
      </c>
      <c r="G187" s="145" t="s">
        <v>242</v>
      </c>
      <c r="H187" s="145">
        <v>7</v>
      </c>
      <c r="I187" s="146">
        <v>719</v>
      </c>
      <c r="J187" s="145" t="s">
        <v>338</v>
      </c>
      <c r="K187" s="145" t="s">
        <v>338</v>
      </c>
      <c r="L187" s="145" t="s">
        <v>338</v>
      </c>
      <c r="M187" s="145" t="s">
        <v>338</v>
      </c>
      <c r="N187" s="145" t="s">
        <v>338</v>
      </c>
      <c r="O187" s="145" t="s">
        <v>338</v>
      </c>
      <c r="P187" s="145" t="s">
        <v>338</v>
      </c>
      <c r="Q187" s="145" t="s">
        <v>338</v>
      </c>
      <c r="R187" s="145" t="s">
        <v>338</v>
      </c>
      <c r="S187" s="145" t="s">
        <v>338</v>
      </c>
      <c r="T187" s="145" t="s">
        <v>338</v>
      </c>
      <c r="U187" s="145" t="s">
        <v>338</v>
      </c>
      <c r="V187" s="145" t="s">
        <v>338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504</v>
      </c>
    </row>
    <row r="188" spans="1:36">
      <c r="A188" s="145" t="s">
        <v>822</v>
      </c>
      <c r="B188" s="145" t="s">
        <v>497</v>
      </c>
      <c r="C188" s="145" t="s">
        <v>632</v>
      </c>
      <c r="D188" s="145" t="s">
        <v>338</v>
      </c>
      <c r="E188" s="145" t="s">
        <v>338</v>
      </c>
      <c r="F188" s="145" t="s">
        <v>668</v>
      </c>
      <c r="G188" s="145" t="s">
        <v>634</v>
      </c>
      <c r="H188" s="145">
        <v>63</v>
      </c>
      <c r="I188" s="146">
        <v>355</v>
      </c>
      <c r="J188" s="145" t="s">
        <v>338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504</v>
      </c>
    </row>
    <row r="189" spans="1:36">
      <c r="A189" s="145" t="s">
        <v>824</v>
      </c>
      <c r="B189" s="145" t="s">
        <v>497</v>
      </c>
      <c r="C189" s="145" t="s">
        <v>498</v>
      </c>
      <c r="D189" s="145" t="s">
        <v>607</v>
      </c>
      <c r="E189" s="145">
        <v>5</v>
      </c>
      <c r="F189" s="145" t="s">
        <v>555</v>
      </c>
      <c r="G189" s="145" t="s">
        <v>205</v>
      </c>
      <c r="H189" s="145">
        <v>14</v>
      </c>
      <c r="I189" s="146">
        <v>360</v>
      </c>
      <c r="J189" s="145" t="s">
        <v>338</v>
      </c>
      <c r="K189" s="145" t="s">
        <v>338</v>
      </c>
      <c r="L189" s="145" t="s">
        <v>338</v>
      </c>
      <c r="M189" s="145" t="s">
        <v>338</v>
      </c>
      <c r="N189" s="145" t="s">
        <v>338</v>
      </c>
      <c r="O189" s="145" t="s">
        <v>338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504</v>
      </c>
    </row>
    <row r="190" spans="1:36">
      <c r="A190" s="145" t="s">
        <v>825</v>
      </c>
      <c r="B190" s="145" t="s">
        <v>497</v>
      </c>
      <c r="C190" s="145" t="s">
        <v>498</v>
      </c>
      <c r="D190" s="145" t="s">
        <v>616</v>
      </c>
      <c r="E190" s="145">
        <v>8</v>
      </c>
      <c r="F190" s="145" t="s">
        <v>502</v>
      </c>
      <c r="G190" s="145" t="s">
        <v>244</v>
      </c>
      <c r="H190" s="145">
        <v>5</v>
      </c>
      <c r="I190" s="146">
        <v>899.33333333333337</v>
      </c>
      <c r="J190" s="145" t="s">
        <v>338</v>
      </c>
      <c r="K190" s="145" t="s">
        <v>338</v>
      </c>
      <c r="L190" s="145" t="s">
        <v>338</v>
      </c>
      <c r="M190" s="145" t="s">
        <v>338</v>
      </c>
      <c r="N190" s="145" t="s">
        <v>338</v>
      </c>
      <c r="O190" s="145" t="s">
        <v>338</v>
      </c>
      <c r="P190" s="145" t="s">
        <v>338</v>
      </c>
      <c r="Q190" s="145" t="s">
        <v>338</v>
      </c>
      <c r="R190" s="145" t="s">
        <v>338</v>
      </c>
      <c r="S190" s="145" t="s">
        <v>338</v>
      </c>
      <c r="T190" s="145" t="s">
        <v>338</v>
      </c>
      <c r="U190" s="145" t="s">
        <v>338</v>
      </c>
      <c r="V190" s="145" t="s">
        <v>338</v>
      </c>
      <c r="W190" s="145" t="s">
        <v>338</v>
      </c>
      <c r="X190" s="145" t="s">
        <v>338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504</v>
      </c>
    </row>
    <row r="191" spans="1:36">
      <c r="A191" s="145" t="s">
        <v>826</v>
      </c>
      <c r="B191" s="145" t="s">
        <v>19</v>
      </c>
      <c r="C191" s="145" t="s">
        <v>498</v>
      </c>
      <c r="D191" s="145" t="s">
        <v>338</v>
      </c>
      <c r="E191" s="145">
        <v>21</v>
      </c>
      <c r="F191" s="145" t="s">
        <v>502</v>
      </c>
      <c r="G191" s="145" t="s">
        <v>247</v>
      </c>
      <c r="H191" s="145">
        <v>2</v>
      </c>
      <c r="I191" s="146">
        <v>1986</v>
      </c>
      <c r="J191" s="145" t="s">
        <v>338</v>
      </c>
      <c r="K191" s="145" t="s">
        <v>338</v>
      </c>
      <c r="L191" s="145" t="s">
        <v>338</v>
      </c>
      <c r="M191" s="145" t="s">
        <v>338</v>
      </c>
      <c r="N191" s="145" t="s">
        <v>338</v>
      </c>
      <c r="O191" s="145" t="s">
        <v>338</v>
      </c>
      <c r="P191" s="145" t="s">
        <v>338</v>
      </c>
      <c r="Q191" s="145" t="s">
        <v>338</v>
      </c>
      <c r="R191" s="145" t="s">
        <v>338</v>
      </c>
      <c r="S191" s="145" t="s">
        <v>338</v>
      </c>
      <c r="T191" s="145" t="s">
        <v>338</v>
      </c>
      <c r="U191" s="145" t="s">
        <v>338</v>
      </c>
      <c r="V191" s="145" t="s">
        <v>338</v>
      </c>
      <c r="W191" s="145" t="s">
        <v>338</v>
      </c>
      <c r="X191" s="145" t="s">
        <v>338</v>
      </c>
      <c r="Y191" s="145" t="s">
        <v>338</v>
      </c>
      <c r="Z191" s="145" t="s">
        <v>338</v>
      </c>
      <c r="AA191" s="145" t="s">
        <v>338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504</v>
      </c>
    </row>
    <row r="192" spans="1:36">
      <c r="A192" s="145" t="s">
        <v>827</v>
      </c>
      <c r="B192" s="145" t="s">
        <v>562</v>
      </c>
      <c r="C192" s="145" t="s">
        <v>678</v>
      </c>
      <c r="D192" s="145" t="s">
        <v>338</v>
      </c>
      <c r="E192" s="145" t="s">
        <v>338</v>
      </c>
      <c r="F192" s="145" t="s">
        <v>635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338</v>
      </c>
      <c r="L192" s="145" t="s">
        <v>338</v>
      </c>
      <c r="M192" s="145" t="s">
        <v>338</v>
      </c>
      <c r="N192" s="145" t="s">
        <v>338</v>
      </c>
      <c r="O192" s="145" t="s">
        <v>338</v>
      </c>
      <c r="P192" s="145" t="s">
        <v>338</v>
      </c>
      <c r="Q192" s="145" t="s">
        <v>338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338</v>
      </c>
      <c r="AC192" s="145" t="s">
        <v>338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505</v>
      </c>
    </row>
    <row r="193" spans="1:36">
      <c r="A193" s="145" t="s">
        <v>828</v>
      </c>
      <c r="B193" s="145" t="s">
        <v>562</v>
      </c>
      <c r="C193" s="145" t="s">
        <v>498</v>
      </c>
      <c r="D193" s="145" t="s">
        <v>500</v>
      </c>
      <c r="E193" s="145">
        <v>4</v>
      </c>
      <c r="F193" s="145" t="s">
        <v>563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338</v>
      </c>
      <c r="L193" s="145" t="s">
        <v>338</v>
      </c>
      <c r="M193" s="145" t="s">
        <v>338</v>
      </c>
      <c r="N193" s="146">
        <v>350</v>
      </c>
      <c r="O193" s="145" t="s">
        <v>338</v>
      </c>
      <c r="P193" s="145" t="s">
        <v>338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338</v>
      </c>
      <c r="AA193" s="145" t="s">
        <v>338</v>
      </c>
      <c r="AB193" s="145" t="s">
        <v>338</v>
      </c>
      <c r="AC193" s="145" t="s">
        <v>338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505</v>
      </c>
    </row>
    <row r="194" spans="1:36">
      <c r="A194" s="145" t="s">
        <v>829</v>
      </c>
      <c r="B194" s="145" t="s">
        <v>562</v>
      </c>
      <c r="C194" s="145" t="s">
        <v>498</v>
      </c>
      <c r="D194" s="145" t="s">
        <v>500</v>
      </c>
      <c r="E194" s="145">
        <v>2</v>
      </c>
      <c r="F194" s="145" t="s">
        <v>555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338</v>
      </c>
      <c r="S194" s="145" t="s">
        <v>338</v>
      </c>
      <c r="T194" s="145" t="s">
        <v>338</v>
      </c>
      <c r="U194" s="145" t="s">
        <v>338</v>
      </c>
      <c r="V194" s="145" t="s">
        <v>338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504</v>
      </c>
    </row>
    <row r="195" spans="1:36">
      <c r="A195" s="145" t="s">
        <v>830</v>
      </c>
      <c r="B195" s="145" t="s">
        <v>497</v>
      </c>
      <c r="C195" s="145" t="s">
        <v>498</v>
      </c>
      <c r="D195" s="145" t="s">
        <v>616</v>
      </c>
      <c r="E195" s="145">
        <v>22</v>
      </c>
      <c r="F195" s="145" t="s">
        <v>502</v>
      </c>
      <c r="G195" s="145" t="s">
        <v>246</v>
      </c>
      <c r="H195" s="145">
        <v>3</v>
      </c>
      <c r="I195" s="146">
        <v>1256.3333333333333</v>
      </c>
      <c r="J195" s="145" t="s">
        <v>338</v>
      </c>
      <c r="K195" s="145" t="s">
        <v>338</v>
      </c>
      <c r="L195" s="145" t="s">
        <v>338</v>
      </c>
      <c r="M195" s="145" t="s">
        <v>338</v>
      </c>
      <c r="N195" s="145" t="s">
        <v>338</v>
      </c>
      <c r="O195" s="145" t="s">
        <v>338</v>
      </c>
      <c r="P195" s="145" t="s">
        <v>338</v>
      </c>
      <c r="Q195" s="145" t="s">
        <v>338</v>
      </c>
      <c r="R195" s="145" t="s">
        <v>338</v>
      </c>
      <c r="S195" s="145" t="s">
        <v>338</v>
      </c>
      <c r="T195" s="145" t="s">
        <v>338</v>
      </c>
      <c r="U195" s="145" t="s">
        <v>338</v>
      </c>
      <c r="V195" s="145" t="s">
        <v>338</v>
      </c>
      <c r="W195" s="145" t="s">
        <v>338</v>
      </c>
      <c r="X195" s="145" t="s">
        <v>338</v>
      </c>
      <c r="Y195" s="145" t="s">
        <v>338</v>
      </c>
      <c r="Z195" s="145" t="s">
        <v>338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504</v>
      </c>
    </row>
    <row r="196" spans="1:36">
      <c r="A196" s="145" t="s">
        <v>831</v>
      </c>
      <c r="B196" s="145" t="s">
        <v>497</v>
      </c>
      <c r="C196" s="145" t="s">
        <v>498</v>
      </c>
      <c r="D196" s="145" t="s">
        <v>500</v>
      </c>
      <c r="E196" s="145">
        <v>6</v>
      </c>
      <c r="F196" s="145" t="s">
        <v>502</v>
      </c>
      <c r="G196" s="145" t="s">
        <v>211</v>
      </c>
      <c r="H196" s="145">
        <v>8</v>
      </c>
      <c r="I196" s="146">
        <v>425</v>
      </c>
      <c r="J196" s="145" t="s">
        <v>338</v>
      </c>
      <c r="K196" s="145" t="s">
        <v>338</v>
      </c>
      <c r="L196" s="145" t="s">
        <v>338</v>
      </c>
      <c r="M196" s="145" t="s">
        <v>338</v>
      </c>
      <c r="N196" s="145" t="s">
        <v>338</v>
      </c>
      <c r="O196" s="145" t="s">
        <v>338</v>
      </c>
      <c r="P196" s="145" t="s">
        <v>338</v>
      </c>
      <c r="Q196" s="145" t="s">
        <v>338</v>
      </c>
      <c r="R196" s="145" t="s">
        <v>338</v>
      </c>
      <c r="S196" s="145" t="s">
        <v>338</v>
      </c>
      <c r="T196" s="145" t="s">
        <v>338</v>
      </c>
      <c r="U196" s="145" t="s">
        <v>338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504</v>
      </c>
    </row>
    <row r="197" spans="1:36">
      <c r="A197" s="145" t="s">
        <v>832</v>
      </c>
      <c r="B197" s="145" t="s">
        <v>562</v>
      </c>
      <c r="C197" s="145" t="s">
        <v>498</v>
      </c>
      <c r="D197" s="145" t="s">
        <v>616</v>
      </c>
      <c r="E197" s="145">
        <v>14</v>
      </c>
      <c r="F197" s="145" t="s">
        <v>502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338</v>
      </c>
      <c r="L197" s="145" t="s">
        <v>338</v>
      </c>
      <c r="M197" s="145" t="s">
        <v>338</v>
      </c>
      <c r="N197" s="145" t="s">
        <v>338</v>
      </c>
      <c r="O197" s="145" t="s">
        <v>338</v>
      </c>
      <c r="P197" s="145" t="s">
        <v>338</v>
      </c>
      <c r="Q197" s="145" t="s">
        <v>338</v>
      </c>
      <c r="R197" s="145" t="s">
        <v>338</v>
      </c>
      <c r="S197" s="145" t="s">
        <v>338</v>
      </c>
      <c r="T197" s="145" t="s">
        <v>338</v>
      </c>
      <c r="U197" s="145" t="s">
        <v>338</v>
      </c>
      <c r="V197" s="145" t="s">
        <v>338</v>
      </c>
      <c r="W197" s="145" t="s">
        <v>338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338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504</v>
      </c>
    </row>
    <row r="198" spans="1:36">
      <c r="A198" s="145" t="s">
        <v>834</v>
      </c>
      <c r="B198" s="145" t="s">
        <v>497</v>
      </c>
      <c r="C198" s="145" t="s">
        <v>498</v>
      </c>
      <c r="D198" s="145" t="s">
        <v>607</v>
      </c>
      <c r="E198" s="145">
        <v>25</v>
      </c>
      <c r="F198" s="145" t="s">
        <v>555</v>
      </c>
      <c r="G198" s="145" t="s">
        <v>245</v>
      </c>
      <c r="H198" s="145">
        <v>4</v>
      </c>
      <c r="I198" s="146">
        <v>760</v>
      </c>
      <c r="J198" s="145" t="s">
        <v>338</v>
      </c>
      <c r="K198" s="145" t="s">
        <v>338</v>
      </c>
      <c r="L198" s="145" t="s">
        <v>338</v>
      </c>
      <c r="M198" s="145" t="s">
        <v>338</v>
      </c>
      <c r="N198" s="145" t="s">
        <v>338</v>
      </c>
      <c r="O198" s="145" t="s">
        <v>338</v>
      </c>
      <c r="P198" s="145" t="s">
        <v>338</v>
      </c>
      <c r="Q198" s="145" t="s">
        <v>338</v>
      </c>
      <c r="R198" s="145" t="s">
        <v>338</v>
      </c>
      <c r="S198" s="145" t="s">
        <v>338</v>
      </c>
      <c r="T198" s="145" t="s">
        <v>338</v>
      </c>
      <c r="U198" s="145" t="s">
        <v>338</v>
      </c>
      <c r="V198" s="145" t="s">
        <v>338</v>
      </c>
      <c r="W198" s="145" t="s">
        <v>338</v>
      </c>
      <c r="X198" s="145" t="s">
        <v>338</v>
      </c>
      <c r="Y198" s="145" t="s">
        <v>338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504</v>
      </c>
    </row>
    <row r="199" spans="1:36">
      <c r="A199" s="145" t="s">
        <v>835</v>
      </c>
      <c r="B199" s="145" t="s">
        <v>497</v>
      </c>
      <c r="C199" s="145" t="s">
        <v>678</v>
      </c>
      <c r="D199" s="145" t="s">
        <v>338</v>
      </c>
      <c r="E199" s="145" t="s">
        <v>338</v>
      </c>
      <c r="F199" s="145" t="s">
        <v>704</v>
      </c>
      <c r="G199" s="145" t="s">
        <v>125</v>
      </c>
      <c r="H199" s="145">
        <v>28</v>
      </c>
      <c r="I199" s="146">
        <v>306.66666666666669</v>
      </c>
      <c r="J199" s="145" t="s">
        <v>338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504</v>
      </c>
    </row>
    <row r="200" spans="1:36">
      <c r="A200" s="145" t="s">
        <v>836</v>
      </c>
      <c r="B200" s="145" t="s">
        <v>497</v>
      </c>
      <c r="C200" s="145" t="s">
        <v>498</v>
      </c>
      <c r="D200" s="145" t="s">
        <v>500</v>
      </c>
      <c r="E200" s="145">
        <v>2</v>
      </c>
      <c r="F200" s="145" t="s">
        <v>555</v>
      </c>
      <c r="G200" s="145" t="s">
        <v>208</v>
      </c>
      <c r="H200" s="145">
        <v>11</v>
      </c>
      <c r="I200" s="146">
        <v>407.12333333333328</v>
      </c>
      <c r="J200" s="145" t="s">
        <v>338</v>
      </c>
      <c r="K200" s="145" t="s">
        <v>338</v>
      </c>
      <c r="L200" s="145" t="s">
        <v>338</v>
      </c>
      <c r="M200" s="145" t="s">
        <v>338</v>
      </c>
      <c r="N200" s="145" t="s">
        <v>338</v>
      </c>
      <c r="O200" s="145" t="s">
        <v>338</v>
      </c>
      <c r="P200" s="145" t="s">
        <v>338</v>
      </c>
      <c r="Q200" s="145" t="s">
        <v>338</v>
      </c>
      <c r="R200" s="145" t="s">
        <v>338</v>
      </c>
      <c r="S200" s="145" t="s">
        <v>338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504</v>
      </c>
    </row>
    <row r="201" spans="1:36">
      <c r="A201" s="145" t="s">
        <v>837</v>
      </c>
      <c r="B201" s="145" t="s">
        <v>497</v>
      </c>
      <c r="C201" s="145" t="s">
        <v>678</v>
      </c>
      <c r="D201" s="145" t="s">
        <v>338</v>
      </c>
      <c r="E201" s="145" t="s">
        <v>338</v>
      </c>
      <c r="F201" s="145" t="s">
        <v>704</v>
      </c>
      <c r="G201" s="145" t="s">
        <v>210</v>
      </c>
      <c r="H201" s="145">
        <v>9</v>
      </c>
      <c r="I201" s="146">
        <v>400</v>
      </c>
      <c r="J201" s="145" t="s">
        <v>338</v>
      </c>
      <c r="K201" s="145" t="s">
        <v>338</v>
      </c>
      <c r="L201" s="145" t="s">
        <v>338</v>
      </c>
      <c r="M201" s="145" t="s">
        <v>338</v>
      </c>
      <c r="N201" s="145" t="s">
        <v>338</v>
      </c>
      <c r="O201" s="145" t="s">
        <v>338</v>
      </c>
      <c r="P201" s="145" t="s">
        <v>338</v>
      </c>
      <c r="Q201" s="145" t="s">
        <v>338</v>
      </c>
      <c r="R201" s="145" t="s">
        <v>338</v>
      </c>
      <c r="S201" s="145" t="s">
        <v>338</v>
      </c>
      <c r="T201" s="145" t="s">
        <v>338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504</v>
      </c>
    </row>
    <row r="202" spans="1:36">
      <c r="A202" s="145" t="s">
        <v>838</v>
      </c>
      <c r="B202" s="145" t="s">
        <v>562</v>
      </c>
      <c r="C202" s="145" t="s">
        <v>498</v>
      </c>
      <c r="D202" s="145" t="s">
        <v>500</v>
      </c>
      <c r="E202" s="145">
        <v>4</v>
      </c>
      <c r="F202" s="145" t="s">
        <v>563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338</v>
      </c>
      <c r="AA202" s="145" t="s">
        <v>338</v>
      </c>
      <c r="AB202" s="145" t="s">
        <v>338</v>
      </c>
      <c r="AC202" s="145" t="s">
        <v>338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505</v>
      </c>
    </row>
    <row r="203" spans="1:36">
      <c r="A203" s="145" t="s">
        <v>839</v>
      </c>
      <c r="B203" s="145" t="s">
        <v>562</v>
      </c>
      <c r="C203" s="145" t="s">
        <v>632</v>
      </c>
      <c r="D203" s="145" t="s">
        <v>338</v>
      </c>
      <c r="E203" s="145" t="s">
        <v>338</v>
      </c>
      <c r="F203" s="145" t="s">
        <v>635</v>
      </c>
      <c r="G203" s="145" t="s">
        <v>757</v>
      </c>
      <c r="H203" s="145">
        <v>47</v>
      </c>
      <c r="I203" s="146">
        <v>285</v>
      </c>
      <c r="J203" s="145" t="s">
        <v>622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504</v>
      </c>
    </row>
    <row r="204" spans="1:36">
      <c r="A204" s="145" t="s">
        <v>840</v>
      </c>
      <c r="B204" s="145" t="s">
        <v>562</v>
      </c>
      <c r="C204" s="145" t="s">
        <v>678</v>
      </c>
      <c r="D204" s="145" t="s">
        <v>338</v>
      </c>
      <c r="E204" s="145" t="s">
        <v>338</v>
      </c>
      <c r="F204" s="145" t="s">
        <v>635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338</v>
      </c>
      <c r="L204" s="145" t="s">
        <v>338</v>
      </c>
      <c r="M204" s="145" t="s">
        <v>338</v>
      </c>
      <c r="N204" s="145" t="s">
        <v>338</v>
      </c>
      <c r="O204" s="145" t="s">
        <v>338</v>
      </c>
      <c r="P204" s="145" t="s">
        <v>338</v>
      </c>
      <c r="Q204" s="145" t="s">
        <v>338</v>
      </c>
      <c r="R204" s="145" t="s">
        <v>338</v>
      </c>
      <c r="S204" s="145" t="s">
        <v>338</v>
      </c>
      <c r="T204" s="145" t="s">
        <v>338</v>
      </c>
      <c r="U204" s="145" t="s">
        <v>338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338</v>
      </c>
      <c r="AC204" s="145" t="s">
        <v>338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505</v>
      </c>
    </row>
    <row r="205" spans="1:36">
      <c r="A205" s="145" t="s">
        <v>841</v>
      </c>
      <c r="B205" s="145" t="s">
        <v>19</v>
      </c>
      <c r="C205" s="145" t="s">
        <v>498</v>
      </c>
      <c r="D205" s="145" t="s">
        <v>338</v>
      </c>
      <c r="E205" s="145">
        <v>15</v>
      </c>
      <c r="F205" s="145" t="s">
        <v>502</v>
      </c>
      <c r="G205" s="145" t="s">
        <v>247</v>
      </c>
      <c r="H205" s="145">
        <v>2</v>
      </c>
      <c r="I205" s="146">
        <v>1662.5</v>
      </c>
      <c r="J205" s="145" t="s">
        <v>338</v>
      </c>
      <c r="K205" s="145" t="s">
        <v>338</v>
      </c>
      <c r="L205" s="145" t="s">
        <v>338</v>
      </c>
      <c r="M205" s="145" t="s">
        <v>338</v>
      </c>
      <c r="N205" s="145" t="s">
        <v>338</v>
      </c>
      <c r="O205" s="145" t="s">
        <v>338</v>
      </c>
      <c r="P205" s="145" t="s">
        <v>338</v>
      </c>
      <c r="Q205" s="145" t="s">
        <v>338</v>
      </c>
      <c r="R205" s="145" t="s">
        <v>338</v>
      </c>
      <c r="S205" s="145" t="s">
        <v>338</v>
      </c>
      <c r="T205" s="145" t="s">
        <v>338</v>
      </c>
      <c r="U205" s="145" t="s">
        <v>338</v>
      </c>
      <c r="V205" s="145" t="s">
        <v>338</v>
      </c>
      <c r="W205" s="145" t="s">
        <v>338</v>
      </c>
      <c r="X205" s="145" t="s">
        <v>338</v>
      </c>
      <c r="Y205" s="145" t="s">
        <v>338</v>
      </c>
      <c r="Z205" s="145" t="s">
        <v>338</v>
      </c>
      <c r="AA205" s="145" t="s">
        <v>338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504</v>
      </c>
    </row>
    <row r="206" spans="1:36">
      <c r="A206" s="145" t="s">
        <v>843</v>
      </c>
      <c r="B206" s="145" t="s">
        <v>497</v>
      </c>
      <c r="C206" s="145" t="s">
        <v>498</v>
      </c>
      <c r="D206" s="145" t="s">
        <v>616</v>
      </c>
      <c r="E206" s="145">
        <v>10</v>
      </c>
      <c r="F206" s="145" t="s">
        <v>502</v>
      </c>
      <c r="G206" s="145" t="s">
        <v>243</v>
      </c>
      <c r="H206" s="145">
        <v>6</v>
      </c>
      <c r="I206" s="146">
        <v>585.33333333333337</v>
      </c>
      <c r="J206" s="145" t="s">
        <v>338</v>
      </c>
      <c r="K206" s="145" t="s">
        <v>338</v>
      </c>
      <c r="L206" s="145" t="s">
        <v>338</v>
      </c>
      <c r="M206" s="145" t="s">
        <v>338</v>
      </c>
      <c r="N206" s="145" t="s">
        <v>338</v>
      </c>
      <c r="O206" s="145" t="s">
        <v>338</v>
      </c>
      <c r="P206" s="145" t="s">
        <v>338</v>
      </c>
      <c r="Q206" s="145" t="s">
        <v>338</v>
      </c>
      <c r="R206" s="145" t="s">
        <v>338</v>
      </c>
      <c r="S206" s="145" t="s">
        <v>338</v>
      </c>
      <c r="T206" s="145" t="s">
        <v>338</v>
      </c>
      <c r="U206" s="145" t="s">
        <v>338</v>
      </c>
      <c r="V206" s="145" t="s">
        <v>338</v>
      </c>
      <c r="W206" s="145" t="s">
        <v>338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504</v>
      </c>
    </row>
    <row r="207" spans="1:36">
      <c r="A207" s="145" t="s">
        <v>844</v>
      </c>
      <c r="B207" s="145" t="s">
        <v>562</v>
      </c>
      <c r="C207" s="145" t="s">
        <v>632</v>
      </c>
      <c r="D207" s="145" t="s">
        <v>338</v>
      </c>
      <c r="E207" s="145" t="s">
        <v>338</v>
      </c>
      <c r="F207" s="145" t="s">
        <v>635</v>
      </c>
      <c r="G207" s="145" t="s">
        <v>634</v>
      </c>
      <c r="H207" s="145">
        <v>63</v>
      </c>
      <c r="I207" s="146">
        <v>285</v>
      </c>
      <c r="J207" s="145" t="s">
        <v>622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504</v>
      </c>
    </row>
    <row r="208" spans="1:36">
      <c r="A208" s="145" t="s">
        <v>846</v>
      </c>
      <c r="B208" s="145" t="s">
        <v>497</v>
      </c>
      <c r="C208" s="145" t="s">
        <v>498</v>
      </c>
      <c r="D208" s="145" t="s">
        <v>500</v>
      </c>
      <c r="E208" s="145">
        <v>4</v>
      </c>
      <c r="F208" s="145" t="s">
        <v>555</v>
      </c>
      <c r="G208" s="145" t="s">
        <v>210</v>
      </c>
      <c r="H208" s="145">
        <v>9</v>
      </c>
      <c r="I208" s="146">
        <v>400</v>
      </c>
      <c r="J208" s="145" t="s">
        <v>338</v>
      </c>
      <c r="K208" s="145" t="s">
        <v>338</v>
      </c>
      <c r="L208" s="145" t="s">
        <v>338</v>
      </c>
      <c r="M208" s="145" t="s">
        <v>338</v>
      </c>
      <c r="N208" s="145" t="s">
        <v>338</v>
      </c>
      <c r="O208" s="145" t="s">
        <v>338</v>
      </c>
      <c r="P208" s="145" t="s">
        <v>338</v>
      </c>
      <c r="Q208" s="145" t="s">
        <v>338</v>
      </c>
      <c r="R208" s="145" t="s">
        <v>338</v>
      </c>
      <c r="S208" s="145" t="s">
        <v>338</v>
      </c>
      <c r="T208" s="145" t="s">
        <v>338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504</v>
      </c>
    </row>
    <row r="209" spans="1:36">
      <c r="A209" s="145" t="s">
        <v>847</v>
      </c>
      <c r="B209" s="145" t="s">
        <v>497</v>
      </c>
      <c r="C209" s="145" t="s">
        <v>498</v>
      </c>
      <c r="D209" s="145" t="s">
        <v>607</v>
      </c>
      <c r="E209" s="145">
        <v>10</v>
      </c>
      <c r="F209" s="145" t="s">
        <v>555</v>
      </c>
      <c r="G209" s="145" t="s">
        <v>209</v>
      </c>
      <c r="H209" s="145">
        <v>10</v>
      </c>
      <c r="I209" s="146">
        <v>350</v>
      </c>
      <c r="J209" s="145" t="s">
        <v>338</v>
      </c>
      <c r="K209" s="145" t="s">
        <v>338</v>
      </c>
      <c r="L209" s="145" t="s">
        <v>338</v>
      </c>
      <c r="M209" s="145" t="s">
        <v>338</v>
      </c>
      <c r="N209" s="145" t="s">
        <v>338</v>
      </c>
      <c r="O209" s="145" t="s">
        <v>338</v>
      </c>
      <c r="P209" s="145" t="s">
        <v>338</v>
      </c>
      <c r="Q209" s="145" t="s">
        <v>338</v>
      </c>
      <c r="R209" s="145" t="s">
        <v>338</v>
      </c>
      <c r="S209" s="145" t="s">
        <v>338</v>
      </c>
      <c r="T209" s="146">
        <v>595</v>
      </c>
      <c r="U209" s="145" t="s">
        <v>338</v>
      </c>
      <c r="V209" s="145" t="s">
        <v>338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504</v>
      </c>
    </row>
    <row r="210" spans="1:36">
      <c r="A210" s="145" t="s">
        <v>848</v>
      </c>
      <c r="B210" s="145" t="s">
        <v>497</v>
      </c>
      <c r="C210" s="145" t="s">
        <v>498</v>
      </c>
      <c r="D210" s="145" t="s">
        <v>607</v>
      </c>
      <c r="E210" s="145">
        <v>12</v>
      </c>
      <c r="F210" s="145" t="s">
        <v>555</v>
      </c>
      <c r="G210" s="145" t="s">
        <v>242</v>
      </c>
      <c r="H210" s="145">
        <v>7</v>
      </c>
      <c r="I210" s="146">
        <v>420</v>
      </c>
      <c r="J210" s="145" t="s">
        <v>338</v>
      </c>
      <c r="K210" s="145" t="s">
        <v>338</v>
      </c>
      <c r="L210" s="145" t="s">
        <v>338</v>
      </c>
      <c r="M210" s="145" t="s">
        <v>338</v>
      </c>
      <c r="N210" s="145" t="s">
        <v>338</v>
      </c>
      <c r="O210" s="145" t="s">
        <v>338</v>
      </c>
      <c r="P210" s="145" t="s">
        <v>338</v>
      </c>
      <c r="Q210" s="145" t="s">
        <v>338</v>
      </c>
      <c r="R210" s="145" t="s">
        <v>338</v>
      </c>
      <c r="S210" s="145" t="s">
        <v>338</v>
      </c>
      <c r="T210" s="145" t="s">
        <v>338</v>
      </c>
      <c r="U210" s="145" t="s">
        <v>338</v>
      </c>
      <c r="V210" s="145" t="s">
        <v>338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504</v>
      </c>
    </row>
    <row r="211" spans="1:36">
      <c r="A211" s="145" t="s">
        <v>849</v>
      </c>
      <c r="B211" s="145" t="s">
        <v>562</v>
      </c>
      <c r="C211" s="145" t="s">
        <v>498</v>
      </c>
      <c r="D211" s="145" t="s">
        <v>616</v>
      </c>
      <c r="E211" s="145">
        <v>9</v>
      </c>
      <c r="F211" s="145" t="s">
        <v>563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338</v>
      </c>
      <c r="L211" s="145" t="s">
        <v>338</v>
      </c>
      <c r="M211" s="145" t="s">
        <v>338</v>
      </c>
      <c r="N211" s="145" t="s">
        <v>338</v>
      </c>
      <c r="O211" s="145" t="s">
        <v>338</v>
      </c>
      <c r="P211" s="145" t="s">
        <v>338</v>
      </c>
      <c r="Q211" s="145" t="s">
        <v>338</v>
      </c>
      <c r="R211" s="145" t="s">
        <v>338</v>
      </c>
      <c r="S211" s="145" t="s">
        <v>338</v>
      </c>
      <c r="T211" s="145" t="s">
        <v>338</v>
      </c>
      <c r="U211" s="145" t="s">
        <v>338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338</v>
      </c>
      <c r="AC211" s="145" t="s">
        <v>338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505</v>
      </c>
    </row>
    <row r="212" spans="1:36">
      <c r="A212" s="145" t="s">
        <v>850</v>
      </c>
      <c r="B212" s="145" t="s">
        <v>562</v>
      </c>
      <c r="C212" s="145" t="s">
        <v>498</v>
      </c>
      <c r="D212" s="145" t="s">
        <v>616</v>
      </c>
      <c r="E212" s="145">
        <v>8</v>
      </c>
      <c r="F212" s="145" t="s">
        <v>563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338</v>
      </c>
      <c r="L212" s="145" t="s">
        <v>338</v>
      </c>
      <c r="M212" s="145" t="s">
        <v>338</v>
      </c>
      <c r="N212" s="145" t="s">
        <v>338</v>
      </c>
      <c r="O212" s="145" t="s">
        <v>338</v>
      </c>
      <c r="P212" s="145" t="s">
        <v>338</v>
      </c>
      <c r="Q212" s="145" t="s">
        <v>338</v>
      </c>
      <c r="R212" s="145" t="s">
        <v>338</v>
      </c>
      <c r="S212" s="145" t="s">
        <v>338</v>
      </c>
      <c r="T212" s="145" t="s">
        <v>338</v>
      </c>
      <c r="U212" s="145" t="s">
        <v>338</v>
      </c>
      <c r="V212" s="145" t="s">
        <v>338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338</v>
      </c>
      <c r="AB212" s="145" t="s">
        <v>338</v>
      </c>
      <c r="AC212" s="145" t="s">
        <v>338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505</v>
      </c>
    </row>
    <row r="213" spans="1:36">
      <c r="A213" s="145" t="s">
        <v>853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635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338</v>
      </c>
      <c r="L213" s="145" t="s">
        <v>338</v>
      </c>
      <c r="M213" s="146">
        <v>460</v>
      </c>
      <c r="N213" s="145" t="s">
        <v>338</v>
      </c>
      <c r="O213" s="145" t="s">
        <v>338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338</v>
      </c>
      <c r="X213" s="145" t="s">
        <v>338</v>
      </c>
      <c r="Y213" s="146">
        <v>90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505</v>
      </c>
    </row>
    <row r="214" spans="1:36">
      <c r="A214" s="145" t="s">
        <v>854</v>
      </c>
      <c r="B214" s="145" t="s">
        <v>562</v>
      </c>
      <c r="C214" s="145" t="s">
        <v>498</v>
      </c>
      <c r="D214" s="145" t="s">
        <v>500</v>
      </c>
      <c r="E214" s="145">
        <v>5</v>
      </c>
      <c r="F214" s="145" t="s">
        <v>563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338</v>
      </c>
      <c r="L214" s="145" t="s">
        <v>338</v>
      </c>
      <c r="M214" s="145" t="s">
        <v>338</v>
      </c>
      <c r="N214" s="145" t="s">
        <v>338</v>
      </c>
      <c r="O214" s="145" t="s">
        <v>338</v>
      </c>
      <c r="P214" s="145" t="s">
        <v>338</v>
      </c>
      <c r="Q214" s="145" t="s">
        <v>338</v>
      </c>
      <c r="R214" s="145" t="s">
        <v>338</v>
      </c>
      <c r="S214" s="145" t="s">
        <v>338</v>
      </c>
      <c r="T214" s="145" t="s">
        <v>338</v>
      </c>
      <c r="U214" s="145" t="s">
        <v>338</v>
      </c>
      <c r="V214" s="145" t="s">
        <v>338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338</v>
      </c>
      <c r="AC214" s="145" t="s">
        <v>338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505</v>
      </c>
    </row>
    <row r="215" spans="1:36">
      <c r="A215" s="145" t="s">
        <v>855</v>
      </c>
      <c r="B215" s="145" t="s">
        <v>562</v>
      </c>
      <c r="C215" s="145" t="s">
        <v>498</v>
      </c>
      <c r="D215" s="145" t="s">
        <v>338</v>
      </c>
      <c r="E215" s="145">
        <v>4</v>
      </c>
      <c r="F215" s="145" t="s">
        <v>563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505</v>
      </c>
    </row>
    <row r="216" spans="1:36">
      <c r="A216" s="145" t="s">
        <v>856</v>
      </c>
      <c r="B216" s="145" t="s">
        <v>497</v>
      </c>
      <c r="C216" s="145" t="s">
        <v>498</v>
      </c>
      <c r="D216" s="145" t="s">
        <v>616</v>
      </c>
      <c r="E216" s="145">
        <v>6</v>
      </c>
      <c r="F216" s="145" t="s">
        <v>555</v>
      </c>
      <c r="G216" s="145" t="s">
        <v>243</v>
      </c>
      <c r="H216" s="145">
        <v>6</v>
      </c>
      <c r="I216" s="146">
        <v>420</v>
      </c>
      <c r="J216" s="145" t="s">
        <v>338</v>
      </c>
      <c r="K216" s="145" t="s">
        <v>338</v>
      </c>
      <c r="L216" s="145" t="s">
        <v>338</v>
      </c>
      <c r="M216" s="145" t="s">
        <v>338</v>
      </c>
      <c r="N216" s="145" t="s">
        <v>338</v>
      </c>
      <c r="O216" s="145" t="s">
        <v>338</v>
      </c>
      <c r="P216" s="145" t="s">
        <v>338</v>
      </c>
      <c r="Q216" s="145" t="s">
        <v>338</v>
      </c>
      <c r="R216" s="145" t="s">
        <v>338</v>
      </c>
      <c r="S216" s="145" t="s">
        <v>338</v>
      </c>
      <c r="T216" s="145" t="s">
        <v>338</v>
      </c>
      <c r="U216" s="145" t="s">
        <v>338</v>
      </c>
      <c r="V216" s="145" t="s">
        <v>338</v>
      </c>
      <c r="W216" s="145" t="s">
        <v>338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504</v>
      </c>
    </row>
    <row r="217" spans="1:36">
      <c r="A217" s="145" t="s">
        <v>857</v>
      </c>
      <c r="B217" s="145" t="s">
        <v>562</v>
      </c>
      <c r="C217" s="145" t="s">
        <v>657</v>
      </c>
      <c r="D217" s="145" t="s">
        <v>338</v>
      </c>
      <c r="E217" s="145" t="s">
        <v>338</v>
      </c>
      <c r="F217" s="145" t="s">
        <v>635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338</v>
      </c>
      <c r="X217" s="145" t="s">
        <v>338</v>
      </c>
      <c r="Y217" s="145" t="s">
        <v>338</v>
      </c>
      <c r="Z217" s="145" t="s">
        <v>338</v>
      </c>
      <c r="AA217" s="145" t="s">
        <v>338</v>
      </c>
      <c r="AB217" s="145" t="s">
        <v>338</v>
      </c>
      <c r="AC217" s="145" t="s">
        <v>338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505</v>
      </c>
    </row>
    <row r="218" spans="1:36">
      <c r="A218" s="145" t="s">
        <v>858</v>
      </c>
      <c r="B218" s="145" t="s">
        <v>497</v>
      </c>
      <c r="C218" s="145" t="s">
        <v>678</v>
      </c>
      <c r="D218" s="145" t="s">
        <v>338</v>
      </c>
      <c r="E218" s="145">
        <v>5</v>
      </c>
      <c r="F218" s="145" t="s">
        <v>502</v>
      </c>
      <c r="G218" s="145" t="s">
        <v>243</v>
      </c>
      <c r="H218" s="145">
        <v>6</v>
      </c>
      <c r="I218" s="146">
        <v>418</v>
      </c>
      <c r="J218" s="145" t="s">
        <v>338</v>
      </c>
      <c r="K218" s="145" t="s">
        <v>338</v>
      </c>
      <c r="L218" s="145" t="s">
        <v>338</v>
      </c>
      <c r="M218" s="145" t="s">
        <v>338</v>
      </c>
      <c r="N218" s="145" t="s">
        <v>338</v>
      </c>
      <c r="O218" s="145" t="s">
        <v>338</v>
      </c>
      <c r="P218" s="145" t="s">
        <v>338</v>
      </c>
      <c r="Q218" s="145" t="s">
        <v>338</v>
      </c>
      <c r="R218" s="145" t="s">
        <v>338</v>
      </c>
      <c r="S218" s="145" t="s">
        <v>338</v>
      </c>
      <c r="T218" s="145" t="s">
        <v>338</v>
      </c>
      <c r="U218" s="145" t="s">
        <v>338</v>
      </c>
      <c r="V218" s="145" t="s">
        <v>338</v>
      </c>
      <c r="W218" s="145" t="s">
        <v>338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504</v>
      </c>
    </row>
    <row r="219" spans="1:36">
      <c r="A219" s="145" t="s">
        <v>859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635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338</v>
      </c>
      <c r="L219" s="145" t="s">
        <v>338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505</v>
      </c>
    </row>
    <row r="220" spans="1:36">
      <c r="A220" s="145" t="s">
        <v>860</v>
      </c>
      <c r="B220" s="145" t="s">
        <v>497</v>
      </c>
      <c r="C220" s="145" t="s">
        <v>498</v>
      </c>
      <c r="D220" s="145" t="s">
        <v>500</v>
      </c>
      <c r="E220" s="145">
        <v>8</v>
      </c>
      <c r="F220" s="145" t="s">
        <v>555</v>
      </c>
      <c r="G220" s="145" t="s">
        <v>245</v>
      </c>
      <c r="H220" s="145">
        <v>4</v>
      </c>
      <c r="I220" s="146">
        <v>547.66666666666663</v>
      </c>
      <c r="J220" s="145" t="s">
        <v>338</v>
      </c>
      <c r="K220" s="145" t="s">
        <v>338</v>
      </c>
      <c r="L220" s="145" t="s">
        <v>338</v>
      </c>
      <c r="M220" s="145" t="s">
        <v>338</v>
      </c>
      <c r="N220" s="145" t="s">
        <v>338</v>
      </c>
      <c r="O220" s="145" t="s">
        <v>338</v>
      </c>
      <c r="P220" s="145" t="s">
        <v>338</v>
      </c>
      <c r="Q220" s="145" t="s">
        <v>338</v>
      </c>
      <c r="R220" s="145" t="s">
        <v>338</v>
      </c>
      <c r="S220" s="145" t="s">
        <v>338</v>
      </c>
      <c r="T220" s="145" t="s">
        <v>338</v>
      </c>
      <c r="U220" s="145" t="s">
        <v>338</v>
      </c>
      <c r="V220" s="145" t="s">
        <v>338</v>
      </c>
      <c r="W220" s="145" t="s">
        <v>338</v>
      </c>
      <c r="X220" s="145" t="s">
        <v>338</v>
      </c>
      <c r="Y220" s="145" t="s">
        <v>338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504</v>
      </c>
    </row>
    <row r="221" spans="1:36">
      <c r="A221" s="145" t="s">
        <v>861</v>
      </c>
      <c r="B221" s="145" t="s">
        <v>19</v>
      </c>
      <c r="C221" s="145" t="s">
        <v>498</v>
      </c>
      <c r="D221" s="145" t="s">
        <v>338</v>
      </c>
      <c r="E221" s="145">
        <v>41</v>
      </c>
      <c r="F221" s="145" t="s">
        <v>555</v>
      </c>
      <c r="G221" s="145" t="s">
        <v>248</v>
      </c>
      <c r="H221" s="145">
        <v>1</v>
      </c>
      <c r="I221" s="146">
        <v>2460</v>
      </c>
      <c r="J221" s="145" t="s">
        <v>338</v>
      </c>
      <c r="K221" s="145" t="s">
        <v>338</v>
      </c>
      <c r="L221" s="145" t="s">
        <v>338</v>
      </c>
      <c r="M221" s="145" t="s">
        <v>338</v>
      </c>
      <c r="N221" s="145" t="s">
        <v>338</v>
      </c>
      <c r="O221" s="145" t="s">
        <v>338</v>
      </c>
      <c r="P221" s="145" t="s">
        <v>338</v>
      </c>
      <c r="Q221" s="145" t="s">
        <v>338</v>
      </c>
      <c r="R221" s="145" t="s">
        <v>338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504</v>
      </c>
    </row>
    <row r="222" spans="1:36">
      <c r="A222" s="145" t="s">
        <v>863</v>
      </c>
      <c r="B222" s="145" t="s">
        <v>562</v>
      </c>
      <c r="C222" s="145" t="s">
        <v>498</v>
      </c>
      <c r="D222" s="145" t="s">
        <v>500</v>
      </c>
      <c r="E222" s="145">
        <v>8</v>
      </c>
      <c r="F222" s="145" t="s">
        <v>563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338</v>
      </c>
      <c r="L222" s="145" t="s">
        <v>338</v>
      </c>
      <c r="M222" s="145" t="s">
        <v>338</v>
      </c>
      <c r="N222" s="145" t="s">
        <v>338</v>
      </c>
      <c r="O222" s="145" t="s">
        <v>338</v>
      </c>
      <c r="P222" s="145" t="s">
        <v>338</v>
      </c>
      <c r="Q222" s="145" t="s">
        <v>338</v>
      </c>
      <c r="R222" s="145" t="s">
        <v>338</v>
      </c>
      <c r="S222" s="145" t="s">
        <v>338</v>
      </c>
      <c r="T222" s="145" t="s">
        <v>338</v>
      </c>
      <c r="U222" s="145" t="s">
        <v>338</v>
      </c>
      <c r="V222" s="145" t="s">
        <v>338</v>
      </c>
      <c r="W222" s="145" t="s">
        <v>338</v>
      </c>
      <c r="X222" s="145" t="s">
        <v>338</v>
      </c>
      <c r="Y222" s="146">
        <v>1020</v>
      </c>
      <c r="Z222" s="146">
        <v>670</v>
      </c>
      <c r="AA222" s="146">
        <v>670</v>
      </c>
      <c r="AB222" s="145" t="s">
        <v>338</v>
      </c>
      <c r="AC222" s="145" t="s">
        <v>338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505</v>
      </c>
    </row>
    <row r="223" spans="1:36">
      <c r="A223" s="145" t="s">
        <v>864</v>
      </c>
      <c r="B223" s="145" t="s">
        <v>562</v>
      </c>
      <c r="C223" s="145" t="s">
        <v>657</v>
      </c>
      <c r="D223" s="145" t="s">
        <v>338</v>
      </c>
      <c r="E223" s="145" t="s">
        <v>338</v>
      </c>
      <c r="F223" s="145" t="s">
        <v>635</v>
      </c>
      <c r="G223" s="145" t="s">
        <v>570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338</v>
      </c>
      <c r="U223" s="145" t="s">
        <v>338</v>
      </c>
      <c r="V223" s="145" t="s">
        <v>338</v>
      </c>
      <c r="W223" s="145" t="s">
        <v>338</v>
      </c>
      <c r="X223" s="145" t="s">
        <v>338</v>
      </c>
      <c r="Y223" s="145" t="s">
        <v>338</v>
      </c>
      <c r="Z223" s="145" t="s">
        <v>338</v>
      </c>
      <c r="AA223" s="145" t="s">
        <v>338</v>
      </c>
      <c r="AB223" s="145" t="s">
        <v>338</v>
      </c>
      <c r="AC223" s="145" t="s">
        <v>338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505</v>
      </c>
    </row>
    <row r="224" spans="1:36">
      <c r="A224" s="145" t="s">
        <v>865</v>
      </c>
      <c r="B224" s="145" t="s">
        <v>562</v>
      </c>
      <c r="C224" s="145" t="s">
        <v>632</v>
      </c>
      <c r="D224" s="145" t="s">
        <v>338</v>
      </c>
      <c r="E224" s="145" t="s">
        <v>338</v>
      </c>
      <c r="F224" s="145" t="s">
        <v>635</v>
      </c>
      <c r="G224" s="145" t="s">
        <v>634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505</v>
      </c>
    </row>
    <row r="225" spans="1:36">
      <c r="A225" s="145" t="s">
        <v>866</v>
      </c>
      <c r="B225" s="145" t="s">
        <v>562</v>
      </c>
      <c r="C225" s="145" t="s">
        <v>657</v>
      </c>
      <c r="D225" s="145" t="s">
        <v>338</v>
      </c>
      <c r="E225" s="145" t="s">
        <v>338</v>
      </c>
      <c r="F225" s="145" t="s">
        <v>635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338</v>
      </c>
      <c r="L225" s="146">
        <v>350</v>
      </c>
      <c r="M225" s="145" t="s">
        <v>338</v>
      </c>
      <c r="N225" s="145" t="s">
        <v>338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338</v>
      </c>
      <c r="Y225" s="145" t="s">
        <v>338</v>
      </c>
      <c r="Z225" s="145" t="s">
        <v>338</v>
      </c>
      <c r="AA225" s="145" t="s">
        <v>338</v>
      </c>
      <c r="AB225" s="145" t="s">
        <v>338</v>
      </c>
      <c r="AC225" s="145" t="s">
        <v>338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505</v>
      </c>
    </row>
    <row r="226" spans="1:36">
      <c r="A226" s="145" t="s">
        <v>867</v>
      </c>
      <c r="B226" s="145" t="s">
        <v>19</v>
      </c>
      <c r="C226" s="145" t="s">
        <v>498</v>
      </c>
      <c r="D226" s="145" t="s">
        <v>338</v>
      </c>
      <c r="E226" s="145">
        <v>29</v>
      </c>
      <c r="F226" s="145" t="s">
        <v>555</v>
      </c>
      <c r="G226" s="145" t="s">
        <v>248</v>
      </c>
      <c r="H226" s="145">
        <v>1</v>
      </c>
      <c r="I226" s="146">
        <v>2198</v>
      </c>
      <c r="J226" s="145" t="s">
        <v>338</v>
      </c>
      <c r="K226" s="145" t="s">
        <v>338</v>
      </c>
      <c r="L226" s="145" t="s">
        <v>338</v>
      </c>
      <c r="M226" s="145" t="s">
        <v>338</v>
      </c>
      <c r="N226" s="145" t="s">
        <v>338</v>
      </c>
      <c r="O226" s="145" t="s">
        <v>338</v>
      </c>
      <c r="P226" s="145" t="s">
        <v>338</v>
      </c>
      <c r="Q226" s="145" t="s">
        <v>338</v>
      </c>
      <c r="R226" s="145" t="s">
        <v>338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504</v>
      </c>
    </row>
    <row r="227" spans="1:36">
      <c r="A227" s="145" t="s">
        <v>868</v>
      </c>
      <c r="B227" s="145" t="s">
        <v>562</v>
      </c>
      <c r="C227" s="145" t="s">
        <v>498</v>
      </c>
      <c r="D227" s="145" t="s">
        <v>338</v>
      </c>
      <c r="E227" s="145">
        <v>20</v>
      </c>
      <c r="F227" s="145" t="s">
        <v>502</v>
      </c>
      <c r="G227" s="145" t="s">
        <v>246</v>
      </c>
      <c r="H227" s="145">
        <v>3</v>
      </c>
      <c r="I227" s="146">
        <v>1097</v>
      </c>
      <c r="J227" s="145" t="s">
        <v>338</v>
      </c>
      <c r="K227" s="145" t="s">
        <v>338</v>
      </c>
      <c r="L227" s="145" t="s">
        <v>338</v>
      </c>
      <c r="M227" s="145" t="s">
        <v>338</v>
      </c>
      <c r="N227" s="145" t="s">
        <v>338</v>
      </c>
      <c r="O227" s="145" t="s">
        <v>338</v>
      </c>
      <c r="P227" s="145" t="s">
        <v>338</v>
      </c>
      <c r="Q227" s="145" t="s">
        <v>338</v>
      </c>
      <c r="R227" s="145" t="s">
        <v>338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504</v>
      </c>
    </row>
    <row r="228" spans="1:36">
      <c r="A228" s="145" t="s">
        <v>869</v>
      </c>
      <c r="B228" s="145" t="s">
        <v>562</v>
      </c>
      <c r="C228" s="145" t="s">
        <v>657</v>
      </c>
      <c r="D228" s="145" t="s">
        <v>338</v>
      </c>
      <c r="E228" s="145" t="s">
        <v>338</v>
      </c>
      <c r="F228" s="145" t="s">
        <v>635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338</v>
      </c>
      <c r="L228" s="145" t="s">
        <v>338</v>
      </c>
      <c r="M228" s="145" t="s">
        <v>338</v>
      </c>
      <c r="N228" s="145" t="s">
        <v>338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338</v>
      </c>
      <c r="W228" s="145" t="s">
        <v>338</v>
      </c>
      <c r="X228" s="146">
        <v>60</v>
      </c>
      <c r="Y228" s="145" t="s">
        <v>338</v>
      </c>
      <c r="Z228" s="145" t="s">
        <v>338</v>
      </c>
      <c r="AA228" s="145" t="s">
        <v>338</v>
      </c>
      <c r="AB228" s="145" t="s">
        <v>338</v>
      </c>
      <c r="AC228" s="145" t="s">
        <v>338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505</v>
      </c>
    </row>
    <row r="229" spans="1:36">
      <c r="A229" s="145" t="s">
        <v>870</v>
      </c>
      <c r="B229" s="145" t="s">
        <v>497</v>
      </c>
      <c r="C229" s="145" t="s">
        <v>678</v>
      </c>
      <c r="D229" s="145" t="s">
        <v>338</v>
      </c>
      <c r="E229" s="145">
        <v>5</v>
      </c>
      <c r="F229" s="145" t="s">
        <v>502</v>
      </c>
      <c r="G229" s="145" t="s">
        <v>242</v>
      </c>
      <c r="H229" s="145">
        <v>7</v>
      </c>
      <c r="I229" s="146">
        <v>300</v>
      </c>
      <c r="J229" s="145" t="s">
        <v>338</v>
      </c>
      <c r="K229" s="145" t="s">
        <v>338</v>
      </c>
      <c r="L229" s="145" t="s">
        <v>338</v>
      </c>
      <c r="M229" s="145" t="s">
        <v>338</v>
      </c>
      <c r="N229" s="145" t="s">
        <v>338</v>
      </c>
      <c r="O229" s="145" t="s">
        <v>338</v>
      </c>
      <c r="P229" s="145" t="s">
        <v>338</v>
      </c>
      <c r="Q229" s="145" t="s">
        <v>338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504</v>
      </c>
    </row>
    <row r="230" spans="1:36">
      <c r="A230" s="145" t="s">
        <v>871</v>
      </c>
      <c r="B230" s="145" t="s">
        <v>562</v>
      </c>
      <c r="C230" s="145" t="s">
        <v>872</v>
      </c>
      <c r="D230" s="145" t="s">
        <v>338</v>
      </c>
      <c r="E230" s="145" t="s">
        <v>338</v>
      </c>
      <c r="F230" s="145" t="s">
        <v>635</v>
      </c>
      <c r="G230" s="145" t="s">
        <v>873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338</v>
      </c>
      <c r="AA230" s="145" t="s">
        <v>338</v>
      </c>
      <c r="AB230" s="145" t="s">
        <v>338</v>
      </c>
      <c r="AC230" s="145" t="s">
        <v>338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505</v>
      </c>
    </row>
    <row r="231" spans="1:36">
      <c r="A231" s="145" t="s">
        <v>874</v>
      </c>
      <c r="B231" s="145" t="s">
        <v>562</v>
      </c>
      <c r="C231" s="145" t="s">
        <v>872</v>
      </c>
      <c r="D231" s="145" t="s">
        <v>338</v>
      </c>
      <c r="E231" s="145" t="s">
        <v>338</v>
      </c>
      <c r="F231" s="145" t="s">
        <v>635</v>
      </c>
      <c r="G231" s="145" t="s">
        <v>732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338</v>
      </c>
      <c r="Y231" s="145" t="s">
        <v>338</v>
      </c>
      <c r="Z231" s="145" t="s">
        <v>338</v>
      </c>
      <c r="AA231" s="145" t="s">
        <v>338</v>
      </c>
      <c r="AB231" s="145" t="s">
        <v>338</v>
      </c>
      <c r="AC231" s="145" t="s">
        <v>338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505</v>
      </c>
    </row>
    <row r="232" spans="1:36">
      <c r="A232" s="145" t="s">
        <v>875</v>
      </c>
      <c r="B232" s="145" t="s">
        <v>562</v>
      </c>
      <c r="C232" s="145" t="s">
        <v>498</v>
      </c>
      <c r="D232" s="145" t="s">
        <v>500</v>
      </c>
      <c r="E232" s="145">
        <v>4</v>
      </c>
      <c r="F232" s="145" t="s">
        <v>563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338</v>
      </c>
      <c r="L232" s="145" t="s">
        <v>338</v>
      </c>
      <c r="M232" s="145" t="s">
        <v>338</v>
      </c>
      <c r="N232" s="145" t="s">
        <v>338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338</v>
      </c>
      <c r="AB232" s="145" t="s">
        <v>338</v>
      </c>
      <c r="AC232" s="145" t="s">
        <v>338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505</v>
      </c>
    </row>
    <row r="233" spans="1:36">
      <c r="A233" s="145" t="s">
        <v>878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635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338</v>
      </c>
      <c r="L233" s="145" t="s">
        <v>338</v>
      </c>
      <c r="M233" s="145" t="s">
        <v>338</v>
      </c>
      <c r="N233" s="145" t="s">
        <v>338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505</v>
      </c>
    </row>
    <row r="234" spans="1:36">
      <c r="A234" s="145" t="s">
        <v>879</v>
      </c>
      <c r="B234" s="145" t="s">
        <v>497</v>
      </c>
      <c r="C234" s="145" t="s">
        <v>498</v>
      </c>
      <c r="D234" s="145" t="s">
        <v>500</v>
      </c>
      <c r="E234" s="145">
        <v>3</v>
      </c>
      <c r="F234" s="145" t="s">
        <v>502</v>
      </c>
      <c r="G234" s="145" t="s">
        <v>246</v>
      </c>
      <c r="H234" s="145">
        <v>3</v>
      </c>
      <c r="I234" s="146">
        <v>680.66666666666663</v>
      </c>
      <c r="J234" s="145" t="s">
        <v>338</v>
      </c>
      <c r="K234" s="145" t="s">
        <v>338</v>
      </c>
      <c r="L234" s="145" t="s">
        <v>338</v>
      </c>
      <c r="M234" s="145" t="s">
        <v>338</v>
      </c>
      <c r="N234" s="145" t="s">
        <v>338</v>
      </c>
      <c r="O234" s="145" t="s">
        <v>338</v>
      </c>
      <c r="P234" s="145" t="s">
        <v>338</v>
      </c>
      <c r="Q234" s="145" t="s">
        <v>338</v>
      </c>
      <c r="R234" s="145" t="s">
        <v>338</v>
      </c>
      <c r="S234" s="145" t="s">
        <v>338</v>
      </c>
      <c r="T234" s="145" t="s">
        <v>338</v>
      </c>
      <c r="U234" s="145" t="s">
        <v>338</v>
      </c>
      <c r="V234" s="145" t="s">
        <v>338</v>
      </c>
      <c r="W234" s="145" t="s">
        <v>338</v>
      </c>
      <c r="X234" s="145" t="s">
        <v>338</v>
      </c>
      <c r="Y234" s="145" t="s">
        <v>338</v>
      </c>
      <c r="Z234" s="145" t="s">
        <v>338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504</v>
      </c>
    </row>
    <row r="235" spans="1:36">
      <c r="A235" s="145" t="s">
        <v>880</v>
      </c>
      <c r="B235" s="145" t="s">
        <v>562</v>
      </c>
      <c r="C235" s="145" t="s">
        <v>678</v>
      </c>
      <c r="D235" s="145" t="s">
        <v>338</v>
      </c>
      <c r="E235" s="145" t="s">
        <v>338</v>
      </c>
      <c r="F235" s="145" t="s">
        <v>635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338</v>
      </c>
      <c r="AC235" s="145" t="s">
        <v>338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505</v>
      </c>
    </row>
    <row r="236" spans="1:36">
      <c r="A236" s="145" t="s">
        <v>881</v>
      </c>
      <c r="B236" s="145" t="s">
        <v>562</v>
      </c>
      <c r="C236" s="145" t="s">
        <v>657</v>
      </c>
      <c r="D236" s="145" t="s">
        <v>338</v>
      </c>
      <c r="E236" s="145" t="s">
        <v>338</v>
      </c>
      <c r="F236" s="145" t="s">
        <v>635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338</v>
      </c>
      <c r="AC236" s="145" t="s">
        <v>338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505</v>
      </c>
    </row>
    <row r="237" spans="1:36">
      <c r="A237" s="145" t="s">
        <v>882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635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338</v>
      </c>
      <c r="V237" s="145" t="s">
        <v>338</v>
      </c>
      <c r="W237" s="145" t="s">
        <v>338</v>
      </c>
      <c r="X237" s="146">
        <v>0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505</v>
      </c>
    </row>
    <row r="238" spans="1:36">
      <c r="A238" s="145" t="s">
        <v>883</v>
      </c>
      <c r="B238" s="145" t="s">
        <v>562</v>
      </c>
      <c r="C238" s="145" t="s">
        <v>498</v>
      </c>
      <c r="D238" s="145" t="s">
        <v>500</v>
      </c>
      <c r="E238" s="145">
        <v>9</v>
      </c>
      <c r="F238" s="145" t="s">
        <v>563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338</v>
      </c>
      <c r="L238" s="145" t="s">
        <v>338</v>
      </c>
      <c r="M238" s="145" t="s">
        <v>338</v>
      </c>
      <c r="N238" s="145" t="s">
        <v>338</v>
      </c>
      <c r="O238" s="145" t="s">
        <v>338</v>
      </c>
      <c r="P238" s="145" t="s">
        <v>338</v>
      </c>
      <c r="Q238" s="145" t="s">
        <v>338</v>
      </c>
      <c r="R238" s="145" t="s">
        <v>338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6">
        <v>1036</v>
      </c>
      <c r="AA238" s="146">
        <v>758</v>
      </c>
      <c r="AB238" s="145" t="s">
        <v>338</v>
      </c>
      <c r="AC238" s="145" t="s">
        <v>338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505</v>
      </c>
    </row>
    <row r="239" spans="1:36">
      <c r="A239" s="145" t="s">
        <v>884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635</v>
      </c>
      <c r="G239" s="145" t="s">
        <v>133</v>
      </c>
      <c r="H239" s="145">
        <v>20</v>
      </c>
      <c r="I239" s="146">
        <v>400</v>
      </c>
      <c r="J239" s="145" t="s">
        <v>338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505</v>
      </c>
    </row>
    <row r="240" spans="1:36">
      <c r="A240" s="145" t="s">
        <v>885</v>
      </c>
      <c r="B240" s="145" t="s">
        <v>497</v>
      </c>
      <c r="C240" s="145" t="s">
        <v>498</v>
      </c>
      <c r="D240" s="145" t="s">
        <v>607</v>
      </c>
      <c r="E240" s="145">
        <v>9</v>
      </c>
      <c r="F240" s="145" t="s">
        <v>555</v>
      </c>
      <c r="G240" s="145" t="s">
        <v>209</v>
      </c>
      <c r="H240" s="145">
        <v>10</v>
      </c>
      <c r="I240" s="146">
        <v>333.33333333333331</v>
      </c>
      <c r="J240" s="145" t="s">
        <v>338</v>
      </c>
      <c r="K240" s="145" t="s">
        <v>338</v>
      </c>
      <c r="L240" s="145" t="s">
        <v>338</v>
      </c>
      <c r="M240" s="145" t="s">
        <v>338</v>
      </c>
      <c r="N240" s="145" t="s">
        <v>338</v>
      </c>
      <c r="O240" s="145" t="s">
        <v>338</v>
      </c>
      <c r="P240" s="145" t="s">
        <v>338</v>
      </c>
      <c r="Q240" s="145" t="s">
        <v>338</v>
      </c>
      <c r="R240" s="145" t="s">
        <v>338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504</v>
      </c>
    </row>
    <row r="241" spans="1:36">
      <c r="A241" s="145" t="s">
        <v>886</v>
      </c>
      <c r="B241" s="145" t="s">
        <v>562</v>
      </c>
      <c r="C241" s="145" t="s">
        <v>657</v>
      </c>
      <c r="D241" s="145" t="s">
        <v>338</v>
      </c>
      <c r="E241" s="145" t="s">
        <v>338</v>
      </c>
      <c r="F241" s="145" t="s">
        <v>635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338</v>
      </c>
      <c r="W241" s="145" t="s">
        <v>338</v>
      </c>
      <c r="X241" s="146">
        <v>225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505</v>
      </c>
    </row>
    <row r="242" spans="1:36">
      <c r="A242" s="145" t="s">
        <v>887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635</v>
      </c>
      <c r="G242" s="145" t="s">
        <v>209</v>
      </c>
      <c r="H242" s="145">
        <v>10</v>
      </c>
      <c r="I242" s="146">
        <v>765</v>
      </c>
      <c r="J242" s="145" t="s">
        <v>338</v>
      </c>
      <c r="K242" s="145" t="s">
        <v>338</v>
      </c>
      <c r="L242" s="145" t="s">
        <v>338</v>
      </c>
      <c r="M242" s="145" t="s">
        <v>338</v>
      </c>
      <c r="N242" s="145" t="s">
        <v>338</v>
      </c>
      <c r="O242" s="145" t="s">
        <v>338</v>
      </c>
      <c r="P242" s="145" t="s">
        <v>338</v>
      </c>
      <c r="Q242" s="145" t="s">
        <v>338</v>
      </c>
      <c r="R242" s="145" t="s">
        <v>338</v>
      </c>
      <c r="S242" s="145" t="s">
        <v>338</v>
      </c>
      <c r="T242" s="146">
        <v>765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6">
        <v>765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505</v>
      </c>
    </row>
    <row r="243" spans="1:36">
      <c r="A243" s="145" t="s">
        <v>888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635</v>
      </c>
      <c r="G243" s="145" t="s">
        <v>209</v>
      </c>
      <c r="H243" s="145">
        <v>10</v>
      </c>
      <c r="I243" s="146">
        <v>765</v>
      </c>
      <c r="J243" s="145" t="s">
        <v>338</v>
      </c>
      <c r="K243" s="145" t="s">
        <v>338</v>
      </c>
      <c r="L243" s="145" t="s">
        <v>338</v>
      </c>
      <c r="M243" s="145" t="s">
        <v>338</v>
      </c>
      <c r="N243" s="145" t="s">
        <v>338</v>
      </c>
      <c r="O243" s="145" t="s">
        <v>338</v>
      </c>
      <c r="P243" s="145" t="s">
        <v>338</v>
      </c>
      <c r="Q243" s="145" t="s">
        <v>338</v>
      </c>
      <c r="R243" s="145" t="s">
        <v>338</v>
      </c>
      <c r="S243" s="145" t="s">
        <v>338</v>
      </c>
      <c r="T243" s="146">
        <v>765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6">
        <v>765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505</v>
      </c>
    </row>
    <row r="244" spans="1:36">
      <c r="A244" s="145" t="s">
        <v>889</v>
      </c>
      <c r="B244" s="145" t="s">
        <v>562</v>
      </c>
      <c r="C244" s="145" t="s">
        <v>728</v>
      </c>
      <c r="D244" s="145" t="s">
        <v>338</v>
      </c>
      <c r="E244" s="145" t="s">
        <v>338</v>
      </c>
      <c r="F244" s="145" t="s">
        <v>635</v>
      </c>
      <c r="G244" s="145" t="s">
        <v>209</v>
      </c>
      <c r="H244" s="145">
        <v>10</v>
      </c>
      <c r="I244" s="146">
        <v>765</v>
      </c>
      <c r="J244" s="145" t="s">
        <v>338</v>
      </c>
      <c r="K244" s="145" t="s">
        <v>338</v>
      </c>
      <c r="L244" s="145" t="s">
        <v>338</v>
      </c>
      <c r="M244" s="145" t="s">
        <v>338</v>
      </c>
      <c r="N244" s="145" t="s">
        <v>338</v>
      </c>
      <c r="O244" s="145" t="s">
        <v>338</v>
      </c>
      <c r="P244" s="145" t="s">
        <v>338</v>
      </c>
      <c r="Q244" s="145" t="s">
        <v>338</v>
      </c>
      <c r="R244" s="145" t="s">
        <v>338</v>
      </c>
      <c r="S244" s="145" t="s">
        <v>338</v>
      </c>
      <c r="T244" s="146">
        <v>765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6">
        <v>765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505</v>
      </c>
    </row>
    <row r="245" spans="1:36">
      <c r="A245" s="145" t="s">
        <v>890</v>
      </c>
      <c r="B245" s="145" t="s">
        <v>562</v>
      </c>
      <c r="C245" s="145" t="s">
        <v>728</v>
      </c>
      <c r="D245" s="145" t="s">
        <v>338</v>
      </c>
      <c r="E245" s="145" t="s">
        <v>338</v>
      </c>
      <c r="F245" s="145" t="s">
        <v>635</v>
      </c>
      <c r="G245" s="145" t="s">
        <v>209</v>
      </c>
      <c r="H245" s="145">
        <v>10</v>
      </c>
      <c r="I245" s="146">
        <v>765</v>
      </c>
      <c r="J245" s="145" t="s">
        <v>338</v>
      </c>
      <c r="K245" s="145" t="s">
        <v>338</v>
      </c>
      <c r="L245" s="145" t="s">
        <v>338</v>
      </c>
      <c r="M245" s="145" t="s">
        <v>338</v>
      </c>
      <c r="N245" s="145" t="s">
        <v>338</v>
      </c>
      <c r="O245" s="145" t="s">
        <v>338</v>
      </c>
      <c r="P245" s="145" t="s">
        <v>338</v>
      </c>
      <c r="Q245" s="145" t="s">
        <v>338</v>
      </c>
      <c r="R245" s="145" t="s">
        <v>338</v>
      </c>
      <c r="S245" s="145" t="s">
        <v>338</v>
      </c>
      <c r="T245" s="146">
        <v>765</v>
      </c>
      <c r="U245" s="145" t="s">
        <v>338</v>
      </c>
      <c r="V245" s="145" t="s">
        <v>338</v>
      </c>
      <c r="W245" s="145" t="s">
        <v>338</v>
      </c>
      <c r="X245" s="145" t="s">
        <v>338</v>
      </c>
      <c r="Y245" s="146">
        <v>765</v>
      </c>
      <c r="Z245" s="145" t="s">
        <v>338</v>
      </c>
      <c r="AA245" s="145" t="s">
        <v>338</v>
      </c>
      <c r="AB245" s="145" t="s">
        <v>338</v>
      </c>
      <c r="AC245" s="145" t="s">
        <v>338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505</v>
      </c>
    </row>
    <row r="246" spans="1:36">
      <c r="A246" s="145" t="s">
        <v>891</v>
      </c>
      <c r="B246" s="145" t="s">
        <v>562</v>
      </c>
      <c r="C246" s="145" t="s">
        <v>728</v>
      </c>
      <c r="D246" s="145" t="s">
        <v>338</v>
      </c>
      <c r="E246" s="145" t="s">
        <v>338</v>
      </c>
      <c r="F246" s="145" t="s">
        <v>635</v>
      </c>
      <c r="G246" s="145" t="s">
        <v>209</v>
      </c>
      <c r="H246" s="145">
        <v>10</v>
      </c>
      <c r="I246" s="146">
        <v>765</v>
      </c>
      <c r="J246" s="145" t="s">
        <v>338</v>
      </c>
      <c r="K246" s="145" t="s">
        <v>338</v>
      </c>
      <c r="L246" s="145" t="s">
        <v>338</v>
      </c>
      <c r="M246" s="145" t="s">
        <v>338</v>
      </c>
      <c r="N246" s="145" t="s">
        <v>338</v>
      </c>
      <c r="O246" s="145" t="s">
        <v>338</v>
      </c>
      <c r="P246" s="145" t="s">
        <v>338</v>
      </c>
      <c r="Q246" s="145" t="s">
        <v>338</v>
      </c>
      <c r="R246" s="145" t="s">
        <v>338</v>
      </c>
      <c r="S246" s="145" t="s">
        <v>338</v>
      </c>
      <c r="T246" s="146">
        <v>765</v>
      </c>
      <c r="U246" s="145" t="s">
        <v>338</v>
      </c>
      <c r="V246" s="145" t="s">
        <v>338</v>
      </c>
      <c r="W246" s="145" t="s">
        <v>338</v>
      </c>
      <c r="X246" s="145" t="s">
        <v>338</v>
      </c>
      <c r="Y246" s="146">
        <v>765</v>
      </c>
      <c r="Z246" s="145" t="s">
        <v>338</v>
      </c>
      <c r="AA246" s="145" t="s">
        <v>338</v>
      </c>
      <c r="AB246" s="145" t="s">
        <v>338</v>
      </c>
      <c r="AC246" s="145" t="s">
        <v>338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505</v>
      </c>
    </row>
    <row r="247" spans="1:36">
      <c r="A247" s="145" t="s">
        <v>892</v>
      </c>
      <c r="B247" s="145" t="s">
        <v>562</v>
      </c>
      <c r="C247" s="145" t="s">
        <v>678</v>
      </c>
      <c r="D247" s="145" t="s">
        <v>338</v>
      </c>
      <c r="E247" s="145" t="s">
        <v>338</v>
      </c>
      <c r="F247" s="145" t="s">
        <v>635</v>
      </c>
      <c r="G247" s="145" t="s">
        <v>209</v>
      </c>
      <c r="H247" s="145">
        <v>10</v>
      </c>
      <c r="I247" s="146">
        <v>765</v>
      </c>
      <c r="J247" s="145" t="s">
        <v>338</v>
      </c>
      <c r="K247" s="145" t="s">
        <v>338</v>
      </c>
      <c r="L247" s="145" t="s">
        <v>338</v>
      </c>
      <c r="M247" s="145" t="s">
        <v>338</v>
      </c>
      <c r="N247" s="145" t="s">
        <v>338</v>
      </c>
      <c r="O247" s="145" t="s">
        <v>338</v>
      </c>
      <c r="P247" s="145" t="s">
        <v>338</v>
      </c>
      <c r="Q247" s="145" t="s">
        <v>338</v>
      </c>
      <c r="R247" s="145" t="s">
        <v>338</v>
      </c>
      <c r="S247" s="145" t="s">
        <v>338</v>
      </c>
      <c r="T247" s="146">
        <v>765</v>
      </c>
      <c r="U247" s="145" t="s">
        <v>338</v>
      </c>
      <c r="V247" s="145" t="s">
        <v>338</v>
      </c>
      <c r="W247" s="145" t="s">
        <v>338</v>
      </c>
      <c r="X247" s="145" t="s">
        <v>338</v>
      </c>
      <c r="Y247" s="146">
        <v>765</v>
      </c>
      <c r="Z247" s="145" t="s">
        <v>338</v>
      </c>
      <c r="AA247" s="145" t="s">
        <v>338</v>
      </c>
      <c r="AB247" s="145" t="s">
        <v>338</v>
      </c>
      <c r="AC247" s="145" t="s">
        <v>338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505</v>
      </c>
    </row>
    <row r="248" spans="1:36">
      <c r="A248" s="145" t="s">
        <v>893</v>
      </c>
      <c r="B248" s="145" t="s">
        <v>562</v>
      </c>
      <c r="C248" s="145" t="s">
        <v>872</v>
      </c>
      <c r="D248" s="145" t="s">
        <v>338</v>
      </c>
      <c r="E248" s="145" t="s">
        <v>338</v>
      </c>
      <c r="F248" s="145" t="s">
        <v>635</v>
      </c>
      <c r="G248" s="145" t="s">
        <v>777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505</v>
      </c>
    </row>
    <row r="249" spans="1:36">
      <c r="A249" s="145" t="s">
        <v>894</v>
      </c>
      <c r="B249" s="145" t="s">
        <v>497</v>
      </c>
      <c r="C249" s="145" t="s">
        <v>678</v>
      </c>
      <c r="D249" s="145" t="s">
        <v>338</v>
      </c>
      <c r="E249" s="145">
        <v>0</v>
      </c>
      <c r="F249" s="145" t="s">
        <v>502</v>
      </c>
      <c r="G249" s="145" t="s">
        <v>244</v>
      </c>
      <c r="H249" s="145">
        <v>5</v>
      </c>
      <c r="I249" s="146">
        <v>401.66666666666669</v>
      </c>
      <c r="J249" s="145" t="s">
        <v>338</v>
      </c>
      <c r="K249" s="145" t="s">
        <v>338</v>
      </c>
      <c r="L249" s="145" t="s">
        <v>338</v>
      </c>
      <c r="M249" s="145" t="s">
        <v>338</v>
      </c>
      <c r="N249" s="145" t="s">
        <v>338</v>
      </c>
      <c r="O249" s="145" t="s">
        <v>338</v>
      </c>
      <c r="P249" s="145" t="s">
        <v>338</v>
      </c>
      <c r="Q249" s="145" t="s">
        <v>338</v>
      </c>
      <c r="R249" s="145" t="s">
        <v>338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504</v>
      </c>
    </row>
    <row r="250" spans="1:36">
      <c r="A250" s="145" t="s">
        <v>895</v>
      </c>
      <c r="B250" s="145" t="s">
        <v>497</v>
      </c>
      <c r="C250" s="145" t="s">
        <v>498</v>
      </c>
      <c r="D250" s="145" t="s">
        <v>607</v>
      </c>
      <c r="E250" s="145">
        <v>5</v>
      </c>
      <c r="F250" s="145" t="s">
        <v>502</v>
      </c>
      <c r="G250" s="145" t="s">
        <v>203</v>
      </c>
      <c r="H250" s="145">
        <v>16</v>
      </c>
      <c r="I250" s="146">
        <v>116.66666666666667</v>
      </c>
      <c r="J250" s="145" t="s">
        <v>338</v>
      </c>
      <c r="K250" s="145" t="s">
        <v>338</v>
      </c>
      <c r="L250" s="145" t="s">
        <v>338</v>
      </c>
      <c r="M250" s="145" t="s">
        <v>338</v>
      </c>
      <c r="N250" s="146">
        <v>350</v>
      </c>
      <c r="O250" s="145" t="s">
        <v>338</v>
      </c>
      <c r="P250" s="146">
        <v>150</v>
      </c>
      <c r="Q250" s="145" t="s">
        <v>338</v>
      </c>
      <c r="R250" s="145" t="s">
        <v>338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504</v>
      </c>
    </row>
    <row r="251" spans="1:36">
      <c r="A251" s="145" t="s">
        <v>896</v>
      </c>
      <c r="B251" s="145" t="s">
        <v>497</v>
      </c>
      <c r="C251" s="145" t="s">
        <v>498</v>
      </c>
      <c r="D251" s="145" t="s">
        <v>500</v>
      </c>
      <c r="E251" s="145">
        <v>2</v>
      </c>
      <c r="F251" s="145" t="s">
        <v>555</v>
      </c>
      <c r="G251" s="145" t="s">
        <v>243</v>
      </c>
      <c r="H251" s="145">
        <v>6</v>
      </c>
      <c r="I251" s="146">
        <v>120</v>
      </c>
      <c r="J251" s="145" t="s">
        <v>338</v>
      </c>
      <c r="K251" s="145" t="s">
        <v>338</v>
      </c>
      <c r="L251" s="145" t="s">
        <v>338</v>
      </c>
      <c r="M251" s="145" t="s">
        <v>338</v>
      </c>
      <c r="N251" s="145" t="s">
        <v>338</v>
      </c>
      <c r="O251" s="145" t="s">
        <v>338</v>
      </c>
      <c r="P251" s="145" t="s">
        <v>338</v>
      </c>
      <c r="Q251" s="145" t="s">
        <v>338</v>
      </c>
      <c r="R251" s="145" t="s">
        <v>338</v>
      </c>
      <c r="S251" s="145" t="s">
        <v>338</v>
      </c>
      <c r="T251" s="145" t="s">
        <v>338</v>
      </c>
      <c r="U251" s="145" t="s">
        <v>338</v>
      </c>
      <c r="V251" s="145" t="s">
        <v>338</v>
      </c>
      <c r="W251" s="145" t="s">
        <v>338</v>
      </c>
      <c r="X251" s="145" t="s">
        <v>338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504</v>
      </c>
    </row>
    <row r="252" spans="1:36">
      <c r="A252" s="145" t="s">
        <v>897</v>
      </c>
      <c r="B252" s="145" t="s">
        <v>562</v>
      </c>
      <c r="C252" s="145" t="s">
        <v>657</v>
      </c>
      <c r="D252" s="145" t="s">
        <v>338</v>
      </c>
      <c r="E252" s="145" t="s">
        <v>338</v>
      </c>
      <c r="F252" s="145" t="s">
        <v>635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338</v>
      </c>
      <c r="X252" s="145" t="s">
        <v>338</v>
      </c>
      <c r="Y252" s="145" t="s">
        <v>338</v>
      </c>
      <c r="Z252" s="145" t="s">
        <v>338</v>
      </c>
      <c r="AA252" s="145" t="s">
        <v>338</v>
      </c>
      <c r="AB252" s="145" t="s">
        <v>338</v>
      </c>
      <c r="AC252" s="145" t="s">
        <v>338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505</v>
      </c>
    </row>
    <row r="253" spans="1:36">
      <c r="A253" s="145" t="s">
        <v>898</v>
      </c>
      <c r="B253" s="145" t="s">
        <v>562</v>
      </c>
      <c r="C253" s="145" t="s">
        <v>657</v>
      </c>
      <c r="D253" s="145" t="s">
        <v>338</v>
      </c>
      <c r="E253" s="145" t="s">
        <v>338</v>
      </c>
      <c r="F253" s="145" t="s">
        <v>635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338</v>
      </c>
      <c r="L253" s="145" t="s">
        <v>338</v>
      </c>
      <c r="M253" s="145" t="s">
        <v>338</v>
      </c>
      <c r="N253" s="145" t="s">
        <v>338</v>
      </c>
      <c r="O253" s="145" t="s">
        <v>338</v>
      </c>
      <c r="P253" s="145" t="s">
        <v>338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338</v>
      </c>
      <c r="Y253" s="145" t="s">
        <v>338</v>
      </c>
      <c r="Z253" s="145" t="s">
        <v>338</v>
      </c>
      <c r="AA253" s="145" t="s">
        <v>338</v>
      </c>
      <c r="AB253" s="145" t="s">
        <v>338</v>
      </c>
      <c r="AC253" s="145" t="s">
        <v>338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505</v>
      </c>
    </row>
    <row r="254" spans="1:36">
      <c r="A254" s="145" t="s">
        <v>899</v>
      </c>
      <c r="B254" s="145" t="s">
        <v>562</v>
      </c>
      <c r="C254" s="145" t="s">
        <v>678</v>
      </c>
      <c r="D254" s="145" t="s">
        <v>338</v>
      </c>
      <c r="E254" s="145">
        <v>4</v>
      </c>
      <c r="F254" s="145" t="s">
        <v>502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338</v>
      </c>
      <c r="L254" s="145" t="s">
        <v>338</v>
      </c>
      <c r="M254" s="145" t="s">
        <v>338</v>
      </c>
      <c r="N254" s="145" t="s">
        <v>338</v>
      </c>
      <c r="O254" s="145" t="s">
        <v>338</v>
      </c>
      <c r="P254" s="145" t="s">
        <v>338</v>
      </c>
      <c r="Q254" s="145" t="s">
        <v>338</v>
      </c>
      <c r="R254" s="145" t="s">
        <v>338</v>
      </c>
      <c r="S254" s="145" t="s">
        <v>338</v>
      </c>
      <c r="T254" s="145" t="s">
        <v>338</v>
      </c>
      <c r="U254" s="145" t="s">
        <v>338</v>
      </c>
      <c r="V254" s="145" t="s">
        <v>338</v>
      </c>
      <c r="W254" s="145" t="s">
        <v>338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338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504</v>
      </c>
    </row>
    <row r="255" spans="1:36">
      <c r="A255" s="145" t="s">
        <v>900</v>
      </c>
      <c r="B255" s="145" t="s">
        <v>497</v>
      </c>
      <c r="C255" s="145" t="s">
        <v>678</v>
      </c>
      <c r="D255" s="145" t="s">
        <v>338</v>
      </c>
      <c r="E255" s="145" t="s">
        <v>338</v>
      </c>
      <c r="F255" s="145" t="s">
        <v>704</v>
      </c>
      <c r="G255" s="145" t="s">
        <v>245</v>
      </c>
      <c r="H255" s="145">
        <v>4</v>
      </c>
      <c r="I255" s="146">
        <v>310</v>
      </c>
      <c r="J255" s="145" t="s">
        <v>338</v>
      </c>
      <c r="K255" s="145" t="s">
        <v>338</v>
      </c>
      <c r="L255" s="145" t="s">
        <v>338</v>
      </c>
      <c r="M255" s="145" t="s">
        <v>338</v>
      </c>
      <c r="N255" s="145" t="s">
        <v>338</v>
      </c>
      <c r="O255" s="145" t="s">
        <v>338</v>
      </c>
      <c r="P255" s="145" t="s">
        <v>338</v>
      </c>
      <c r="Q255" s="145" t="s">
        <v>338</v>
      </c>
      <c r="R255" s="145" t="s">
        <v>338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504</v>
      </c>
    </row>
    <row r="256" spans="1:36">
      <c r="A256" s="145" t="s">
        <v>901</v>
      </c>
      <c r="B256" s="145" t="s">
        <v>497</v>
      </c>
      <c r="C256" s="145" t="s">
        <v>498</v>
      </c>
      <c r="D256" s="145" t="s">
        <v>338</v>
      </c>
      <c r="E256" s="145">
        <v>4</v>
      </c>
      <c r="F256" s="145" t="s">
        <v>502</v>
      </c>
      <c r="G256" s="145" t="s">
        <v>247</v>
      </c>
      <c r="H256" s="145">
        <v>2</v>
      </c>
      <c r="I256" s="146">
        <v>614.5</v>
      </c>
      <c r="J256" s="145" t="s">
        <v>338</v>
      </c>
      <c r="K256" s="145" t="s">
        <v>338</v>
      </c>
      <c r="L256" s="145" t="s">
        <v>338</v>
      </c>
      <c r="M256" s="145" t="s">
        <v>338</v>
      </c>
      <c r="N256" s="145" t="s">
        <v>338</v>
      </c>
      <c r="O256" s="145" t="s">
        <v>338</v>
      </c>
      <c r="P256" s="145" t="s">
        <v>338</v>
      </c>
      <c r="Q256" s="145" t="s">
        <v>338</v>
      </c>
      <c r="R256" s="145" t="s">
        <v>338</v>
      </c>
      <c r="S256" s="145" t="s">
        <v>338</v>
      </c>
      <c r="T256" s="145" t="s">
        <v>338</v>
      </c>
      <c r="U256" s="145" t="s">
        <v>338</v>
      </c>
      <c r="V256" s="145" t="s">
        <v>338</v>
      </c>
      <c r="W256" s="145" t="s">
        <v>338</v>
      </c>
      <c r="X256" s="145" t="s">
        <v>338</v>
      </c>
      <c r="Y256" s="145" t="s">
        <v>338</v>
      </c>
      <c r="Z256" s="145" t="s">
        <v>338</v>
      </c>
      <c r="AA256" s="145" t="s">
        <v>338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504</v>
      </c>
    </row>
    <row r="257" spans="1:36">
      <c r="A257" s="145" t="s">
        <v>903</v>
      </c>
      <c r="B257" s="145" t="s">
        <v>497</v>
      </c>
      <c r="C257" s="145" t="s">
        <v>678</v>
      </c>
      <c r="D257" s="145" t="s">
        <v>338</v>
      </c>
      <c r="E257" s="145">
        <v>0</v>
      </c>
      <c r="F257" s="145" t="s">
        <v>502</v>
      </c>
      <c r="G257" s="145" t="s">
        <v>211</v>
      </c>
      <c r="H257" s="145">
        <v>8</v>
      </c>
      <c r="I257" s="146">
        <v>150</v>
      </c>
      <c r="J257" s="145" t="s">
        <v>338</v>
      </c>
      <c r="K257" s="145" t="s">
        <v>338</v>
      </c>
      <c r="L257" s="145" t="s">
        <v>338</v>
      </c>
      <c r="M257" s="145" t="s">
        <v>338</v>
      </c>
      <c r="N257" s="145" t="s">
        <v>338</v>
      </c>
      <c r="O257" s="145" t="s">
        <v>338</v>
      </c>
      <c r="P257" s="145" t="s">
        <v>338</v>
      </c>
      <c r="Q257" s="145" t="s">
        <v>338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504</v>
      </c>
    </row>
    <row r="258" spans="1:36">
      <c r="A258" s="145" t="s">
        <v>904</v>
      </c>
      <c r="B258" s="145" t="s">
        <v>497</v>
      </c>
      <c r="C258" s="145" t="s">
        <v>498</v>
      </c>
      <c r="D258" s="145" t="s">
        <v>338</v>
      </c>
      <c r="E258" s="145">
        <v>3</v>
      </c>
      <c r="F258" s="145" t="s">
        <v>502</v>
      </c>
      <c r="G258" s="145" t="s">
        <v>247</v>
      </c>
      <c r="H258" s="145">
        <v>2</v>
      </c>
      <c r="I258" s="146">
        <v>603.25</v>
      </c>
      <c r="J258" s="145" t="s">
        <v>338</v>
      </c>
      <c r="K258" s="145" t="s">
        <v>338</v>
      </c>
      <c r="L258" s="145" t="s">
        <v>338</v>
      </c>
      <c r="M258" s="145" t="s">
        <v>338</v>
      </c>
      <c r="N258" s="145" t="s">
        <v>338</v>
      </c>
      <c r="O258" s="145" t="s">
        <v>338</v>
      </c>
      <c r="P258" s="145" t="s">
        <v>338</v>
      </c>
      <c r="Q258" s="145" t="s">
        <v>338</v>
      </c>
      <c r="R258" s="145" t="s">
        <v>338</v>
      </c>
      <c r="S258" s="145" t="s">
        <v>338</v>
      </c>
      <c r="T258" s="145" t="s">
        <v>338</v>
      </c>
      <c r="U258" s="145" t="s">
        <v>338</v>
      </c>
      <c r="V258" s="145" t="s">
        <v>338</v>
      </c>
      <c r="W258" s="145" t="s">
        <v>338</v>
      </c>
      <c r="X258" s="145" t="s">
        <v>338</v>
      </c>
      <c r="Y258" s="145" t="s">
        <v>338</v>
      </c>
      <c r="Z258" s="145" t="s">
        <v>338</v>
      </c>
      <c r="AA258" s="145" t="s">
        <v>338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504</v>
      </c>
    </row>
    <row r="259" spans="1:36">
      <c r="A259" s="145" t="s">
        <v>905</v>
      </c>
      <c r="B259" s="145" t="s">
        <v>562</v>
      </c>
      <c r="C259" s="145" t="s">
        <v>728</v>
      </c>
      <c r="D259" s="145" t="s">
        <v>338</v>
      </c>
      <c r="E259" s="145" t="s">
        <v>338</v>
      </c>
      <c r="F259" s="145" t="s">
        <v>635</v>
      </c>
      <c r="G259" s="145" t="s">
        <v>242</v>
      </c>
      <c r="H259" s="145">
        <v>7</v>
      </c>
      <c r="I259" s="146">
        <v>1125</v>
      </c>
      <c r="J259" s="145" t="s">
        <v>338</v>
      </c>
      <c r="K259" s="145" t="s">
        <v>338</v>
      </c>
      <c r="L259" s="145" t="s">
        <v>338</v>
      </c>
      <c r="M259" s="145" t="s">
        <v>338</v>
      </c>
      <c r="N259" s="145" t="s">
        <v>338</v>
      </c>
      <c r="O259" s="145" t="s">
        <v>338</v>
      </c>
      <c r="P259" s="145" t="s">
        <v>338</v>
      </c>
      <c r="Q259" s="145" t="s">
        <v>338</v>
      </c>
      <c r="R259" s="145" t="s">
        <v>338</v>
      </c>
      <c r="S259" s="145" t="s">
        <v>338</v>
      </c>
      <c r="T259" s="145" t="s">
        <v>338</v>
      </c>
      <c r="U259" s="145" t="s">
        <v>338</v>
      </c>
      <c r="V259" s="145" t="s">
        <v>338</v>
      </c>
      <c r="W259" s="146">
        <v>1125</v>
      </c>
      <c r="X259" s="145" t="s">
        <v>338</v>
      </c>
      <c r="Y259" s="145" t="s">
        <v>338</v>
      </c>
      <c r="Z259" s="145" t="s">
        <v>338</v>
      </c>
      <c r="AA259" s="145" t="s">
        <v>338</v>
      </c>
      <c r="AB259" s="145" t="s">
        <v>338</v>
      </c>
      <c r="AC259" s="145" t="s">
        <v>338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505</v>
      </c>
    </row>
    <row r="260" spans="1:36">
      <c r="A260" s="145" t="s">
        <v>906</v>
      </c>
      <c r="B260" s="145" t="s">
        <v>19</v>
      </c>
      <c r="C260" s="145" t="s">
        <v>498</v>
      </c>
      <c r="D260" s="145" t="s">
        <v>338</v>
      </c>
      <c r="E260" s="145">
        <v>6</v>
      </c>
      <c r="F260" s="145" t="s">
        <v>502</v>
      </c>
      <c r="G260" s="145" t="s">
        <v>248</v>
      </c>
      <c r="H260" s="145">
        <v>1</v>
      </c>
      <c r="I260" s="146">
        <v>1101</v>
      </c>
      <c r="J260" s="145" t="s">
        <v>338</v>
      </c>
      <c r="K260" s="145" t="s">
        <v>338</v>
      </c>
      <c r="L260" s="145" t="s">
        <v>338</v>
      </c>
      <c r="M260" s="145" t="s">
        <v>338</v>
      </c>
      <c r="N260" s="145" t="s">
        <v>338</v>
      </c>
      <c r="O260" s="145" t="s">
        <v>338</v>
      </c>
      <c r="P260" s="145" t="s">
        <v>338</v>
      </c>
      <c r="Q260" s="145" t="s">
        <v>338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504</v>
      </c>
    </row>
    <row r="261" spans="1:36">
      <c r="A261" s="145" t="s">
        <v>907</v>
      </c>
      <c r="B261" s="145" t="s">
        <v>562</v>
      </c>
      <c r="C261" s="145" t="s">
        <v>728</v>
      </c>
      <c r="D261" s="145" t="s">
        <v>338</v>
      </c>
      <c r="E261" s="145" t="s">
        <v>338</v>
      </c>
      <c r="F261" s="145" t="s">
        <v>635</v>
      </c>
      <c r="G261" s="145" t="s">
        <v>208</v>
      </c>
      <c r="H261" s="145">
        <v>11</v>
      </c>
      <c r="I261" s="146">
        <v>1080</v>
      </c>
      <c r="J261" s="145" t="s">
        <v>338</v>
      </c>
      <c r="K261" s="145" t="s">
        <v>338</v>
      </c>
      <c r="L261" s="145" t="s">
        <v>338</v>
      </c>
      <c r="M261" s="145" t="s">
        <v>338</v>
      </c>
      <c r="N261" s="145" t="s">
        <v>338</v>
      </c>
      <c r="O261" s="145" t="s">
        <v>338</v>
      </c>
      <c r="P261" s="145" t="s">
        <v>338</v>
      </c>
      <c r="Q261" s="145" t="s">
        <v>338</v>
      </c>
      <c r="R261" s="145" t="s">
        <v>338</v>
      </c>
      <c r="S261" s="146">
        <v>1080</v>
      </c>
      <c r="T261" s="145" t="s">
        <v>338</v>
      </c>
      <c r="U261" s="145" t="s">
        <v>338</v>
      </c>
      <c r="V261" s="145" t="s">
        <v>338</v>
      </c>
      <c r="W261" s="145" t="s">
        <v>338</v>
      </c>
      <c r="X261" s="145" t="s">
        <v>338</v>
      </c>
      <c r="Y261" s="145" t="s">
        <v>338</v>
      </c>
      <c r="Z261" s="145" t="s">
        <v>338</v>
      </c>
      <c r="AA261" s="145" t="s">
        <v>338</v>
      </c>
      <c r="AB261" s="145" t="s">
        <v>338</v>
      </c>
      <c r="AC261" s="145" t="s">
        <v>338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505</v>
      </c>
    </row>
    <row r="262" spans="1:36">
      <c r="A262" s="145" t="s">
        <v>908</v>
      </c>
      <c r="B262" s="145" t="s">
        <v>497</v>
      </c>
      <c r="C262" s="145" t="s">
        <v>678</v>
      </c>
      <c r="D262" s="145" t="s">
        <v>338</v>
      </c>
      <c r="E262" s="145" t="s">
        <v>338</v>
      </c>
      <c r="F262" s="145" t="s">
        <v>704</v>
      </c>
      <c r="G262" s="145" t="s">
        <v>245</v>
      </c>
      <c r="H262" s="145">
        <v>4</v>
      </c>
      <c r="I262" s="146">
        <v>260</v>
      </c>
      <c r="J262" s="145" t="s">
        <v>338</v>
      </c>
      <c r="K262" s="145" t="s">
        <v>338</v>
      </c>
      <c r="L262" s="145" t="s">
        <v>338</v>
      </c>
      <c r="M262" s="145" t="s">
        <v>338</v>
      </c>
      <c r="N262" s="145" t="s">
        <v>338</v>
      </c>
      <c r="O262" s="145" t="s">
        <v>338</v>
      </c>
      <c r="P262" s="145" t="s">
        <v>338</v>
      </c>
      <c r="Q262" s="145" t="s">
        <v>338</v>
      </c>
      <c r="R262" s="145" t="s">
        <v>338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504</v>
      </c>
    </row>
    <row r="263" spans="1:36">
      <c r="A263" s="145" t="s">
        <v>909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635</v>
      </c>
      <c r="G263" s="145" t="s">
        <v>634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338</v>
      </c>
      <c r="X263" s="146">
        <v>75</v>
      </c>
      <c r="Y263" s="145" t="s">
        <v>338</v>
      </c>
      <c r="Z263" s="145" t="s">
        <v>338</v>
      </c>
      <c r="AA263" s="145" t="s">
        <v>338</v>
      </c>
      <c r="AB263" s="145" t="s">
        <v>338</v>
      </c>
      <c r="AC263" s="145" t="s">
        <v>338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505</v>
      </c>
    </row>
    <row r="264" spans="1:36">
      <c r="A264" s="145" t="s">
        <v>910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635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338</v>
      </c>
      <c r="L264" s="145" t="s">
        <v>338</v>
      </c>
      <c r="M264" s="145" t="s">
        <v>338</v>
      </c>
      <c r="N264" s="145" t="s">
        <v>338</v>
      </c>
      <c r="O264" s="145" t="s">
        <v>338</v>
      </c>
      <c r="P264" s="145" t="s">
        <v>338</v>
      </c>
      <c r="Q264" s="145" t="s">
        <v>338</v>
      </c>
      <c r="R264" s="146">
        <v>640</v>
      </c>
      <c r="S264" s="146">
        <v>340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505</v>
      </c>
    </row>
    <row r="265" spans="1:36">
      <c r="A265" s="145" t="s">
        <v>911</v>
      </c>
      <c r="B265" s="145" t="s">
        <v>19</v>
      </c>
      <c r="C265" s="145" t="s">
        <v>678</v>
      </c>
      <c r="D265" s="145" t="s">
        <v>338</v>
      </c>
      <c r="E265" s="145" t="s">
        <v>338</v>
      </c>
      <c r="F265" s="145" t="s">
        <v>704</v>
      </c>
      <c r="G265" s="145" t="s">
        <v>243</v>
      </c>
      <c r="H265" s="145">
        <v>6</v>
      </c>
      <c r="I265" s="146">
        <v>975</v>
      </c>
      <c r="J265" s="145" t="s">
        <v>338</v>
      </c>
      <c r="K265" s="145" t="s">
        <v>338</v>
      </c>
      <c r="L265" s="145" t="s">
        <v>338</v>
      </c>
      <c r="M265" s="145" t="s">
        <v>338</v>
      </c>
      <c r="N265" s="145" t="s">
        <v>338</v>
      </c>
      <c r="O265" s="145" t="s">
        <v>338</v>
      </c>
      <c r="P265" s="145" t="s">
        <v>338</v>
      </c>
      <c r="Q265" s="145" t="s">
        <v>338</v>
      </c>
      <c r="R265" s="145" t="s">
        <v>338</v>
      </c>
      <c r="S265" s="145" t="s">
        <v>338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6">
        <v>975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505</v>
      </c>
    </row>
    <row r="266" spans="1:36">
      <c r="A266" s="145" t="s">
        <v>912</v>
      </c>
      <c r="B266" s="145" t="s">
        <v>562</v>
      </c>
      <c r="C266" s="145" t="s">
        <v>728</v>
      </c>
      <c r="D266" s="145" t="s">
        <v>338</v>
      </c>
      <c r="E266" s="145" t="s">
        <v>338</v>
      </c>
      <c r="F266" s="145" t="s">
        <v>635</v>
      </c>
      <c r="G266" s="145" t="s">
        <v>243</v>
      </c>
      <c r="H266" s="145">
        <v>6</v>
      </c>
      <c r="I266" s="146">
        <v>975</v>
      </c>
      <c r="J266" s="145" t="s">
        <v>338</v>
      </c>
      <c r="K266" s="145" t="s">
        <v>338</v>
      </c>
      <c r="L266" s="145" t="s">
        <v>338</v>
      </c>
      <c r="M266" s="145" t="s">
        <v>338</v>
      </c>
      <c r="N266" s="145" t="s">
        <v>338</v>
      </c>
      <c r="O266" s="145" t="s">
        <v>338</v>
      </c>
      <c r="P266" s="145" t="s">
        <v>338</v>
      </c>
      <c r="Q266" s="145" t="s">
        <v>338</v>
      </c>
      <c r="R266" s="145" t="s">
        <v>338</v>
      </c>
      <c r="S266" s="145" t="s">
        <v>338</v>
      </c>
      <c r="T266" s="145" t="s">
        <v>338</v>
      </c>
      <c r="U266" s="145" t="s">
        <v>338</v>
      </c>
      <c r="V266" s="145" t="s">
        <v>338</v>
      </c>
      <c r="W266" s="145" t="s">
        <v>338</v>
      </c>
      <c r="X266" s="146">
        <v>975</v>
      </c>
      <c r="Y266" s="145" t="s">
        <v>338</v>
      </c>
      <c r="Z266" s="145" t="s">
        <v>338</v>
      </c>
      <c r="AA266" s="145" t="s">
        <v>338</v>
      </c>
      <c r="AB266" s="145" t="s">
        <v>338</v>
      </c>
      <c r="AC266" s="145" t="s">
        <v>338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505</v>
      </c>
    </row>
    <row r="267" spans="1:36">
      <c r="A267" s="145" t="s">
        <v>913</v>
      </c>
      <c r="B267" s="145" t="s">
        <v>562</v>
      </c>
      <c r="C267" s="145" t="s">
        <v>632</v>
      </c>
      <c r="D267" s="145" t="s">
        <v>338</v>
      </c>
      <c r="E267" s="145" t="s">
        <v>338</v>
      </c>
      <c r="F267" s="145" t="s">
        <v>635</v>
      </c>
      <c r="G267" s="145" t="s">
        <v>914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338</v>
      </c>
      <c r="AA267" s="145" t="s">
        <v>338</v>
      </c>
      <c r="AB267" s="145" t="s">
        <v>338</v>
      </c>
      <c r="AC267" s="145" t="s">
        <v>338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505</v>
      </c>
    </row>
    <row r="268" spans="1:36">
      <c r="A268" s="145" t="s">
        <v>915</v>
      </c>
      <c r="B268" s="145" t="s">
        <v>562</v>
      </c>
      <c r="C268" s="145" t="s">
        <v>657</v>
      </c>
      <c r="D268" s="145" t="s">
        <v>338</v>
      </c>
      <c r="E268" s="145" t="s">
        <v>338</v>
      </c>
      <c r="F268" s="145" t="s">
        <v>635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505</v>
      </c>
    </row>
    <row r="269" spans="1:36">
      <c r="A269" s="145" t="s">
        <v>916</v>
      </c>
      <c r="B269" s="145" t="s">
        <v>562</v>
      </c>
      <c r="C269" s="145" t="s">
        <v>498</v>
      </c>
      <c r="D269" s="145" t="s">
        <v>338</v>
      </c>
      <c r="E269" s="145">
        <v>5</v>
      </c>
      <c r="F269" s="145" t="s">
        <v>563</v>
      </c>
      <c r="G269" s="145" t="s">
        <v>125</v>
      </c>
      <c r="H269" s="145">
        <v>28</v>
      </c>
      <c r="I269" s="146">
        <v>425</v>
      </c>
      <c r="J269" s="145" t="s">
        <v>338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505</v>
      </c>
    </row>
    <row r="270" spans="1:36">
      <c r="A270" s="145" t="s">
        <v>917</v>
      </c>
      <c r="B270" s="145" t="s">
        <v>562</v>
      </c>
      <c r="C270" s="145" t="s">
        <v>678</v>
      </c>
      <c r="D270" s="145" t="s">
        <v>338</v>
      </c>
      <c r="E270" s="145">
        <v>0</v>
      </c>
      <c r="F270" s="145" t="s">
        <v>502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338</v>
      </c>
      <c r="L270" s="145" t="s">
        <v>338</v>
      </c>
      <c r="M270" s="145" t="s">
        <v>338</v>
      </c>
      <c r="N270" s="145" t="s">
        <v>338</v>
      </c>
      <c r="O270" s="145" t="s">
        <v>338</v>
      </c>
      <c r="P270" s="145" t="s">
        <v>338</v>
      </c>
      <c r="Q270" s="145" t="s">
        <v>338</v>
      </c>
      <c r="R270" s="145" t="s">
        <v>338</v>
      </c>
      <c r="S270" s="145" t="s">
        <v>338</v>
      </c>
      <c r="T270" s="145" t="s">
        <v>338</v>
      </c>
      <c r="U270" s="145" t="s">
        <v>338</v>
      </c>
      <c r="V270" s="145" t="s">
        <v>338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338</v>
      </c>
      <c r="AC270" s="145" t="s">
        <v>338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505</v>
      </c>
    </row>
    <row r="271" spans="1:36">
      <c r="A271" s="145" t="s">
        <v>918</v>
      </c>
      <c r="B271" s="145" t="s">
        <v>562</v>
      </c>
      <c r="C271" s="145" t="s">
        <v>678</v>
      </c>
      <c r="D271" s="145" t="s">
        <v>338</v>
      </c>
      <c r="E271" s="145">
        <v>0</v>
      </c>
      <c r="F271" s="145" t="s">
        <v>502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338</v>
      </c>
      <c r="L271" s="145" t="s">
        <v>338</v>
      </c>
      <c r="M271" s="145" t="s">
        <v>338</v>
      </c>
      <c r="N271" s="145" t="s">
        <v>338</v>
      </c>
      <c r="O271" s="145" t="s">
        <v>338</v>
      </c>
      <c r="P271" s="145" t="s">
        <v>338</v>
      </c>
      <c r="Q271" s="145" t="s">
        <v>338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338</v>
      </c>
      <c r="AC271" s="145" t="s">
        <v>338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505</v>
      </c>
    </row>
    <row r="272" spans="1:36">
      <c r="A272" s="145" t="s">
        <v>919</v>
      </c>
      <c r="B272" s="145" t="s">
        <v>562</v>
      </c>
      <c r="C272" s="145" t="s">
        <v>872</v>
      </c>
      <c r="D272" s="145" t="s">
        <v>338</v>
      </c>
      <c r="E272" s="145" t="s">
        <v>338</v>
      </c>
      <c r="F272" s="145" t="s">
        <v>635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338</v>
      </c>
      <c r="L272" s="145" t="s">
        <v>338</v>
      </c>
      <c r="M272" s="145" t="s">
        <v>338</v>
      </c>
      <c r="N272" s="145" t="s">
        <v>338</v>
      </c>
      <c r="O272" s="145" t="s">
        <v>338</v>
      </c>
      <c r="P272" s="145" t="s">
        <v>338</v>
      </c>
      <c r="Q272" s="145" t="s">
        <v>338</v>
      </c>
      <c r="R272" s="146">
        <v>400</v>
      </c>
      <c r="S272" s="146">
        <v>400</v>
      </c>
      <c r="T272" s="146">
        <v>0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505</v>
      </c>
    </row>
    <row r="273" spans="1:36">
      <c r="A273" s="145" t="s">
        <v>920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635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338</v>
      </c>
      <c r="L273" s="145" t="s">
        <v>338</v>
      </c>
      <c r="M273" s="145" t="s">
        <v>338</v>
      </c>
      <c r="N273" s="145" t="s">
        <v>338</v>
      </c>
      <c r="O273" s="145" t="s">
        <v>338</v>
      </c>
      <c r="P273" s="145" t="s">
        <v>338</v>
      </c>
      <c r="Q273" s="145" t="s">
        <v>338</v>
      </c>
      <c r="R273" s="145" t="s">
        <v>338</v>
      </c>
      <c r="S273" s="145" t="s">
        <v>338</v>
      </c>
      <c r="T273" s="145" t="s">
        <v>338</v>
      </c>
      <c r="U273" s="146">
        <v>100</v>
      </c>
      <c r="V273" s="146">
        <v>700</v>
      </c>
      <c r="W273" s="146">
        <v>0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505</v>
      </c>
    </row>
    <row r="274" spans="1:36">
      <c r="A274" s="145" t="s">
        <v>921</v>
      </c>
      <c r="B274" s="145" t="s">
        <v>562</v>
      </c>
      <c r="C274" s="145" t="s">
        <v>632</v>
      </c>
      <c r="D274" s="145" t="s">
        <v>338</v>
      </c>
      <c r="E274" s="145" t="s">
        <v>338</v>
      </c>
      <c r="F274" s="145" t="s">
        <v>635</v>
      </c>
      <c r="G274" s="145" t="s">
        <v>634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505</v>
      </c>
    </row>
    <row r="275" spans="1:36">
      <c r="A275" s="145" t="s">
        <v>922</v>
      </c>
      <c r="B275" s="145" t="s">
        <v>562</v>
      </c>
      <c r="C275" s="145" t="s">
        <v>657</v>
      </c>
      <c r="D275" s="145" t="s">
        <v>338</v>
      </c>
      <c r="E275" s="145" t="s">
        <v>338</v>
      </c>
      <c r="F275" s="145" t="s">
        <v>635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338</v>
      </c>
      <c r="L275" s="145" t="s">
        <v>338</v>
      </c>
      <c r="M275" s="145" t="s">
        <v>338</v>
      </c>
      <c r="N275" s="145" t="s">
        <v>338</v>
      </c>
      <c r="O275" s="145" t="s">
        <v>338</v>
      </c>
      <c r="P275" s="145" t="s">
        <v>338</v>
      </c>
      <c r="Q275" s="145" t="s">
        <v>338</v>
      </c>
      <c r="R275" s="145" t="s">
        <v>338</v>
      </c>
      <c r="S275" s="145" t="s">
        <v>338</v>
      </c>
      <c r="T275" s="146">
        <v>400</v>
      </c>
      <c r="U275" s="146">
        <v>325</v>
      </c>
      <c r="V275" s="145" t="s">
        <v>338</v>
      </c>
      <c r="W275" s="145" t="s">
        <v>338</v>
      </c>
      <c r="X275" s="145" t="s">
        <v>338</v>
      </c>
      <c r="Y275" s="145" t="s">
        <v>338</v>
      </c>
      <c r="Z275" s="145" t="s">
        <v>338</v>
      </c>
      <c r="AA275" s="145" t="s">
        <v>338</v>
      </c>
      <c r="AB275" s="145" t="s">
        <v>338</v>
      </c>
      <c r="AC275" s="145" t="s">
        <v>338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505</v>
      </c>
    </row>
    <row r="276" spans="1:36">
      <c r="A276" s="145" t="s">
        <v>923</v>
      </c>
      <c r="B276" s="145" t="s">
        <v>562</v>
      </c>
      <c r="C276" s="145" t="s">
        <v>728</v>
      </c>
      <c r="D276" s="145" t="s">
        <v>338</v>
      </c>
      <c r="E276" s="145" t="s">
        <v>338</v>
      </c>
      <c r="F276" s="145" t="s">
        <v>635</v>
      </c>
      <c r="G276" s="145" t="s">
        <v>243</v>
      </c>
      <c r="H276" s="145">
        <v>6</v>
      </c>
      <c r="I276" s="146">
        <v>650</v>
      </c>
      <c r="J276" s="145" t="s">
        <v>338</v>
      </c>
      <c r="K276" s="145" t="s">
        <v>338</v>
      </c>
      <c r="L276" s="145" t="s">
        <v>338</v>
      </c>
      <c r="M276" s="145" t="s">
        <v>338</v>
      </c>
      <c r="N276" s="145" t="s">
        <v>338</v>
      </c>
      <c r="O276" s="145" t="s">
        <v>338</v>
      </c>
      <c r="P276" s="145" t="s">
        <v>338</v>
      </c>
      <c r="Q276" s="145" t="s">
        <v>338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6">
        <v>650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505</v>
      </c>
    </row>
    <row r="277" spans="1:36">
      <c r="A277" s="145" t="s">
        <v>924</v>
      </c>
      <c r="B277" s="145" t="s">
        <v>562</v>
      </c>
      <c r="C277" s="145" t="s">
        <v>657</v>
      </c>
      <c r="D277" s="145" t="s">
        <v>338</v>
      </c>
      <c r="E277" s="145" t="s">
        <v>338</v>
      </c>
      <c r="F277" s="145" t="s">
        <v>635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505</v>
      </c>
    </row>
    <row r="278" spans="1:36">
      <c r="A278" s="145" t="s">
        <v>925</v>
      </c>
      <c r="B278" s="145" t="s">
        <v>562</v>
      </c>
      <c r="C278" s="145" t="s">
        <v>728</v>
      </c>
      <c r="D278" s="145" t="s">
        <v>338</v>
      </c>
      <c r="E278" s="145" t="s">
        <v>338</v>
      </c>
      <c r="F278" s="145" t="s">
        <v>635</v>
      </c>
      <c r="G278" s="145" t="s">
        <v>209</v>
      </c>
      <c r="H278" s="145">
        <v>10</v>
      </c>
      <c r="I278" s="146">
        <v>495</v>
      </c>
      <c r="J278" s="145" t="s">
        <v>338</v>
      </c>
      <c r="K278" s="145" t="s">
        <v>338</v>
      </c>
      <c r="L278" s="145" t="s">
        <v>338</v>
      </c>
      <c r="M278" s="145" t="s">
        <v>338</v>
      </c>
      <c r="N278" s="145" t="s">
        <v>338</v>
      </c>
      <c r="O278" s="145" t="s">
        <v>338</v>
      </c>
      <c r="P278" s="145" t="s">
        <v>338</v>
      </c>
      <c r="Q278" s="145" t="s">
        <v>338</v>
      </c>
      <c r="R278" s="145" t="s">
        <v>338</v>
      </c>
      <c r="S278" s="145" t="s">
        <v>338</v>
      </c>
      <c r="T278" s="146">
        <v>495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6">
        <v>0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505</v>
      </c>
    </row>
    <row r="279" spans="1:36">
      <c r="A279" s="145" t="s">
        <v>926</v>
      </c>
      <c r="B279" s="145" t="s">
        <v>19</v>
      </c>
      <c r="C279" s="145" t="s">
        <v>678</v>
      </c>
      <c r="D279" s="145" t="s">
        <v>338</v>
      </c>
      <c r="E279" s="145" t="s">
        <v>338</v>
      </c>
      <c r="F279" s="145" t="s">
        <v>704</v>
      </c>
      <c r="G279" s="145" t="s">
        <v>248</v>
      </c>
      <c r="H279" s="145">
        <v>1</v>
      </c>
      <c r="I279" s="146">
        <v>418</v>
      </c>
      <c r="J279" s="145" t="s">
        <v>338</v>
      </c>
      <c r="K279" s="145" t="s">
        <v>338</v>
      </c>
      <c r="L279" s="145" t="s">
        <v>338</v>
      </c>
      <c r="M279" s="145" t="s">
        <v>338</v>
      </c>
      <c r="N279" s="145" t="s">
        <v>338</v>
      </c>
      <c r="O279" s="145" t="s">
        <v>338</v>
      </c>
      <c r="P279" s="145" t="s">
        <v>338</v>
      </c>
      <c r="Q279" s="145" t="s">
        <v>338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504</v>
      </c>
    </row>
    <row r="280" spans="1:36">
      <c r="A280" s="145" t="s">
        <v>927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635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505</v>
      </c>
    </row>
    <row r="281" spans="1:36">
      <c r="A281" s="145" t="s">
        <v>928</v>
      </c>
      <c r="B281" s="145" t="s">
        <v>562</v>
      </c>
      <c r="C281" s="145" t="s">
        <v>728</v>
      </c>
      <c r="D281" s="145" t="s">
        <v>338</v>
      </c>
      <c r="E281" s="145" t="s">
        <v>338</v>
      </c>
      <c r="F281" s="145" t="s">
        <v>635</v>
      </c>
      <c r="G281" s="145" t="s">
        <v>209</v>
      </c>
      <c r="H281" s="145">
        <v>10</v>
      </c>
      <c r="I281" s="146">
        <v>380.25</v>
      </c>
      <c r="J281" s="145" t="s">
        <v>338</v>
      </c>
      <c r="K281" s="145" t="s">
        <v>338</v>
      </c>
      <c r="L281" s="145" t="s">
        <v>338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5" t="s">
        <v>338</v>
      </c>
      <c r="R281" s="145" t="s">
        <v>338</v>
      </c>
      <c r="S281" s="145" t="s">
        <v>338</v>
      </c>
      <c r="T281" s="146">
        <v>380.25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505</v>
      </c>
    </row>
    <row r="282" spans="1:36">
      <c r="A282" s="145" t="s">
        <v>929</v>
      </c>
      <c r="B282" s="145" t="s">
        <v>562</v>
      </c>
      <c r="C282" s="145" t="s">
        <v>657</v>
      </c>
      <c r="D282" s="145" t="s">
        <v>338</v>
      </c>
      <c r="E282" s="145" t="s">
        <v>338</v>
      </c>
      <c r="F282" s="145" t="s">
        <v>635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338</v>
      </c>
      <c r="L282" s="145" t="s">
        <v>338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5" t="s">
        <v>338</v>
      </c>
      <c r="R282" s="145" t="s">
        <v>338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505</v>
      </c>
    </row>
    <row r="283" spans="1:36">
      <c r="A283" s="145" t="s">
        <v>930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635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338</v>
      </c>
      <c r="L283" s="145" t="s">
        <v>338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5" t="s">
        <v>338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6">
        <v>200</v>
      </c>
      <c r="W283" s="146">
        <v>0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505</v>
      </c>
    </row>
    <row r="284" spans="1:36">
      <c r="A284" s="145" t="s">
        <v>931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635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338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6">
        <v>75</v>
      </c>
      <c r="X284" s="146">
        <v>15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505</v>
      </c>
    </row>
    <row r="285" spans="1:36">
      <c r="A285" s="145" t="s">
        <v>932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635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338</v>
      </c>
      <c r="P285" s="146">
        <v>500</v>
      </c>
      <c r="Q285" s="145" t="s">
        <v>338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505</v>
      </c>
    </row>
    <row r="286" spans="1:36">
      <c r="A286" s="145" t="s">
        <v>933</v>
      </c>
      <c r="B286" s="145" t="s">
        <v>562</v>
      </c>
      <c r="C286" s="145" t="s">
        <v>872</v>
      </c>
      <c r="D286" s="145" t="s">
        <v>338</v>
      </c>
      <c r="E286" s="145" t="s">
        <v>338</v>
      </c>
      <c r="F286" s="145" t="s">
        <v>635</v>
      </c>
      <c r="G286" s="145" t="s">
        <v>634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505</v>
      </c>
    </row>
    <row r="287" spans="1:36">
      <c r="A287" s="145" t="s">
        <v>934</v>
      </c>
      <c r="B287" s="145" t="s">
        <v>562</v>
      </c>
      <c r="C287" s="145" t="s">
        <v>657</v>
      </c>
      <c r="D287" s="145" t="s">
        <v>338</v>
      </c>
      <c r="E287" s="145" t="s">
        <v>338</v>
      </c>
      <c r="F287" s="145" t="s">
        <v>635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338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505</v>
      </c>
    </row>
    <row r="288" spans="1:36">
      <c r="A288" s="145" t="s">
        <v>935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635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338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505</v>
      </c>
    </row>
    <row r="289" spans="1:36">
      <c r="A289" s="145" t="s">
        <v>936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635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338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505</v>
      </c>
    </row>
    <row r="290" spans="1:36">
      <c r="A290" s="145" t="s">
        <v>937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635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338</v>
      </c>
      <c r="L290" s="145" t="s">
        <v>338</v>
      </c>
      <c r="M290" s="145" t="s">
        <v>338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505</v>
      </c>
    </row>
    <row r="291" spans="1:36">
      <c r="A291" s="145" t="s">
        <v>938</v>
      </c>
      <c r="B291" s="145" t="s">
        <v>562</v>
      </c>
      <c r="C291" s="145" t="s">
        <v>872</v>
      </c>
      <c r="D291" s="145" t="s">
        <v>338</v>
      </c>
      <c r="E291" s="145" t="s">
        <v>338</v>
      </c>
      <c r="F291" s="145" t="s">
        <v>635</v>
      </c>
      <c r="G291" s="145" t="s">
        <v>939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338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505</v>
      </c>
    </row>
    <row r="292" spans="1:36">
      <c r="A292" s="145" t="s">
        <v>940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635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338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338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505</v>
      </c>
    </row>
    <row r="293" spans="1:36">
      <c r="A293" s="145" t="s">
        <v>941</v>
      </c>
      <c r="B293" s="145" t="s">
        <v>562</v>
      </c>
      <c r="C293" s="145" t="s">
        <v>657</v>
      </c>
      <c r="D293" s="145" t="s">
        <v>338</v>
      </c>
      <c r="E293" s="145" t="s">
        <v>338</v>
      </c>
      <c r="F293" s="145" t="s">
        <v>635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338</v>
      </c>
      <c r="P293" s="145" t="s">
        <v>338</v>
      </c>
      <c r="Q293" s="145" t="s">
        <v>338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505</v>
      </c>
    </row>
    <row r="294" spans="1:36">
      <c r="A294" s="145" t="s">
        <v>942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635</v>
      </c>
      <c r="G294" s="145" t="s">
        <v>620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338</v>
      </c>
      <c r="Q294" s="145" t="s">
        <v>338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505</v>
      </c>
    </row>
    <row r="295" spans="1:36">
      <c r="A295" s="145" t="s">
        <v>943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635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338</v>
      </c>
      <c r="P295" s="145" t="s">
        <v>338</v>
      </c>
      <c r="Q295" s="145" t="s">
        <v>338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505</v>
      </c>
    </row>
    <row r="296" spans="1:36">
      <c r="A296" s="145" t="s">
        <v>944</v>
      </c>
      <c r="B296" s="145" t="s">
        <v>562</v>
      </c>
      <c r="C296" s="145" t="s">
        <v>657</v>
      </c>
      <c r="D296" s="145" t="s">
        <v>338</v>
      </c>
      <c r="E296" s="145" t="s">
        <v>338</v>
      </c>
      <c r="F296" s="145" t="s">
        <v>635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338</v>
      </c>
      <c r="P296" s="145" t="s">
        <v>338</v>
      </c>
      <c r="Q296" s="145" t="s">
        <v>338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505</v>
      </c>
    </row>
    <row r="297" spans="1:36">
      <c r="A297" s="145" t="s">
        <v>945</v>
      </c>
      <c r="B297" s="145" t="s">
        <v>562</v>
      </c>
      <c r="C297" s="145" t="s">
        <v>872</v>
      </c>
      <c r="D297" s="145" t="s">
        <v>338</v>
      </c>
      <c r="E297" s="145" t="s">
        <v>338</v>
      </c>
      <c r="F297" s="145" t="s">
        <v>635</v>
      </c>
      <c r="G297" s="145" t="s">
        <v>634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338</v>
      </c>
      <c r="Q297" s="145" t="s">
        <v>338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505</v>
      </c>
    </row>
    <row r="298" spans="1:36">
      <c r="A298" s="145" t="s">
        <v>946</v>
      </c>
      <c r="B298" s="145" t="s">
        <v>562</v>
      </c>
      <c r="C298" s="145" t="s">
        <v>657</v>
      </c>
      <c r="D298" s="145" t="s">
        <v>338</v>
      </c>
      <c r="E298" s="145" t="s">
        <v>338</v>
      </c>
      <c r="F298" s="145" t="s">
        <v>635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338</v>
      </c>
      <c r="O298" s="145" t="s">
        <v>338</v>
      </c>
      <c r="P298" s="145" t="s">
        <v>338</v>
      </c>
      <c r="Q298" s="145" t="s">
        <v>338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505</v>
      </c>
    </row>
    <row r="299" spans="1:36">
      <c r="A299" s="145" t="s">
        <v>947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635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338</v>
      </c>
      <c r="O299" s="145" t="s">
        <v>338</v>
      </c>
      <c r="P299" s="145" t="s">
        <v>338</v>
      </c>
      <c r="Q299" s="145" t="s">
        <v>338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505</v>
      </c>
    </row>
    <row r="300" spans="1:36">
      <c r="A300" s="145" t="s">
        <v>948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635</v>
      </c>
      <c r="G300" s="145" t="s">
        <v>572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338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5" t="s">
        <v>338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505</v>
      </c>
    </row>
    <row r="301" spans="1:36">
      <c r="A301" s="145" t="s">
        <v>949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635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5" t="s">
        <v>338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505</v>
      </c>
    </row>
    <row r="302" spans="1:36">
      <c r="A302" s="145" t="s">
        <v>950</v>
      </c>
      <c r="B302" s="145" t="s">
        <v>562</v>
      </c>
      <c r="C302" s="145" t="s">
        <v>872</v>
      </c>
      <c r="D302" s="145" t="s">
        <v>338</v>
      </c>
      <c r="E302" s="145" t="s">
        <v>338</v>
      </c>
      <c r="F302" s="145" t="s">
        <v>635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5" t="s">
        <v>338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505</v>
      </c>
    </row>
    <row r="303" spans="1:36">
      <c r="A303" s="145" t="s">
        <v>951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635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5" t="s">
        <v>338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505</v>
      </c>
    </row>
    <row r="304" spans="1:36">
      <c r="A304" s="145" t="s">
        <v>952</v>
      </c>
      <c r="B304" s="145" t="s">
        <v>562</v>
      </c>
      <c r="C304" s="145" t="s">
        <v>872</v>
      </c>
      <c r="D304" s="145" t="s">
        <v>338</v>
      </c>
      <c r="E304" s="145" t="s">
        <v>338</v>
      </c>
      <c r="F304" s="145" t="s">
        <v>635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5" t="s">
        <v>338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505</v>
      </c>
    </row>
    <row r="305" spans="1:36">
      <c r="A305" s="145" t="s">
        <v>953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635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338</v>
      </c>
      <c r="Q305" s="145" t="s">
        <v>338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505</v>
      </c>
    </row>
    <row r="306" spans="1:36">
      <c r="A306" s="145" t="s">
        <v>954</v>
      </c>
      <c r="B306" s="145" t="s">
        <v>562</v>
      </c>
      <c r="C306" s="145" t="s">
        <v>657</v>
      </c>
      <c r="D306" s="145" t="s">
        <v>338</v>
      </c>
      <c r="E306" s="145" t="s">
        <v>338</v>
      </c>
      <c r="F306" s="145" t="s">
        <v>635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5" t="s">
        <v>338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505</v>
      </c>
    </row>
    <row r="307" spans="1:36">
      <c r="A307" s="145" t="s">
        <v>955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635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338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5" t="s">
        <v>338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505</v>
      </c>
    </row>
    <row r="308" spans="1:36">
      <c r="A308" s="145" t="s">
        <v>956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635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338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5" t="s">
        <v>338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505</v>
      </c>
    </row>
    <row r="309" spans="1:36">
      <c r="A309" s="145" t="s">
        <v>957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635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338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5" t="s">
        <v>338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505</v>
      </c>
    </row>
    <row r="310" spans="1:36">
      <c r="A310" s="145" t="s">
        <v>958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635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338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5" t="s">
        <v>338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505</v>
      </c>
    </row>
    <row r="311" spans="1:36">
      <c r="A311" s="145" t="s">
        <v>959</v>
      </c>
      <c r="B311" s="145" t="s">
        <v>562</v>
      </c>
      <c r="C311" s="145" t="s">
        <v>657</v>
      </c>
      <c r="D311" s="145" t="s">
        <v>338</v>
      </c>
      <c r="E311" s="145" t="s">
        <v>338</v>
      </c>
      <c r="F311" s="145" t="s">
        <v>635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338</v>
      </c>
      <c r="O311" s="145" t="s">
        <v>338</v>
      </c>
      <c r="P311" s="145" t="s">
        <v>338</v>
      </c>
      <c r="Q311" s="145" t="s">
        <v>338</v>
      </c>
      <c r="R311" s="145" t="s">
        <v>338</v>
      </c>
      <c r="S311" s="145" t="s">
        <v>338</v>
      </c>
      <c r="T311" s="145" t="s">
        <v>338</v>
      </c>
      <c r="U311" s="145" t="s">
        <v>338</v>
      </c>
      <c r="V311" s="145" t="s">
        <v>338</v>
      </c>
      <c r="W311" s="145" t="s">
        <v>338</v>
      </c>
      <c r="X311" s="145" t="s">
        <v>338</v>
      </c>
      <c r="Y311" s="145" t="s">
        <v>338</v>
      </c>
      <c r="Z311" s="145" t="s">
        <v>338</v>
      </c>
      <c r="AA311" s="145" t="s">
        <v>338</v>
      </c>
      <c r="AB311" s="145" t="s">
        <v>338</v>
      </c>
      <c r="AC311" s="145" t="s">
        <v>338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505</v>
      </c>
    </row>
    <row r="312" spans="1:36">
      <c r="A312" s="145" t="s">
        <v>960</v>
      </c>
      <c r="B312" s="145" t="s">
        <v>562</v>
      </c>
      <c r="C312" s="145" t="s">
        <v>657</v>
      </c>
      <c r="D312" s="145" t="s">
        <v>338</v>
      </c>
      <c r="E312" s="145" t="s">
        <v>338</v>
      </c>
      <c r="F312" s="145" t="s">
        <v>635</v>
      </c>
      <c r="G312" s="145" t="s">
        <v>588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338</v>
      </c>
      <c r="M312" s="145" t="s">
        <v>338</v>
      </c>
      <c r="N312" s="145" t="s">
        <v>338</v>
      </c>
      <c r="O312" s="145" t="s">
        <v>338</v>
      </c>
      <c r="P312" s="145" t="s">
        <v>338</v>
      </c>
      <c r="Q312" s="145" t="s">
        <v>338</v>
      </c>
      <c r="R312" s="145" t="s">
        <v>338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505</v>
      </c>
    </row>
    <row r="313" spans="1:36">
      <c r="A313" s="145" t="s">
        <v>961</v>
      </c>
      <c r="B313" s="145" t="s">
        <v>562</v>
      </c>
      <c r="C313" s="145" t="s">
        <v>657</v>
      </c>
      <c r="D313" s="145" t="s">
        <v>338</v>
      </c>
      <c r="E313" s="145" t="s">
        <v>338</v>
      </c>
      <c r="F313" s="145" t="s">
        <v>635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338</v>
      </c>
      <c r="L313" s="146">
        <v>85</v>
      </c>
      <c r="M313" s="145" t="s">
        <v>338</v>
      </c>
      <c r="N313" s="145" t="s">
        <v>338</v>
      </c>
      <c r="O313" s="145" t="s">
        <v>338</v>
      </c>
      <c r="P313" s="145" t="s">
        <v>338</v>
      </c>
      <c r="Q313" s="145" t="s">
        <v>338</v>
      </c>
      <c r="R313" s="145" t="s">
        <v>338</v>
      </c>
      <c r="S313" s="145" t="s">
        <v>338</v>
      </c>
      <c r="T313" s="145" t="s">
        <v>338</v>
      </c>
      <c r="U313" s="145" t="s">
        <v>338</v>
      </c>
      <c r="V313" s="145" t="s">
        <v>338</v>
      </c>
      <c r="W313" s="145" t="s">
        <v>338</v>
      </c>
      <c r="X313" s="145" t="s">
        <v>338</v>
      </c>
      <c r="Y313" s="145" t="s">
        <v>338</v>
      </c>
      <c r="Z313" s="145" t="s">
        <v>338</v>
      </c>
      <c r="AA313" s="145" t="s">
        <v>338</v>
      </c>
      <c r="AB313" s="145" t="s">
        <v>338</v>
      </c>
      <c r="AC313" s="145" t="s">
        <v>338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505</v>
      </c>
    </row>
    <row r="314" spans="1:36">
      <c r="A314" s="145" t="s">
        <v>962</v>
      </c>
      <c r="B314" s="145" t="s">
        <v>562</v>
      </c>
      <c r="C314" s="145" t="s">
        <v>872</v>
      </c>
      <c r="D314" s="145" t="s">
        <v>338</v>
      </c>
      <c r="E314" s="145" t="s">
        <v>338</v>
      </c>
      <c r="F314" s="145" t="s">
        <v>635</v>
      </c>
      <c r="G314" s="145" t="s">
        <v>808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338</v>
      </c>
      <c r="M314" s="145" t="s">
        <v>338</v>
      </c>
      <c r="N314" s="145" t="s">
        <v>338</v>
      </c>
      <c r="O314" s="145" t="s">
        <v>338</v>
      </c>
      <c r="P314" s="145" t="s">
        <v>338</v>
      </c>
      <c r="Q314" s="145" t="s">
        <v>338</v>
      </c>
      <c r="R314" s="145" t="s">
        <v>338</v>
      </c>
      <c r="S314" s="145" t="s">
        <v>338</v>
      </c>
      <c r="T314" s="145" t="s">
        <v>338</v>
      </c>
      <c r="U314" s="145" t="s">
        <v>338</v>
      </c>
      <c r="V314" s="145" t="s">
        <v>338</v>
      </c>
      <c r="W314" s="145" t="s">
        <v>338</v>
      </c>
      <c r="X314" s="145" t="s">
        <v>338</v>
      </c>
      <c r="Y314" s="145" t="s">
        <v>338</v>
      </c>
      <c r="Z314" s="145" t="s">
        <v>338</v>
      </c>
      <c r="AA314" s="145" t="s">
        <v>338</v>
      </c>
      <c r="AB314" s="145" t="s">
        <v>338</v>
      </c>
      <c r="AC314" s="145" t="s">
        <v>338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505</v>
      </c>
    </row>
    <row r="316" spans="1:36">
      <c r="A316" s="145" t="s">
        <v>449</v>
      </c>
      <c r="B316" s="145" t="s">
        <v>963</v>
      </c>
      <c r="C316" s="145" t="s">
        <v>338</v>
      </c>
      <c r="D316" s="145" t="s">
        <v>338</v>
      </c>
      <c r="E316" s="145">
        <v>4211</v>
      </c>
      <c r="F316" s="145" t="s">
        <v>338</v>
      </c>
      <c r="G316" s="145" t="s">
        <v>338</v>
      </c>
      <c r="H316" s="145" t="s">
        <v>338</v>
      </c>
      <c r="I316" s="146">
        <v>325078.2983333334</v>
      </c>
      <c r="J316" s="145" t="s">
        <v>338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338</v>
      </c>
      <c r="AI316" s="145" t="s">
        <v>338</v>
      </c>
      <c r="AJ316" s="145" t="s">
        <v>338</v>
      </c>
    </row>
    <row r="317" spans="1:36">
      <c r="A317" s="145" t="s">
        <v>1107</v>
      </c>
      <c r="B317" s="145" t="s">
        <v>338</v>
      </c>
      <c r="C317" s="145" t="s">
        <v>338</v>
      </c>
      <c r="D317" s="145" t="s">
        <v>338</v>
      </c>
      <c r="E317" s="145" t="s">
        <v>338</v>
      </c>
      <c r="F317" s="145" t="s">
        <v>338</v>
      </c>
      <c r="G317" s="145" t="s">
        <v>338</v>
      </c>
      <c r="H317" s="145" t="s">
        <v>338</v>
      </c>
      <c r="I317" s="145" t="s">
        <v>338</v>
      </c>
      <c r="J317" s="145" t="s">
        <v>338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338</v>
      </c>
      <c r="AE317" s="145" t="s">
        <v>338</v>
      </c>
      <c r="AF317" s="145" t="s">
        <v>338</v>
      </c>
      <c r="AG317" s="145" t="s">
        <v>338</v>
      </c>
      <c r="AH317" s="145" t="s">
        <v>338</v>
      </c>
      <c r="AI317" s="145" t="s">
        <v>338</v>
      </c>
      <c r="AJ317" s="145" t="s">
        <v>338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topLeftCell="B1" workbookViewId="0">
      <selection activeCell="V4" sqref="V4:V310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465</v>
      </c>
    </row>
    <row r="3" spans="1:32">
      <c r="A3" s="145" t="s">
        <v>466</v>
      </c>
      <c r="B3" s="145" t="s">
        <v>116</v>
      </c>
      <c r="C3" s="145" t="s">
        <v>467</v>
      </c>
      <c r="D3" s="145" t="s">
        <v>468</v>
      </c>
      <c r="E3" s="145" t="s">
        <v>469</v>
      </c>
      <c r="F3" s="145" t="s">
        <v>470</v>
      </c>
      <c r="G3" s="145" t="s">
        <v>471</v>
      </c>
      <c r="H3" s="145" t="s">
        <v>472</v>
      </c>
      <c r="I3" s="145" t="s">
        <v>473</v>
      </c>
      <c r="J3" s="145" t="s">
        <v>474</v>
      </c>
      <c r="K3" s="145" t="s">
        <v>475</v>
      </c>
      <c r="L3" s="145" t="s">
        <v>476</v>
      </c>
      <c r="M3" s="145" t="s">
        <v>477</v>
      </c>
      <c r="N3" s="145" t="s">
        <v>478</v>
      </c>
      <c r="O3" s="145" t="s">
        <v>479</v>
      </c>
      <c r="P3" s="145" t="s">
        <v>480</v>
      </c>
      <c r="Q3" s="145" t="s">
        <v>4</v>
      </c>
      <c r="R3" s="145" t="s">
        <v>481</v>
      </c>
      <c r="S3" s="145" t="s">
        <v>482</v>
      </c>
      <c r="T3" s="145" t="s">
        <v>483</v>
      </c>
      <c r="U3" s="145" t="s">
        <v>484</v>
      </c>
      <c r="V3" s="145" t="s">
        <v>485</v>
      </c>
      <c r="W3" s="145" t="s">
        <v>486</v>
      </c>
      <c r="X3" s="145" t="s">
        <v>487</v>
      </c>
      <c r="Y3" s="145" t="s">
        <v>488</v>
      </c>
      <c r="Z3" s="145" t="s">
        <v>489</v>
      </c>
      <c r="AA3" s="145" t="s">
        <v>490</v>
      </c>
      <c r="AB3" s="145" t="s">
        <v>491</v>
      </c>
      <c r="AC3" s="145" t="s">
        <v>492</v>
      </c>
      <c r="AD3" s="145" t="s">
        <v>493</v>
      </c>
      <c r="AE3" s="145" t="s">
        <v>494</v>
      </c>
      <c r="AF3" s="145" t="s">
        <v>495</v>
      </c>
    </row>
    <row r="4" spans="1:32">
      <c r="A4" s="145" t="s">
        <v>496</v>
      </c>
      <c r="B4" s="145" t="s">
        <v>497</v>
      </c>
      <c r="C4" s="145" t="s">
        <v>498</v>
      </c>
      <c r="D4" s="145" t="s">
        <v>499</v>
      </c>
      <c r="E4" s="145" t="s">
        <v>500</v>
      </c>
      <c r="F4" s="145" t="s">
        <v>501</v>
      </c>
      <c r="G4" s="145" t="s">
        <v>132</v>
      </c>
      <c r="H4" s="145">
        <v>21</v>
      </c>
      <c r="I4" s="145" t="s">
        <v>338</v>
      </c>
      <c r="J4" s="146">
        <v>9193.0300000000007</v>
      </c>
      <c r="K4" s="145">
        <v>206</v>
      </c>
      <c r="L4" s="145" t="s">
        <v>502</v>
      </c>
      <c r="M4" s="145">
        <v>206</v>
      </c>
      <c r="N4" s="145" t="s">
        <v>503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504</v>
      </c>
      <c r="U4" s="145" t="s">
        <v>338</v>
      </c>
      <c r="V4" s="145" t="s">
        <v>505</v>
      </c>
      <c r="W4" s="145" t="s">
        <v>506</v>
      </c>
      <c r="X4" s="145" t="s">
        <v>338</v>
      </c>
      <c r="Y4" s="145" t="s">
        <v>342</v>
      </c>
      <c r="Z4" s="145" t="s">
        <v>507</v>
      </c>
      <c r="AA4" s="145" t="s">
        <v>508</v>
      </c>
      <c r="AB4" s="145" t="s">
        <v>509</v>
      </c>
      <c r="AC4" s="145" t="s">
        <v>510</v>
      </c>
      <c r="AD4" s="145" t="s">
        <v>511</v>
      </c>
      <c r="AE4" s="145" t="s">
        <v>504</v>
      </c>
      <c r="AF4" s="145" t="s">
        <v>338</v>
      </c>
    </row>
    <row r="5" spans="1:32">
      <c r="A5" s="145" t="s">
        <v>512</v>
      </c>
      <c r="B5" s="145" t="s">
        <v>497</v>
      </c>
      <c r="C5" s="145" t="s">
        <v>498</v>
      </c>
      <c r="D5" s="145" t="s">
        <v>499</v>
      </c>
      <c r="E5" s="145" t="s">
        <v>500</v>
      </c>
      <c r="F5" s="145" t="s">
        <v>501</v>
      </c>
      <c r="G5" s="145" t="s">
        <v>209</v>
      </c>
      <c r="H5" s="145">
        <v>10</v>
      </c>
      <c r="I5" s="145" t="s">
        <v>338</v>
      </c>
      <c r="J5" s="146">
        <v>8686</v>
      </c>
      <c r="K5" s="145">
        <v>163</v>
      </c>
      <c r="L5" s="145" t="s">
        <v>502</v>
      </c>
      <c r="M5" s="145">
        <v>163</v>
      </c>
      <c r="N5" s="145" t="s">
        <v>503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504</v>
      </c>
      <c r="U5" s="145">
        <v>160</v>
      </c>
      <c r="V5" s="145" t="s">
        <v>504</v>
      </c>
      <c r="W5" s="145" t="s">
        <v>513</v>
      </c>
      <c r="X5" s="145" t="s">
        <v>514</v>
      </c>
      <c r="Y5" s="145" t="s">
        <v>342</v>
      </c>
      <c r="Z5" s="145" t="s">
        <v>507</v>
      </c>
      <c r="AA5" s="145" t="s">
        <v>515</v>
      </c>
      <c r="AB5" s="145" t="s">
        <v>516</v>
      </c>
      <c r="AC5" s="145" t="s">
        <v>517</v>
      </c>
      <c r="AD5" s="145" t="s">
        <v>518</v>
      </c>
      <c r="AE5" s="145" t="s">
        <v>505</v>
      </c>
      <c r="AF5" s="145" t="s">
        <v>338</v>
      </c>
    </row>
    <row r="6" spans="1:32">
      <c r="A6" s="145" t="s">
        <v>519</v>
      </c>
      <c r="B6" s="145" t="s">
        <v>497</v>
      </c>
      <c r="C6" s="145" t="s">
        <v>498</v>
      </c>
      <c r="D6" s="145" t="s">
        <v>499</v>
      </c>
      <c r="E6" s="145" t="s">
        <v>500</v>
      </c>
      <c r="F6" s="145" t="s">
        <v>501</v>
      </c>
      <c r="G6" s="145" t="s">
        <v>520</v>
      </c>
      <c r="H6" s="145">
        <v>56</v>
      </c>
      <c r="I6" s="145" t="s">
        <v>338</v>
      </c>
      <c r="J6" s="146">
        <v>3750</v>
      </c>
      <c r="K6" s="145">
        <v>85</v>
      </c>
      <c r="L6" s="145" t="s">
        <v>502</v>
      </c>
      <c r="M6" s="145">
        <v>85</v>
      </c>
      <c r="N6" s="145" t="s">
        <v>503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505</v>
      </c>
      <c r="U6" s="145" t="s">
        <v>338</v>
      </c>
      <c r="V6" s="145" t="s">
        <v>504</v>
      </c>
      <c r="W6" s="145" t="s">
        <v>506</v>
      </c>
      <c r="X6" s="145" t="s">
        <v>514</v>
      </c>
      <c r="Y6" s="145" t="s">
        <v>342</v>
      </c>
      <c r="Z6" s="145" t="s">
        <v>507</v>
      </c>
      <c r="AA6" s="145" t="s">
        <v>521</v>
      </c>
      <c r="AB6" s="145" t="s">
        <v>522</v>
      </c>
      <c r="AC6" s="145" t="s">
        <v>510</v>
      </c>
      <c r="AD6" s="145" t="s">
        <v>523</v>
      </c>
      <c r="AE6" s="145" t="s">
        <v>504</v>
      </c>
      <c r="AF6" s="145" t="s">
        <v>338</v>
      </c>
    </row>
    <row r="7" spans="1:32">
      <c r="A7" s="145" t="s">
        <v>524</v>
      </c>
      <c r="B7" s="145" t="s">
        <v>497</v>
      </c>
      <c r="C7" s="145" t="s">
        <v>498</v>
      </c>
      <c r="D7" s="145" t="s">
        <v>499</v>
      </c>
      <c r="E7" s="145" t="s">
        <v>500</v>
      </c>
      <c r="F7" s="145" t="s">
        <v>501</v>
      </c>
      <c r="G7" s="145" t="s">
        <v>202</v>
      </c>
      <c r="H7" s="145">
        <v>17</v>
      </c>
      <c r="I7" s="145" t="s">
        <v>338</v>
      </c>
      <c r="J7" s="146">
        <v>3773</v>
      </c>
      <c r="K7" s="145">
        <v>99</v>
      </c>
      <c r="L7" s="145" t="s">
        <v>502</v>
      </c>
      <c r="M7" s="145">
        <v>99</v>
      </c>
      <c r="N7" s="145" t="s">
        <v>503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505</v>
      </c>
      <c r="U7" s="145" t="s">
        <v>338</v>
      </c>
      <c r="V7" s="145" t="s">
        <v>504</v>
      </c>
      <c r="W7" s="145" t="s">
        <v>506</v>
      </c>
      <c r="X7" s="145" t="s">
        <v>525</v>
      </c>
      <c r="Y7" s="145" t="s">
        <v>342</v>
      </c>
      <c r="Z7" s="145" t="s">
        <v>507</v>
      </c>
      <c r="AA7" s="145" t="s">
        <v>526</v>
      </c>
      <c r="AB7" s="145" t="s">
        <v>527</v>
      </c>
      <c r="AC7" s="145" t="s">
        <v>517</v>
      </c>
      <c r="AD7" s="145" t="s">
        <v>511</v>
      </c>
      <c r="AE7" s="145" t="s">
        <v>504</v>
      </c>
      <c r="AF7" s="145" t="s">
        <v>338</v>
      </c>
    </row>
    <row r="8" spans="1:32">
      <c r="A8" s="145" t="s">
        <v>528</v>
      </c>
      <c r="B8" s="145" t="s">
        <v>497</v>
      </c>
      <c r="C8" s="145" t="s">
        <v>498</v>
      </c>
      <c r="D8" s="145" t="s">
        <v>499</v>
      </c>
      <c r="E8" s="145" t="s">
        <v>500</v>
      </c>
      <c r="F8" s="145" t="s">
        <v>501</v>
      </c>
      <c r="G8" s="145" t="s">
        <v>529</v>
      </c>
      <c r="H8" s="145">
        <v>50</v>
      </c>
      <c r="I8" s="145" t="s">
        <v>338</v>
      </c>
      <c r="J8" s="146">
        <v>3651</v>
      </c>
      <c r="K8" s="145">
        <v>73</v>
      </c>
      <c r="L8" s="145" t="s">
        <v>502</v>
      </c>
      <c r="M8" s="145">
        <v>73</v>
      </c>
      <c r="N8" s="145" t="s">
        <v>503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505</v>
      </c>
      <c r="U8" s="145" t="s">
        <v>338</v>
      </c>
      <c r="V8" s="145" t="s">
        <v>505</v>
      </c>
      <c r="W8" s="145" t="s">
        <v>506</v>
      </c>
      <c r="X8" s="145" t="s">
        <v>530</v>
      </c>
      <c r="Y8" s="145" t="s">
        <v>338</v>
      </c>
      <c r="Z8" s="145" t="s">
        <v>507</v>
      </c>
      <c r="AA8" s="145" t="s">
        <v>531</v>
      </c>
      <c r="AB8" s="145" t="s">
        <v>532</v>
      </c>
      <c r="AC8" s="145" t="s">
        <v>533</v>
      </c>
      <c r="AD8" s="145" t="s">
        <v>518</v>
      </c>
      <c r="AE8" s="145" t="s">
        <v>504</v>
      </c>
      <c r="AF8" s="145" t="s">
        <v>338</v>
      </c>
    </row>
    <row r="9" spans="1:32">
      <c r="A9" s="145" t="s">
        <v>534</v>
      </c>
      <c r="B9" s="145" t="s">
        <v>497</v>
      </c>
      <c r="C9" s="145" t="s">
        <v>498</v>
      </c>
      <c r="D9" s="145" t="s">
        <v>499</v>
      </c>
      <c r="E9" s="145" t="s">
        <v>500</v>
      </c>
      <c r="F9" s="145" t="s">
        <v>501</v>
      </c>
      <c r="G9" s="145" t="s">
        <v>127</v>
      </c>
      <c r="H9" s="145">
        <v>26</v>
      </c>
      <c r="I9" s="145" t="s">
        <v>338</v>
      </c>
      <c r="J9" s="146">
        <v>3487.3333333333335</v>
      </c>
      <c r="K9" s="145">
        <v>54</v>
      </c>
      <c r="L9" s="145" t="s">
        <v>502</v>
      </c>
      <c r="M9" s="145">
        <v>54</v>
      </c>
      <c r="N9" s="145" t="s">
        <v>503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505</v>
      </c>
      <c r="U9" s="145" t="s">
        <v>338</v>
      </c>
      <c r="V9" s="145" t="s">
        <v>505</v>
      </c>
      <c r="W9" s="145" t="s">
        <v>506</v>
      </c>
      <c r="X9" s="145" t="s">
        <v>514</v>
      </c>
      <c r="Y9" s="145" t="s">
        <v>354</v>
      </c>
      <c r="Z9" s="145" t="s">
        <v>507</v>
      </c>
      <c r="AA9" s="145" t="s">
        <v>535</v>
      </c>
      <c r="AB9" s="145" t="s">
        <v>536</v>
      </c>
      <c r="AC9" s="145" t="s">
        <v>517</v>
      </c>
      <c r="AD9" s="145" t="s">
        <v>518</v>
      </c>
      <c r="AE9" s="145" t="s">
        <v>504</v>
      </c>
      <c r="AF9" s="145" t="s">
        <v>338</v>
      </c>
    </row>
    <row r="10" spans="1:32">
      <c r="A10" s="145" t="s">
        <v>537</v>
      </c>
      <c r="B10" s="145" t="s">
        <v>497</v>
      </c>
      <c r="C10" s="145" t="s">
        <v>498</v>
      </c>
      <c r="D10" s="145" t="s">
        <v>499</v>
      </c>
      <c r="E10" s="145" t="s">
        <v>500</v>
      </c>
      <c r="F10" s="145" t="s">
        <v>501</v>
      </c>
      <c r="G10" s="145" t="s">
        <v>202</v>
      </c>
      <c r="H10" s="145">
        <v>17</v>
      </c>
      <c r="I10" s="145" t="s">
        <v>338</v>
      </c>
      <c r="J10" s="146">
        <v>6357</v>
      </c>
      <c r="K10" s="145">
        <v>81</v>
      </c>
      <c r="L10" s="145" t="s">
        <v>502</v>
      </c>
      <c r="M10" s="145">
        <v>81</v>
      </c>
      <c r="N10" s="145" t="s">
        <v>503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504</v>
      </c>
      <c r="U10" s="145">
        <v>21</v>
      </c>
      <c r="V10" s="145" t="s">
        <v>504</v>
      </c>
      <c r="W10" s="145" t="s">
        <v>513</v>
      </c>
      <c r="X10" s="145" t="s">
        <v>514</v>
      </c>
      <c r="Y10" s="145" t="s">
        <v>342</v>
      </c>
      <c r="Z10" s="145" t="s">
        <v>507</v>
      </c>
      <c r="AA10" s="145" t="s">
        <v>538</v>
      </c>
      <c r="AB10" s="145" t="s">
        <v>532</v>
      </c>
      <c r="AC10" s="145" t="s">
        <v>533</v>
      </c>
      <c r="AD10" s="145" t="s">
        <v>518</v>
      </c>
      <c r="AE10" s="145" t="s">
        <v>505</v>
      </c>
      <c r="AF10" s="145" t="s">
        <v>338</v>
      </c>
    </row>
    <row r="11" spans="1:32">
      <c r="A11" s="145" t="s">
        <v>539</v>
      </c>
      <c r="B11" s="145" t="s">
        <v>497</v>
      </c>
      <c r="C11" s="145" t="s">
        <v>498</v>
      </c>
      <c r="D11" s="145" t="s">
        <v>499</v>
      </c>
      <c r="E11" s="145" t="s">
        <v>500</v>
      </c>
      <c r="F11" s="145" t="s">
        <v>501</v>
      </c>
      <c r="G11" s="145" t="s">
        <v>123</v>
      </c>
      <c r="H11" s="145">
        <v>30</v>
      </c>
      <c r="I11" s="145" t="s">
        <v>338</v>
      </c>
      <c r="J11" s="146">
        <v>2752.6666666666665</v>
      </c>
      <c r="K11" s="145">
        <v>33</v>
      </c>
      <c r="L11" s="145" t="s">
        <v>502</v>
      </c>
      <c r="M11" s="145">
        <v>33</v>
      </c>
      <c r="N11" s="145" t="s">
        <v>503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504</v>
      </c>
      <c r="U11" s="145">
        <v>26</v>
      </c>
      <c r="V11" s="145" t="s">
        <v>504</v>
      </c>
      <c r="W11" s="145" t="s">
        <v>506</v>
      </c>
      <c r="X11" s="145" t="s">
        <v>540</v>
      </c>
      <c r="Y11" s="145" t="s">
        <v>342</v>
      </c>
      <c r="Z11" s="145" t="s">
        <v>507</v>
      </c>
      <c r="AA11" s="145" t="s">
        <v>541</v>
      </c>
      <c r="AB11" s="145" t="s">
        <v>509</v>
      </c>
      <c r="AC11" s="145" t="s">
        <v>510</v>
      </c>
      <c r="AD11" s="145" t="s">
        <v>511</v>
      </c>
      <c r="AE11" s="145" t="s">
        <v>504</v>
      </c>
      <c r="AF11" s="145" t="s">
        <v>338</v>
      </c>
    </row>
    <row r="12" spans="1:32">
      <c r="A12" s="145" t="s">
        <v>542</v>
      </c>
      <c r="B12" s="145" t="s">
        <v>497</v>
      </c>
      <c r="C12" s="145" t="s">
        <v>498</v>
      </c>
      <c r="D12" s="145" t="s">
        <v>499</v>
      </c>
      <c r="E12" s="145" t="s">
        <v>500</v>
      </c>
      <c r="F12" s="145" t="s">
        <v>501</v>
      </c>
      <c r="G12" s="145" t="s">
        <v>529</v>
      </c>
      <c r="H12" s="145">
        <v>50</v>
      </c>
      <c r="I12" s="145" t="s">
        <v>338</v>
      </c>
      <c r="J12" s="146">
        <v>2708.7833333333333</v>
      </c>
      <c r="K12" s="145">
        <v>36</v>
      </c>
      <c r="L12" s="145" t="s">
        <v>502</v>
      </c>
      <c r="M12" s="145">
        <v>36</v>
      </c>
      <c r="N12" s="145" t="s">
        <v>503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504</v>
      </c>
      <c r="U12" s="145">
        <v>4</v>
      </c>
      <c r="V12" s="145" t="s">
        <v>504</v>
      </c>
      <c r="W12" s="145" t="s">
        <v>506</v>
      </c>
      <c r="X12" s="145" t="s">
        <v>514</v>
      </c>
      <c r="Y12" s="145" t="s">
        <v>342</v>
      </c>
      <c r="Z12" s="145" t="s">
        <v>507</v>
      </c>
      <c r="AA12" s="145" t="s">
        <v>543</v>
      </c>
      <c r="AB12" s="145" t="s">
        <v>516</v>
      </c>
      <c r="AC12" s="145" t="s">
        <v>517</v>
      </c>
      <c r="AD12" s="145" t="s">
        <v>518</v>
      </c>
      <c r="AE12" s="145" t="s">
        <v>504</v>
      </c>
      <c r="AF12" s="145" t="s">
        <v>338</v>
      </c>
    </row>
    <row r="13" spans="1:32">
      <c r="A13" s="145" t="s">
        <v>544</v>
      </c>
      <c r="B13" s="145" t="s">
        <v>497</v>
      </c>
      <c r="C13" s="145" t="s">
        <v>498</v>
      </c>
      <c r="D13" s="145" t="s">
        <v>499</v>
      </c>
      <c r="E13" s="145" t="s">
        <v>500</v>
      </c>
      <c r="F13" s="145" t="s">
        <v>501</v>
      </c>
      <c r="G13" s="145" t="s">
        <v>126</v>
      </c>
      <c r="H13" s="145">
        <v>27</v>
      </c>
      <c r="I13" s="145" t="s">
        <v>338</v>
      </c>
      <c r="J13" s="146">
        <v>3075</v>
      </c>
      <c r="K13" s="145">
        <v>38</v>
      </c>
      <c r="L13" s="145" t="s">
        <v>502</v>
      </c>
      <c r="M13" s="145">
        <v>38</v>
      </c>
      <c r="N13" s="145" t="s">
        <v>503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504</v>
      </c>
      <c r="U13" s="145" t="s">
        <v>338</v>
      </c>
      <c r="V13" s="145" t="s">
        <v>505</v>
      </c>
      <c r="W13" s="145" t="s">
        <v>506</v>
      </c>
      <c r="X13" s="145" t="s">
        <v>514</v>
      </c>
      <c r="Y13" s="145" t="s">
        <v>342</v>
      </c>
      <c r="Z13" s="145" t="s">
        <v>507</v>
      </c>
      <c r="AA13" s="145" t="s">
        <v>545</v>
      </c>
      <c r="AB13" s="145" t="s">
        <v>546</v>
      </c>
      <c r="AC13" s="145" t="s">
        <v>533</v>
      </c>
      <c r="AD13" s="145" t="s">
        <v>523</v>
      </c>
      <c r="AE13" s="145" t="s">
        <v>504</v>
      </c>
      <c r="AF13" s="145" t="s">
        <v>338</v>
      </c>
    </row>
    <row r="14" spans="1:32">
      <c r="A14" s="145" t="s">
        <v>547</v>
      </c>
      <c r="B14" s="145" t="s">
        <v>497</v>
      </c>
      <c r="C14" s="145" t="s">
        <v>498</v>
      </c>
      <c r="D14" s="145" t="s">
        <v>499</v>
      </c>
      <c r="E14" s="145" t="s">
        <v>500</v>
      </c>
      <c r="F14" s="145" t="s">
        <v>501</v>
      </c>
      <c r="G14" s="145" t="s">
        <v>548</v>
      </c>
      <c r="H14" s="145">
        <v>34</v>
      </c>
      <c r="I14" s="145" t="s">
        <v>338</v>
      </c>
      <c r="J14" s="146">
        <v>2881.6666666666665</v>
      </c>
      <c r="K14" s="145">
        <v>61</v>
      </c>
      <c r="L14" s="145" t="s">
        <v>502</v>
      </c>
      <c r="M14" s="145">
        <v>61</v>
      </c>
      <c r="N14" s="145" t="s">
        <v>503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505</v>
      </c>
      <c r="U14" s="145" t="s">
        <v>338</v>
      </c>
      <c r="V14" s="145" t="s">
        <v>504</v>
      </c>
      <c r="W14" s="145" t="s">
        <v>513</v>
      </c>
      <c r="X14" s="145" t="s">
        <v>540</v>
      </c>
      <c r="Y14" s="145" t="s">
        <v>342</v>
      </c>
      <c r="Z14" s="145" t="s">
        <v>507</v>
      </c>
      <c r="AA14" s="145" t="s">
        <v>549</v>
      </c>
      <c r="AB14" s="145" t="s">
        <v>550</v>
      </c>
      <c r="AC14" s="145" t="s">
        <v>510</v>
      </c>
      <c r="AD14" s="145" t="s">
        <v>523</v>
      </c>
      <c r="AE14" s="145" t="s">
        <v>505</v>
      </c>
      <c r="AF14" s="145" t="s">
        <v>338</v>
      </c>
    </row>
    <row r="15" spans="1:32">
      <c r="A15" s="145" t="s">
        <v>551</v>
      </c>
      <c r="B15" s="145" t="s">
        <v>497</v>
      </c>
      <c r="C15" s="145" t="s">
        <v>498</v>
      </c>
      <c r="D15" s="145" t="s">
        <v>499</v>
      </c>
      <c r="E15" s="145" t="s">
        <v>500</v>
      </c>
      <c r="F15" s="145" t="s">
        <v>501</v>
      </c>
      <c r="G15" s="145" t="s">
        <v>125</v>
      </c>
      <c r="H15" s="145">
        <v>28</v>
      </c>
      <c r="I15" s="145" t="s">
        <v>338</v>
      </c>
      <c r="J15" s="146">
        <v>2432.8733333333334</v>
      </c>
      <c r="K15" s="145">
        <v>27</v>
      </c>
      <c r="L15" s="145" t="s">
        <v>502</v>
      </c>
      <c r="M15" s="145">
        <v>27</v>
      </c>
      <c r="N15" s="145" t="s">
        <v>503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504</v>
      </c>
      <c r="U15" s="145">
        <v>36</v>
      </c>
      <c r="V15" s="145" t="s">
        <v>505</v>
      </c>
      <c r="W15" s="145" t="s">
        <v>506</v>
      </c>
      <c r="X15" s="145" t="s">
        <v>514</v>
      </c>
      <c r="Y15" s="145" t="s">
        <v>338</v>
      </c>
      <c r="Z15" s="145" t="s">
        <v>507</v>
      </c>
      <c r="AA15" s="145" t="s">
        <v>541</v>
      </c>
      <c r="AB15" s="145" t="s">
        <v>509</v>
      </c>
      <c r="AC15" s="145" t="s">
        <v>510</v>
      </c>
      <c r="AD15" s="145" t="s">
        <v>511</v>
      </c>
      <c r="AE15" s="145" t="s">
        <v>504</v>
      </c>
      <c r="AF15" s="145" t="s">
        <v>338</v>
      </c>
    </row>
    <row r="16" spans="1:32">
      <c r="A16" s="145" t="s">
        <v>552</v>
      </c>
      <c r="B16" s="145" t="s">
        <v>497</v>
      </c>
      <c r="C16" s="145" t="s">
        <v>498</v>
      </c>
      <c r="D16" s="145" t="s">
        <v>499</v>
      </c>
      <c r="E16" s="145" t="s">
        <v>500</v>
      </c>
      <c r="F16" s="145" t="s">
        <v>501</v>
      </c>
      <c r="G16" s="145" t="s">
        <v>128</v>
      </c>
      <c r="H16" s="145">
        <v>25</v>
      </c>
      <c r="I16" s="145" t="s">
        <v>338</v>
      </c>
      <c r="J16" s="146">
        <v>2035.6666666666667</v>
      </c>
      <c r="K16" s="145">
        <v>21</v>
      </c>
      <c r="L16" s="145" t="s">
        <v>502</v>
      </c>
      <c r="M16" s="145">
        <v>21</v>
      </c>
      <c r="N16" s="145" t="s">
        <v>503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505</v>
      </c>
      <c r="U16" s="145" t="s">
        <v>338</v>
      </c>
      <c r="V16" s="145" t="s">
        <v>505</v>
      </c>
      <c r="W16" s="145" t="s">
        <v>506</v>
      </c>
      <c r="X16" s="145" t="s">
        <v>540</v>
      </c>
      <c r="Y16" s="145" t="s">
        <v>338</v>
      </c>
      <c r="Z16" s="145" t="s">
        <v>507</v>
      </c>
      <c r="AA16" s="145" t="s">
        <v>553</v>
      </c>
      <c r="AB16" s="145" t="s">
        <v>536</v>
      </c>
      <c r="AC16" s="145" t="s">
        <v>517</v>
      </c>
      <c r="AD16" s="145" t="s">
        <v>518</v>
      </c>
      <c r="AE16" s="145" t="s">
        <v>504</v>
      </c>
      <c r="AF16" s="145" t="s">
        <v>338</v>
      </c>
    </row>
    <row r="17" spans="1:32">
      <c r="A17" s="145" t="s">
        <v>554</v>
      </c>
      <c r="B17" s="145" t="s">
        <v>497</v>
      </c>
      <c r="C17" s="145" t="s">
        <v>498</v>
      </c>
      <c r="D17" s="145" t="s">
        <v>499</v>
      </c>
      <c r="E17" s="145" t="s">
        <v>500</v>
      </c>
      <c r="F17" s="145" t="s">
        <v>501</v>
      </c>
      <c r="G17" s="145" t="s">
        <v>122</v>
      </c>
      <c r="H17" s="145">
        <v>31</v>
      </c>
      <c r="I17" s="145" t="s">
        <v>338</v>
      </c>
      <c r="J17" s="146">
        <v>2285</v>
      </c>
      <c r="K17" s="145">
        <v>25</v>
      </c>
      <c r="L17" s="145" t="s">
        <v>555</v>
      </c>
      <c r="M17" s="145" t="s">
        <v>338</v>
      </c>
      <c r="N17" s="145" t="s">
        <v>338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505</v>
      </c>
      <c r="U17" s="145" t="s">
        <v>338</v>
      </c>
      <c r="V17" s="145" t="s">
        <v>504</v>
      </c>
      <c r="W17" s="145" t="s">
        <v>506</v>
      </c>
      <c r="X17" s="145" t="s">
        <v>525</v>
      </c>
      <c r="Y17" s="145" t="s">
        <v>354</v>
      </c>
      <c r="Z17" s="145" t="s">
        <v>507</v>
      </c>
      <c r="AA17" s="145" t="s">
        <v>556</v>
      </c>
      <c r="AB17" s="145" t="s">
        <v>557</v>
      </c>
      <c r="AC17" s="145" t="s">
        <v>510</v>
      </c>
      <c r="AD17" s="145" t="s">
        <v>558</v>
      </c>
      <c r="AE17" s="145" t="s">
        <v>504</v>
      </c>
      <c r="AF17" s="145" t="s">
        <v>338</v>
      </c>
    </row>
    <row r="18" spans="1:32">
      <c r="A18" s="145" t="s">
        <v>559</v>
      </c>
      <c r="B18" s="145" t="s">
        <v>497</v>
      </c>
      <c r="C18" s="145" t="s">
        <v>498</v>
      </c>
      <c r="D18" s="145" t="s">
        <v>499</v>
      </c>
      <c r="E18" s="145" t="s">
        <v>500</v>
      </c>
      <c r="F18" s="145" t="s">
        <v>501</v>
      </c>
      <c r="G18" s="145" t="s">
        <v>204</v>
      </c>
      <c r="H18" s="145">
        <v>15</v>
      </c>
      <c r="I18" s="145" t="s">
        <v>338</v>
      </c>
      <c r="J18" s="146">
        <v>2644.6666666666665</v>
      </c>
      <c r="K18" s="145">
        <v>60</v>
      </c>
      <c r="L18" s="145" t="s">
        <v>502</v>
      </c>
      <c r="M18" s="145">
        <v>60</v>
      </c>
      <c r="N18" s="145" t="s">
        <v>503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505</v>
      </c>
      <c r="U18" s="145" t="s">
        <v>338</v>
      </c>
      <c r="V18" s="145" t="s">
        <v>504</v>
      </c>
      <c r="W18" s="145" t="s">
        <v>506</v>
      </c>
      <c r="X18" s="145" t="s">
        <v>540</v>
      </c>
      <c r="Y18" s="145" t="s">
        <v>342</v>
      </c>
      <c r="Z18" s="145" t="s">
        <v>507</v>
      </c>
      <c r="AA18" s="145" t="s">
        <v>560</v>
      </c>
      <c r="AB18" s="145" t="s">
        <v>557</v>
      </c>
      <c r="AC18" s="145" t="s">
        <v>510</v>
      </c>
      <c r="AD18" s="145" t="s">
        <v>558</v>
      </c>
      <c r="AE18" s="145" t="s">
        <v>504</v>
      </c>
      <c r="AF18" s="145" t="s">
        <v>338</v>
      </c>
    </row>
    <row r="19" spans="1:32">
      <c r="A19" s="145" t="s">
        <v>561</v>
      </c>
      <c r="B19" s="145" t="s">
        <v>562</v>
      </c>
      <c r="C19" s="145" t="s">
        <v>498</v>
      </c>
      <c r="D19" s="145" t="s">
        <v>499</v>
      </c>
      <c r="E19" s="145" t="s">
        <v>500</v>
      </c>
      <c r="F19" s="145" t="s">
        <v>501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563</v>
      </c>
      <c r="M19" s="145">
        <v>78</v>
      </c>
      <c r="N19" s="145" t="s">
        <v>564</v>
      </c>
      <c r="O19" s="146">
        <v>26019.5</v>
      </c>
      <c r="P19" s="145" t="s">
        <v>338</v>
      </c>
      <c r="Q19" s="146">
        <v>14379.5</v>
      </c>
      <c r="R19" s="146">
        <v>11640</v>
      </c>
      <c r="S19" s="147">
        <v>29.702625570776252</v>
      </c>
      <c r="T19" s="145" t="s">
        <v>505</v>
      </c>
      <c r="U19" s="145" t="s">
        <v>338</v>
      </c>
      <c r="V19" s="145" t="s">
        <v>505</v>
      </c>
      <c r="W19" s="145" t="s">
        <v>513</v>
      </c>
      <c r="X19" s="145" t="s">
        <v>338</v>
      </c>
      <c r="Y19" s="145" t="s">
        <v>338</v>
      </c>
      <c r="Z19" s="145" t="s">
        <v>507</v>
      </c>
      <c r="AA19" s="145" t="s">
        <v>565</v>
      </c>
      <c r="AB19" s="145" t="s">
        <v>546</v>
      </c>
      <c r="AC19" s="145" t="s">
        <v>566</v>
      </c>
      <c r="AD19" s="145" t="s">
        <v>523</v>
      </c>
      <c r="AE19" s="145" t="s">
        <v>505</v>
      </c>
      <c r="AF19" s="145" t="s">
        <v>504</v>
      </c>
    </row>
    <row r="20" spans="1:32">
      <c r="A20" s="145" t="s">
        <v>567</v>
      </c>
      <c r="B20" s="145" t="s">
        <v>497</v>
      </c>
      <c r="C20" s="145" t="s">
        <v>498</v>
      </c>
      <c r="D20" s="145" t="s">
        <v>499</v>
      </c>
      <c r="E20" s="145" t="s">
        <v>500</v>
      </c>
      <c r="F20" s="145" t="s">
        <v>501</v>
      </c>
      <c r="G20" s="145" t="s">
        <v>206</v>
      </c>
      <c r="H20" s="145">
        <v>13</v>
      </c>
      <c r="I20" s="145" t="s">
        <v>338</v>
      </c>
      <c r="J20" s="146">
        <v>2335.6666666666665</v>
      </c>
      <c r="K20" s="145">
        <v>42</v>
      </c>
      <c r="L20" s="145" t="s">
        <v>502</v>
      </c>
      <c r="M20" s="145">
        <v>42</v>
      </c>
      <c r="N20" s="145" t="s">
        <v>503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505</v>
      </c>
      <c r="U20" s="145" t="s">
        <v>338</v>
      </c>
      <c r="V20" s="145" t="s">
        <v>505</v>
      </c>
      <c r="W20" s="145" t="s">
        <v>514</v>
      </c>
      <c r="X20" s="145" t="s">
        <v>514</v>
      </c>
      <c r="Y20" s="145" t="s">
        <v>338</v>
      </c>
      <c r="Z20" s="145" t="s">
        <v>507</v>
      </c>
      <c r="AA20" s="145" t="s">
        <v>568</v>
      </c>
      <c r="AB20" s="145" t="s">
        <v>557</v>
      </c>
      <c r="AC20" s="145" t="s">
        <v>510</v>
      </c>
      <c r="AD20" s="145" t="s">
        <v>558</v>
      </c>
      <c r="AE20" s="145" t="s">
        <v>505</v>
      </c>
      <c r="AF20" s="145" t="s">
        <v>338</v>
      </c>
    </row>
    <row r="21" spans="1:32">
      <c r="A21" s="145" t="s">
        <v>569</v>
      </c>
      <c r="B21" s="145" t="s">
        <v>497</v>
      </c>
      <c r="C21" s="145" t="s">
        <v>498</v>
      </c>
      <c r="D21" s="145" t="s">
        <v>499</v>
      </c>
      <c r="E21" s="145" t="s">
        <v>500</v>
      </c>
      <c r="F21" s="145" t="s">
        <v>501</v>
      </c>
      <c r="G21" s="145" t="s">
        <v>570</v>
      </c>
      <c r="H21" s="145">
        <v>33</v>
      </c>
      <c r="I21" s="145" t="s">
        <v>338</v>
      </c>
      <c r="J21" s="146">
        <v>3262.6666666666665</v>
      </c>
      <c r="K21" s="145">
        <v>47</v>
      </c>
      <c r="L21" s="145" t="s">
        <v>502</v>
      </c>
      <c r="M21" s="145">
        <v>47</v>
      </c>
      <c r="N21" s="145" t="s">
        <v>503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505</v>
      </c>
      <c r="U21" s="145" t="s">
        <v>338</v>
      </c>
      <c r="V21" s="145" t="s">
        <v>505</v>
      </c>
      <c r="W21" s="145" t="s">
        <v>506</v>
      </c>
      <c r="X21" s="145" t="s">
        <v>530</v>
      </c>
      <c r="Y21" s="145" t="s">
        <v>338</v>
      </c>
      <c r="Z21" s="145" t="s">
        <v>507</v>
      </c>
      <c r="AA21" s="145" t="s">
        <v>545</v>
      </c>
      <c r="AB21" s="145" t="s">
        <v>546</v>
      </c>
      <c r="AC21" s="145" t="s">
        <v>533</v>
      </c>
      <c r="AD21" s="145" t="s">
        <v>523</v>
      </c>
      <c r="AE21" s="145" t="s">
        <v>504</v>
      </c>
      <c r="AF21" s="145" t="s">
        <v>338</v>
      </c>
    </row>
    <row r="22" spans="1:32">
      <c r="A22" s="145" t="s">
        <v>571</v>
      </c>
      <c r="B22" s="145" t="s">
        <v>497</v>
      </c>
      <c r="C22" s="145" t="s">
        <v>498</v>
      </c>
      <c r="D22" s="145" t="s">
        <v>499</v>
      </c>
      <c r="E22" s="145" t="s">
        <v>500</v>
      </c>
      <c r="F22" s="145" t="s">
        <v>501</v>
      </c>
      <c r="G22" s="145" t="s">
        <v>572</v>
      </c>
      <c r="H22" s="145">
        <v>42</v>
      </c>
      <c r="I22" s="145" t="s">
        <v>338</v>
      </c>
      <c r="J22" s="146">
        <v>2095.6666666666665</v>
      </c>
      <c r="K22" s="145">
        <v>26</v>
      </c>
      <c r="L22" s="145" t="s">
        <v>502</v>
      </c>
      <c r="M22" s="145">
        <v>26</v>
      </c>
      <c r="N22" s="145" t="s">
        <v>503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505</v>
      </c>
      <c r="U22" s="145" t="s">
        <v>338</v>
      </c>
      <c r="V22" s="145" t="s">
        <v>505</v>
      </c>
      <c r="W22" s="145" t="s">
        <v>513</v>
      </c>
      <c r="X22" s="145" t="s">
        <v>573</v>
      </c>
      <c r="Y22" s="145" t="s">
        <v>342</v>
      </c>
      <c r="Z22" s="145" t="s">
        <v>507</v>
      </c>
      <c r="AA22" s="145" t="s">
        <v>574</v>
      </c>
      <c r="AB22" s="145" t="s">
        <v>516</v>
      </c>
      <c r="AC22" s="145" t="s">
        <v>517</v>
      </c>
      <c r="AD22" s="145" t="s">
        <v>518</v>
      </c>
      <c r="AE22" s="145" t="s">
        <v>505</v>
      </c>
      <c r="AF22" s="145" t="s">
        <v>338</v>
      </c>
    </row>
    <row r="23" spans="1:32">
      <c r="A23" s="145" t="s">
        <v>575</v>
      </c>
      <c r="B23" s="145" t="s">
        <v>497</v>
      </c>
      <c r="C23" s="145" t="s">
        <v>498</v>
      </c>
      <c r="D23" s="145" t="s">
        <v>499</v>
      </c>
      <c r="E23" s="145" t="s">
        <v>500</v>
      </c>
      <c r="F23" s="145" t="s">
        <v>501</v>
      </c>
      <c r="G23" s="145" t="s">
        <v>200</v>
      </c>
      <c r="H23" s="145">
        <v>19</v>
      </c>
      <c r="I23" s="145" t="s">
        <v>338</v>
      </c>
      <c r="J23" s="146">
        <v>1808.3333333333333</v>
      </c>
      <c r="K23" s="145">
        <v>26</v>
      </c>
      <c r="L23" s="145" t="s">
        <v>502</v>
      </c>
      <c r="M23" s="145">
        <v>26</v>
      </c>
      <c r="N23" s="145" t="s">
        <v>503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504</v>
      </c>
      <c r="U23" s="145" t="s">
        <v>338</v>
      </c>
      <c r="V23" s="145" t="s">
        <v>504</v>
      </c>
      <c r="W23" s="145" t="s">
        <v>506</v>
      </c>
      <c r="X23" s="145" t="s">
        <v>530</v>
      </c>
      <c r="Y23" s="145" t="s">
        <v>342</v>
      </c>
      <c r="Z23" s="145" t="s">
        <v>507</v>
      </c>
      <c r="AA23" s="145" t="s">
        <v>576</v>
      </c>
      <c r="AB23" s="145" t="s">
        <v>550</v>
      </c>
      <c r="AC23" s="145" t="s">
        <v>510</v>
      </c>
      <c r="AD23" s="145" t="s">
        <v>523</v>
      </c>
      <c r="AE23" s="145" t="s">
        <v>504</v>
      </c>
      <c r="AF23" s="145" t="s">
        <v>338</v>
      </c>
    </row>
    <row r="24" spans="1:32">
      <c r="A24" s="145" t="s">
        <v>577</v>
      </c>
      <c r="B24" s="145" t="s">
        <v>497</v>
      </c>
      <c r="C24" s="145" t="s">
        <v>498</v>
      </c>
      <c r="D24" s="145" t="s">
        <v>499</v>
      </c>
      <c r="E24" s="145" t="s">
        <v>500</v>
      </c>
      <c r="F24" s="145" t="s">
        <v>501</v>
      </c>
      <c r="G24" s="145" t="s">
        <v>570</v>
      </c>
      <c r="H24" s="145">
        <v>33</v>
      </c>
      <c r="I24" s="145" t="s">
        <v>338</v>
      </c>
      <c r="J24" s="146">
        <v>1933.3333333333333</v>
      </c>
      <c r="K24" s="145">
        <v>34</v>
      </c>
      <c r="L24" s="145" t="s">
        <v>502</v>
      </c>
      <c r="M24" s="145">
        <v>34</v>
      </c>
      <c r="N24" s="145" t="s">
        <v>503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505</v>
      </c>
      <c r="U24" s="145" t="s">
        <v>338</v>
      </c>
      <c r="V24" s="145" t="s">
        <v>505</v>
      </c>
      <c r="W24" s="145" t="s">
        <v>506</v>
      </c>
      <c r="X24" s="145" t="s">
        <v>514</v>
      </c>
      <c r="Y24" s="145" t="s">
        <v>338</v>
      </c>
      <c r="Z24" s="145" t="s">
        <v>507</v>
      </c>
      <c r="AA24" s="145" t="s">
        <v>574</v>
      </c>
      <c r="AB24" s="145" t="s">
        <v>516</v>
      </c>
      <c r="AC24" s="145" t="s">
        <v>517</v>
      </c>
      <c r="AD24" s="145" t="s">
        <v>518</v>
      </c>
      <c r="AE24" s="145" t="s">
        <v>504</v>
      </c>
      <c r="AF24" s="145" t="s">
        <v>338</v>
      </c>
    </row>
    <row r="25" spans="1:32">
      <c r="A25" s="145" t="s">
        <v>578</v>
      </c>
      <c r="B25" s="145" t="s">
        <v>497</v>
      </c>
      <c r="C25" s="145" t="s">
        <v>498</v>
      </c>
      <c r="D25" s="145" t="s">
        <v>499</v>
      </c>
      <c r="E25" s="145" t="s">
        <v>500</v>
      </c>
      <c r="F25" s="145" t="s">
        <v>501</v>
      </c>
      <c r="G25" s="145" t="s">
        <v>572</v>
      </c>
      <c r="H25" s="145">
        <v>42</v>
      </c>
      <c r="I25" s="145" t="s">
        <v>338</v>
      </c>
      <c r="J25" s="146">
        <v>1973.3333333333333</v>
      </c>
      <c r="K25" s="145">
        <v>28</v>
      </c>
      <c r="L25" s="145" t="s">
        <v>555</v>
      </c>
      <c r="M25" s="145">
        <v>28</v>
      </c>
      <c r="N25" s="145" t="s">
        <v>579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505</v>
      </c>
      <c r="U25" s="145" t="s">
        <v>338</v>
      </c>
      <c r="V25" s="145" t="s">
        <v>505</v>
      </c>
      <c r="W25" s="145" t="s">
        <v>506</v>
      </c>
      <c r="X25" s="145" t="s">
        <v>514</v>
      </c>
      <c r="Y25" s="145" t="s">
        <v>342</v>
      </c>
      <c r="Z25" s="145" t="s">
        <v>507</v>
      </c>
      <c r="AA25" s="145" t="s">
        <v>580</v>
      </c>
      <c r="AB25" s="145" t="s">
        <v>581</v>
      </c>
      <c r="AC25" s="145" t="s">
        <v>510</v>
      </c>
      <c r="AD25" s="145" t="s">
        <v>523</v>
      </c>
      <c r="AE25" s="145" t="s">
        <v>504</v>
      </c>
      <c r="AF25" s="145" t="s">
        <v>338</v>
      </c>
    </row>
    <row r="26" spans="1:32">
      <c r="A26" s="145" t="s">
        <v>582</v>
      </c>
      <c r="B26" s="145" t="s">
        <v>497</v>
      </c>
      <c r="C26" s="145" t="s">
        <v>498</v>
      </c>
      <c r="D26" s="145" t="s">
        <v>499</v>
      </c>
      <c r="E26" s="145" t="s">
        <v>500</v>
      </c>
      <c r="F26" s="145" t="s">
        <v>501</v>
      </c>
      <c r="G26" s="145" t="s">
        <v>583</v>
      </c>
      <c r="H26" s="145">
        <v>37</v>
      </c>
      <c r="I26" s="145" t="s">
        <v>338</v>
      </c>
      <c r="J26" s="146">
        <v>2051</v>
      </c>
      <c r="K26" s="145">
        <v>24</v>
      </c>
      <c r="L26" s="145" t="s">
        <v>502</v>
      </c>
      <c r="M26" s="145">
        <v>24</v>
      </c>
      <c r="N26" s="145" t="s">
        <v>503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505</v>
      </c>
      <c r="U26" s="145" t="s">
        <v>338</v>
      </c>
      <c r="V26" s="145" t="s">
        <v>504</v>
      </c>
      <c r="W26" s="145" t="s">
        <v>513</v>
      </c>
      <c r="X26" s="145" t="s">
        <v>530</v>
      </c>
      <c r="Y26" s="145" t="s">
        <v>354</v>
      </c>
      <c r="Z26" s="145" t="s">
        <v>507</v>
      </c>
      <c r="AA26" s="145" t="s">
        <v>584</v>
      </c>
      <c r="AB26" s="145" t="s">
        <v>581</v>
      </c>
      <c r="AC26" s="145" t="s">
        <v>510</v>
      </c>
      <c r="AD26" s="145" t="s">
        <v>523</v>
      </c>
      <c r="AE26" s="145" t="s">
        <v>505</v>
      </c>
      <c r="AF26" s="145" t="s">
        <v>338</v>
      </c>
    </row>
    <row r="27" spans="1:32">
      <c r="A27" s="145" t="s">
        <v>585</v>
      </c>
      <c r="B27" s="145" t="s">
        <v>497</v>
      </c>
      <c r="C27" s="145" t="s">
        <v>498</v>
      </c>
      <c r="D27" s="145" t="s">
        <v>499</v>
      </c>
      <c r="E27" s="145" t="s">
        <v>500</v>
      </c>
      <c r="F27" s="145" t="s">
        <v>501</v>
      </c>
      <c r="G27" s="145" t="s">
        <v>204</v>
      </c>
      <c r="H27" s="145">
        <v>15</v>
      </c>
      <c r="I27" s="145" t="s">
        <v>338</v>
      </c>
      <c r="J27" s="146">
        <v>2461</v>
      </c>
      <c r="K27" s="145">
        <v>30</v>
      </c>
      <c r="L27" s="145" t="s">
        <v>502</v>
      </c>
      <c r="M27" s="145">
        <v>30</v>
      </c>
      <c r="N27" s="145" t="s">
        <v>503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505</v>
      </c>
      <c r="U27" s="145" t="s">
        <v>338</v>
      </c>
      <c r="V27" s="145" t="s">
        <v>504</v>
      </c>
      <c r="W27" s="145" t="s">
        <v>506</v>
      </c>
      <c r="X27" s="145" t="s">
        <v>540</v>
      </c>
      <c r="Y27" s="145" t="s">
        <v>342</v>
      </c>
      <c r="Z27" s="145" t="s">
        <v>507</v>
      </c>
      <c r="AA27" s="145" t="s">
        <v>521</v>
      </c>
      <c r="AB27" s="145" t="s">
        <v>522</v>
      </c>
      <c r="AC27" s="145" t="s">
        <v>510</v>
      </c>
      <c r="AD27" s="145" t="s">
        <v>523</v>
      </c>
      <c r="AE27" s="145" t="s">
        <v>504</v>
      </c>
      <c r="AF27" s="145" t="s">
        <v>338</v>
      </c>
    </row>
    <row r="28" spans="1:32">
      <c r="A28" s="145" t="s">
        <v>586</v>
      </c>
      <c r="B28" s="145" t="s">
        <v>497</v>
      </c>
      <c r="C28" s="145" t="s">
        <v>498</v>
      </c>
      <c r="D28" s="145" t="s">
        <v>499</v>
      </c>
      <c r="E28" s="145" t="s">
        <v>500</v>
      </c>
      <c r="F28" s="145" t="s">
        <v>587</v>
      </c>
      <c r="G28" s="145" t="s">
        <v>588</v>
      </c>
      <c r="H28" s="145">
        <v>32</v>
      </c>
      <c r="I28" s="145" t="s">
        <v>338</v>
      </c>
      <c r="J28" s="146">
        <v>1596.3333333333333</v>
      </c>
      <c r="K28" s="145">
        <v>18</v>
      </c>
      <c r="L28" s="145" t="s">
        <v>502</v>
      </c>
      <c r="M28" s="145">
        <v>18</v>
      </c>
      <c r="N28" s="145" t="s">
        <v>503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504</v>
      </c>
      <c r="U28" s="145" t="s">
        <v>338</v>
      </c>
      <c r="V28" s="145" t="s">
        <v>505</v>
      </c>
      <c r="W28" s="145" t="s">
        <v>513</v>
      </c>
      <c r="X28" s="145" t="s">
        <v>540</v>
      </c>
      <c r="Y28" s="145" t="s">
        <v>338</v>
      </c>
      <c r="Z28" s="145" t="s">
        <v>507</v>
      </c>
      <c r="AA28" s="145" t="s">
        <v>589</v>
      </c>
      <c r="AB28" s="145" t="s">
        <v>581</v>
      </c>
      <c r="AC28" s="145" t="s">
        <v>510</v>
      </c>
      <c r="AD28" s="145" t="s">
        <v>523</v>
      </c>
      <c r="AE28" s="145" t="s">
        <v>505</v>
      </c>
      <c r="AF28" s="145" t="s">
        <v>338</v>
      </c>
    </row>
    <row r="29" spans="1:32">
      <c r="A29" s="145" t="s">
        <v>590</v>
      </c>
      <c r="B29" s="145" t="s">
        <v>497</v>
      </c>
      <c r="C29" s="145" t="s">
        <v>498</v>
      </c>
      <c r="D29" s="145" t="s">
        <v>499</v>
      </c>
      <c r="E29" s="145" t="s">
        <v>500</v>
      </c>
      <c r="F29" s="145" t="s">
        <v>501</v>
      </c>
      <c r="G29" s="145" t="s">
        <v>211</v>
      </c>
      <c r="H29" s="145">
        <v>8</v>
      </c>
      <c r="I29" s="145" t="s">
        <v>338</v>
      </c>
      <c r="J29" s="146">
        <v>2784.6666666666665</v>
      </c>
      <c r="K29" s="145">
        <v>55</v>
      </c>
      <c r="L29" s="145" t="s">
        <v>502</v>
      </c>
      <c r="M29" s="145">
        <v>55</v>
      </c>
      <c r="N29" s="145" t="s">
        <v>503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505</v>
      </c>
      <c r="U29" s="145" t="s">
        <v>338</v>
      </c>
      <c r="V29" s="145" t="s">
        <v>504</v>
      </c>
      <c r="W29" s="145" t="s">
        <v>513</v>
      </c>
      <c r="X29" s="145" t="s">
        <v>525</v>
      </c>
      <c r="Y29" s="145" t="s">
        <v>342</v>
      </c>
      <c r="Z29" s="145" t="s">
        <v>507</v>
      </c>
      <c r="AA29" s="145" t="s">
        <v>591</v>
      </c>
      <c r="AB29" s="145" t="s">
        <v>527</v>
      </c>
      <c r="AC29" s="145" t="s">
        <v>517</v>
      </c>
      <c r="AD29" s="145" t="s">
        <v>511</v>
      </c>
      <c r="AE29" s="145" t="s">
        <v>505</v>
      </c>
      <c r="AF29" s="145" t="s">
        <v>338</v>
      </c>
    </row>
    <row r="30" spans="1:32">
      <c r="A30" s="145" t="s">
        <v>592</v>
      </c>
      <c r="B30" s="145" t="s">
        <v>497</v>
      </c>
      <c r="C30" s="145" t="s">
        <v>498</v>
      </c>
      <c r="D30" s="145" t="s">
        <v>499</v>
      </c>
      <c r="E30" s="145" t="s">
        <v>500</v>
      </c>
      <c r="F30" s="145" t="s">
        <v>501</v>
      </c>
      <c r="G30" s="145" t="s">
        <v>131</v>
      </c>
      <c r="H30" s="145">
        <v>22</v>
      </c>
      <c r="I30" s="145" t="s">
        <v>338</v>
      </c>
      <c r="J30" s="146">
        <v>1826.6666666666667</v>
      </c>
      <c r="K30" s="145">
        <v>34</v>
      </c>
      <c r="L30" s="145" t="s">
        <v>502</v>
      </c>
      <c r="M30" s="145">
        <v>34</v>
      </c>
      <c r="N30" s="145" t="s">
        <v>503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504</v>
      </c>
      <c r="U30" s="145">
        <v>6</v>
      </c>
      <c r="V30" s="145" t="s">
        <v>505</v>
      </c>
      <c r="W30" s="145" t="s">
        <v>506</v>
      </c>
      <c r="X30" s="145" t="s">
        <v>530</v>
      </c>
      <c r="Y30" s="145" t="s">
        <v>338</v>
      </c>
      <c r="Z30" s="145" t="s">
        <v>507</v>
      </c>
      <c r="AA30" s="145" t="s">
        <v>545</v>
      </c>
      <c r="AB30" s="145" t="s">
        <v>546</v>
      </c>
      <c r="AC30" s="145" t="s">
        <v>533</v>
      </c>
      <c r="AD30" s="145" t="s">
        <v>523</v>
      </c>
      <c r="AE30" s="145" t="s">
        <v>504</v>
      </c>
      <c r="AF30" s="145" t="s">
        <v>338</v>
      </c>
    </row>
    <row r="31" spans="1:32">
      <c r="A31" s="145" t="s">
        <v>593</v>
      </c>
      <c r="B31" s="145" t="s">
        <v>497</v>
      </c>
      <c r="C31" s="145" t="s">
        <v>498</v>
      </c>
      <c r="D31" s="145" t="s">
        <v>499</v>
      </c>
      <c r="E31" s="145" t="s">
        <v>338</v>
      </c>
      <c r="F31" s="145" t="s">
        <v>594</v>
      </c>
      <c r="G31" s="145" t="s">
        <v>583</v>
      </c>
      <c r="H31" s="145">
        <v>37</v>
      </c>
      <c r="I31" s="145" t="s">
        <v>338</v>
      </c>
      <c r="J31" s="146">
        <v>1640</v>
      </c>
      <c r="K31" s="145">
        <v>90</v>
      </c>
      <c r="L31" s="145" t="s">
        <v>502</v>
      </c>
      <c r="M31" s="145">
        <v>90</v>
      </c>
      <c r="N31" s="145" t="s">
        <v>503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505</v>
      </c>
      <c r="U31" s="145" t="s">
        <v>338</v>
      </c>
      <c r="V31" s="145" t="s">
        <v>505</v>
      </c>
      <c r="W31" s="145" t="s">
        <v>506</v>
      </c>
      <c r="X31" s="145" t="s">
        <v>338</v>
      </c>
      <c r="Y31" s="145" t="s">
        <v>338</v>
      </c>
      <c r="Z31" s="145" t="s">
        <v>595</v>
      </c>
      <c r="AA31" s="145" t="s">
        <v>581</v>
      </c>
      <c r="AB31" s="145" t="s">
        <v>581</v>
      </c>
      <c r="AC31" s="145" t="s">
        <v>510</v>
      </c>
      <c r="AD31" s="145" t="s">
        <v>523</v>
      </c>
      <c r="AE31" s="145" t="s">
        <v>504</v>
      </c>
      <c r="AF31" s="145" t="s">
        <v>338</v>
      </c>
    </row>
    <row r="32" spans="1:32">
      <c r="A32" s="145" t="s">
        <v>596</v>
      </c>
      <c r="B32" s="145" t="s">
        <v>497</v>
      </c>
      <c r="C32" s="145" t="s">
        <v>498</v>
      </c>
      <c r="D32" s="145" t="s">
        <v>499</v>
      </c>
      <c r="E32" s="145" t="s">
        <v>500</v>
      </c>
      <c r="F32" s="145" t="s">
        <v>501</v>
      </c>
      <c r="G32" s="145" t="s">
        <v>597</v>
      </c>
      <c r="H32" s="145">
        <v>35</v>
      </c>
      <c r="I32" s="145" t="s">
        <v>338</v>
      </c>
      <c r="J32" s="146">
        <v>1825</v>
      </c>
      <c r="K32" s="145">
        <v>22</v>
      </c>
      <c r="L32" s="145" t="s">
        <v>502</v>
      </c>
      <c r="M32" s="145">
        <v>22</v>
      </c>
      <c r="N32" s="145" t="s">
        <v>503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505</v>
      </c>
      <c r="U32" s="145" t="s">
        <v>338</v>
      </c>
      <c r="V32" s="145" t="s">
        <v>505</v>
      </c>
      <c r="W32" s="145" t="s">
        <v>513</v>
      </c>
      <c r="X32" s="145" t="s">
        <v>598</v>
      </c>
      <c r="Y32" s="145" t="s">
        <v>338</v>
      </c>
      <c r="Z32" s="145" t="s">
        <v>507</v>
      </c>
      <c r="AA32" s="145" t="s">
        <v>543</v>
      </c>
      <c r="AB32" s="145" t="s">
        <v>516</v>
      </c>
      <c r="AC32" s="145" t="s">
        <v>517</v>
      </c>
      <c r="AD32" s="145" t="s">
        <v>518</v>
      </c>
      <c r="AE32" s="145" t="s">
        <v>505</v>
      </c>
      <c r="AF32" s="145" t="s">
        <v>338</v>
      </c>
    </row>
    <row r="33" spans="1:32">
      <c r="A33" s="145" t="s">
        <v>599</v>
      </c>
      <c r="B33" s="145" t="s">
        <v>497</v>
      </c>
      <c r="C33" s="145" t="s">
        <v>498</v>
      </c>
      <c r="D33" s="145" t="s">
        <v>499</v>
      </c>
      <c r="E33" s="145" t="s">
        <v>500</v>
      </c>
      <c r="F33" s="145" t="s">
        <v>501</v>
      </c>
      <c r="G33" s="145" t="s">
        <v>131</v>
      </c>
      <c r="H33" s="145">
        <v>22</v>
      </c>
      <c r="I33" s="145" t="s">
        <v>338</v>
      </c>
      <c r="J33" s="146">
        <v>2176.3333333333335</v>
      </c>
      <c r="K33" s="145">
        <v>32</v>
      </c>
      <c r="L33" s="145" t="s">
        <v>502</v>
      </c>
      <c r="M33" s="145">
        <v>32</v>
      </c>
      <c r="N33" s="145" t="s">
        <v>503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505</v>
      </c>
      <c r="U33" s="145" t="s">
        <v>338</v>
      </c>
      <c r="V33" s="145" t="s">
        <v>504</v>
      </c>
      <c r="W33" s="145" t="s">
        <v>506</v>
      </c>
      <c r="X33" s="145" t="s">
        <v>525</v>
      </c>
      <c r="Y33" s="145" t="s">
        <v>342</v>
      </c>
      <c r="Z33" s="145" t="s">
        <v>507</v>
      </c>
      <c r="AA33" s="145" t="s">
        <v>600</v>
      </c>
      <c r="AB33" s="145" t="s">
        <v>527</v>
      </c>
      <c r="AC33" s="145" t="s">
        <v>517</v>
      </c>
      <c r="AD33" s="145" t="s">
        <v>511</v>
      </c>
      <c r="AE33" s="145" t="s">
        <v>504</v>
      </c>
      <c r="AF33" s="145" t="s">
        <v>338</v>
      </c>
    </row>
    <row r="34" spans="1:32">
      <c r="A34" s="145" t="s">
        <v>601</v>
      </c>
      <c r="B34" s="145" t="s">
        <v>562</v>
      </c>
      <c r="C34" s="145" t="s">
        <v>498</v>
      </c>
      <c r="D34" s="145" t="s">
        <v>499</v>
      </c>
      <c r="E34" s="145" t="s">
        <v>500</v>
      </c>
      <c r="F34" s="145" t="s">
        <v>501</v>
      </c>
      <c r="G34" s="145" t="s">
        <v>583</v>
      </c>
      <c r="H34" s="145">
        <v>37</v>
      </c>
      <c r="I34" s="145" t="s">
        <v>338</v>
      </c>
      <c r="J34" s="146">
        <v>2735.3333333333335</v>
      </c>
      <c r="K34" s="145">
        <v>32</v>
      </c>
      <c r="L34" s="145" t="s">
        <v>563</v>
      </c>
      <c r="M34" s="145" t="s">
        <v>338</v>
      </c>
      <c r="N34" s="145" t="s">
        <v>338</v>
      </c>
      <c r="O34" s="146">
        <v>21093</v>
      </c>
      <c r="P34" s="145" t="s">
        <v>338</v>
      </c>
      <c r="Q34" s="146">
        <v>24338</v>
      </c>
      <c r="R34" s="146">
        <v>10616</v>
      </c>
      <c r="S34" s="147">
        <v>54.9296875</v>
      </c>
      <c r="T34" s="145" t="s">
        <v>505</v>
      </c>
      <c r="U34" s="145" t="s">
        <v>338</v>
      </c>
      <c r="V34" s="145" t="s">
        <v>504</v>
      </c>
      <c r="W34" s="145" t="s">
        <v>513</v>
      </c>
      <c r="X34" s="145" t="s">
        <v>338</v>
      </c>
      <c r="Y34" s="145" t="s">
        <v>342</v>
      </c>
      <c r="Z34" s="145" t="s">
        <v>507</v>
      </c>
      <c r="AA34" s="145" t="s">
        <v>521</v>
      </c>
      <c r="AB34" s="145" t="s">
        <v>602</v>
      </c>
      <c r="AC34" s="145" t="s">
        <v>510</v>
      </c>
      <c r="AD34" s="145" t="s">
        <v>523</v>
      </c>
      <c r="AE34" s="145" t="s">
        <v>505</v>
      </c>
      <c r="AF34" s="145" t="s">
        <v>338</v>
      </c>
    </row>
    <row r="35" spans="1:32">
      <c r="A35" s="145" t="s">
        <v>603</v>
      </c>
      <c r="B35" s="145" t="s">
        <v>562</v>
      </c>
      <c r="C35" s="145" t="s">
        <v>498</v>
      </c>
      <c r="D35" s="145" t="s">
        <v>338</v>
      </c>
      <c r="E35" s="145" t="s">
        <v>338</v>
      </c>
      <c r="F35" s="145" t="s">
        <v>338</v>
      </c>
      <c r="G35" s="145" t="s">
        <v>132</v>
      </c>
      <c r="H35" s="145">
        <v>21</v>
      </c>
      <c r="I35" s="145" t="s">
        <v>338</v>
      </c>
      <c r="J35" s="146">
        <v>2319</v>
      </c>
      <c r="K35" s="145">
        <v>25</v>
      </c>
      <c r="L35" s="145" t="s">
        <v>563</v>
      </c>
      <c r="M35" s="145" t="s">
        <v>338</v>
      </c>
      <c r="N35" s="145" t="s">
        <v>338</v>
      </c>
      <c r="O35" s="146">
        <v>20320</v>
      </c>
      <c r="P35" s="145" t="s">
        <v>338</v>
      </c>
      <c r="Q35" s="146">
        <v>19102</v>
      </c>
      <c r="R35" s="146">
        <v>11878</v>
      </c>
      <c r="S35" s="147">
        <v>67.733333333333334</v>
      </c>
      <c r="T35" s="145" t="s">
        <v>338</v>
      </c>
      <c r="U35" s="145" t="s">
        <v>338</v>
      </c>
      <c r="V35" s="145" t="s">
        <v>338</v>
      </c>
      <c r="W35" s="145" t="s">
        <v>338</v>
      </c>
      <c r="X35" s="145" t="s">
        <v>338</v>
      </c>
      <c r="Y35" s="145" t="s">
        <v>338</v>
      </c>
      <c r="Z35" s="145" t="s">
        <v>338</v>
      </c>
      <c r="AA35" s="145" t="s">
        <v>338</v>
      </c>
      <c r="AB35" s="145" t="s">
        <v>338</v>
      </c>
      <c r="AC35" s="145" t="s">
        <v>338</v>
      </c>
      <c r="AD35" s="145" t="s">
        <v>338</v>
      </c>
      <c r="AE35" s="145" t="s">
        <v>338</v>
      </c>
      <c r="AF35" s="145" t="s">
        <v>338</v>
      </c>
    </row>
    <row r="36" spans="1:32">
      <c r="A36" s="145" t="s">
        <v>604</v>
      </c>
      <c r="B36" s="145" t="s">
        <v>497</v>
      </c>
      <c r="C36" s="145" t="s">
        <v>498</v>
      </c>
      <c r="D36" s="145" t="s">
        <v>499</v>
      </c>
      <c r="E36" s="145" t="s">
        <v>500</v>
      </c>
      <c r="F36" s="145" t="s">
        <v>501</v>
      </c>
      <c r="G36" s="145" t="s">
        <v>122</v>
      </c>
      <c r="H36" s="145">
        <v>31</v>
      </c>
      <c r="I36" s="145" t="s">
        <v>338</v>
      </c>
      <c r="J36" s="146">
        <v>1581.6666666666667</v>
      </c>
      <c r="K36" s="145">
        <v>16</v>
      </c>
      <c r="L36" s="145" t="s">
        <v>502</v>
      </c>
      <c r="M36" s="145">
        <v>16</v>
      </c>
      <c r="N36" s="145" t="s">
        <v>503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504</v>
      </c>
      <c r="U36" s="145">
        <v>10</v>
      </c>
      <c r="V36" s="145" t="s">
        <v>504</v>
      </c>
      <c r="W36" s="145" t="s">
        <v>506</v>
      </c>
      <c r="X36" s="145" t="s">
        <v>514</v>
      </c>
      <c r="Y36" s="145" t="s">
        <v>354</v>
      </c>
      <c r="Z36" s="145" t="s">
        <v>507</v>
      </c>
      <c r="AA36" s="145" t="s">
        <v>560</v>
      </c>
      <c r="AB36" s="145" t="s">
        <v>557</v>
      </c>
      <c r="AC36" s="145" t="s">
        <v>510</v>
      </c>
      <c r="AD36" s="145" t="s">
        <v>558</v>
      </c>
      <c r="AE36" s="145" t="s">
        <v>504</v>
      </c>
      <c r="AF36" s="145" t="s">
        <v>338</v>
      </c>
    </row>
    <row r="37" spans="1:32">
      <c r="A37" s="145" t="s">
        <v>605</v>
      </c>
      <c r="B37" s="145" t="s">
        <v>497</v>
      </c>
      <c r="C37" s="145" t="s">
        <v>498</v>
      </c>
      <c r="D37" s="145" t="s">
        <v>499</v>
      </c>
      <c r="E37" s="145" t="s">
        <v>500</v>
      </c>
      <c r="F37" s="145" t="s">
        <v>501</v>
      </c>
      <c r="G37" s="145" t="s">
        <v>210</v>
      </c>
      <c r="H37" s="145">
        <v>9</v>
      </c>
      <c r="I37" s="145" t="s">
        <v>338</v>
      </c>
      <c r="J37" s="146">
        <v>2935</v>
      </c>
      <c r="K37" s="145">
        <v>84</v>
      </c>
      <c r="L37" s="145" t="s">
        <v>502</v>
      </c>
      <c r="M37" s="145">
        <v>84</v>
      </c>
      <c r="N37" s="145" t="s">
        <v>503</v>
      </c>
      <c r="O37" s="146">
        <v>19885</v>
      </c>
      <c r="P37" s="146">
        <v>3005</v>
      </c>
      <c r="Q37" s="145" t="s">
        <v>338</v>
      </c>
      <c r="R37" s="146">
        <v>19885</v>
      </c>
      <c r="S37" s="147">
        <v>19.727182539682538</v>
      </c>
      <c r="T37" s="145" t="s">
        <v>505</v>
      </c>
      <c r="U37" s="145" t="s">
        <v>338</v>
      </c>
      <c r="V37" s="145" t="s">
        <v>505</v>
      </c>
      <c r="W37" s="145" t="s">
        <v>506</v>
      </c>
      <c r="X37" s="145" t="s">
        <v>530</v>
      </c>
      <c r="Y37" s="145" t="s">
        <v>338</v>
      </c>
      <c r="Z37" s="145" t="s">
        <v>507</v>
      </c>
      <c r="AA37" s="145" t="s">
        <v>565</v>
      </c>
      <c r="AB37" s="145" t="s">
        <v>546</v>
      </c>
      <c r="AC37" s="145" t="s">
        <v>533</v>
      </c>
      <c r="AD37" s="145" t="s">
        <v>523</v>
      </c>
      <c r="AE37" s="145" t="s">
        <v>504</v>
      </c>
      <c r="AF37" s="145" t="s">
        <v>338</v>
      </c>
    </row>
    <row r="38" spans="1:32">
      <c r="A38" s="145" t="s">
        <v>606</v>
      </c>
      <c r="B38" s="145" t="s">
        <v>497</v>
      </c>
      <c r="C38" s="145" t="s">
        <v>498</v>
      </c>
      <c r="D38" s="145" t="s">
        <v>499</v>
      </c>
      <c r="E38" s="145" t="s">
        <v>607</v>
      </c>
      <c r="F38" s="145" t="s">
        <v>594</v>
      </c>
      <c r="G38" s="145" t="s">
        <v>124</v>
      </c>
      <c r="H38" s="145">
        <v>29</v>
      </c>
      <c r="I38" s="145" t="s">
        <v>338</v>
      </c>
      <c r="J38" s="146">
        <v>2225</v>
      </c>
      <c r="K38" s="145">
        <v>66</v>
      </c>
      <c r="L38" s="145" t="s">
        <v>555</v>
      </c>
      <c r="M38" s="145">
        <v>62</v>
      </c>
      <c r="N38" s="145" t="s">
        <v>579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505</v>
      </c>
      <c r="U38" s="145" t="s">
        <v>338</v>
      </c>
      <c r="V38" s="145" t="s">
        <v>505</v>
      </c>
      <c r="W38" s="145" t="s">
        <v>506</v>
      </c>
      <c r="X38" s="145" t="s">
        <v>514</v>
      </c>
      <c r="Y38" s="145" t="s">
        <v>338</v>
      </c>
      <c r="Z38" s="145" t="s">
        <v>507</v>
      </c>
      <c r="AA38" s="145" t="s">
        <v>608</v>
      </c>
      <c r="AB38" s="145" t="s">
        <v>532</v>
      </c>
      <c r="AC38" s="145" t="s">
        <v>533</v>
      </c>
      <c r="AD38" s="145" t="s">
        <v>518</v>
      </c>
      <c r="AE38" s="145" t="s">
        <v>504</v>
      </c>
      <c r="AF38" s="145" t="s">
        <v>338</v>
      </c>
    </row>
    <row r="39" spans="1:32">
      <c r="A39" s="145" t="s">
        <v>609</v>
      </c>
      <c r="B39" s="145" t="s">
        <v>497</v>
      </c>
      <c r="C39" s="145" t="s">
        <v>498</v>
      </c>
      <c r="D39" s="145" t="s">
        <v>499</v>
      </c>
      <c r="E39" s="145" t="s">
        <v>500</v>
      </c>
      <c r="F39" s="145" t="s">
        <v>501</v>
      </c>
      <c r="G39" s="145" t="s">
        <v>208</v>
      </c>
      <c r="H39" s="145">
        <v>11</v>
      </c>
      <c r="I39" s="145" t="s">
        <v>338</v>
      </c>
      <c r="J39" s="146">
        <v>1915</v>
      </c>
      <c r="K39" s="145">
        <v>39</v>
      </c>
      <c r="L39" s="145" t="s">
        <v>502</v>
      </c>
      <c r="M39" s="145">
        <v>39</v>
      </c>
      <c r="N39" s="145" t="s">
        <v>503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505</v>
      </c>
      <c r="U39" s="145" t="s">
        <v>338</v>
      </c>
      <c r="V39" s="145" t="s">
        <v>505</v>
      </c>
      <c r="W39" s="145" t="s">
        <v>506</v>
      </c>
      <c r="X39" s="145" t="s">
        <v>610</v>
      </c>
      <c r="Y39" s="145" t="s">
        <v>354</v>
      </c>
      <c r="Z39" s="145" t="s">
        <v>338</v>
      </c>
      <c r="AA39" s="145" t="s">
        <v>584</v>
      </c>
      <c r="AB39" s="145" t="s">
        <v>581</v>
      </c>
      <c r="AC39" s="145" t="s">
        <v>510</v>
      </c>
      <c r="AD39" s="145" t="s">
        <v>523</v>
      </c>
      <c r="AE39" s="145" t="s">
        <v>504</v>
      </c>
      <c r="AF39" s="145" t="s">
        <v>338</v>
      </c>
    </row>
    <row r="40" spans="1:32">
      <c r="A40" s="145" t="s">
        <v>611</v>
      </c>
      <c r="B40" s="145" t="s">
        <v>497</v>
      </c>
      <c r="C40" s="145" t="s">
        <v>498</v>
      </c>
      <c r="D40" s="145" t="s">
        <v>499</v>
      </c>
      <c r="E40" s="145" t="s">
        <v>500</v>
      </c>
      <c r="F40" s="145" t="s">
        <v>501</v>
      </c>
      <c r="G40" s="145" t="s">
        <v>242</v>
      </c>
      <c r="H40" s="145">
        <v>7</v>
      </c>
      <c r="I40" s="145" t="s">
        <v>338</v>
      </c>
      <c r="J40" s="146">
        <v>2458</v>
      </c>
      <c r="K40" s="145">
        <v>45</v>
      </c>
      <c r="L40" s="145" t="s">
        <v>502</v>
      </c>
      <c r="M40" s="145">
        <v>45</v>
      </c>
      <c r="N40" s="145" t="s">
        <v>503</v>
      </c>
      <c r="O40" s="146">
        <v>18603</v>
      </c>
      <c r="P40" s="146">
        <v>872</v>
      </c>
      <c r="Q40" s="145" t="s">
        <v>338</v>
      </c>
      <c r="R40" s="146">
        <v>18603</v>
      </c>
      <c r="S40" s="147">
        <v>34.450000000000003</v>
      </c>
      <c r="T40" s="145" t="s">
        <v>505</v>
      </c>
      <c r="U40" s="145" t="s">
        <v>338</v>
      </c>
      <c r="V40" s="145" t="s">
        <v>504</v>
      </c>
      <c r="W40" s="145" t="s">
        <v>506</v>
      </c>
      <c r="X40" s="145" t="s">
        <v>514</v>
      </c>
      <c r="Y40" s="145" t="s">
        <v>342</v>
      </c>
      <c r="Z40" s="145" t="s">
        <v>507</v>
      </c>
      <c r="AA40" s="145" t="s">
        <v>612</v>
      </c>
      <c r="AB40" s="145" t="s">
        <v>613</v>
      </c>
      <c r="AC40" s="145" t="s">
        <v>533</v>
      </c>
      <c r="AD40" s="145" t="s">
        <v>511</v>
      </c>
      <c r="AE40" s="145" t="s">
        <v>504</v>
      </c>
      <c r="AF40" s="145" t="s">
        <v>338</v>
      </c>
    </row>
    <row r="41" spans="1:32">
      <c r="A41" s="145" t="s">
        <v>614</v>
      </c>
      <c r="B41" s="145" t="s">
        <v>497</v>
      </c>
      <c r="C41" s="145" t="s">
        <v>498</v>
      </c>
      <c r="D41" s="145" t="s">
        <v>499</v>
      </c>
      <c r="E41" s="145" t="s">
        <v>500</v>
      </c>
      <c r="F41" s="145" t="s">
        <v>501</v>
      </c>
      <c r="G41" s="145" t="s">
        <v>127</v>
      </c>
      <c r="H41" s="145">
        <v>26</v>
      </c>
      <c r="I41" s="145" t="s">
        <v>338</v>
      </c>
      <c r="J41" s="146">
        <v>1551</v>
      </c>
      <c r="K41" s="145">
        <v>18</v>
      </c>
      <c r="L41" s="145" t="s">
        <v>502</v>
      </c>
      <c r="M41" s="145">
        <v>18</v>
      </c>
      <c r="N41" s="145" t="s">
        <v>503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505</v>
      </c>
      <c r="U41" s="145">
        <v>13</v>
      </c>
      <c r="V41" s="145" t="s">
        <v>505</v>
      </c>
      <c r="W41" s="145" t="s">
        <v>513</v>
      </c>
      <c r="X41" s="145" t="s">
        <v>530</v>
      </c>
      <c r="Y41" s="145" t="s">
        <v>338</v>
      </c>
      <c r="Z41" s="145" t="s">
        <v>507</v>
      </c>
      <c r="AA41" s="145" t="s">
        <v>608</v>
      </c>
      <c r="AB41" s="145" t="s">
        <v>532</v>
      </c>
      <c r="AC41" s="145" t="s">
        <v>533</v>
      </c>
      <c r="AD41" s="145" t="s">
        <v>518</v>
      </c>
      <c r="AE41" s="145" t="s">
        <v>505</v>
      </c>
      <c r="AF41" s="145" t="s">
        <v>338</v>
      </c>
    </row>
    <row r="42" spans="1:32">
      <c r="A42" s="145" t="s">
        <v>615</v>
      </c>
      <c r="B42" s="145" t="s">
        <v>497</v>
      </c>
      <c r="C42" s="145" t="s">
        <v>498</v>
      </c>
      <c r="D42" s="145" t="s">
        <v>499</v>
      </c>
      <c r="E42" s="145" t="s">
        <v>616</v>
      </c>
      <c r="F42" s="145" t="s">
        <v>587</v>
      </c>
      <c r="G42" s="145" t="s">
        <v>211</v>
      </c>
      <c r="H42" s="145">
        <v>8</v>
      </c>
      <c r="I42" s="145" t="s">
        <v>338</v>
      </c>
      <c r="J42" s="146">
        <v>2476.15</v>
      </c>
      <c r="K42" s="145">
        <v>48</v>
      </c>
      <c r="L42" s="145" t="s">
        <v>502</v>
      </c>
      <c r="M42" s="145">
        <v>48</v>
      </c>
      <c r="N42" s="145" t="s">
        <v>503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505</v>
      </c>
      <c r="U42" s="145" t="s">
        <v>338</v>
      </c>
      <c r="V42" s="145" t="s">
        <v>504</v>
      </c>
      <c r="W42" s="145" t="s">
        <v>513</v>
      </c>
      <c r="X42" s="145" t="s">
        <v>617</v>
      </c>
      <c r="Y42" s="145" t="s">
        <v>342</v>
      </c>
      <c r="Z42" s="145" t="s">
        <v>507</v>
      </c>
      <c r="AA42" s="145" t="s">
        <v>589</v>
      </c>
      <c r="AB42" s="145" t="s">
        <v>581</v>
      </c>
      <c r="AC42" s="145" t="s">
        <v>510</v>
      </c>
      <c r="AD42" s="145" t="s">
        <v>523</v>
      </c>
      <c r="AE42" s="145" t="s">
        <v>505</v>
      </c>
      <c r="AF42" s="145" t="s">
        <v>338</v>
      </c>
    </row>
    <row r="43" spans="1:32">
      <c r="A43" s="145" t="s">
        <v>618</v>
      </c>
      <c r="B43" s="145" t="s">
        <v>497</v>
      </c>
      <c r="C43" s="145" t="s">
        <v>498</v>
      </c>
      <c r="D43" s="145" t="s">
        <v>499</v>
      </c>
      <c r="E43" s="145" t="s">
        <v>500</v>
      </c>
      <c r="F43" s="145" t="s">
        <v>501</v>
      </c>
      <c r="G43" s="145" t="s">
        <v>124</v>
      </c>
      <c r="H43" s="145">
        <v>29</v>
      </c>
      <c r="I43" s="145" t="s">
        <v>338</v>
      </c>
      <c r="J43" s="146">
        <v>1947.3333333333333</v>
      </c>
      <c r="K43" s="145">
        <v>20</v>
      </c>
      <c r="L43" s="145" t="s">
        <v>502</v>
      </c>
      <c r="M43" s="145">
        <v>20</v>
      </c>
      <c r="N43" s="145" t="s">
        <v>503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504</v>
      </c>
      <c r="U43" s="145">
        <v>15</v>
      </c>
      <c r="V43" s="145" t="s">
        <v>505</v>
      </c>
      <c r="W43" s="145" t="s">
        <v>506</v>
      </c>
      <c r="X43" s="145" t="s">
        <v>540</v>
      </c>
      <c r="Y43" s="145" t="s">
        <v>338</v>
      </c>
      <c r="Z43" s="145" t="s">
        <v>507</v>
      </c>
      <c r="AA43" s="145" t="s">
        <v>565</v>
      </c>
      <c r="AB43" s="145" t="s">
        <v>546</v>
      </c>
      <c r="AC43" s="145" t="s">
        <v>533</v>
      </c>
      <c r="AD43" s="145" t="s">
        <v>523</v>
      </c>
      <c r="AE43" s="145" t="s">
        <v>504</v>
      </c>
      <c r="AF43" s="145" t="s">
        <v>338</v>
      </c>
    </row>
    <row r="44" spans="1:32">
      <c r="A44" s="145" t="s">
        <v>619</v>
      </c>
      <c r="B44" s="145" t="s">
        <v>497</v>
      </c>
      <c r="C44" s="145" t="s">
        <v>498</v>
      </c>
      <c r="D44" s="145" t="s">
        <v>499</v>
      </c>
      <c r="E44" s="145" t="s">
        <v>500</v>
      </c>
      <c r="F44" s="145" t="s">
        <v>501</v>
      </c>
      <c r="G44" s="145" t="s">
        <v>620</v>
      </c>
      <c r="H44" s="145">
        <v>49</v>
      </c>
      <c r="I44" s="145" t="s">
        <v>338</v>
      </c>
      <c r="J44" s="146">
        <v>1651</v>
      </c>
      <c r="K44" s="145">
        <v>24</v>
      </c>
      <c r="L44" s="145" t="s">
        <v>502</v>
      </c>
      <c r="M44" s="145">
        <v>24</v>
      </c>
      <c r="N44" s="145" t="s">
        <v>503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505</v>
      </c>
      <c r="U44" s="145" t="s">
        <v>338</v>
      </c>
      <c r="V44" s="145" t="s">
        <v>505</v>
      </c>
      <c r="W44" s="145" t="s">
        <v>506</v>
      </c>
      <c r="X44" s="145" t="s">
        <v>514</v>
      </c>
      <c r="Y44" s="145" t="s">
        <v>338</v>
      </c>
      <c r="Z44" s="145" t="s">
        <v>507</v>
      </c>
      <c r="AA44" s="145" t="s">
        <v>580</v>
      </c>
      <c r="AB44" s="145" t="s">
        <v>581</v>
      </c>
      <c r="AC44" s="145" t="s">
        <v>510</v>
      </c>
      <c r="AD44" s="145" t="s">
        <v>523</v>
      </c>
      <c r="AE44" s="145" t="s">
        <v>504</v>
      </c>
      <c r="AF44" s="145" t="s">
        <v>338</v>
      </c>
    </row>
    <row r="45" spans="1:32">
      <c r="A45" s="145" t="s">
        <v>621</v>
      </c>
      <c r="B45" s="145" t="s">
        <v>562</v>
      </c>
      <c r="C45" s="145" t="s">
        <v>498</v>
      </c>
      <c r="D45" s="145" t="s">
        <v>499</v>
      </c>
      <c r="E45" s="145" t="s">
        <v>500</v>
      </c>
      <c r="F45" s="145" t="s">
        <v>501</v>
      </c>
      <c r="G45" s="145" t="s">
        <v>200</v>
      </c>
      <c r="H45" s="145">
        <v>19</v>
      </c>
      <c r="I45" s="145" t="s">
        <v>622</v>
      </c>
      <c r="J45" s="146">
        <v>2556.6666666666665</v>
      </c>
      <c r="K45" s="145">
        <v>26</v>
      </c>
      <c r="L45" s="145" t="s">
        <v>502</v>
      </c>
      <c r="M45" s="145">
        <v>26</v>
      </c>
      <c r="N45" s="145" t="s">
        <v>503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504</v>
      </c>
      <c r="U45" s="145">
        <v>17</v>
      </c>
      <c r="V45" s="145" t="s">
        <v>504</v>
      </c>
      <c r="W45" s="145" t="s">
        <v>506</v>
      </c>
      <c r="X45" s="145" t="s">
        <v>525</v>
      </c>
      <c r="Y45" s="145" t="s">
        <v>342</v>
      </c>
      <c r="Z45" s="145" t="s">
        <v>507</v>
      </c>
      <c r="AA45" s="145" t="s">
        <v>553</v>
      </c>
      <c r="AB45" s="145" t="s">
        <v>536</v>
      </c>
      <c r="AC45" s="145" t="s">
        <v>517</v>
      </c>
      <c r="AD45" s="145" t="s">
        <v>518</v>
      </c>
      <c r="AE45" s="145" t="s">
        <v>504</v>
      </c>
      <c r="AF45" s="145" t="s">
        <v>504</v>
      </c>
    </row>
    <row r="46" spans="1:32">
      <c r="A46" s="145" t="s">
        <v>623</v>
      </c>
      <c r="B46" s="145" t="s">
        <v>497</v>
      </c>
      <c r="C46" s="145" t="s">
        <v>498</v>
      </c>
      <c r="D46" s="145" t="s">
        <v>499</v>
      </c>
      <c r="E46" s="145" t="s">
        <v>500</v>
      </c>
      <c r="F46" s="145" t="s">
        <v>501</v>
      </c>
      <c r="G46" s="145" t="s">
        <v>200</v>
      </c>
      <c r="H46" s="145">
        <v>19</v>
      </c>
      <c r="I46" s="145" t="s">
        <v>338</v>
      </c>
      <c r="J46" s="146">
        <v>1712.33</v>
      </c>
      <c r="K46" s="145">
        <v>26</v>
      </c>
      <c r="L46" s="145" t="s">
        <v>502</v>
      </c>
      <c r="M46" s="145">
        <v>26</v>
      </c>
      <c r="N46" s="145" t="s">
        <v>503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505</v>
      </c>
      <c r="U46" s="145" t="s">
        <v>338</v>
      </c>
      <c r="V46" s="145" t="s">
        <v>504</v>
      </c>
      <c r="W46" s="145" t="s">
        <v>506</v>
      </c>
      <c r="X46" s="145" t="s">
        <v>525</v>
      </c>
      <c r="Y46" s="145" t="s">
        <v>342</v>
      </c>
      <c r="Z46" s="145" t="s">
        <v>507</v>
      </c>
      <c r="AA46" s="145" t="s">
        <v>624</v>
      </c>
      <c r="AB46" s="145" t="s">
        <v>550</v>
      </c>
      <c r="AC46" s="145" t="s">
        <v>510</v>
      </c>
      <c r="AD46" s="145" t="s">
        <v>523</v>
      </c>
      <c r="AE46" s="145" t="s">
        <v>504</v>
      </c>
      <c r="AF46" s="145" t="s">
        <v>338</v>
      </c>
    </row>
    <row r="47" spans="1:32">
      <c r="A47" s="145" t="s">
        <v>625</v>
      </c>
      <c r="B47" s="145" t="s">
        <v>497</v>
      </c>
      <c r="C47" s="145" t="s">
        <v>498</v>
      </c>
      <c r="D47" s="145" t="s">
        <v>499</v>
      </c>
      <c r="E47" s="145" t="s">
        <v>500</v>
      </c>
      <c r="F47" s="145" t="s">
        <v>501</v>
      </c>
      <c r="G47" s="145" t="s">
        <v>122</v>
      </c>
      <c r="H47" s="145">
        <v>31</v>
      </c>
      <c r="I47" s="145" t="s">
        <v>338</v>
      </c>
      <c r="J47" s="146">
        <v>1290</v>
      </c>
      <c r="K47" s="145">
        <v>15</v>
      </c>
      <c r="L47" s="145" t="s">
        <v>502</v>
      </c>
      <c r="M47" s="145">
        <v>15</v>
      </c>
      <c r="N47" s="145" t="s">
        <v>503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505</v>
      </c>
      <c r="U47" s="145" t="s">
        <v>338</v>
      </c>
      <c r="V47" s="145" t="s">
        <v>504</v>
      </c>
      <c r="W47" s="145" t="s">
        <v>506</v>
      </c>
      <c r="X47" s="145" t="s">
        <v>530</v>
      </c>
      <c r="Y47" s="145" t="s">
        <v>342</v>
      </c>
      <c r="Z47" s="145" t="s">
        <v>507</v>
      </c>
      <c r="AA47" s="145" t="s">
        <v>626</v>
      </c>
      <c r="AB47" s="145" t="s">
        <v>509</v>
      </c>
      <c r="AC47" s="145" t="s">
        <v>510</v>
      </c>
      <c r="AD47" s="145" t="s">
        <v>511</v>
      </c>
      <c r="AE47" s="145" t="s">
        <v>504</v>
      </c>
      <c r="AF47" s="145" t="s">
        <v>338</v>
      </c>
    </row>
    <row r="48" spans="1:32">
      <c r="A48" s="145" t="s">
        <v>627</v>
      </c>
      <c r="B48" s="145" t="s">
        <v>497</v>
      </c>
      <c r="C48" s="145" t="s">
        <v>498</v>
      </c>
      <c r="D48" s="145" t="s">
        <v>499</v>
      </c>
      <c r="E48" s="145" t="s">
        <v>607</v>
      </c>
      <c r="F48" s="145" t="s">
        <v>594</v>
      </c>
      <c r="G48" s="145" t="s">
        <v>205</v>
      </c>
      <c r="H48" s="145">
        <v>14</v>
      </c>
      <c r="I48" s="145" t="s">
        <v>338</v>
      </c>
      <c r="J48" s="146">
        <v>901.66666666666663</v>
      </c>
      <c r="K48" s="145">
        <v>18</v>
      </c>
      <c r="L48" s="145" t="s">
        <v>555</v>
      </c>
      <c r="M48" s="145">
        <v>17</v>
      </c>
      <c r="N48" s="145" t="s">
        <v>564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504</v>
      </c>
      <c r="U48" s="145">
        <v>20</v>
      </c>
      <c r="V48" s="145" t="s">
        <v>505</v>
      </c>
      <c r="W48" s="145" t="s">
        <v>506</v>
      </c>
      <c r="X48" s="145" t="s">
        <v>525</v>
      </c>
      <c r="Y48" s="145" t="s">
        <v>338</v>
      </c>
      <c r="Z48" s="145" t="s">
        <v>507</v>
      </c>
      <c r="AA48" s="145" t="s">
        <v>515</v>
      </c>
      <c r="AB48" s="145" t="s">
        <v>516</v>
      </c>
      <c r="AC48" s="145" t="s">
        <v>517</v>
      </c>
      <c r="AD48" s="145" t="s">
        <v>518</v>
      </c>
      <c r="AE48" s="145" t="s">
        <v>504</v>
      </c>
      <c r="AF48" s="145" t="s">
        <v>338</v>
      </c>
    </row>
    <row r="49" spans="1:32">
      <c r="A49" s="145" t="s">
        <v>628</v>
      </c>
      <c r="B49" s="145" t="s">
        <v>497</v>
      </c>
      <c r="C49" s="145" t="s">
        <v>498</v>
      </c>
      <c r="D49" s="145" t="s">
        <v>499</v>
      </c>
      <c r="E49" s="145" t="s">
        <v>338</v>
      </c>
      <c r="F49" s="145" t="s">
        <v>501</v>
      </c>
      <c r="G49" s="145" t="s">
        <v>246</v>
      </c>
      <c r="H49" s="145">
        <v>3</v>
      </c>
      <c r="I49" s="145" t="s">
        <v>338</v>
      </c>
      <c r="J49" s="146">
        <v>5728.666666666667</v>
      </c>
      <c r="K49" s="145">
        <v>120</v>
      </c>
      <c r="L49" s="145" t="s">
        <v>502</v>
      </c>
      <c r="M49" s="145">
        <v>120</v>
      </c>
      <c r="N49" s="145" t="s">
        <v>503</v>
      </c>
      <c r="O49" s="146">
        <v>17186</v>
      </c>
      <c r="P49" s="146">
        <v>4217</v>
      </c>
      <c r="Q49" s="145" t="s">
        <v>338</v>
      </c>
      <c r="R49" s="146">
        <v>17186</v>
      </c>
      <c r="S49" s="147">
        <v>11.934722222222224</v>
      </c>
      <c r="T49" s="145" t="s">
        <v>505</v>
      </c>
      <c r="U49" s="145" t="s">
        <v>338</v>
      </c>
      <c r="V49" s="145" t="s">
        <v>505</v>
      </c>
      <c r="W49" s="145" t="s">
        <v>506</v>
      </c>
      <c r="X49" s="145" t="s">
        <v>540</v>
      </c>
      <c r="Y49" s="145" t="s">
        <v>342</v>
      </c>
      <c r="Z49" s="145" t="s">
        <v>507</v>
      </c>
      <c r="AA49" s="145" t="s">
        <v>612</v>
      </c>
      <c r="AB49" s="145" t="s">
        <v>613</v>
      </c>
      <c r="AC49" s="145" t="s">
        <v>533</v>
      </c>
      <c r="AD49" s="145" t="s">
        <v>511</v>
      </c>
      <c r="AE49" s="145" t="s">
        <v>504</v>
      </c>
      <c r="AF49" s="145" t="s">
        <v>338</v>
      </c>
    </row>
    <row r="50" spans="1:32">
      <c r="A50" s="145" t="s">
        <v>629</v>
      </c>
      <c r="B50" s="145" t="s">
        <v>497</v>
      </c>
      <c r="C50" s="145" t="s">
        <v>498</v>
      </c>
      <c r="D50" s="145" t="s">
        <v>499</v>
      </c>
      <c r="E50" s="145" t="s">
        <v>500</v>
      </c>
      <c r="F50" s="145" t="s">
        <v>501</v>
      </c>
      <c r="G50" s="145" t="s">
        <v>204</v>
      </c>
      <c r="H50" s="145">
        <v>15</v>
      </c>
      <c r="I50" s="145" t="s">
        <v>338</v>
      </c>
      <c r="J50" s="146">
        <v>1827.3333333333333</v>
      </c>
      <c r="K50" s="145">
        <v>26</v>
      </c>
      <c r="L50" s="145" t="s">
        <v>502</v>
      </c>
      <c r="M50" s="145">
        <v>26</v>
      </c>
      <c r="N50" s="145" t="s">
        <v>503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504</v>
      </c>
      <c r="U50" s="145">
        <v>10</v>
      </c>
      <c r="V50" s="145" t="s">
        <v>505</v>
      </c>
      <c r="W50" s="145" t="s">
        <v>506</v>
      </c>
      <c r="X50" s="145" t="s">
        <v>525</v>
      </c>
      <c r="Y50" s="145" t="s">
        <v>338</v>
      </c>
      <c r="Z50" s="145" t="s">
        <v>507</v>
      </c>
      <c r="AA50" s="145" t="s">
        <v>624</v>
      </c>
      <c r="AB50" s="145" t="s">
        <v>550</v>
      </c>
      <c r="AC50" s="145" t="s">
        <v>510</v>
      </c>
      <c r="AD50" s="145" t="s">
        <v>523</v>
      </c>
      <c r="AE50" s="145" t="s">
        <v>504</v>
      </c>
      <c r="AF50" s="145" t="s">
        <v>338</v>
      </c>
    </row>
    <row r="51" spans="1:32">
      <c r="A51" s="145" t="s">
        <v>630</v>
      </c>
      <c r="B51" s="145" t="s">
        <v>497</v>
      </c>
      <c r="C51" s="145" t="s">
        <v>498</v>
      </c>
      <c r="D51" s="145" t="s">
        <v>499</v>
      </c>
      <c r="E51" s="145" t="s">
        <v>500</v>
      </c>
      <c r="F51" s="145" t="s">
        <v>501</v>
      </c>
      <c r="G51" s="145" t="s">
        <v>242</v>
      </c>
      <c r="H51" s="145">
        <v>7</v>
      </c>
      <c r="I51" s="145" t="s">
        <v>338</v>
      </c>
      <c r="J51" s="146">
        <v>2498</v>
      </c>
      <c r="K51" s="145">
        <v>22</v>
      </c>
      <c r="L51" s="145" t="s">
        <v>502</v>
      </c>
      <c r="M51" s="145">
        <v>22</v>
      </c>
      <c r="N51" s="145" t="s">
        <v>503</v>
      </c>
      <c r="O51" s="146">
        <v>16118</v>
      </c>
      <c r="P51" s="146">
        <v>2498</v>
      </c>
      <c r="Q51" s="145" t="s">
        <v>338</v>
      </c>
      <c r="R51" s="146">
        <v>16118</v>
      </c>
      <c r="S51" s="147">
        <v>61.053030303030305</v>
      </c>
      <c r="T51" s="145" t="s">
        <v>504</v>
      </c>
      <c r="U51" s="145" t="s">
        <v>338</v>
      </c>
      <c r="V51" s="145" t="s">
        <v>504</v>
      </c>
      <c r="W51" s="145" t="s">
        <v>506</v>
      </c>
      <c r="X51" s="145" t="s">
        <v>514</v>
      </c>
      <c r="Y51" s="145" t="s">
        <v>342</v>
      </c>
      <c r="Z51" s="145" t="s">
        <v>507</v>
      </c>
      <c r="AA51" s="145" t="s">
        <v>612</v>
      </c>
      <c r="AB51" s="145" t="s">
        <v>613</v>
      </c>
      <c r="AC51" s="145" t="s">
        <v>533</v>
      </c>
      <c r="AD51" s="145" t="s">
        <v>511</v>
      </c>
      <c r="AE51" s="145" t="s">
        <v>504</v>
      </c>
      <c r="AF51" s="145" t="s">
        <v>338</v>
      </c>
    </row>
    <row r="52" spans="1:32">
      <c r="A52" s="145" t="s">
        <v>631</v>
      </c>
      <c r="B52" s="145" t="s">
        <v>562</v>
      </c>
      <c r="C52" s="145" t="s">
        <v>632</v>
      </c>
      <c r="D52" s="145" t="s">
        <v>633</v>
      </c>
      <c r="E52" s="145" t="s">
        <v>338</v>
      </c>
      <c r="F52" s="145" t="s">
        <v>338</v>
      </c>
      <c r="G52" s="145" t="s">
        <v>634</v>
      </c>
      <c r="H52" s="145">
        <v>63</v>
      </c>
      <c r="I52" s="145" t="s">
        <v>622</v>
      </c>
      <c r="J52" s="146">
        <v>1330</v>
      </c>
      <c r="K52" s="145" t="s">
        <v>338</v>
      </c>
      <c r="L52" s="145" t="s">
        <v>635</v>
      </c>
      <c r="M52" s="145" t="s">
        <v>338</v>
      </c>
      <c r="N52" s="145" t="s">
        <v>338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338</v>
      </c>
      <c r="T52" s="145" t="s">
        <v>505</v>
      </c>
      <c r="U52" s="145" t="s">
        <v>338</v>
      </c>
      <c r="V52" s="145" t="s">
        <v>505</v>
      </c>
      <c r="W52" s="145" t="s">
        <v>338</v>
      </c>
      <c r="X52" s="145" t="s">
        <v>338</v>
      </c>
      <c r="Y52" s="145" t="s">
        <v>338</v>
      </c>
      <c r="Z52" s="145" t="s">
        <v>507</v>
      </c>
      <c r="AA52" s="145" t="s">
        <v>636</v>
      </c>
      <c r="AB52" s="145" t="s">
        <v>637</v>
      </c>
      <c r="AC52" s="145" t="s">
        <v>638</v>
      </c>
      <c r="AD52" s="145" t="s">
        <v>523</v>
      </c>
      <c r="AE52" s="145" t="s">
        <v>505</v>
      </c>
      <c r="AF52" s="145" t="s">
        <v>505</v>
      </c>
    </row>
    <row r="53" spans="1:32">
      <c r="A53" s="145" t="s">
        <v>639</v>
      </c>
      <c r="B53" s="145" t="s">
        <v>497</v>
      </c>
      <c r="C53" s="145" t="s">
        <v>498</v>
      </c>
      <c r="D53" s="145" t="s">
        <v>499</v>
      </c>
      <c r="E53" s="145" t="s">
        <v>500</v>
      </c>
      <c r="F53" s="145" t="s">
        <v>501</v>
      </c>
      <c r="G53" s="145" t="s">
        <v>200</v>
      </c>
      <c r="H53" s="145">
        <v>19</v>
      </c>
      <c r="I53" s="145" t="s">
        <v>338</v>
      </c>
      <c r="J53" s="146">
        <v>1861.6666666666667</v>
      </c>
      <c r="K53" s="145">
        <v>42</v>
      </c>
      <c r="L53" s="145" t="s">
        <v>502</v>
      </c>
      <c r="M53" s="145">
        <v>42</v>
      </c>
      <c r="N53" s="145" t="s">
        <v>503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505</v>
      </c>
      <c r="U53" s="145" t="s">
        <v>338</v>
      </c>
      <c r="V53" s="145" t="s">
        <v>505</v>
      </c>
      <c r="W53" s="145" t="s">
        <v>506</v>
      </c>
      <c r="X53" s="145" t="s">
        <v>530</v>
      </c>
      <c r="Y53" s="145" t="s">
        <v>338</v>
      </c>
      <c r="Z53" s="145" t="s">
        <v>507</v>
      </c>
      <c r="AA53" s="145" t="s">
        <v>640</v>
      </c>
      <c r="AB53" s="145" t="s">
        <v>536</v>
      </c>
      <c r="AC53" s="145" t="s">
        <v>517</v>
      </c>
      <c r="AD53" s="145" t="s">
        <v>518</v>
      </c>
      <c r="AE53" s="145" t="s">
        <v>504</v>
      </c>
      <c r="AF53" s="145" t="s">
        <v>338</v>
      </c>
    </row>
    <row r="54" spans="1:32">
      <c r="A54" s="145" t="s">
        <v>641</v>
      </c>
      <c r="B54" s="145" t="s">
        <v>497</v>
      </c>
      <c r="C54" s="145" t="s">
        <v>498</v>
      </c>
      <c r="D54" s="145" t="s">
        <v>499</v>
      </c>
      <c r="E54" s="145" t="s">
        <v>500</v>
      </c>
      <c r="F54" s="145" t="s">
        <v>501</v>
      </c>
      <c r="G54" s="145" t="s">
        <v>132</v>
      </c>
      <c r="H54" s="145">
        <v>21</v>
      </c>
      <c r="I54" s="145" t="s">
        <v>338</v>
      </c>
      <c r="J54" s="146">
        <v>1218.3333333333333</v>
      </c>
      <c r="K54" s="145">
        <v>16</v>
      </c>
      <c r="L54" s="145" t="s">
        <v>502</v>
      </c>
      <c r="M54" s="145">
        <v>16</v>
      </c>
      <c r="N54" s="145" t="s">
        <v>503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505</v>
      </c>
      <c r="U54" s="145" t="s">
        <v>338</v>
      </c>
      <c r="V54" s="145" t="s">
        <v>505</v>
      </c>
      <c r="W54" s="145" t="s">
        <v>506</v>
      </c>
      <c r="X54" s="145" t="s">
        <v>525</v>
      </c>
      <c r="Y54" s="145" t="s">
        <v>338</v>
      </c>
      <c r="Z54" s="145" t="s">
        <v>507</v>
      </c>
      <c r="AA54" s="145" t="s">
        <v>568</v>
      </c>
      <c r="AB54" s="145" t="s">
        <v>557</v>
      </c>
      <c r="AC54" s="145" t="s">
        <v>510</v>
      </c>
      <c r="AD54" s="145" t="s">
        <v>558</v>
      </c>
      <c r="AE54" s="145" t="s">
        <v>504</v>
      </c>
      <c r="AF54" s="145" t="s">
        <v>338</v>
      </c>
    </row>
    <row r="55" spans="1:32">
      <c r="A55" s="145" t="s">
        <v>642</v>
      </c>
      <c r="B55" s="145" t="s">
        <v>497</v>
      </c>
      <c r="C55" s="145" t="s">
        <v>498</v>
      </c>
      <c r="D55" s="145" t="s">
        <v>499</v>
      </c>
      <c r="E55" s="145" t="s">
        <v>616</v>
      </c>
      <c r="F55" s="145" t="s">
        <v>587</v>
      </c>
      <c r="G55" s="145" t="s">
        <v>211</v>
      </c>
      <c r="H55" s="145">
        <v>8</v>
      </c>
      <c r="I55" s="145" t="s">
        <v>338</v>
      </c>
      <c r="J55" s="146">
        <v>1709.3333333333333</v>
      </c>
      <c r="K55" s="145">
        <v>26</v>
      </c>
      <c r="L55" s="145" t="s">
        <v>502</v>
      </c>
      <c r="M55" s="145">
        <v>26</v>
      </c>
      <c r="N55" s="145" t="s">
        <v>503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505</v>
      </c>
      <c r="U55" s="145" t="s">
        <v>338</v>
      </c>
      <c r="V55" s="145" t="s">
        <v>504</v>
      </c>
      <c r="W55" s="145" t="s">
        <v>506</v>
      </c>
      <c r="X55" s="145" t="s">
        <v>530</v>
      </c>
      <c r="Y55" s="145" t="s">
        <v>342</v>
      </c>
      <c r="Z55" s="145" t="s">
        <v>507</v>
      </c>
      <c r="AA55" s="145" t="s">
        <v>643</v>
      </c>
      <c r="AB55" s="145" t="s">
        <v>546</v>
      </c>
      <c r="AC55" s="145" t="s">
        <v>533</v>
      </c>
      <c r="AD55" s="145" t="s">
        <v>523</v>
      </c>
      <c r="AE55" s="145" t="s">
        <v>504</v>
      </c>
      <c r="AF55" s="145" t="s">
        <v>338</v>
      </c>
    </row>
    <row r="56" spans="1:32">
      <c r="A56" s="145" t="s">
        <v>644</v>
      </c>
      <c r="B56" s="145" t="s">
        <v>497</v>
      </c>
      <c r="C56" s="145" t="s">
        <v>498</v>
      </c>
      <c r="D56" s="145" t="s">
        <v>499</v>
      </c>
      <c r="E56" s="145" t="s">
        <v>500</v>
      </c>
      <c r="F56" s="145" t="s">
        <v>501</v>
      </c>
      <c r="G56" s="145" t="s">
        <v>242</v>
      </c>
      <c r="H56" s="145">
        <v>7</v>
      </c>
      <c r="I56" s="145" t="s">
        <v>338</v>
      </c>
      <c r="J56" s="146">
        <v>1838.3333333333333</v>
      </c>
      <c r="K56" s="145">
        <v>32</v>
      </c>
      <c r="L56" s="145" t="s">
        <v>502</v>
      </c>
      <c r="M56" s="145">
        <v>32</v>
      </c>
      <c r="N56" s="145" t="s">
        <v>503</v>
      </c>
      <c r="O56" s="146">
        <v>14335</v>
      </c>
      <c r="P56" s="146">
        <v>1805</v>
      </c>
      <c r="Q56" s="145" t="s">
        <v>338</v>
      </c>
      <c r="R56" s="146">
        <v>14335</v>
      </c>
      <c r="S56" s="147">
        <v>37.330729166666664</v>
      </c>
      <c r="T56" s="145" t="s">
        <v>505</v>
      </c>
      <c r="U56" s="145" t="s">
        <v>338</v>
      </c>
      <c r="V56" s="145" t="s">
        <v>505</v>
      </c>
      <c r="W56" s="145" t="s">
        <v>506</v>
      </c>
      <c r="X56" s="145" t="s">
        <v>514</v>
      </c>
      <c r="Y56" s="145" t="s">
        <v>338</v>
      </c>
      <c r="Z56" s="145" t="s">
        <v>507</v>
      </c>
      <c r="AA56" s="145" t="s">
        <v>624</v>
      </c>
      <c r="AB56" s="145" t="s">
        <v>550</v>
      </c>
      <c r="AC56" s="145" t="s">
        <v>510</v>
      </c>
      <c r="AD56" s="145" t="s">
        <v>523</v>
      </c>
      <c r="AE56" s="145" t="s">
        <v>504</v>
      </c>
      <c r="AF56" s="145" t="s">
        <v>338</v>
      </c>
    </row>
    <row r="57" spans="1:32">
      <c r="A57" s="145" t="s">
        <v>645</v>
      </c>
      <c r="B57" s="145" t="s">
        <v>497</v>
      </c>
      <c r="C57" s="145" t="s">
        <v>498</v>
      </c>
      <c r="D57" s="145" t="s">
        <v>499</v>
      </c>
      <c r="E57" s="145" t="s">
        <v>500</v>
      </c>
      <c r="F57" s="145" t="s">
        <v>501</v>
      </c>
      <c r="G57" s="145" t="s">
        <v>132</v>
      </c>
      <c r="H57" s="145">
        <v>21</v>
      </c>
      <c r="I57" s="145" t="s">
        <v>338</v>
      </c>
      <c r="J57" s="146">
        <v>1208</v>
      </c>
      <c r="K57" s="145">
        <v>15</v>
      </c>
      <c r="L57" s="145" t="s">
        <v>502</v>
      </c>
      <c r="M57" s="145">
        <v>15</v>
      </c>
      <c r="N57" s="145" t="s">
        <v>503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505</v>
      </c>
      <c r="U57" s="145" t="s">
        <v>338</v>
      </c>
      <c r="V57" s="145" t="s">
        <v>504</v>
      </c>
      <c r="W57" s="145" t="s">
        <v>513</v>
      </c>
      <c r="X57" s="145" t="s">
        <v>530</v>
      </c>
      <c r="Y57" s="145" t="s">
        <v>342</v>
      </c>
      <c r="Z57" s="145" t="s">
        <v>507</v>
      </c>
      <c r="AA57" s="145" t="s">
        <v>580</v>
      </c>
      <c r="AB57" s="145" t="s">
        <v>581</v>
      </c>
      <c r="AC57" s="145" t="s">
        <v>510</v>
      </c>
      <c r="AD57" s="145" t="s">
        <v>523</v>
      </c>
      <c r="AE57" s="145" t="s">
        <v>505</v>
      </c>
      <c r="AF57" s="145" t="s">
        <v>338</v>
      </c>
    </row>
    <row r="58" spans="1:32">
      <c r="A58" s="145" t="s">
        <v>646</v>
      </c>
      <c r="B58" s="145" t="s">
        <v>497</v>
      </c>
      <c r="C58" s="145" t="s">
        <v>498</v>
      </c>
      <c r="D58" s="145" t="s">
        <v>499</v>
      </c>
      <c r="E58" s="145" t="s">
        <v>500</v>
      </c>
      <c r="F58" s="145" t="s">
        <v>501</v>
      </c>
      <c r="G58" s="145" t="s">
        <v>122</v>
      </c>
      <c r="H58" s="145">
        <v>31</v>
      </c>
      <c r="I58" s="145" t="s">
        <v>338</v>
      </c>
      <c r="J58" s="146">
        <v>1169.3333333333333</v>
      </c>
      <c r="K58" s="145">
        <v>16</v>
      </c>
      <c r="L58" s="145" t="s">
        <v>502</v>
      </c>
      <c r="M58" s="145">
        <v>16</v>
      </c>
      <c r="N58" s="145" t="s">
        <v>503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505</v>
      </c>
      <c r="U58" s="145" t="s">
        <v>338</v>
      </c>
      <c r="V58" s="145" t="s">
        <v>505</v>
      </c>
      <c r="W58" s="145" t="s">
        <v>506</v>
      </c>
      <c r="X58" s="145" t="s">
        <v>540</v>
      </c>
      <c r="Y58" s="145" t="s">
        <v>338</v>
      </c>
      <c r="Z58" s="145" t="s">
        <v>507</v>
      </c>
      <c r="AA58" s="145" t="s">
        <v>508</v>
      </c>
      <c r="AB58" s="145" t="s">
        <v>509</v>
      </c>
      <c r="AC58" s="145" t="s">
        <v>510</v>
      </c>
      <c r="AD58" s="145" t="s">
        <v>511</v>
      </c>
      <c r="AE58" s="145" t="s">
        <v>504</v>
      </c>
      <c r="AF58" s="145" t="s">
        <v>338</v>
      </c>
    </row>
    <row r="59" spans="1:32">
      <c r="A59" s="145" t="s">
        <v>647</v>
      </c>
      <c r="B59" s="145" t="s">
        <v>497</v>
      </c>
      <c r="C59" s="145" t="s">
        <v>498</v>
      </c>
      <c r="D59" s="145" t="s">
        <v>499</v>
      </c>
      <c r="E59" s="145" t="s">
        <v>500</v>
      </c>
      <c r="F59" s="145" t="s">
        <v>501</v>
      </c>
      <c r="G59" s="145" t="s">
        <v>245</v>
      </c>
      <c r="H59" s="145">
        <v>4</v>
      </c>
      <c r="I59" s="145" t="s">
        <v>338</v>
      </c>
      <c r="J59" s="146">
        <v>2637</v>
      </c>
      <c r="K59" s="145">
        <v>44</v>
      </c>
      <c r="L59" s="145" t="s">
        <v>502</v>
      </c>
      <c r="M59" s="145">
        <v>44</v>
      </c>
      <c r="N59" s="145" t="s">
        <v>503</v>
      </c>
      <c r="O59" s="146">
        <v>13265</v>
      </c>
      <c r="P59" s="146">
        <v>2675</v>
      </c>
      <c r="Q59" s="145" t="s">
        <v>338</v>
      </c>
      <c r="R59" s="146">
        <v>13265</v>
      </c>
      <c r="S59" s="147">
        <v>25.123106060606062</v>
      </c>
      <c r="T59" s="145" t="s">
        <v>505</v>
      </c>
      <c r="U59" s="145" t="s">
        <v>338</v>
      </c>
      <c r="V59" s="145" t="s">
        <v>505</v>
      </c>
      <c r="W59" s="145" t="s">
        <v>506</v>
      </c>
      <c r="X59" s="145" t="s">
        <v>525</v>
      </c>
      <c r="Y59" s="145" t="s">
        <v>342</v>
      </c>
      <c r="Z59" s="145" t="s">
        <v>507</v>
      </c>
      <c r="AA59" s="145" t="s">
        <v>648</v>
      </c>
      <c r="AB59" s="145" t="s">
        <v>648</v>
      </c>
      <c r="AC59" s="145" t="s">
        <v>533</v>
      </c>
      <c r="AD59" s="145" t="s">
        <v>511</v>
      </c>
      <c r="AE59" s="145" t="s">
        <v>504</v>
      </c>
      <c r="AF59" s="145" t="s">
        <v>338</v>
      </c>
    </row>
    <row r="60" spans="1:32">
      <c r="A60" s="145" t="s">
        <v>649</v>
      </c>
      <c r="B60" s="145" t="s">
        <v>497</v>
      </c>
      <c r="C60" s="145" t="s">
        <v>498</v>
      </c>
      <c r="D60" s="145" t="s">
        <v>499</v>
      </c>
      <c r="E60" s="145" t="s">
        <v>500</v>
      </c>
      <c r="F60" s="145" t="s">
        <v>501</v>
      </c>
      <c r="G60" s="145" t="s">
        <v>132</v>
      </c>
      <c r="H60" s="145">
        <v>21</v>
      </c>
      <c r="I60" s="145" t="s">
        <v>338</v>
      </c>
      <c r="J60" s="146">
        <v>1237</v>
      </c>
      <c r="K60" s="145">
        <v>13</v>
      </c>
      <c r="L60" s="145" t="s">
        <v>502</v>
      </c>
      <c r="M60" s="145">
        <v>13</v>
      </c>
      <c r="N60" s="145" t="s">
        <v>503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505</v>
      </c>
      <c r="U60" s="145" t="s">
        <v>338</v>
      </c>
      <c r="V60" s="145" t="s">
        <v>505</v>
      </c>
      <c r="W60" s="145" t="s">
        <v>506</v>
      </c>
      <c r="X60" s="145" t="s">
        <v>540</v>
      </c>
      <c r="Y60" s="145" t="s">
        <v>338</v>
      </c>
      <c r="Z60" s="145" t="s">
        <v>507</v>
      </c>
      <c r="AA60" s="145" t="s">
        <v>553</v>
      </c>
      <c r="AB60" s="145" t="s">
        <v>536</v>
      </c>
      <c r="AC60" s="145" t="s">
        <v>517</v>
      </c>
      <c r="AD60" s="145" t="s">
        <v>518</v>
      </c>
      <c r="AE60" s="145" t="s">
        <v>504</v>
      </c>
      <c r="AF60" s="145" t="s">
        <v>338</v>
      </c>
    </row>
    <row r="61" spans="1:32">
      <c r="A61" s="145" t="s">
        <v>650</v>
      </c>
      <c r="B61" s="145" t="s">
        <v>19</v>
      </c>
      <c r="C61" s="145" t="s">
        <v>498</v>
      </c>
      <c r="D61" s="145" t="s">
        <v>499</v>
      </c>
      <c r="E61" s="145" t="s">
        <v>616</v>
      </c>
      <c r="F61" s="145" t="s">
        <v>501</v>
      </c>
      <c r="G61" s="145" t="s">
        <v>244</v>
      </c>
      <c r="H61" s="145">
        <v>5</v>
      </c>
      <c r="I61" s="145" t="s">
        <v>338</v>
      </c>
      <c r="J61" s="146">
        <v>2178.3333333333335</v>
      </c>
      <c r="K61" s="145">
        <v>51</v>
      </c>
      <c r="L61" s="145" t="s">
        <v>502</v>
      </c>
      <c r="M61" s="145">
        <v>51</v>
      </c>
      <c r="N61" s="145" t="s">
        <v>503</v>
      </c>
      <c r="O61" s="146">
        <v>13057</v>
      </c>
      <c r="P61" s="146">
        <v>1757</v>
      </c>
      <c r="Q61" s="145" t="s">
        <v>338</v>
      </c>
      <c r="R61" s="146">
        <v>13057</v>
      </c>
      <c r="S61" s="147">
        <v>21.334967320261438</v>
      </c>
      <c r="T61" s="145" t="s">
        <v>504</v>
      </c>
      <c r="U61" s="145" t="s">
        <v>338</v>
      </c>
      <c r="V61" s="145" t="s">
        <v>504</v>
      </c>
      <c r="W61" s="145" t="s">
        <v>506</v>
      </c>
      <c r="X61" s="145" t="s">
        <v>514</v>
      </c>
      <c r="Y61" s="145" t="s">
        <v>342</v>
      </c>
      <c r="Z61" s="145" t="s">
        <v>507</v>
      </c>
      <c r="AA61" s="145" t="s">
        <v>651</v>
      </c>
      <c r="AB61" s="145" t="s">
        <v>652</v>
      </c>
      <c r="AC61" s="145" t="s">
        <v>566</v>
      </c>
      <c r="AD61" s="145" t="s">
        <v>653</v>
      </c>
      <c r="AE61" s="145" t="s">
        <v>504</v>
      </c>
      <c r="AF61" s="145" t="s">
        <v>338</v>
      </c>
    </row>
    <row r="62" spans="1:32">
      <c r="A62" s="145" t="s">
        <v>654</v>
      </c>
      <c r="B62" s="145" t="s">
        <v>497</v>
      </c>
      <c r="C62" s="145" t="s">
        <v>498</v>
      </c>
      <c r="D62" s="145" t="s">
        <v>499</v>
      </c>
      <c r="E62" s="145" t="s">
        <v>500</v>
      </c>
      <c r="F62" s="145" t="s">
        <v>501</v>
      </c>
      <c r="G62" s="145" t="s">
        <v>655</v>
      </c>
      <c r="H62" s="145">
        <v>41</v>
      </c>
      <c r="I62" s="145" t="s">
        <v>338</v>
      </c>
      <c r="J62" s="146">
        <v>1340.3333333333333</v>
      </c>
      <c r="K62" s="145">
        <v>22</v>
      </c>
      <c r="L62" s="145" t="s">
        <v>502</v>
      </c>
      <c r="M62" s="145">
        <v>22</v>
      </c>
      <c r="N62" s="145" t="s">
        <v>503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505</v>
      </c>
      <c r="U62" s="145" t="s">
        <v>338</v>
      </c>
      <c r="V62" s="145" t="s">
        <v>505</v>
      </c>
      <c r="W62" s="145" t="s">
        <v>513</v>
      </c>
      <c r="X62" s="145" t="s">
        <v>338</v>
      </c>
      <c r="Y62" s="145" t="s">
        <v>338</v>
      </c>
      <c r="Z62" s="145" t="s">
        <v>507</v>
      </c>
      <c r="AA62" s="145" t="s">
        <v>543</v>
      </c>
      <c r="AB62" s="145" t="s">
        <v>516</v>
      </c>
      <c r="AC62" s="145" t="s">
        <v>517</v>
      </c>
      <c r="AD62" s="145" t="s">
        <v>518</v>
      </c>
      <c r="AE62" s="145" t="s">
        <v>505</v>
      </c>
      <c r="AF62" s="145" t="s">
        <v>338</v>
      </c>
    </row>
    <row r="63" spans="1:32">
      <c r="A63" s="145" t="s">
        <v>656</v>
      </c>
      <c r="B63" s="145" t="s">
        <v>562</v>
      </c>
      <c r="C63" s="145" t="s">
        <v>657</v>
      </c>
      <c r="D63" s="145" t="s">
        <v>338</v>
      </c>
      <c r="E63" s="145" t="s">
        <v>338</v>
      </c>
      <c r="F63" s="145" t="s">
        <v>338</v>
      </c>
      <c r="G63" s="145" t="s">
        <v>620</v>
      </c>
      <c r="H63" s="145">
        <v>42</v>
      </c>
      <c r="I63" s="145" t="s">
        <v>242</v>
      </c>
      <c r="J63" s="146">
        <v>1685.9466666666667</v>
      </c>
      <c r="K63" s="145" t="s">
        <v>338</v>
      </c>
      <c r="L63" s="145" t="s">
        <v>635</v>
      </c>
      <c r="M63" s="145" t="s">
        <v>338</v>
      </c>
      <c r="N63" s="145" t="s">
        <v>338</v>
      </c>
      <c r="O63" s="146">
        <v>12579.53</v>
      </c>
      <c r="P63" s="145" t="s">
        <v>338</v>
      </c>
      <c r="Q63" s="146">
        <v>31133.94</v>
      </c>
      <c r="R63" s="146">
        <v>249.84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5" t="s">
        <v>338</v>
      </c>
      <c r="AA63" s="145" t="s">
        <v>338</v>
      </c>
      <c r="AB63" s="145" t="s">
        <v>338</v>
      </c>
      <c r="AC63" s="145" t="s">
        <v>338</v>
      </c>
      <c r="AD63" s="145" t="s">
        <v>338</v>
      </c>
      <c r="AE63" s="145" t="s">
        <v>338</v>
      </c>
      <c r="AF63" s="145" t="s">
        <v>504</v>
      </c>
    </row>
    <row r="64" spans="1:32">
      <c r="A64" s="145" t="s">
        <v>658</v>
      </c>
      <c r="B64" s="145" t="s">
        <v>497</v>
      </c>
      <c r="C64" s="145" t="s">
        <v>498</v>
      </c>
      <c r="D64" s="145" t="s">
        <v>499</v>
      </c>
      <c r="E64" s="145" t="s">
        <v>500</v>
      </c>
      <c r="F64" s="145" t="s">
        <v>501</v>
      </c>
      <c r="G64" s="145" t="s">
        <v>208</v>
      </c>
      <c r="H64" s="145">
        <v>11</v>
      </c>
      <c r="I64" s="145" t="s">
        <v>338</v>
      </c>
      <c r="J64" s="146">
        <v>1335</v>
      </c>
      <c r="K64" s="145">
        <v>19</v>
      </c>
      <c r="L64" s="145" t="s">
        <v>502</v>
      </c>
      <c r="M64" s="145">
        <v>19</v>
      </c>
      <c r="N64" s="145" t="s">
        <v>503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505</v>
      </c>
      <c r="U64" s="145" t="s">
        <v>338</v>
      </c>
      <c r="V64" s="145" t="s">
        <v>505</v>
      </c>
      <c r="W64" s="145" t="s">
        <v>506</v>
      </c>
      <c r="X64" s="145" t="s">
        <v>525</v>
      </c>
      <c r="Y64" s="145" t="s">
        <v>338</v>
      </c>
      <c r="Z64" s="145" t="s">
        <v>507</v>
      </c>
      <c r="AA64" s="145" t="s">
        <v>543</v>
      </c>
      <c r="AB64" s="145" t="s">
        <v>516</v>
      </c>
      <c r="AC64" s="145" t="s">
        <v>517</v>
      </c>
      <c r="AD64" s="145" t="s">
        <v>518</v>
      </c>
      <c r="AE64" s="145" t="s">
        <v>504</v>
      </c>
      <c r="AF64" s="145" t="s">
        <v>338</v>
      </c>
    </row>
    <row r="65" spans="1:32">
      <c r="A65" s="145" t="s">
        <v>659</v>
      </c>
      <c r="B65" s="145" t="s">
        <v>497</v>
      </c>
      <c r="C65" s="145" t="s">
        <v>498</v>
      </c>
      <c r="D65" s="145" t="s">
        <v>499</v>
      </c>
      <c r="E65" s="145" t="s">
        <v>500</v>
      </c>
      <c r="F65" s="145" t="s">
        <v>501</v>
      </c>
      <c r="G65" s="145" t="s">
        <v>127</v>
      </c>
      <c r="H65" s="145">
        <v>26</v>
      </c>
      <c r="I65" s="145" t="s">
        <v>338</v>
      </c>
      <c r="J65" s="146">
        <v>1129.3333333333333</v>
      </c>
      <c r="K65" s="145">
        <v>17</v>
      </c>
      <c r="L65" s="145" t="s">
        <v>555</v>
      </c>
      <c r="M65" s="145">
        <v>16</v>
      </c>
      <c r="N65" s="145" t="s">
        <v>579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505</v>
      </c>
      <c r="U65" s="145" t="s">
        <v>338</v>
      </c>
      <c r="V65" s="145" t="s">
        <v>505</v>
      </c>
      <c r="W65" s="145" t="s">
        <v>506</v>
      </c>
      <c r="X65" s="145" t="s">
        <v>530</v>
      </c>
      <c r="Y65" s="145" t="s">
        <v>338</v>
      </c>
      <c r="Z65" s="145" t="s">
        <v>507</v>
      </c>
      <c r="AA65" s="145" t="s">
        <v>640</v>
      </c>
      <c r="AB65" s="145" t="s">
        <v>536</v>
      </c>
      <c r="AC65" s="145" t="s">
        <v>517</v>
      </c>
      <c r="AD65" s="145" t="s">
        <v>518</v>
      </c>
      <c r="AE65" s="145" t="s">
        <v>504</v>
      </c>
      <c r="AF65" s="145" t="s">
        <v>338</v>
      </c>
    </row>
    <row r="66" spans="1:32">
      <c r="A66" s="145" t="s">
        <v>660</v>
      </c>
      <c r="B66" s="145" t="s">
        <v>497</v>
      </c>
      <c r="C66" s="145" t="s">
        <v>498</v>
      </c>
      <c r="D66" s="145" t="s">
        <v>499</v>
      </c>
      <c r="E66" s="145" t="s">
        <v>616</v>
      </c>
      <c r="F66" s="145" t="s">
        <v>587</v>
      </c>
      <c r="G66" s="145" t="s">
        <v>201</v>
      </c>
      <c r="H66" s="145">
        <v>18</v>
      </c>
      <c r="I66" s="145" t="s">
        <v>338</v>
      </c>
      <c r="J66" s="146">
        <v>1011.3333333333334</v>
      </c>
      <c r="K66" s="145">
        <v>21</v>
      </c>
      <c r="L66" s="145" t="s">
        <v>502</v>
      </c>
      <c r="M66" s="145">
        <v>21</v>
      </c>
      <c r="N66" s="145" t="s">
        <v>503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505</v>
      </c>
      <c r="U66" s="145" t="s">
        <v>338</v>
      </c>
      <c r="V66" s="145" t="s">
        <v>505</v>
      </c>
      <c r="W66" s="145" t="s">
        <v>506</v>
      </c>
      <c r="X66" s="145" t="s">
        <v>530</v>
      </c>
      <c r="Y66" s="145" t="s">
        <v>338</v>
      </c>
      <c r="Z66" s="145" t="s">
        <v>507</v>
      </c>
      <c r="AA66" s="145" t="s">
        <v>549</v>
      </c>
      <c r="AB66" s="145" t="s">
        <v>550</v>
      </c>
      <c r="AC66" s="145" t="s">
        <v>510</v>
      </c>
      <c r="AD66" s="145" t="s">
        <v>523</v>
      </c>
      <c r="AE66" s="145" t="s">
        <v>504</v>
      </c>
      <c r="AF66" s="145" t="s">
        <v>338</v>
      </c>
    </row>
    <row r="67" spans="1:32">
      <c r="A67" s="145" t="s">
        <v>661</v>
      </c>
      <c r="B67" s="145" t="s">
        <v>497</v>
      </c>
      <c r="C67" s="145" t="s">
        <v>498</v>
      </c>
      <c r="D67" s="145" t="s">
        <v>499</v>
      </c>
      <c r="E67" s="145" t="s">
        <v>500</v>
      </c>
      <c r="F67" s="145" t="s">
        <v>501</v>
      </c>
      <c r="G67" s="145" t="s">
        <v>200</v>
      </c>
      <c r="H67" s="145">
        <v>19</v>
      </c>
      <c r="I67" s="145" t="s">
        <v>338</v>
      </c>
      <c r="J67" s="146">
        <v>922</v>
      </c>
      <c r="K67" s="145">
        <v>11</v>
      </c>
      <c r="L67" s="145" t="s">
        <v>502</v>
      </c>
      <c r="M67" s="145">
        <v>11</v>
      </c>
      <c r="N67" s="145" t="s">
        <v>503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505</v>
      </c>
      <c r="U67" s="145" t="s">
        <v>338</v>
      </c>
      <c r="V67" s="145" t="s">
        <v>504</v>
      </c>
      <c r="W67" s="145" t="s">
        <v>513</v>
      </c>
      <c r="X67" s="145" t="s">
        <v>530</v>
      </c>
      <c r="Y67" s="145" t="s">
        <v>354</v>
      </c>
      <c r="Z67" s="145" t="s">
        <v>507</v>
      </c>
      <c r="AA67" s="145" t="s">
        <v>608</v>
      </c>
      <c r="AB67" s="145" t="s">
        <v>532</v>
      </c>
      <c r="AC67" s="145" t="s">
        <v>533</v>
      </c>
      <c r="AD67" s="145" t="s">
        <v>518</v>
      </c>
      <c r="AE67" s="145" t="s">
        <v>505</v>
      </c>
      <c r="AF67" s="145" t="s">
        <v>338</v>
      </c>
    </row>
    <row r="68" spans="1:32">
      <c r="A68" s="145" t="s">
        <v>662</v>
      </c>
      <c r="B68" s="145" t="s">
        <v>497</v>
      </c>
      <c r="C68" s="145" t="s">
        <v>498</v>
      </c>
      <c r="D68" s="145" t="s">
        <v>499</v>
      </c>
      <c r="E68" s="145" t="s">
        <v>500</v>
      </c>
      <c r="F68" s="145" t="s">
        <v>587</v>
      </c>
      <c r="G68" s="145" t="s">
        <v>208</v>
      </c>
      <c r="H68" s="145">
        <v>11</v>
      </c>
      <c r="I68" s="145" t="s">
        <v>338</v>
      </c>
      <c r="J68" s="146">
        <v>1143.3333333333333</v>
      </c>
      <c r="K68" s="145">
        <v>17</v>
      </c>
      <c r="L68" s="145" t="s">
        <v>502</v>
      </c>
      <c r="M68" s="145">
        <v>17</v>
      </c>
      <c r="N68" s="145" t="s">
        <v>503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505</v>
      </c>
      <c r="U68" s="145" t="s">
        <v>338</v>
      </c>
      <c r="V68" s="145" t="s">
        <v>505</v>
      </c>
      <c r="W68" s="145" t="s">
        <v>506</v>
      </c>
      <c r="X68" s="145" t="s">
        <v>530</v>
      </c>
      <c r="Y68" s="145" t="s">
        <v>338</v>
      </c>
      <c r="Z68" s="145" t="s">
        <v>507</v>
      </c>
      <c r="AA68" s="145" t="s">
        <v>560</v>
      </c>
      <c r="AB68" s="145" t="s">
        <v>557</v>
      </c>
      <c r="AC68" s="145" t="s">
        <v>510</v>
      </c>
      <c r="AD68" s="145" t="s">
        <v>558</v>
      </c>
      <c r="AE68" s="145" t="s">
        <v>504</v>
      </c>
      <c r="AF68" s="145" t="s">
        <v>338</v>
      </c>
    </row>
    <row r="69" spans="1:32">
      <c r="A69" s="145" t="s">
        <v>663</v>
      </c>
      <c r="B69" s="145" t="s">
        <v>497</v>
      </c>
      <c r="C69" s="145" t="s">
        <v>498</v>
      </c>
      <c r="D69" s="145" t="s">
        <v>499</v>
      </c>
      <c r="E69" s="145" t="s">
        <v>500</v>
      </c>
      <c r="F69" s="145" t="s">
        <v>501</v>
      </c>
      <c r="G69" s="145" t="s">
        <v>244</v>
      </c>
      <c r="H69" s="145">
        <v>5</v>
      </c>
      <c r="I69" s="145" t="s">
        <v>338</v>
      </c>
      <c r="J69" s="146">
        <v>1993</v>
      </c>
      <c r="K69" s="145">
        <v>32</v>
      </c>
      <c r="L69" s="145" t="s">
        <v>502</v>
      </c>
      <c r="M69" s="145">
        <v>32</v>
      </c>
      <c r="N69" s="145" t="s">
        <v>503</v>
      </c>
      <c r="O69" s="146">
        <v>11776</v>
      </c>
      <c r="P69" s="146">
        <v>1908</v>
      </c>
      <c r="Q69" s="145" t="s">
        <v>338</v>
      </c>
      <c r="R69" s="146">
        <v>11776</v>
      </c>
      <c r="S69" s="147">
        <v>30.666666666666668</v>
      </c>
      <c r="T69" s="145" t="s">
        <v>505</v>
      </c>
      <c r="U69" s="145" t="s">
        <v>338</v>
      </c>
      <c r="V69" s="145" t="s">
        <v>504</v>
      </c>
      <c r="W69" s="145" t="s">
        <v>506</v>
      </c>
      <c r="X69" s="145" t="s">
        <v>530</v>
      </c>
      <c r="Y69" s="145" t="s">
        <v>342</v>
      </c>
      <c r="Z69" s="145" t="s">
        <v>507</v>
      </c>
      <c r="AA69" s="145" t="s">
        <v>664</v>
      </c>
      <c r="AB69" s="145" t="s">
        <v>665</v>
      </c>
      <c r="AC69" s="145" t="s">
        <v>517</v>
      </c>
      <c r="AD69" s="145" t="s">
        <v>558</v>
      </c>
      <c r="AE69" s="145" t="s">
        <v>504</v>
      </c>
      <c r="AF69" s="145" t="s">
        <v>338</v>
      </c>
    </row>
    <row r="70" spans="1:32">
      <c r="A70" s="145" t="s">
        <v>666</v>
      </c>
      <c r="B70" s="145" t="s">
        <v>497</v>
      </c>
      <c r="C70" s="145" t="s">
        <v>632</v>
      </c>
      <c r="D70" s="145" t="s">
        <v>667</v>
      </c>
      <c r="E70" s="145" t="s">
        <v>338</v>
      </c>
      <c r="F70" s="145" t="s">
        <v>338</v>
      </c>
      <c r="G70" s="145" t="s">
        <v>634</v>
      </c>
      <c r="H70" s="145">
        <v>63</v>
      </c>
      <c r="I70" s="145" t="s">
        <v>338</v>
      </c>
      <c r="J70" s="146">
        <v>995</v>
      </c>
      <c r="K70" s="145" t="s">
        <v>338</v>
      </c>
      <c r="L70" s="145" t="s">
        <v>668</v>
      </c>
      <c r="M70" s="145" t="s">
        <v>338</v>
      </c>
      <c r="N70" s="145" t="s">
        <v>338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338</v>
      </c>
      <c r="T70" s="145" t="s">
        <v>505</v>
      </c>
      <c r="U70" s="145" t="s">
        <v>338</v>
      </c>
      <c r="V70" s="145" t="s">
        <v>505</v>
      </c>
      <c r="W70" s="145" t="s">
        <v>338</v>
      </c>
      <c r="X70" s="145" t="s">
        <v>338</v>
      </c>
      <c r="Y70" s="145" t="s">
        <v>338</v>
      </c>
      <c r="Z70" s="145" t="s">
        <v>507</v>
      </c>
      <c r="AA70" s="145" t="s">
        <v>669</v>
      </c>
      <c r="AB70" s="145" t="s">
        <v>637</v>
      </c>
      <c r="AC70" s="145" t="s">
        <v>638</v>
      </c>
      <c r="AD70" s="145" t="s">
        <v>523</v>
      </c>
      <c r="AE70" s="145" t="s">
        <v>505</v>
      </c>
      <c r="AF70" s="145" t="s">
        <v>338</v>
      </c>
    </row>
    <row r="71" spans="1:32">
      <c r="A71" s="145" t="s">
        <v>670</v>
      </c>
      <c r="B71" s="145" t="s">
        <v>497</v>
      </c>
      <c r="C71" s="145" t="s">
        <v>498</v>
      </c>
      <c r="D71" s="145" t="s">
        <v>499</v>
      </c>
      <c r="E71" s="145" t="s">
        <v>616</v>
      </c>
      <c r="F71" s="145" t="s">
        <v>587</v>
      </c>
      <c r="G71" s="145" t="s">
        <v>243</v>
      </c>
      <c r="H71" s="145">
        <v>6</v>
      </c>
      <c r="I71" s="145" t="s">
        <v>338</v>
      </c>
      <c r="J71" s="146">
        <v>2082</v>
      </c>
      <c r="K71" s="145">
        <v>37</v>
      </c>
      <c r="L71" s="145" t="s">
        <v>502</v>
      </c>
      <c r="M71" s="145">
        <v>37</v>
      </c>
      <c r="N71" s="145" t="s">
        <v>503</v>
      </c>
      <c r="O71" s="146">
        <v>11515</v>
      </c>
      <c r="P71" s="146">
        <v>2164</v>
      </c>
      <c r="Q71" s="145" t="s">
        <v>338</v>
      </c>
      <c r="R71" s="146">
        <v>11515</v>
      </c>
      <c r="S71" s="147">
        <v>25.934684684684687</v>
      </c>
      <c r="T71" s="145" t="s">
        <v>505</v>
      </c>
      <c r="U71" s="145" t="s">
        <v>338</v>
      </c>
      <c r="V71" s="145" t="s">
        <v>505</v>
      </c>
      <c r="W71" s="145" t="s">
        <v>506</v>
      </c>
      <c r="X71" s="145" t="s">
        <v>610</v>
      </c>
      <c r="Y71" s="145" t="s">
        <v>342</v>
      </c>
      <c r="Z71" s="145" t="s">
        <v>507</v>
      </c>
      <c r="AA71" s="145" t="s">
        <v>591</v>
      </c>
      <c r="AB71" s="145" t="s">
        <v>527</v>
      </c>
      <c r="AC71" s="145" t="s">
        <v>517</v>
      </c>
      <c r="AD71" s="145" t="s">
        <v>511</v>
      </c>
      <c r="AE71" s="145" t="s">
        <v>504</v>
      </c>
      <c r="AF71" s="145" t="s">
        <v>338</v>
      </c>
    </row>
    <row r="72" spans="1:32">
      <c r="A72" s="145" t="s">
        <v>671</v>
      </c>
      <c r="B72" s="145" t="s">
        <v>497</v>
      </c>
      <c r="C72" s="145" t="s">
        <v>498</v>
      </c>
      <c r="D72" s="145" t="s">
        <v>499</v>
      </c>
      <c r="E72" s="145" t="s">
        <v>500</v>
      </c>
      <c r="F72" s="145" t="s">
        <v>501</v>
      </c>
      <c r="G72" s="145" t="s">
        <v>548</v>
      </c>
      <c r="H72" s="145">
        <v>34</v>
      </c>
      <c r="I72" s="145" t="s">
        <v>338</v>
      </c>
      <c r="J72" s="146">
        <v>1460.6666666666667</v>
      </c>
      <c r="K72" s="145">
        <v>19</v>
      </c>
      <c r="L72" s="145" t="s">
        <v>502</v>
      </c>
      <c r="M72" s="145">
        <v>19</v>
      </c>
      <c r="N72" s="145" t="s">
        <v>503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504</v>
      </c>
      <c r="U72" s="145">
        <v>6</v>
      </c>
      <c r="V72" s="145" t="s">
        <v>504</v>
      </c>
      <c r="W72" s="145" t="s">
        <v>506</v>
      </c>
      <c r="X72" s="145" t="s">
        <v>530</v>
      </c>
      <c r="Y72" s="145" t="s">
        <v>342</v>
      </c>
      <c r="Z72" s="145" t="s">
        <v>507</v>
      </c>
      <c r="AA72" s="145" t="s">
        <v>640</v>
      </c>
      <c r="AB72" s="145" t="s">
        <v>536</v>
      </c>
      <c r="AC72" s="145" t="s">
        <v>517</v>
      </c>
      <c r="AD72" s="145" t="s">
        <v>518</v>
      </c>
      <c r="AE72" s="145" t="s">
        <v>504</v>
      </c>
      <c r="AF72" s="145" t="s">
        <v>338</v>
      </c>
    </row>
    <row r="73" spans="1:32">
      <c r="A73" s="145" t="s">
        <v>672</v>
      </c>
      <c r="B73" s="145" t="s">
        <v>497</v>
      </c>
      <c r="C73" s="145" t="s">
        <v>498</v>
      </c>
      <c r="D73" s="145" t="s">
        <v>499</v>
      </c>
      <c r="E73" s="145" t="s">
        <v>500</v>
      </c>
      <c r="F73" s="145" t="s">
        <v>501</v>
      </c>
      <c r="G73" s="145" t="s">
        <v>207</v>
      </c>
      <c r="H73" s="145">
        <v>12</v>
      </c>
      <c r="I73" s="145" t="s">
        <v>338</v>
      </c>
      <c r="J73" s="146">
        <v>1231.6666666666667</v>
      </c>
      <c r="K73" s="145">
        <v>28</v>
      </c>
      <c r="L73" s="145" t="s">
        <v>502</v>
      </c>
      <c r="M73" s="145">
        <v>28</v>
      </c>
      <c r="N73" s="145" t="s">
        <v>503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505</v>
      </c>
      <c r="U73" s="145" t="s">
        <v>338</v>
      </c>
      <c r="V73" s="145" t="s">
        <v>505</v>
      </c>
      <c r="W73" s="145" t="s">
        <v>506</v>
      </c>
      <c r="X73" s="145" t="s">
        <v>530</v>
      </c>
      <c r="Y73" s="145" t="s">
        <v>354</v>
      </c>
      <c r="Z73" s="145" t="s">
        <v>507</v>
      </c>
      <c r="AA73" s="145" t="s">
        <v>643</v>
      </c>
      <c r="AB73" s="145" t="s">
        <v>546</v>
      </c>
      <c r="AC73" s="145" t="s">
        <v>533</v>
      </c>
      <c r="AD73" s="145" t="s">
        <v>523</v>
      </c>
      <c r="AE73" s="145" t="s">
        <v>504</v>
      </c>
      <c r="AF73" s="145" t="s">
        <v>338</v>
      </c>
    </row>
    <row r="74" spans="1:32">
      <c r="A74" s="145" t="s">
        <v>673</v>
      </c>
      <c r="B74" s="145" t="s">
        <v>497</v>
      </c>
      <c r="C74" s="145" t="s">
        <v>498</v>
      </c>
      <c r="D74" s="145" t="s">
        <v>499</v>
      </c>
      <c r="E74" s="145" t="s">
        <v>500</v>
      </c>
      <c r="F74" s="145" t="s">
        <v>501</v>
      </c>
      <c r="G74" s="145" t="s">
        <v>200</v>
      </c>
      <c r="H74" s="145">
        <v>19</v>
      </c>
      <c r="I74" s="145" t="s">
        <v>338</v>
      </c>
      <c r="J74" s="146">
        <v>1125</v>
      </c>
      <c r="K74" s="145">
        <v>13</v>
      </c>
      <c r="L74" s="145" t="s">
        <v>502</v>
      </c>
      <c r="M74" s="145">
        <v>13</v>
      </c>
      <c r="N74" s="145" t="s">
        <v>503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505</v>
      </c>
      <c r="U74" s="145" t="s">
        <v>338</v>
      </c>
      <c r="V74" s="145" t="s">
        <v>505</v>
      </c>
      <c r="W74" s="145" t="s">
        <v>506</v>
      </c>
      <c r="X74" s="145" t="s">
        <v>540</v>
      </c>
      <c r="Y74" s="145" t="s">
        <v>338</v>
      </c>
      <c r="Z74" s="145" t="s">
        <v>507</v>
      </c>
      <c r="AA74" s="145" t="s">
        <v>600</v>
      </c>
      <c r="AB74" s="145" t="s">
        <v>527</v>
      </c>
      <c r="AC74" s="145" t="s">
        <v>517</v>
      </c>
      <c r="AD74" s="145" t="s">
        <v>511</v>
      </c>
      <c r="AE74" s="145" t="s">
        <v>504</v>
      </c>
      <c r="AF74" s="145" t="s">
        <v>338</v>
      </c>
    </row>
    <row r="75" spans="1:32">
      <c r="A75" s="145" t="s">
        <v>674</v>
      </c>
      <c r="B75" s="145" t="s">
        <v>497</v>
      </c>
      <c r="C75" s="145" t="s">
        <v>498</v>
      </c>
      <c r="D75" s="145" t="s">
        <v>499</v>
      </c>
      <c r="E75" s="145" t="s">
        <v>500</v>
      </c>
      <c r="F75" s="145" t="s">
        <v>501</v>
      </c>
      <c r="G75" s="145" t="s">
        <v>243</v>
      </c>
      <c r="H75" s="145">
        <v>6</v>
      </c>
      <c r="I75" s="145" t="s">
        <v>338</v>
      </c>
      <c r="J75" s="146">
        <v>1696</v>
      </c>
      <c r="K75" s="145">
        <v>14</v>
      </c>
      <c r="L75" s="145" t="s">
        <v>502</v>
      </c>
      <c r="M75" s="145">
        <v>14</v>
      </c>
      <c r="N75" s="145" t="s">
        <v>503</v>
      </c>
      <c r="O75" s="146">
        <v>10779</v>
      </c>
      <c r="P75" s="146">
        <v>1696</v>
      </c>
      <c r="Q75" s="145" t="s">
        <v>338</v>
      </c>
      <c r="R75" s="146">
        <v>10779</v>
      </c>
      <c r="S75" s="147">
        <v>64.160714285714292</v>
      </c>
      <c r="T75" s="145" t="s">
        <v>504</v>
      </c>
      <c r="U75" s="145" t="s">
        <v>338</v>
      </c>
      <c r="V75" s="145" t="s">
        <v>505</v>
      </c>
      <c r="W75" s="145" t="s">
        <v>506</v>
      </c>
      <c r="X75" s="145" t="s">
        <v>514</v>
      </c>
      <c r="Y75" s="145" t="s">
        <v>342</v>
      </c>
      <c r="Z75" s="145" t="s">
        <v>507</v>
      </c>
      <c r="AA75" s="145" t="s">
        <v>648</v>
      </c>
      <c r="AB75" s="145" t="s">
        <v>648</v>
      </c>
      <c r="AC75" s="145" t="s">
        <v>533</v>
      </c>
      <c r="AD75" s="145" t="s">
        <v>511</v>
      </c>
      <c r="AE75" s="145" t="s">
        <v>504</v>
      </c>
      <c r="AF75" s="145" t="s">
        <v>338</v>
      </c>
    </row>
    <row r="76" spans="1:32">
      <c r="A76" s="145" t="s">
        <v>675</v>
      </c>
      <c r="B76" s="145" t="s">
        <v>497</v>
      </c>
      <c r="C76" s="145" t="s">
        <v>498</v>
      </c>
      <c r="D76" s="145" t="s">
        <v>499</v>
      </c>
      <c r="E76" s="145" t="s">
        <v>500</v>
      </c>
      <c r="F76" s="145" t="s">
        <v>501</v>
      </c>
      <c r="G76" s="145" t="s">
        <v>588</v>
      </c>
      <c r="H76" s="145">
        <v>32</v>
      </c>
      <c r="I76" s="145" t="s">
        <v>338</v>
      </c>
      <c r="J76" s="146">
        <v>855</v>
      </c>
      <c r="K76" s="145">
        <v>9</v>
      </c>
      <c r="L76" s="145" t="s">
        <v>502</v>
      </c>
      <c r="M76" s="145">
        <v>9</v>
      </c>
      <c r="N76" s="145" t="s">
        <v>503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504</v>
      </c>
      <c r="U76" s="145">
        <v>11</v>
      </c>
      <c r="V76" s="145" t="s">
        <v>504</v>
      </c>
      <c r="W76" s="145" t="s">
        <v>506</v>
      </c>
      <c r="X76" s="145" t="s">
        <v>610</v>
      </c>
      <c r="Y76" s="145" t="s">
        <v>342</v>
      </c>
      <c r="Z76" s="145" t="s">
        <v>507</v>
      </c>
      <c r="AA76" s="145" t="s">
        <v>640</v>
      </c>
      <c r="AB76" s="145" t="s">
        <v>536</v>
      </c>
      <c r="AC76" s="145" t="s">
        <v>517</v>
      </c>
      <c r="AD76" s="145" t="s">
        <v>518</v>
      </c>
      <c r="AE76" s="145" t="s">
        <v>504</v>
      </c>
      <c r="AF76" s="145" t="s">
        <v>338</v>
      </c>
    </row>
    <row r="77" spans="1:32">
      <c r="A77" s="145" t="s">
        <v>676</v>
      </c>
      <c r="B77" s="145" t="s">
        <v>497</v>
      </c>
      <c r="C77" s="145" t="s">
        <v>498</v>
      </c>
      <c r="D77" s="145" t="s">
        <v>499</v>
      </c>
      <c r="E77" s="145" t="s">
        <v>500</v>
      </c>
      <c r="F77" s="145" t="s">
        <v>501</v>
      </c>
      <c r="G77" s="145" t="s">
        <v>588</v>
      </c>
      <c r="H77" s="145">
        <v>32</v>
      </c>
      <c r="I77" s="145" t="s">
        <v>338</v>
      </c>
      <c r="J77" s="146">
        <v>1100</v>
      </c>
      <c r="K77" s="145">
        <v>15</v>
      </c>
      <c r="L77" s="145" t="s">
        <v>502</v>
      </c>
      <c r="M77" s="145">
        <v>15</v>
      </c>
      <c r="N77" s="145" t="s">
        <v>503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505</v>
      </c>
      <c r="U77" s="145" t="s">
        <v>338</v>
      </c>
      <c r="V77" s="145" t="s">
        <v>505</v>
      </c>
      <c r="W77" s="145" t="s">
        <v>513</v>
      </c>
      <c r="X77" s="145" t="s">
        <v>530</v>
      </c>
      <c r="Y77" s="145" t="s">
        <v>338</v>
      </c>
      <c r="Z77" s="145" t="s">
        <v>507</v>
      </c>
      <c r="AA77" s="145" t="s">
        <v>515</v>
      </c>
      <c r="AB77" s="145" t="s">
        <v>516</v>
      </c>
      <c r="AC77" s="145" t="s">
        <v>517</v>
      </c>
      <c r="AD77" s="145" t="s">
        <v>518</v>
      </c>
      <c r="AE77" s="145" t="s">
        <v>505</v>
      </c>
      <c r="AF77" s="145" t="s">
        <v>338</v>
      </c>
    </row>
    <row r="78" spans="1:32">
      <c r="A78" s="145" t="s">
        <v>677</v>
      </c>
      <c r="B78" s="145" t="s">
        <v>497</v>
      </c>
      <c r="C78" s="145" t="s">
        <v>678</v>
      </c>
      <c r="D78" s="145" t="s">
        <v>679</v>
      </c>
      <c r="E78" s="145" t="s">
        <v>338</v>
      </c>
      <c r="F78" s="145" t="s">
        <v>338</v>
      </c>
      <c r="G78" s="145" t="s">
        <v>200</v>
      </c>
      <c r="H78" s="145">
        <v>19</v>
      </c>
      <c r="I78" s="145" t="s">
        <v>338</v>
      </c>
      <c r="J78" s="146">
        <v>828.66666666666663</v>
      </c>
      <c r="K78" s="145">
        <v>14</v>
      </c>
      <c r="L78" s="145" t="s">
        <v>502</v>
      </c>
      <c r="M78" s="145">
        <v>14</v>
      </c>
      <c r="N78" s="145" t="s">
        <v>503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505</v>
      </c>
      <c r="U78" s="145" t="s">
        <v>338</v>
      </c>
      <c r="V78" s="145" t="s">
        <v>505</v>
      </c>
      <c r="W78" s="145" t="s">
        <v>338</v>
      </c>
      <c r="X78" s="145" t="s">
        <v>530</v>
      </c>
      <c r="Y78" s="145" t="s">
        <v>338</v>
      </c>
      <c r="Z78" s="145" t="s">
        <v>595</v>
      </c>
      <c r="AA78" s="145" t="s">
        <v>680</v>
      </c>
      <c r="AB78" s="145" t="s">
        <v>681</v>
      </c>
      <c r="AC78" s="145" t="s">
        <v>638</v>
      </c>
      <c r="AD78" s="145" t="s">
        <v>682</v>
      </c>
      <c r="AE78" s="145" t="s">
        <v>505</v>
      </c>
      <c r="AF78" s="145" t="s">
        <v>338</v>
      </c>
    </row>
    <row r="79" spans="1:32">
      <c r="A79" s="145" t="s">
        <v>683</v>
      </c>
      <c r="B79" s="145" t="s">
        <v>562</v>
      </c>
      <c r="C79" s="145" t="s">
        <v>498</v>
      </c>
      <c r="D79" s="145" t="s">
        <v>499</v>
      </c>
      <c r="E79" s="145" t="s">
        <v>500</v>
      </c>
      <c r="F79" s="145" t="s">
        <v>501</v>
      </c>
      <c r="G79" s="145" t="s">
        <v>133</v>
      </c>
      <c r="H79" s="145">
        <v>20</v>
      </c>
      <c r="I79" s="145" t="s">
        <v>338</v>
      </c>
      <c r="J79" s="146">
        <v>1450</v>
      </c>
      <c r="K79" s="145">
        <v>13</v>
      </c>
      <c r="L79" s="145" t="s">
        <v>563</v>
      </c>
      <c r="M79" s="145">
        <v>0</v>
      </c>
      <c r="N79" s="145" t="s">
        <v>564</v>
      </c>
      <c r="O79" s="146">
        <v>10555</v>
      </c>
      <c r="P79" s="145" t="s">
        <v>338</v>
      </c>
      <c r="Q79" s="146">
        <v>14635</v>
      </c>
      <c r="R79" s="146">
        <v>4350</v>
      </c>
      <c r="S79" s="147">
        <v>67.660256410256409</v>
      </c>
      <c r="T79" s="145" t="s">
        <v>505</v>
      </c>
      <c r="U79" s="145" t="s">
        <v>338</v>
      </c>
      <c r="V79" s="145" t="s">
        <v>505</v>
      </c>
      <c r="W79" s="145" t="s">
        <v>338</v>
      </c>
      <c r="X79" s="145" t="s">
        <v>338</v>
      </c>
      <c r="Y79" s="145" t="s">
        <v>338</v>
      </c>
      <c r="Z79" s="145" t="s">
        <v>338</v>
      </c>
      <c r="AA79" s="145" t="s">
        <v>591</v>
      </c>
      <c r="AB79" s="145" t="s">
        <v>527</v>
      </c>
      <c r="AC79" s="145" t="s">
        <v>338</v>
      </c>
      <c r="AD79" s="145" t="s">
        <v>338</v>
      </c>
      <c r="AE79" s="145" t="s">
        <v>505</v>
      </c>
      <c r="AF79" s="145" t="s">
        <v>338</v>
      </c>
    </row>
    <row r="80" spans="1:32">
      <c r="A80" s="145" t="s">
        <v>684</v>
      </c>
      <c r="B80" s="145" t="s">
        <v>497</v>
      </c>
      <c r="C80" s="145" t="s">
        <v>498</v>
      </c>
      <c r="D80" s="145" t="s">
        <v>499</v>
      </c>
      <c r="E80" s="145" t="s">
        <v>607</v>
      </c>
      <c r="F80" s="145" t="s">
        <v>594</v>
      </c>
      <c r="G80" s="145" t="s">
        <v>211</v>
      </c>
      <c r="H80" s="145">
        <v>8</v>
      </c>
      <c r="I80" s="145" t="s">
        <v>338</v>
      </c>
      <c r="J80" s="146">
        <v>1280</v>
      </c>
      <c r="K80" s="145">
        <v>45</v>
      </c>
      <c r="L80" s="145" t="s">
        <v>502</v>
      </c>
      <c r="M80" s="145">
        <v>45</v>
      </c>
      <c r="N80" s="145" t="s">
        <v>503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505</v>
      </c>
      <c r="U80" s="145" t="s">
        <v>338</v>
      </c>
      <c r="V80" s="145" t="s">
        <v>505</v>
      </c>
      <c r="W80" s="145" t="s">
        <v>506</v>
      </c>
      <c r="X80" s="145" t="s">
        <v>514</v>
      </c>
      <c r="Y80" s="145" t="s">
        <v>338</v>
      </c>
      <c r="Z80" s="145" t="s">
        <v>507</v>
      </c>
      <c r="AA80" s="145" t="s">
        <v>600</v>
      </c>
      <c r="AB80" s="145" t="s">
        <v>527</v>
      </c>
      <c r="AC80" s="145" t="s">
        <v>517</v>
      </c>
      <c r="AD80" s="145" t="s">
        <v>511</v>
      </c>
      <c r="AE80" s="145" t="s">
        <v>504</v>
      </c>
      <c r="AF80" s="145" t="s">
        <v>338</v>
      </c>
    </row>
    <row r="81" spans="1:32">
      <c r="A81" s="145" t="s">
        <v>685</v>
      </c>
      <c r="B81" s="145" t="s">
        <v>497</v>
      </c>
      <c r="C81" s="145" t="s">
        <v>498</v>
      </c>
      <c r="D81" s="145" t="s">
        <v>499</v>
      </c>
      <c r="E81" s="145" t="s">
        <v>500</v>
      </c>
      <c r="F81" s="145" t="s">
        <v>501</v>
      </c>
      <c r="G81" s="145" t="s">
        <v>122</v>
      </c>
      <c r="H81" s="145">
        <v>31</v>
      </c>
      <c r="I81" s="145" t="s">
        <v>338</v>
      </c>
      <c r="J81" s="146">
        <v>1115</v>
      </c>
      <c r="K81" s="145">
        <v>14</v>
      </c>
      <c r="L81" s="145" t="s">
        <v>502</v>
      </c>
      <c r="M81" s="145">
        <v>14</v>
      </c>
      <c r="N81" s="145" t="s">
        <v>503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505</v>
      </c>
      <c r="U81" s="145" t="s">
        <v>338</v>
      </c>
      <c r="V81" s="145" t="s">
        <v>505</v>
      </c>
      <c r="W81" s="145" t="s">
        <v>506</v>
      </c>
      <c r="X81" s="145" t="s">
        <v>514</v>
      </c>
      <c r="Y81" s="145" t="s">
        <v>338</v>
      </c>
      <c r="Z81" s="145" t="s">
        <v>507</v>
      </c>
      <c r="AA81" s="145" t="s">
        <v>584</v>
      </c>
      <c r="AB81" s="145" t="s">
        <v>581</v>
      </c>
      <c r="AC81" s="145" t="s">
        <v>510</v>
      </c>
      <c r="AD81" s="145" t="s">
        <v>523</v>
      </c>
      <c r="AE81" s="145" t="s">
        <v>504</v>
      </c>
      <c r="AF81" s="145" t="s">
        <v>338</v>
      </c>
    </row>
    <row r="82" spans="1:32">
      <c r="A82" s="145" t="s">
        <v>686</v>
      </c>
      <c r="B82" s="145" t="s">
        <v>562</v>
      </c>
      <c r="C82" s="145" t="s">
        <v>657</v>
      </c>
      <c r="D82" s="145" t="s">
        <v>338</v>
      </c>
      <c r="E82" s="145" t="s">
        <v>338</v>
      </c>
      <c r="F82" s="145" t="s">
        <v>338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338</v>
      </c>
      <c r="L82" s="145" t="s">
        <v>635</v>
      </c>
      <c r="M82" s="145" t="s">
        <v>338</v>
      </c>
      <c r="N82" s="145" t="s">
        <v>338</v>
      </c>
      <c r="O82" s="146">
        <v>10240</v>
      </c>
      <c r="P82" s="145" t="s">
        <v>338</v>
      </c>
      <c r="Q82" s="146">
        <v>16573.55</v>
      </c>
      <c r="R82" s="146">
        <v>2485</v>
      </c>
      <c r="S82" s="145" t="s">
        <v>338</v>
      </c>
      <c r="T82" s="145" t="s">
        <v>338</v>
      </c>
      <c r="U82" s="145" t="s">
        <v>338</v>
      </c>
      <c r="V82" s="145" t="s">
        <v>338</v>
      </c>
      <c r="W82" s="145" t="s">
        <v>338</v>
      </c>
      <c r="X82" s="145" t="s">
        <v>338</v>
      </c>
      <c r="Y82" s="145" t="s">
        <v>338</v>
      </c>
      <c r="Z82" s="145" t="s">
        <v>338</v>
      </c>
      <c r="AA82" s="145" t="s">
        <v>338</v>
      </c>
      <c r="AB82" s="145" t="s">
        <v>338</v>
      </c>
      <c r="AC82" s="145" t="s">
        <v>338</v>
      </c>
      <c r="AD82" s="145" t="s">
        <v>338</v>
      </c>
      <c r="AE82" s="145" t="s">
        <v>338</v>
      </c>
      <c r="AF82" s="145" t="s">
        <v>505</v>
      </c>
    </row>
    <row r="83" spans="1:32">
      <c r="A83" s="145" t="s">
        <v>687</v>
      </c>
      <c r="B83" s="145" t="s">
        <v>497</v>
      </c>
      <c r="C83" s="145" t="s">
        <v>498</v>
      </c>
      <c r="D83" s="145" t="s">
        <v>499</v>
      </c>
      <c r="E83" s="145" t="s">
        <v>500</v>
      </c>
      <c r="F83" s="145" t="s">
        <v>501</v>
      </c>
      <c r="G83" s="145" t="s">
        <v>122</v>
      </c>
      <c r="H83" s="145">
        <v>31</v>
      </c>
      <c r="I83" s="145" t="s">
        <v>338</v>
      </c>
      <c r="J83" s="146">
        <v>971.33333333333337</v>
      </c>
      <c r="K83" s="145">
        <v>13</v>
      </c>
      <c r="L83" s="145" t="s">
        <v>502</v>
      </c>
      <c r="M83" s="145">
        <v>13</v>
      </c>
      <c r="N83" s="145" t="s">
        <v>503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504</v>
      </c>
      <c r="U83" s="145">
        <v>1</v>
      </c>
      <c r="V83" s="145" t="s">
        <v>505</v>
      </c>
      <c r="W83" s="145" t="s">
        <v>506</v>
      </c>
      <c r="X83" s="145" t="s">
        <v>514</v>
      </c>
      <c r="Y83" s="145" t="s">
        <v>338</v>
      </c>
      <c r="Z83" s="145" t="s">
        <v>507</v>
      </c>
      <c r="AA83" s="145" t="s">
        <v>589</v>
      </c>
      <c r="AB83" s="145" t="s">
        <v>581</v>
      </c>
      <c r="AC83" s="145" t="s">
        <v>510</v>
      </c>
      <c r="AD83" s="145" t="s">
        <v>523</v>
      </c>
      <c r="AE83" s="145" t="s">
        <v>504</v>
      </c>
      <c r="AF83" s="145" t="s">
        <v>338</v>
      </c>
    </row>
    <row r="84" spans="1:32">
      <c r="A84" s="145" t="s">
        <v>688</v>
      </c>
      <c r="B84" s="145" t="s">
        <v>562</v>
      </c>
      <c r="C84" s="145" t="s">
        <v>632</v>
      </c>
      <c r="D84" s="145" t="s">
        <v>689</v>
      </c>
      <c r="E84" s="145" t="s">
        <v>338</v>
      </c>
      <c r="F84" s="145" t="s">
        <v>338</v>
      </c>
      <c r="G84" s="145" t="s">
        <v>690</v>
      </c>
      <c r="H84" s="145">
        <v>45</v>
      </c>
      <c r="I84" s="145" t="s">
        <v>622</v>
      </c>
      <c r="J84" s="146">
        <v>850</v>
      </c>
      <c r="K84" s="145" t="s">
        <v>338</v>
      </c>
      <c r="L84" s="145" t="s">
        <v>635</v>
      </c>
      <c r="M84" s="145" t="s">
        <v>338</v>
      </c>
      <c r="N84" s="145" t="s">
        <v>338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338</v>
      </c>
      <c r="T84" s="145" t="s">
        <v>505</v>
      </c>
      <c r="U84" s="145" t="s">
        <v>338</v>
      </c>
      <c r="V84" s="145" t="s">
        <v>505</v>
      </c>
      <c r="W84" s="145" t="s">
        <v>338</v>
      </c>
      <c r="X84" s="145" t="s">
        <v>338</v>
      </c>
      <c r="Y84" s="145" t="s">
        <v>338</v>
      </c>
      <c r="Z84" s="145" t="s">
        <v>595</v>
      </c>
      <c r="AA84" s="145" t="s">
        <v>669</v>
      </c>
      <c r="AB84" s="145" t="s">
        <v>637</v>
      </c>
      <c r="AC84" s="145" t="s">
        <v>638</v>
      </c>
      <c r="AD84" s="145" t="s">
        <v>523</v>
      </c>
      <c r="AE84" s="145" t="s">
        <v>505</v>
      </c>
      <c r="AF84" s="145" t="s">
        <v>505</v>
      </c>
    </row>
    <row r="85" spans="1:32">
      <c r="A85" s="145" t="s">
        <v>691</v>
      </c>
      <c r="B85" s="145" t="s">
        <v>497</v>
      </c>
      <c r="C85" s="145" t="s">
        <v>498</v>
      </c>
      <c r="D85" s="145" t="s">
        <v>499</v>
      </c>
      <c r="E85" s="145" t="s">
        <v>500</v>
      </c>
      <c r="F85" s="145" t="s">
        <v>501</v>
      </c>
      <c r="G85" s="145" t="s">
        <v>692</v>
      </c>
      <c r="H85" s="145">
        <v>39</v>
      </c>
      <c r="I85" s="145" t="s">
        <v>338</v>
      </c>
      <c r="J85" s="146">
        <v>1038</v>
      </c>
      <c r="K85" s="145">
        <v>11</v>
      </c>
      <c r="L85" s="145" t="s">
        <v>502</v>
      </c>
      <c r="M85" s="145">
        <v>11</v>
      </c>
      <c r="N85" s="145" t="s">
        <v>503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505</v>
      </c>
      <c r="U85" s="145" t="s">
        <v>338</v>
      </c>
      <c r="V85" s="145" t="s">
        <v>504</v>
      </c>
      <c r="W85" s="145" t="s">
        <v>513</v>
      </c>
      <c r="X85" s="145" t="s">
        <v>610</v>
      </c>
      <c r="Y85" s="145" t="s">
        <v>354</v>
      </c>
      <c r="Z85" s="145" t="s">
        <v>507</v>
      </c>
      <c r="AA85" s="145" t="s">
        <v>584</v>
      </c>
      <c r="AB85" s="145" t="s">
        <v>581</v>
      </c>
      <c r="AC85" s="145" t="s">
        <v>510</v>
      </c>
      <c r="AD85" s="145" t="s">
        <v>523</v>
      </c>
      <c r="AE85" s="145" t="s">
        <v>505</v>
      </c>
      <c r="AF85" s="145" t="s">
        <v>338</v>
      </c>
    </row>
    <row r="86" spans="1:32">
      <c r="A86" s="145" t="s">
        <v>693</v>
      </c>
      <c r="B86" s="145" t="s">
        <v>497</v>
      </c>
      <c r="C86" s="145" t="s">
        <v>498</v>
      </c>
      <c r="D86" s="145" t="s">
        <v>499</v>
      </c>
      <c r="E86" s="145" t="s">
        <v>607</v>
      </c>
      <c r="F86" s="145" t="s">
        <v>587</v>
      </c>
      <c r="G86" s="145" t="s">
        <v>133</v>
      </c>
      <c r="H86" s="145">
        <v>20</v>
      </c>
      <c r="I86" s="145" t="s">
        <v>338</v>
      </c>
      <c r="J86" s="146">
        <v>1069.5</v>
      </c>
      <c r="K86" s="145">
        <v>21</v>
      </c>
      <c r="L86" s="145" t="s">
        <v>502</v>
      </c>
      <c r="M86" s="145">
        <v>21</v>
      </c>
      <c r="N86" s="145" t="s">
        <v>503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505</v>
      </c>
      <c r="U86" s="145" t="s">
        <v>338</v>
      </c>
      <c r="V86" s="145" t="s">
        <v>505</v>
      </c>
      <c r="W86" s="145" t="s">
        <v>506</v>
      </c>
      <c r="X86" s="145" t="s">
        <v>610</v>
      </c>
      <c r="Y86" s="145" t="s">
        <v>338</v>
      </c>
      <c r="Z86" s="145" t="s">
        <v>507</v>
      </c>
      <c r="AA86" s="145" t="s">
        <v>526</v>
      </c>
      <c r="AB86" s="145" t="s">
        <v>527</v>
      </c>
      <c r="AC86" s="145" t="s">
        <v>517</v>
      </c>
      <c r="AD86" s="145" t="s">
        <v>511</v>
      </c>
      <c r="AE86" s="145" t="s">
        <v>504</v>
      </c>
      <c r="AF86" s="145" t="s">
        <v>338</v>
      </c>
    </row>
    <row r="87" spans="1:32">
      <c r="A87" s="145" t="s">
        <v>694</v>
      </c>
      <c r="B87" s="145" t="s">
        <v>497</v>
      </c>
      <c r="C87" s="145" t="s">
        <v>498</v>
      </c>
      <c r="D87" s="145" t="s">
        <v>499</v>
      </c>
      <c r="E87" s="145" t="s">
        <v>500</v>
      </c>
      <c r="F87" s="145" t="s">
        <v>501</v>
      </c>
      <c r="G87" s="145" t="s">
        <v>202</v>
      </c>
      <c r="H87" s="145">
        <v>17</v>
      </c>
      <c r="I87" s="145" t="s">
        <v>338</v>
      </c>
      <c r="J87" s="146">
        <v>1105.6666666666667</v>
      </c>
      <c r="K87" s="145">
        <v>19</v>
      </c>
      <c r="L87" s="145" t="s">
        <v>502</v>
      </c>
      <c r="M87" s="145">
        <v>19</v>
      </c>
      <c r="N87" s="145" t="s">
        <v>503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505</v>
      </c>
      <c r="U87" s="145" t="s">
        <v>338</v>
      </c>
      <c r="V87" s="145" t="s">
        <v>505</v>
      </c>
      <c r="W87" s="145" t="s">
        <v>506</v>
      </c>
      <c r="X87" s="145" t="s">
        <v>514</v>
      </c>
      <c r="Y87" s="145" t="s">
        <v>338</v>
      </c>
      <c r="Z87" s="145" t="s">
        <v>507</v>
      </c>
      <c r="AA87" s="145" t="s">
        <v>531</v>
      </c>
      <c r="AB87" s="145" t="s">
        <v>532</v>
      </c>
      <c r="AC87" s="145" t="s">
        <v>533</v>
      </c>
      <c r="AD87" s="145" t="s">
        <v>518</v>
      </c>
      <c r="AE87" s="145" t="s">
        <v>504</v>
      </c>
      <c r="AF87" s="145" t="s">
        <v>338</v>
      </c>
    </row>
    <row r="88" spans="1:32">
      <c r="A88" s="145" t="s">
        <v>695</v>
      </c>
      <c r="B88" s="145" t="s">
        <v>497</v>
      </c>
      <c r="C88" s="145" t="s">
        <v>498</v>
      </c>
      <c r="D88" s="145" t="s">
        <v>499</v>
      </c>
      <c r="E88" s="145" t="s">
        <v>500</v>
      </c>
      <c r="F88" s="145" t="s">
        <v>501</v>
      </c>
      <c r="G88" s="145" t="s">
        <v>203</v>
      </c>
      <c r="H88" s="145">
        <v>16</v>
      </c>
      <c r="I88" s="145" t="s">
        <v>338</v>
      </c>
      <c r="J88" s="146">
        <v>1076.6666666666667</v>
      </c>
      <c r="K88" s="145">
        <v>19</v>
      </c>
      <c r="L88" s="145" t="s">
        <v>502</v>
      </c>
      <c r="M88" s="145">
        <v>19</v>
      </c>
      <c r="N88" s="145" t="s">
        <v>503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505</v>
      </c>
      <c r="U88" s="145" t="s">
        <v>338</v>
      </c>
      <c r="V88" s="145" t="s">
        <v>505</v>
      </c>
      <c r="W88" s="145" t="s">
        <v>513</v>
      </c>
      <c r="X88" s="145" t="s">
        <v>530</v>
      </c>
      <c r="Y88" s="145" t="s">
        <v>338</v>
      </c>
      <c r="Z88" s="145" t="s">
        <v>507</v>
      </c>
      <c r="AA88" s="145" t="s">
        <v>608</v>
      </c>
      <c r="AB88" s="145" t="s">
        <v>532</v>
      </c>
      <c r="AC88" s="145" t="s">
        <v>533</v>
      </c>
      <c r="AD88" s="145" t="s">
        <v>518</v>
      </c>
      <c r="AE88" s="145" t="s">
        <v>505</v>
      </c>
      <c r="AF88" s="145" t="s">
        <v>338</v>
      </c>
    </row>
    <row r="89" spans="1:32">
      <c r="A89" s="145" t="s">
        <v>696</v>
      </c>
      <c r="B89" s="145" t="s">
        <v>497</v>
      </c>
      <c r="C89" s="145" t="s">
        <v>498</v>
      </c>
      <c r="D89" s="145" t="s">
        <v>499</v>
      </c>
      <c r="E89" s="145" t="s">
        <v>500</v>
      </c>
      <c r="F89" s="145" t="s">
        <v>501</v>
      </c>
      <c r="G89" s="145" t="s">
        <v>210</v>
      </c>
      <c r="H89" s="145">
        <v>9</v>
      </c>
      <c r="I89" s="145" t="s">
        <v>338</v>
      </c>
      <c r="J89" s="146">
        <v>955</v>
      </c>
      <c r="K89" s="145">
        <v>9</v>
      </c>
      <c r="L89" s="145" t="s">
        <v>555</v>
      </c>
      <c r="M89" s="145" t="s">
        <v>338</v>
      </c>
      <c r="N89" s="145" t="s">
        <v>338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505</v>
      </c>
      <c r="U89" s="145" t="s">
        <v>338</v>
      </c>
      <c r="V89" s="145" t="s">
        <v>504</v>
      </c>
      <c r="W89" s="145" t="s">
        <v>513</v>
      </c>
      <c r="X89" s="145" t="s">
        <v>514</v>
      </c>
      <c r="Y89" s="145" t="s">
        <v>354</v>
      </c>
      <c r="Z89" s="145" t="s">
        <v>507</v>
      </c>
      <c r="AA89" s="145" t="s">
        <v>538</v>
      </c>
      <c r="AB89" s="145" t="s">
        <v>532</v>
      </c>
      <c r="AC89" s="145" t="s">
        <v>533</v>
      </c>
      <c r="AD89" s="145" t="s">
        <v>518</v>
      </c>
      <c r="AE89" s="145" t="s">
        <v>505</v>
      </c>
      <c r="AF89" s="145" t="s">
        <v>338</v>
      </c>
    </row>
    <row r="90" spans="1:32">
      <c r="A90" s="145" t="s">
        <v>697</v>
      </c>
      <c r="B90" s="145" t="s">
        <v>497</v>
      </c>
      <c r="C90" s="145" t="s">
        <v>498</v>
      </c>
      <c r="D90" s="145" t="s">
        <v>499</v>
      </c>
      <c r="E90" s="145" t="s">
        <v>500</v>
      </c>
      <c r="F90" s="145" t="s">
        <v>587</v>
      </c>
      <c r="G90" s="145" t="s">
        <v>203</v>
      </c>
      <c r="H90" s="145">
        <v>16</v>
      </c>
      <c r="I90" s="145" t="s">
        <v>338</v>
      </c>
      <c r="J90" s="146">
        <v>922</v>
      </c>
      <c r="K90" s="145">
        <v>8</v>
      </c>
      <c r="L90" s="145" t="s">
        <v>555</v>
      </c>
      <c r="M90" s="145" t="s">
        <v>338</v>
      </c>
      <c r="N90" s="145" t="s">
        <v>338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505</v>
      </c>
      <c r="U90" s="145" t="s">
        <v>338</v>
      </c>
      <c r="V90" s="145" t="s">
        <v>505</v>
      </c>
      <c r="W90" s="145" t="s">
        <v>506</v>
      </c>
      <c r="X90" s="145" t="s">
        <v>530</v>
      </c>
      <c r="Y90" s="145" t="s">
        <v>338</v>
      </c>
      <c r="Z90" s="145" t="s">
        <v>507</v>
      </c>
      <c r="AA90" s="145" t="s">
        <v>531</v>
      </c>
      <c r="AB90" s="145" t="s">
        <v>532</v>
      </c>
      <c r="AC90" s="145" t="s">
        <v>533</v>
      </c>
      <c r="AD90" s="145" t="s">
        <v>518</v>
      </c>
      <c r="AE90" s="145" t="s">
        <v>504</v>
      </c>
      <c r="AF90" s="145" t="s">
        <v>338</v>
      </c>
    </row>
    <row r="91" spans="1:32">
      <c r="A91" s="145" t="s">
        <v>698</v>
      </c>
      <c r="B91" s="145" t="s">
        <v>497</v>
      </c>
      <c r="C91" s="145" t="s">
        <v>498</v>
      </c>
      <c r="D91" s="145" t="s">
        <v>499</v>
      </c>
      <c r="E91" s="145" t="s">
        <v>500</v>
      </c>
      <c r="F91" s="145" t="s">
        <v>587</v>
      </c>
      <c r="G91" s="145" t="s">
        <v>206</v>
      </c>
      <c r="H91" s="145">
        <v>13</v>
      </c>
      <c r="I91" s="145" t="s">
        <v>338</v>
      </c>
      <c r="J91" s="146">
        <v>1284</v>
      </c>
      <c r="K91" s="145">
        <v>11</v>
      </c>
      <c r="L91" s="145" t="s">
        <v>555</v>
      </c>
      <c r="M91" s="145" t="s">
        <v>338</v>
      </c>
      <c r="N91" s="145" t="s">
        <v>338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504</v>
      </c>
      <c r="U91" s="145">
        <v>11</v>
      </c>
      <c r="V91" s="145" t="s">
        <v>504</v>
      </c>
      <c r="W91" s="145" t="s">
        <v>506</v>
      </c>
      <c r="X91" s="145" t="s">
        <v>514</v>
      </c>
      <c r="Y91" s="145" t="s">
        <v>342</v>
      </c>
      <c r="Z91" s="145" t="s">
        <v>507</v>
      </c>
      <c r="AA91" s="145" t="s">
        <v>565</v>
      </c>
      <c r="AB91" s="145" t="s">
        <v>546</v>
      </c>
      <c r="AC91" s="145" t="s">
        <v>533</v>
      </c>
      <c r="AD91" s="145" t="s">
        <v>523</v>
      </c>
      <c r="AE91" s="145" t="s">
        <v>504</v>
      </c>
      <c r="AF91" s="145" t="s">
        <v>338</v>
      </c>
    </row>
    <row r="92" spans="1:32">
      <c r="A92" s="145" t="s">
        <v>699</v>
      </c>
      <c r="B92" s="145" t="s">
        <v>562</v>
      </c>
      <c r="C92" s="145" t="s">
        <v>632</v>
      </c>
      <c r="D92" s="145" t="s">
        <v>700</v>
      </c>
      <c r="E92" s="145" t="s">
        <v>338</v>
      </c>
      <c r="F92" s="145" t="s">
        <v>338</v>
      </c>
      <c r="G92" s="145" t="s">
        <v>634</v>
      </c>
      <c r="H92" s="145">
        <v>63</v>
      </c>
      <c r="I92" s="145" t="s">
        <v>622</v>
      </c>
      <c r="J92" s="146">
        <v>750</v>
      </c>
      <c r="K92" s="145" t="s">
        <v>338</v>
      </c>
      <c r="L92" s="145" t="s">
        <v>635</v>
      </c>
      <c r="M92" s="145" t="s">
        <v>338</v>
      </c>
      <c r="N92" s="145" t="s">
        <v>338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338</v>
      </c>
      <c r="T92" s="145" t="s">
        <v>505</v>
      </c>
      <c r="U92" s="145" t="s">
        <v>338</v>
      </c>
      <c r="V92" s="145" t="s">
        <v>505</v>
      </c>
      <c r="W92" s="145" t="s">
        <v>338</v>
      </c>
      <c r="X92" s="145" t="s">
        <v>338</v>
      </c>
      <c r="Y92" s="145" t="s">
        <v>338</v>
      </c>
      <c r="Z92" s="145" t="s">
        <v>595</v>
      </c>
      <c r="AA92" s="145" t="s">
        <v>636</v>
      </c>
      <c r="AB92" s="145" t="s">
        <v>637</v>
      </c>
      <c r="AC92" s="145" t="s">
        <v>638</v>
      </c>
      <c r="AD92" s="145" t="s">
        <v>523</v>
      </c>
      <c r="AE92" s="145" t="s">
        <v>505</v>
      </c>
      <c r="AF92" s="145" t="s">
        <v>505</v>
      </c>
    </row>
    <row r="93" spans="1:32">
      <c r="A93" s="145" t="s">
        <v>701</v>
      </c>
      <c r="B93" s="145" t="s">
        <v>497</v>
      </c>
      <c r="C93" s="145" t="s">
        <v>498</v>
      </c>
      <c r="D93" s="145" t="s">
        <v>499</v>
      </c>
      <c r="E93" s="145" t="s">
        <v>500</v>
      </c>
      <c r="F93" s="145" t="s">
        <v>501</v>
      </c>
      <c r="G93" s="145" t="s">
        <v>245</v>
      </c>
      <c r="H93" s="145">
        <v>4</v>
      </c>
      <c r="I93" s="145" t="s">
        <v>338</v>
      </c>
      <c r="J93" s="146">
        <v>1829.6666666666667</v>
      </c>
      <c r="K93" s="145">
        <v>27</v>
      </c>
      <c r="L93" s="145" t="s">
        <v>502</v>
      </c>
      <c r="M93" s="145">
        <v>27</v>
      </c>
      <c r="N93" s="145" t="s">
        <v>503</v>
      </c>
      <c r="O93" s="146">
        <v>8815</v>
      </c>
      <c r="P93" s="146">
        <v>1919</v>
      </c>
      <c r="Q93" s="145" t="s">
        <v>338</v>
      </c>
      <c r="R93" s="146">
        <v>8815</v>
      </c>
      <c r="S93" s="147">
        <v>27.206790123456791</v>
      </c>
      <c r="T93" s="145" t="s">
        <v>505</v>
      </c>
      <c r="U93" s="145" t="s">
        <v>338</v>
      </c>
      <c r="V93" s="145" t="s">
        <v>505</v>
      </c>
      <c r="W93" s="145" t="s">
        <v>506</v>
      </c>
      <c r="X93" s="145" t="s">
        <v>514</v>
      </c>
      <c r="Y93" s="145" t="s">
        <v>338</v>
      </c>
      <c r="Z93" s="145" t="s">
        <v>507</v>
      </c>
      <c r="AA93" s="145" t="s">
        <v>568</v>
      </c>
      <c r="AB93" s="145" t="s">
        <v>557</v>
      </c>
      <c r="AC93" s="145" t="s">
        <v>510</v>
      </c>
      <c r="AD93" s="145" t="s">
        <v>558</v>
      </c>
      <c r="AE93" s="145" t="s">
        <v>504</v>
      </c>
      <c r="AF93" s="145" t="s">
        <v>338</v>
      </c>
    </row>
    <row r="94" spans="1:32">
      <c r="A94" s="145" t="s">
        <v>702</v>
      </c>
      <c r="B94" s="145" t="s">
        <v>497</v>
      </c>
      <c r="C94" s="145" t="s">
        <v>498</v>
      </c>
      <c r="D94" s="145" t="s">
        <v>499</v>
      </c>
      <c r="E94" s="145" t="s">
        <v>500</v>
      </c>
      <c r="F94" s="145" t="s">
        <v>501</v>
      </c>
      <c r="G94" s="145" t="s">
        <v>202</v>
      </c>
      <c r="H94" s="145">
        <v>17</v>
      </c>
      <c r="I94" s="145" t="s">
        <v>338</v>
      </c>
      <c r="J94" s="146">
        <v>932.66666666666663</v>
      </c>
      <c r="K94" s="145">
        <v>22</v>
      </c>
      <c r="L94" s="145" t="s">
        <v>502</v>
      </c>
      <c r="M94" s="145">
        <v>22</v>
      </c>
      <c r="N94" s="145" t="s">
        <v>503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505</v>
      </c>
      <c r="U94" s="145" t="s">
        <v>338</v>
      </c>
      <c r="V94" s="145" t="s">
        <v>505</v>
      </c>
      <c r="W94" s="145" t="s">
        <v>506</v>
      </c>
      <c r="X94" s="145" t="s">
        <v>530</v>
      </c>
      <c r="Y94" s="145" t="s">
        <v>338</v>
      </c>
      <c r="Z94" s="145" t="s">
        <v>507</v>
      </c>
      <c r="AA94" s="145" t="s">
        <v>643</v>
      </c>
      <c r="AB94" s="145" t="s">
        <v>546</v>
      </c>
      <c r="AC94" s="145" t="s">
        <v>533</v>
      </c>
      <c r="AD94" s="145" t="s">
        <v>523</v>
      </c>
      <c r="AE94" s="145" t="s">
        <v>504</v>
      </c>
      <c r="AF94" s="145" t="s">
        <v>338</v>
      </c>
    </row>
    <row r="95" spans="1:32">
      <c r="A95" s="145" t="s">
        <v>703</v>
      </c>
      <c r="B95" s="145" t="s">
        <v>497</v>
      </c>
      <c r="C95" s="145" t="s">
        <v>678</v>
      </c>
      <c r="D95" s="145" t="s">
        <v>679</v>
      </c>
      <c r="E95" s="145" t="s">
        <v>338</v>
      </c>
      <c r="F95" s="145" t="s">
        <v>338</v>
      </c>
      <c r="G95" s="145" t="s">
        <v>122</v>
      </c>
      <c r="H95" s="145">
        <v>31</v>
      </c>
      <c r="I95" s="145" t="s">
        <v>338</v>
      </c>
      <c r="J95" s="146">
        <v>418</v>
      </c>
      <c r="K95" s="145" t="s">
        <v>338</v>
      </c>
      <c r="L95" s="145" t="s">
        <v>704</v>
      </c>
      <c r="M95" s="145" t="s">
        <v>338</v>
      </c>
      <c r="N95" s="145" t="s">
        <v>338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338</v>
      </c>
      <c r="T95" s="145" t="s">
        <v>505</v>
      </c>
      <c r="U95" s="145" t="s">
        <v>338</v>
      </c>
      <c r="V95" s="145" t="s">
        <v>505</v>
      </c>
      <c r="W95" s="145" t="s">
        <v>338</v>
      </c>
      <c r="X95" s="145" t="s">
        <v>338</v>
      </c>
      <c r="Y95" s="145" t="s">
        <v>338</v>
      </c>
      <c r="Z95" s="145" t="s">
        <v>595</v>
      </c>
      <c r="AA95" s="145" t="s">
        <v>705</v>
      </c>
      <c r="AB95" s="145" t="s">
        <v>681</v>
      </c>
      <c r="AC95" s="145" t="s">
        <v>638</v>
      </c>
      <c r="AD95" s="145" t="s">
        <v>682</v>
      </c>
      <c r="AE95" s="145" t="s">
        <v>505</v>
      </c>
      <c r="AF95" s="145" t="s">
        <v>338</v>
      </c>
    </row>
    <row r="96" spans="1:32">
      <c r="A96" s="145" t="s">
        <v>706</v>
      </c>
      <c r="B96" s="145" t="s">
        <v>497</v>
      </c>
      <c r="C96" s="145" t="s">
        <v>498</v>
      </c>
      <c r="D96" s="145" t="s">
        <v>499</v>
      </c>
      <c r="E96" s="145" t="s">
        <v>607</v>
      </c>
      <c r="F96" s="145" t="s">
        <v>501</v>
      </c>
      <c r="G96" s="145" t="s">
        <v>123</v>
      </c>
      <c r="H96" s="145">
        <v>30</v>
      </c>
      <c r="I96" s="145" t="s">
        <v>338</v>
      </c>
      <c r="J96" s="146">
        <v>692</v>
      </c>
      <c r="K96" s="145">
        <v>5</v>
      </c>
      <c r="L96" s="145" t="s">
        <v>502</v>
      </c>
      <c r="M96" s="145">
        <v>5</v>
      </c>
      <c r="N96" s="145" t="s">
        <v>503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504</v>
      </c>
      <c r="U96" s="145" t="s">
        <v>338</v>
      </c>
      <c r="V96" s="145" t="s">
        <v>505</v>
      </c>
      <c r="W96" s="145" t="s">
        <v>506</v>
      </c>
      <c r="X96" s="145" t="s">
        <v>514</v>
      </c>
      <c r="Y96" s="145" t="s">
        <v>338</v>
      </c>
      <c r="Z96" s="145" t="s">
        <v>507</v>
      </c>
      <c r="AA96" s="145" t="s">
        <v>560</v>
      </c>
      <c r="AB96" s="145" t="s">
        <v>557</v>
      </c>
      <c r="AC96" s="145" t="s">
        <v>510</v>
      </c>
      <c r="AD96" s="145" t="s">
        <v>558</v>
      </c>
      <c r="AE96" s="145" t="s">
        <v>504</v>
      </c>
      <c r="AF96" s="145" t="s">
        <v>338</v>
      </c>
    </row>
    <row r="97" spans="1:32">
      <c r="A97" s="145" t="s">
        <v>707</v>
      </c>
      <c r="B97" s="145" t="s">
        <v>562</v>
      </c>
      <c r="C97" s="145" t="s">
        <v>498</v>
      </c>
      <c r="D97" s="145" t="s">
        <v>499</v>
      </c>
      <c r="E97" s="145" t="s">
        <v>616</v>
      </c>
      <c r="F97" s="145" t="s">
        <v>587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563</v>
      </c>
      <c r="M97" s="145" t="s">
        <v>338</v>
      </c>
      <c r="N97" s="145" t="s">
        <v>338</v>
      </c>
      <c r="O97" s="146">
        <v>8560</v>
      </c>
      <c r="P97" s="145" t="s">
        <v>338</v>
      </c>
      <c r="Q97" s="146">
        <v>6612.5</v>
      </c>
      <c r="R97" s="146">
        <v>1947.5</v>
      </c>
      <c r="S97" s="147">
        <v>7.9259259259259265</v>
      </c>
      <c r="T97" s="145" t="s">
        <v>505</v>
      </c>
      <c r="U97" s="145" t="s">
        <v>338</v>
      </c>
      <c r="V97" s="145" t="s">
        <v>505</v>
      </c>
      <c r="W97" s="145" t="s">
        <v>338</v>
      </c>
      <c r="X97" s="145" t="s">
        <v>338</v>
      </c>
      <c r="Y97" s="145" t="s">
        <v>338</v>
      </c>
      <c r="Z97" s="145" t="s">
        <v>338</v>
      </c>
      <c r="AA97" s="145" t="s">
        <v>651</v>
      </c>
      <c r="AB97" s="145" t="s">
        <v>708</v>
      </c>
      <c r="AC97" s="145" t="s">
        <v>338</v>
      </c>
      <c r="AD97" s="145" t="s">
        <v>338</v>
      </c>
      <c r="AE97" s="145" t="s">
        <v>505</v>
      </c>
      <c r="AF97" s="145" t="s">
        <v>505</v>
      </c>
    </row>
    <row r="98" spans="1:32">
      <c r="A98" s="145" t="s">
        <v>709</v>
      </c>
      <c r="B98" s="145" t="s">
        <v>497</v>
      </c>
      <c r="C98" s="145" t="s">
        <v>498</v>
      </c>
      <c r="D98" s="145" t="s">
        <v>499</v>
      </c>
      <c r="E98" s="145" t="s">
        <v>500</v>
      </c>
      <c r="F98" s="145" t="s">
        <v>501</v>
      </c>
      <c r="G98" s="145" t="s">
        <v>588</v>
      </c>
      <c r="H98" s="145">
        <v>32</v>
      </c>
      <c r="I98" s="145" t="s">
        <v>338</v>
      </c>
      <c r="J98" s="146">
        <v>1300</v>
      </c>
      <c r="K98" s="145">
        <v>12</v>
      </c>
      <c r="L98" s="145" t="s">
        <v>555</v>
      </c>
      <c r="M98" s="145">
        <v>13</v>
      </c>
      <c r="N98" s="145" t="s">
        <v>579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504</v>
      </c>
      <c r="U98" s="145" t="s">
        <v>338</v>
      </c>
      <c r="V98" s="145" t="s">
        <v>505</v>
      </c>
      <c r="W98" s="145" t="s">
        <v>513</v>
      </c>
      <c r="X98" s="145" t="s">
        <v>514</v>
      </c>
      <c r="Y98" s="145" t="s">
        <v>338</v>
      </c>
      <c r="Z98" s="145" t="s">
        <v>507</v>
      </c>
      <c r="AA98" s="145" t="s">
        <v>589</v>
      </c>
      <c r="AB98" s="145" t="s">
        <v>581</v>
      </c>
      <c r="AC98" s="145" t="s">
        <v>510</v>
      </c>
      <c r="AD98" s="145" t="s">
        <v>523</v>
      </c>
      <c r="AE98" s="145" t="s">
        <v>505</v>
      </c>
      <c r="AF98" s="145" t="s">
        <v>338</v>
      </c>
    </row>
    <row r="99" spans="1:32">
      <c r="A99" s="145" t="s">
        <v>710</v>
      </c>
      <c r="B99" s="145" t="s">
        <v>497</v>
      </c>
      <c r="C99" s="145" t="s">
        <v>498</v>
      </c>
      <c r="D99" s="145" t="s">
        <v>499</v>
      </c>
      <c r="E99" s="145" t="s">
        <v>500</v>
      </c>
      <c r="F99" s="145" t="s">
        <v>587</v>
      </c>
      <c r="G99" s="145" t="s">
        <v>128</v>
      </c>
      <c r="H99" s="145">
        <v>25</v>
      </c>
      <c r="I99" s="145" t="s">
        <v>338</v>
      </c>
      <c r="J99" s="146">
        <v>726.66666666666663</v>
      </c>
      <c r="K99" s="145">
        <v>12</v>
      </c>
      <c r="L99" s="145" t="s">
        <v>502</v>
      </c>
      <c r="M99" s="145">
        <v>12</v>
      </c>
      <c r="N99" s="145" t="s">
        <v>503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505</v>
      </c>
      <c r="U99" s="145" t="s">
        <v>338</v>
      </c>
      <c r="V99" s="145" t="s">
        <v>505</v>
      </c>
      <c r="W99" s="145" t="s">
        <v>506</v>
      </c>
      <c r="X99" s="145" t="s">
        <v>540</v>
      </c>
      <c r="Y99" s="145" t="s">
        <v>338</v>
      </c>
      <c r="Z99" s="145" t="s">
        <v>507</v>
      </c>
      <c r="AA99" s="145" t="s">
        <v>591</v>
      </c>
      <c r="AB99" s="145" t="s">
        <v>527</v>
      </c>
      <c r="AC99" s="145" t="s">
        <v>517</v>
      </c>
      <c r="AD99" s="145" t="s">
        <v>511</v>
      </c>
      <c r="AE99" s="145" t="s">
        <v>504</v>
      </c>
      <c r="AF99" s="145" t="s">
        <v>338</v>
      </c>
    </row>
    <row r="100" spans="1:32">
      <c r="A100" s="145" t="s">
        <v>711</v>
      </c>
      <c r="B100" s="145" t="s">
        <v>562</v>
      </c>
      <c r="C100" s="145" t="s">
        <v>498</v>
      </c>
      <c r="D100" s="145" t="s">
        <v>499</v>
      </c>
      <c r="E100" s="145" t="s">
        <v>616</v>
      </c>
      <c r="F100" s="145" t="s">
        <v>501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502</v>
      </c>
      <c r="M100" s="145">
        <v>48</v>
      </c>
      <c r="N100" s="145" t="s">
        <v>503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505</v>
      </c>
      <c r="U100" s="145" t="s">
        <v>338</v>
      </c>
      <c r="V100" s="145" t="s">
        <v>505</v>
      </c>
      <c r="W100" s="145" t="s">
        <v>506</v>
      </c>
      <c r="X100" s="145" t="s">
        <v>514</v>
      </c>
      <c r="Y100" s="145" t="s">
        <v>342</v>
      </c>
      <c r="Z100" s="145" t="s">
        <v>507</v>
      </c>
      <c r="AA100" s="145" t="s">
        <v>626</v>
      </c>
      <c r="AB100" s="145" t="s">
        <v>509</v>
      </c>
      <c r="AC100" s="145" t="s">
        <v>510</v>
      </c>
      <c r="AD100" s="145" t="s">
        <v>511</v>
      </c>
      <c r="AE100" s="145" t="s">
        <v>504</v>
      </c>
      <c r="AF100" s="145" t="s">
        <v>504</v>
      </c>
    </row>
    <row r="101" spans="1:32">
      <c r="A101" s="145" t="s">
        <v>712</v>
      </c>
      <c r="B101" s="145" t="s">
        <v>497</v>
      </c>
      <c r="C101" s="145" t="s">
        <v>498</v>
      </c>
      <c r="D101" s="145" t="s">
        <v>499</v>
      </c>
      <c r="E101" s="145" t="s">
        <v>500</v>
      </c>
      <c r="F101" s="145" t="s">
        <v>501</v>
      </c>
      <c r="G101" s="145" t="s">
        <v>129</v>
      </c>
      <c r="H101" s="145">
        <v>24</v>
      </c>
      <c r="I101" s="145" t="s">
        <v>338</v>
      </c>
      <c r="J101" s="146">
        <v>775</v>
      </c>
      <c r="K101" s="145">
        <v>12</v>
      </c>
      <c r="L101" s="145" t="s">
        <v>502</v>
      </c>
      <c r="M101" s="145">
        <v>12</v>
      </c>
      <c r="N101" s="145" t="s">
        <v>503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505</v>
      </c>
      <c r="U101" s="145" t="s">
        <v>338</v>
      </c>
      <c r="V101" s="145" t="s">
        <v>505</v>
      </c>
      <c r="W101" s="145" t="s">
        <v>506</v>
      </c>
      <c r="X101" s="145" t="s">
        <v>530</v>
      </c>
      <c r="Y101" s="145" t="s">
        <v>338</v>
      </c>
      <c r="Z101" s="145" t="s">
        <v>507</v>
      </c>
      <c r="AA101" s="145" t="s">
        <v>591</v>
      </c>
      <c r="AB101" s="145" t="s">
        <v>527</v>
      </c>
      <c r="AC101" s="145" t="s">
        <v>517</v>
      </c>
      <c r="AD101" s="145" t="s">
        <v>511</v>
      </c>
      <c r="AE101" s="145" t="s">
        <v>504</v>
      </c>
      <c r="AF101" s="145" t="s">
        <v>338</v>
      </c>
    </row>
    <row r="102" spans="1:32">
      <c r="A102" s="145" t="s">
        <v>713</v>
      </c>
      <c r="B102" s="145" t="s">
        <v>497</v>
      </c>
      <c r="C102" s="145" t="s">
        <v>498</v>
      </c>
      <c r="D102" s="145" t="s">
        <v>499</v>
      </c>
      <c r="E102" s="145" t="s">
        <v>500</v>
      </c>
      <c r="F102" s="145" t="s">
        <v>501</v>
      </c>
      <c r="G102" s="145" t="s">
        <v>131</v>
      </c>
      <c r="H102" s="145">
        <v>22</v>
      </c>
      <c r="I102" s="145" t="s">
        <v>338</v>
      </c>
      <c r="J102" s="146">
        <v>813.33333333333337</v>
      </c>
      <c r="K102" s="145">
        <v>7</v>
      </c>
      <c r="L102" s="145" t="s">
        <v>502</v>
      </c>
      <c r="M102" s="145">
        <v>7</v>
      </c>
      <c r="N102" s="145" t="s">
        <v>503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505</v>
      </c>
      <c r="U102" s="145" t="s">
        <v>338</v>
      </c>
      <c r="V102" s="145" t="s">
        <v>504</v>
      </c>
      <c r="W102" s="145" t="s">
        <v>506</v>
      </c>
      <c r="X102" s="145" t="s">
        <v>540</v>
      </c>
      <c r="Y102" s="145" t="s">
        <v>342</v>
      </c>
      <c r="Z102" s="145" t="s">
        <v>507</v>
      </c>
      <c r="AA102" s="145" t="s">
        <v>526</v>
      </c>
      <c r="AB102" s="145" t="s">
        <v>527</v>
      </c>
      <c r="AC102" s="145" t="s">
        <v>517</v>
      </c>
      <c r="AD102" s="145" t="s">
        <v>511</v>
      </c>
      <c r="AE102" s="145" t="s">
        <v>504</v>
      </c>
      <c r="AF102" s="145" t="s">
        <v>338</v>
      </c>
    </row>
    <row r="103" spans="1:32">
      <c r="A103" s="145" t="s">
        <v>714</v>
      </c>
      <c r="B103" s="145" t="s">
        <v>19</v>
      </c>
      <c r="C103" s="145" t="s">
        <v>498</v>
      </c>
      <c r="D103" s="145" t="s">
        <v>499</v>
      </c>
      <c r="E103" s="145" t="s">
        <v>607</v>
      </c>
      <c r="F103" s="145" t="s">
        <v>594</v>
      </c>
      <c r="G103" s="145" t="s">
        <v>245</v>
      </c>
      <c r="H103" s="145">
        <v>4</v>
      </c>
      <c r="I103" s="145" t="s">
        <v>338</v>
      </c>
      <c r="J103" s="146">
        <v>1600</v>
      </c>
      <c r="K103" s="145">
        <v>79</v>
      </c>
      <c r="L103" s="145" t="s">
        <v>502</v>
      </c>
      <c r="M103" s="145">
        <v>79</v>
      </c>
      <c r="N103" s="145" t="s">
        <v>503</v>
      </c>
      <c r="O103" s="146">
        <v>7960</v>
      </c>
      <c r="P103" s="146">
        <v>1580</v>
      </c>
      <c r="Q103" s="145" t="s">
        <v>338</v>
      </c>
      <c r="R103" s="146">
        <v>7960</v>
      </c>
      <c r="S103" s="147">
        <v>8.3966244725738406</v>
      </c>
      <c r="T103" s="145" t="s">
        <v>505</v>
      </c>
      <c r="U103" s="145" t="s">
        <v>338</v>
      </c>
      <c r="V103" s="145" t="s">
        <v>505</v>
      </c>
      <c r="W103" s="145" t="s">
        <v>506</v>
      </c>
      <c r="X103" s="145" t="s">
        <v>540</v>
      </c>
      <c r="Y103" s="145" t="s">
        <v>338</v>
      </c>
      <c r="Z103" s="145" t="s">
        <v>507</v>
      </c>
      <c r="AA103" s="145" t="s">
        <v>715</v>
      </c>
      <c r="AB103" s="145" t="s">
        <v>652</v>
      </c>
      <c r="AC103" s="145" t="s">
        <v>566</v>
      </c>
      <c r="AD103" s="145" t="s">
        <v>716</v>
      </c>
      <c r="AE103" s="145" t="s">
        <v>504</v>
      </c>
      <c r="AF103" s="145" t="s">
        <v>338</v>
      </c>
    </row>
    <row r="104" spans="1:32">
      <c r="A104" s="145" t="s">
        <v>717</v>
      </c>
      <c r="B104" s="145" t="s">
        <v>497</v>
      </c>
      <c r="C104" s="145" t="s">
        <v>498</v>
      </c>
      <c r="D104" s="145" t="s">
        <v>499</v>
      </c>
      <c r="E104" s="145" t="s">
        <v>338</v>
      </c>
      <c r="F104" s="145" t="s">
        <v>501</v>
      </c>
      <c r="G104" s="145" t="s">
        <v>246</v>
      </c>
      <c r="H104" s="145">
        <v>3</v>
      </c>
      <c r="I104" s="145" t="s">
        <v>338</v>
      </c>
      <c r="J104" s="146">
        <v>2639</v>
      </c>
      <c r="K104" s="145">
        <v>29</v>
      </c>
      <c r="L104" s="145" t="s">
        <v>502</v>
      </c>
      <c r="M104" s="145">
        <v>29</v>
      </c>
      <c r="N104" s="145" t="s">
        <v>503</v>
      </c>
      <c r="O104" s="146">
        <v>7917</v>
      </c>
      <c r="P104" s="146">
        <v>2007</v>
      </c>
      <c r="Q104" s="145" t="s">
        <v>338</v>
      </c>
      <c r="R104" s="146">
        <v>7917</v>
      </c>
      <c r="S104" s="147">
        <v>22.75</v>
      </c>
      <c r="T104" s="145" t="s">
        <v>505</v>
      </c>
      <c r="U104" s="145" t="s">
        <v>338</v>
      </c>
      <c r="V104" s="145" t="s">
        <v>505</v>
      </c>
      <c r="W104" s="145" t="s">
        <v>506</v>
      </c>
      <c r="X104" s="145" t="s">
        <v>718</v>
      </c>
      <c r="Y104" s="145" t="s">
        <v>342</v>
      </c>
      <c r="Z104" s="145" t="s">
        <v>507</v>
      </c>
      <c r="AA104" s="145" t="s">
        <v>719</v>
      </c>
      <c r="AB104" s="145" t="s">
        <v>522</v>
      </c>
      <c r="AC104" s="145" t="s">
        <v>510</v>
      </c>
      <c r="AD104" s="145" t="s">
        <v>523</v>
      </c>
      <c r="AE104" s="145" t="s">
        <v>504</v>
      </c>
      <c r="AF104" s="145" t="s">
        <v>338</v>
      </c>
    </row>
    <row r="105" spans="1:32">
      <c r="A105" s="145" t="s">
        <v>720</v>
      </c>
      <c r="B105" s="145" t="s">
        <v>497</v>
      </c>
      <c r="C105" s="145" t="s">
        <v>498</v>
      </c>
      <c r="D105" s="145" t="s">
        <v>499</v>
      </c>
      <c r="E105" s="145" t="s">
        <v>500</v>
      </c>
      <c r="F105" s="145" t="s">
        <v>501</v>
      </c>
      <c r="G105" s="145" t="s">
        <v>125</v>
      </c>
      <c r="H105" s="145">
        <v>28</v>
      </c>
      <c r="I105" s="145" t="s">
        <v>338</v>
      </c>
      <c r="J105" s="146">
        <v>572</v>
      </c>
      <c r="K105" s="145">
        <v>6</v>
      </c>
      <c r="L105" s="145" t="s">
        <v>555</v>
      </c>
      <c r="M105" s="145" t="s">
        <v>338</v>
      </c>
      <c r="N105" s="145" t="s">
        <v>338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504</v>
      </c>
      <c r="U105" s="145" t="s">
        <v>338</v>
      </c>
      <c r="V105" s="145" t="s">
        <v>505</v>
      </c>
      <c r="W105" s="145" t="s">
        <v>513</v>
      </c>
      <c r="X105" s="145" t="s">
        <v>610</v>
      </c>
      <c r="Y105" s="145" t="s">
        <v>338</v>
      </c>
      <c r="Z105" s="145" t="s">
        <v>507</v>
      </c>
      <c r="AA105" s="145" t="s">
        <v>608</v>
      </c>
      <c r="AB105" s="145" t="s">
        <v>532</v>
      </c>
      <c r="AC105" s="145" t="s">
        <v>533</v>
      </c>
      <c r="AD105" s="145" t="s">
        <v>518</v>
      </c>
      <c r="AE105" s="145" t="s">
        <v>505</v>
      </c>
      <c r="AF105" s="145" t="s">
        <v>338</v>
      </c>
    </row>
    <row r="106" spans="1:32">
      <c r="A106" s="145" t="s">
        <v>721</v>
      </c>
      <c r="B106" s="145" t="s">
        <v>497</v>
      </c>
      <c r="C106" s="145" t="s">
        <v>498</v>
      </c>
      <c r="D106" s="145" t="s">
        <v>499</v>
      </c>
      <c r="E106" s="145" t="s">
        <v>500</v>
      </c>
      <c r="F106" s="145" t="s">
        <v>501</v>
      </c>
      <c r="G106" s="145" t="s">
        <v>122</v>
      </c>
      <c r="H106" s="145">
        <v>31</v>
      </c>
      <c r="I106" s="145" t="s">
        <v>338</v>
      </c>
      <c r="J106" s="146">
        <v>567.66666666666663</v>
      </c>
      <c r="K106" s="145">
        <v>6</v>
      </c>
      <c r="L106" s="145" t="s">
        <v>502</v>
      </c>
      <c r="M106" s="145">
        <v>6</v>
      </c>
      <c r="N106" s="145" t="s">
        <v>503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505</v>
      </c>
      <c r="U106" s="145" t="s">
        <v>338</v>
      </c>
      <c r="V106" s="145" t="s">
        <v>505</v>
      </c>
      <c r="W106" s="145" t="s">
        <v>506</v>
      </c>
      <c r="X106" s="145" t="s">
        <v>530</v>
      </c>
      <c r="Y106" s="145" t="s">
        <v>338</v>
      </c>
      <c r="Z106" s="145" t="s">
        <v>507</v>
      </c>
      <c r="AA106" s="145" t="s">
        <v>535</v>
      </c>
      <c r="AB106" s="145" t="s">
        <v>536</v>
      </c>
      <c r="AC106" s="145" t="s">
        <v>517</v>
      </c>
      <c r="AD106" s="145" t="s">
        <v>518</v>
      </c>
      <c r="AE106" s="145" t="s">
        <v>504</v>
      </c>
      <c r="AF106" s="145" t="s">
        <v>338</v>
      </c>
    </row>
    <row r="107" spans="1:32">
      <c r="A107" s="145" t="s">
        <v>722</v>
      </c>
      <c r="B107" s="145" t="s">
        <v>497</v>
      </c>
      <c r="C107" s="145" t="s">
        <v>498</v>
      </c>
      <c r="D107" s="145" t="s">
        <v>499</v>
      </c>
      <c r="E107" s="145" t="s">
        <v>500</v>
      </c>
      <c r="F107" s="145" t="s">
        <v>501</v>
      </c>
      <c r="G107" s="145" t="s">
        <v>130</v>
      </c>
      <c r="H107" s="145">
        <v>23</v>
      </c>
      <c r="I107" s="145" t="s">
        <v>338</v>
      </c>
      <c r="J107" s="146">
        <v>650</v>
      </c>
      <c r="K107" s="145">
        <v>8</v>
      </c>
      <c r="L107" s="145" t="s">
        <v>502</v>
      </c>
      <c r="M107" s="145">
        <v>8</v>
      </c>
      <c r="N107" s="145" t="s">
        <v>503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505</v>
      </c>
      <c r="U107" s="145" t="s">
        <v>338</v>
      </c>
      <c r="V107" s="145" t="s">
        <v>505</v>
      </c>
      <c r="W107" s="145" t="s">
        <v>506</v>
      </c>
      <c r="X107" s="145" t="s">
        <v>540</v>
      </c>
      <c r="Y107" s="145" t="s">
        <v>338</v>
      </c>
      <c r="Z107" s="145" t="s">
        <v>507</v>
      </c>
      <c r="AA107" s="145" t="s">
        <v>556</v>
      </c>
      <c r="AB107" s="145" t="s">
        <v>557</v>
      </c>
      <c r="AC107" s="145" t="s">
        <v>510</v>
      </c>
      <c r="AD107" s="145" t="s">
        <v>558</v>
      </c>
      <c r="AE107" s="145" t="s">
        <v>504</v>
      </c>
      <c r="AF107" s="145" t="s">
        <v>338</v>
      </c>
    </row>
    <row r="108" spans="1:32">
      <c r="A108" s="145" t="s">
        <v>723</v>
      </c>
      <c r="B108" s="145" t="s">
        <v>562</v>
      </c>
      <c r="C108" s="145" t="s">
        <v>498</v>
      </c>
      <c r="D108" s="145" t="s">
        <v>499</v>
      </c>
      <c r="E108" s="145" t="s">
        <v>500</v>
      </c>
      <c r="F108" s="145" t="s">
        <v>501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502</v>
      </c>
      <c r="M108" s="145">
        <v>0</v>
      </c>
      <c r="N108" s="145" t="s">
        <v>503</v>
      </c>
      <c r="O108" s="146">
        <v>7410</v>
      </c>
      <c r="P108" s="145" t="s">
        <v>338</v>
      </c>
      <c r="Q108" s="146">
        <v>5870</v>
      </c>
      <c r="R108" s="146">
        <v>4040</v>
      </c>
      <c r="S108" s="145" t="s">
        <v>338</v>
      </c>
      <c r="T108" s="145" t="s">
        <v>505</v>
      </c>
      <c r="U108" s="145" t="s">
        <v>338</v>
      </c>
      <c r="V108" s="145" t="s">
        <v>505</v>
      </c>
      <c r="W108" s="145" t="s">
        <v>506</v>
      </c>
      <c r="X108" s="145" t="s">
        <v>514</v>
      </c>
      <c r="Y108" s="145" t="s">
        <v>338</v>
      </c>
      <c r="Z108" s="145" t="s">
        <v>507</v>
      </c>
      <c r="AA108" s="145" t="s">
        <v>589</v>
      </c>
      <c r="AB108" s="145" t="s">
        <v>581</v>
      </c>
      <c r="AC108" s="145" t="s">
        <v>510</v>
      </c>
      <c r="AD108" s="145" t="s">
        <v>558</v>
      </c>
      <c r="AE108" s="145" t="s">
        <v>504</v>
      </c>
      <c r="AF108" s="145" t="s">
        <v>504</v>
      </c>
    </row>
    <row r="109" spans="1:32">
      <c r="A109" s="145" t="s">
        <v>724</v>
      </c>
      <c r="B109" s="145" t="s">
        <v>497</v>
      </c>
      <c r="C109" s="145" t="s">
        <v>498</v>
      </c>
      <c r="D109" s="145" t="s">
        <v>499</v>
      </c>
      <c r="E109" s="145" t="s">
        <v>500</v>
      </c>
      <c r="F109" s="145" t="s">
        <v>501</v>
      </c>
      <c r="G109" s="145" t="s">
        <v>655</v>
      </c>
      <c r="H109" s="145">
        <v>41</v>
      </c>
      <c r="I109" s="145" t="s">
        <v>338</v>
      </c>
      <c r="J109" s="146">
        <v>659.66666666666663</v>
      </c>
      <c r="K109" s="145">
        <v>6</v>
      </c>
      <c r="L109" s="145" t="s">
        <v>502</v>
      </c>
      <c r="M109" s="145">
        <v>6</v>
      </c>
      <c r="N109" s="145" t="s">
        <v>503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505</v>
      </c>
      <c r="U109" s="145" t="s">
        <v>338</v>
      </c>
      <c r="V109" s="145" t="s">
        <v>504</v>
      </c>
      <c r="W109" s="145" t="s">
        <v>513</v>
      </c>
      <c r="X109" s="145" t="s">
        <v>530</v>
      </c>
      <c r="Y109" s="145" t="s">
        <v>354</v>
      </c>
      <c r="Z109" s="145" t="s">
        <v>507</v>
      </c>
      <c r="AA109" s="145" t="s">
        <v>580</v>
      </c>
      <c r="AB109" s="145" t="s">
        <v>581</v>
      </c>
      <c r="AC109" s="145" t="s">
        <v>510</v>
      </c>
      <c r="AD109" s="145" t="s">
        <v>523</v>
      </c>
      <c r="AE109" s="145" t="s">
        <v>505</v>
      </c>
      <c r="AF109" s="145" t="s">
        <v>338</v>
      </c>
    </row>
    <row r="110" spans="1:32">
      <c r="A110" s="145" t="s">
        <v>725</v>
      </c>
      <c r="B110" s="145" t="s">
        <v>497</v>
      </c>
      <c r="C110" s="145" t="s">
        <v>498</v>
      </c>
      <c r="D110" s="145" t="s">
        <v>499</v>
      </c>
      <c r="E110" s="145" t="s">
        <v>500</v>
      </c>
      <c r="F110" s="145" t="s">
        <v>501</v>
      </c>
      <c r="G110" s="145" t="s">
        <v>202</v>
      </c>
      <c r="H110" s="145">
        <v>17</v>
      </c>
      <c r="I110" s="145" t="s">
        <v>338</v>
      </c>
      <c r="J110" s="146">
        <v>649</v>
      </c>
      <c r="K110" s="145">
        <v>8</v>
      </c>
      <c r="L110" s="145" t="s">
        <v>502</v>
      </c>
      <c r="M110" s="145">
        <v>8</v>
      </c>
      <c r="N110" s="145" t="s">
        <v>503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505</v>
      </c>
      <c r="U110" s="145" t="s">
        <v>338</v>
      </c>
      <c r="V110" s="145" t="s">
        <v>505</v>
      </c>
      <c r="W110" s="145" t="s">
        <v>506</v>
      </c>
      <c r="X110" s="145" t="s">
        <v>530</v>
      </c>
      <c r="Y110" s="145" t="s">
        <v>338</v>
      </c>
      <c r="Z110" s="145" t="s">
        <v>507</v>
      </c>
      <c r="AA110" s="145" t="s">
        <v>560</v>
      </c>
      <c r="AB110" s="145" t="s">
        <v>557</v>
      </c>
      <c r="AC110" s="145" t="s">
        <v>510</v>
      </c>
      <c r="AD110" s="145" t="s">
        <v>558</v>
      </c>
      <c r="AE110" s="145" t="s">
        <v>504</v>
      </c>
      <c r="AF110" s="145" t="s">
        <v>338</v>
      </c>
    </row>
    <row r="111" spans="1:32">
      <c r="A111" s="145" t="s">
        <v>726</v>
      </c>
      <c r="B111" s="145" t="s">
        <v>562</v>
      </c>
      <c r="C111" s="145" t="s">
        <v>657</v>
      </c>
      <c r="D111" s="145" t="s">
        <v>338</v>
      </c>
      <c r="E111" s="145" t="s">
        <v>338</v>
      </c>
      <c r="F111" s="145" t="s">
        <v>338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338</v>
      </c>
      <c r="L111" s="145" t="s">
        <v>635</v>
      </c>
      <c r="M111" s="145" t="s">
        <v>338</v>
      </c>
      <c r="N111" s="145" t="s">
        <v>338</v>
      </c>
      <c r="O111" s="146">
        <v>7200</v>
      </c>
      <c r="P111" s="145" t="s">
        <v>338</v>
      </c>
      <c r="Q111" s="146">
        <v>7200</v>
      </c>
      <c r="R111" s="145" t="s">
        <v>338</v>
      </c>
      <c r="S111" s="145" t="s">
        <v>338</v>
      </c>
      <c r="T111" s="145" t="s">
        <v>338</v>
      </c>
      <c r="U111" s="145" t="s">
        <v>338</v>
      </c>
      <c r="V111" s="145" t="s">
        <v>338</v>
      </c>
      <c r="W111" s="145" t="s">
        <v>338</v>
      </c>
      <c r="X111" s="145" t="s">
        <v>338</v>
      </c>
      <c r="Y111" s="145" t="s">
        <v>338</v>
      </c>
      <c r="Z111" s="145" t="s">
        <v>338</v>
      </c>
      <c r="AA111" s="145" t="s">
        <v>338</v>
      </c>
      <c r="AB111" s="145" t="s">
        <v>338</v>
      </c>
      <c r="AC111" s="145" t="s">
        <v>338</v>
      </c>
      <c r="AD111" s="145" t="s">
        <v>338</v>
      </c>
      <c r="AE111" s="145" t="s">
        <v>338</v>
      </c>
      <c r="AF111" s="145" t="s">
        <v>505</v>
      </c>
    </row>
    <row r="112" spans="1:32">
      <c r="A112" s="145" t="s">
        <v>727</v>
      </c>
      <c r="B112" s="145" t="s">
        <v>562</v>
      </c>
      <c r="C112" s="145" t="s">
        <v>728</v>
      </c>
      <c r="D112" s="145" t="s">
        <v>338</v>
      </c>
      <c r="E112" s="145" t="s">
        <v>338</v>
      </c>
      <c r="F112" s="145" t="s">
        <v>338</v>
      </c>
      <c r="G112" s="145" t="s">
        <v>208</v>
      </c>
      <c r="H112" s="145">
        <v>11</v>
      </c>
      <c r="I112" s="145" t="s">
        <v>338</v>
      </c>
      <c r="J112" s="146">
        <v>2358.3333333333335</v>
      </c>
      <c r="K112" s="145" t="s">
        <v>338</v>
      </c>
      <c r="L112" s="145" t="s">
        <v>635</v>
      </c>
      <c r="M112" s="145" t="s">
        <v>338</v>
      </c>
      <c r="N112" s="145" t="s">
        <v>338</v>
      </c>
      <c r="O112" s="146">
        <v>7075</v>
      </c>
      <c r="P112" s="145" t="s">
        <v>338</v>
      </c>
      <c r="Q112" s="146">
        <v>4412.5</v>
      </c>
      <c r="R112" s="146">
        <v>2662.5</v>
      </c>
      <c r="S112" s="145" t="s">
        <v>338</v>
      </c>
      <c r="T112" s="145" t="s">
        <v>338</v>
      </c>
      <c r="U112" s="145" t="s">
        <v>338</v>
      </c>
      <c r="V112" s="145" t="s">
        <v>338</v>
      </c>
      <c r="W112" s="145" t="s">
        <v>338</v>
      </c>
      <c r="X112" s="145" t="s">
        <v>338</v>
      </c>
      <c r="Y112" s="145" t="s">
        <v>338</v>
      </c>
      <c r="Z112" s="145" t="s">
        <v>338</v>
      </c>
      <c r="AA112" s="145" t="s">
        <v>338</v>
      </c>
      <c r="AB112" s="145" t="s">
        <v>338</v>
      </c>
      <c r="AC112" s="145" t="s">
        <v>338</v>
      </c>
      <c r="AD112" s="145" t="s">
        <v>338</v>
      </c>
      <c r="AE112" s="145" t="s">
        <v>338</v>
      </c>
      <c r="AF112" s="145" t="s">
        <v>338</v>
      </c>
    </row>
    <row r="113" spans="1:32">
      <c r="A113" s="145" t="s">
        <v>729</v>
      </c>
      <c r="B113" s="145" t="s">
        <v>497</v>
      </c>
      <c r="C113" s="145" t="s">
        <v>678</v>
      </c>
      <c r="D113" s="145" t="s">
        <v>679</v>
      </c>
      <c r="E113" s="145" t="s">
        <v>338</v>
      </c>
      <c r="F113" s="145" t="s">
        <v>338</v>
      </c>
      <c r="G113" s="145" t="s">
        <v>126</v>
      </c>
      <c r="H113" s="145">
        <v>27</v>
      </c>
      <c r="I113" s="145" t="s">
        <v>338</v>
      </c>
      <c r="J113" s="146">
        <v>669.33333333333337</v>
      </c>
      <c r="K113" s="145" t="s">
        <v>338</v>
      </c>
      <c r="L113" s="145" t="s">
        <v>704</v>
      </c>
      <c r="M113" s="145" t="s">
        <v>338</v>
      </c>
      <c r="N113" s="145" t="s">
        <v>338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338</v>
      </c>
      <c r="T113" s="145" t="s">
        <v>504</v>
      </c>
      <c r="U113" s="145">
        <v>3</v>
      </c>
      <c r="V113" s="145" t="s">
        <v>505</v>
      </c>
      <c r="W113" s="145" t="s">
        <v>513</v>
      </c>
      <c r="X113" s="145" t="s">
        <v>525</v>
      </c>
      <c r="Y113" s="145" t="s">
        <v>338</v>
      </c>
      <c r="Z113" s="145" t="s">
        <v>595</v>
      </c>
      <c r="AA113" s="145" t="s">
        <v>705</v>
      </c>
      <c r="AB113" s="145" t="s">
        <v>681</v>
      </c>
      <c r="AC113" s="145" t="s">
        <v>638</v>
      </c>
      <c r="AD113" s="145" t="s">
        <v>682</v>
      </c>
      <c r="AE113" s="145" t="s">
        <v>505</v>
      </c>
      <c r="AF113" s="145" t="s">
        <v>338</v>
      </c>
    </row>
    <row r="114" spans="1:32">
      <c r="A114" s="145" t="s">
        <v>730</v>
      </c>
      <c r="B114" s="145" t="s">
        <v>562</v>
      </c>
      <c r="C114" s="145" t="s">
        <v>632</v>
      </c>
      <c r="D114" s="145" t="s">
        <v>731</v>
      </c>
      <c r="E114" s="145" t="s">
        <v>338</v>
      </c>
      <c r="F114" s="145" t="s">
        <v>338</v>
      </c>
      <c r="G114" s="145" t="s">
        <v>732</v>
      </c>
      <c r="H114" s="145">
        <v>52</v>
      </c>
      <c r="I114" s="145" t="s">
        <v>622</v>
      </c>
      <c r="J114" s="146">
        <v>600</v>
      </c>
      <c r="K114" s="145" t="s">
        <v>338</v>
      </c>
      <c r="L114" s="145" t="s">
        <v>635</v>
      </c>
      <c r="M114" s="145" t="s">
        <v>338</v>
      </c>
      <c r="N114" s="145" t="s">
        <v>338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338</v>
      </c>
      <c r="T114" s="145" t="s">
        <v>505</v>
      </c>
      <c r="U114" s="145" t="s">
        <v>338</v>
      </c>
      <c r="V114" s="145" t="s">
        <v>505</v>
      </c>
      <c r="W114" s="145" t="s">
        <v>338</v>
      </c>
      <c r="X114" s="145" t="s">
        <v>338</v>
      </c>
      <c r="Y114" s="145" t="s">
        <v>338</v>
      </c>
      <c r="Z114" s="145" t="s">
        <v>595</v>
      </c>
      <c r="AA114" s="145" t="s">
        <v>669</v>
      </c>
      <c r="AB114" s="145" t="s">
        <v>637</v>
      </c>
      <c r="AC114" s="145" t="s">
        <v>638</v>
      </c>
      <c r="AD114" s="145" t="s">
        <v>523</v>
      </c>
      <c r="AE114" s="145" t="s">
        <v>505</v>
      </c>
      <c r="AF114" s="145" t="s">
        <v>505</v>
      </c>
    </row>
    <row r="115" spans="1:32">
      <c r="A115" s="145" t="s">
        <v>733</v>
      </c>
      <c r="B115" s="145" t="s">
        <v>497</v>
      </c>
      <c r="C115" s="145" t="s">
        <v>498</v>
      </c>
      <c r="D115" s="145" t="s">
        <v>499</v>
      </c>
      <c r="E115" s="145" t="s">
        <v>500</v>
      </c>
      <c r="F115" s="145" t="s">
        <v>587</v>
      </c>
      <c r="G115" s="145" t="s">
        <v>127</v>
      </c>
      <c r="H115" s="145">
        <v>26</v>
      </c>
      <c r="I115" s="145" t="s">
        <v>338</v>
      </c>
      <c r="J115" s="146">
        <v>446.33333333333331</v>
      </c>
      <c r="K115" s="145">
        <v>8</v>
      </c>
      <c r="L115" s="145" t="s">
        <v>502</v>
      </c>
      <c r="M115" s="145">
        <v>8</v>
      </c>
      <c r="N115" s="145" t="s">
        <v>503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505</v>
      </c>
      <c r="U115" s="145" t="s">
        <v>338</v>
      </c>
      <c r="V115" s="145" t="s">
        <v>505</v>
      </c>
      <c r="W115" s="145" t="s">
        <v>506</v>
      </c>
      <c r="X115" s="145" t="s">
        <v>514</v>
      </c>
      <c r="Y115" s="145" t="s">
        <v>338</v>
      </c>
      <c r="Z115" s="145" t="s">
        <v>507</v>
      </c>
      <c r="AA115" s="145" t="s">
        <v>640</v>
      </c>
      <c r="AB115" s="145" t="s">
        <v>536</v>
      </c>
      <c r="AC115" s="145" t="s">
        <v>517</v>
      </c>
      <c r="AD115" s="145" t="s">
        <v>518</v>
      </c>
      <c r="AE115" s="145" t="s">
        <v>504</v>
      </c>
      <c r="AF115" s="145" t="s">
        <v>338</v>
      </c>
    </row>
    <row r="116" spans="1:32">
      <c r="A116" s="145" t="s">
        <v>734</v>
      </c>
      <c r="B116" s="145" t="s">
        <v>497</v>
      </c>
      <c r="C116" s="145" t="s">
        <v>498</v>
      </c>
      <c r="D116" s="145" t="s">
        <v>499</v>
      </c>
      <c r="E116" s="145" t="s">
        <v>500</v>
      </c>
      <c r="F116" s="145" t="s">
        <v>501</v>
      </c>
      <c r="G116" s="145" t="s">
        <v>242</v>
      </c>
      <c r="H116" s="145">
        <v>7</v>
      </c>
      <c r="I116" s="145" t="s">
        <v>338</v>
      </c>
      <c r="J116" s="146">
        <v>910</v>
      </c>
      <c r="K116" s="145">
        <v>8</v>
      </c>
      <c r="L116" s="145" t="s">
        <v>502</v>
      </c>
      <c r="M116" s="145">
        <v>8</v>
      </c>
      <c r="N116" s="145" t="s">
        <v>503</v>
      </c>
      <c r="O116" s="146">
        <v>6696.25</v>
      </c>
      <c r="P116" s="146">
        <v>910</v>
      </c>
      <c r="Q116" s="145" t="s">
        <v>338</v>
      </c>
      <c r="R116" s="146">
        <v>6696.25</v>
      </c>
      <c r="S116" s="147">
        <v>69.752604166666671</v>
      </c>
      <c r="T116" s="145" t="s">
        <v>504</v>
      </c>
      <c r="U116" s="145">
        <v>9</v>
      </c>
      <c r="V116" s="145" t="s">
        <v>504</v>
      </c>
      <c r="W116" s="145" t="s">
        <v>506</v>
      </c>
      <c r="X116" s="145" t="s">
        <v>610</v>
      </c>
      <c r="Y116" s="145" t="s">
        <v>342</v>
      </c>
      <c r="Z116" s="145" t="s">
        <v>507</v>
      </c>
      <c r="AA116" s="145" t="s">
        <v>576</v>
      </c>
      <c r="AB116" s="145" t="s">
        <v>550</v>
      </c>
      <c r="AC116" s="145" t="s">
        <v>510</v>
      </c>
      <c r="AD116" s="145" t="s">
        <v>523</v>
      </c>
      <c r="AE116" s="145" t="s">
        <v>504</v>
      </c>
      <c r="AF116" s="145" t="s">
        <v>338</v>
      </c>
    </row>
    <row r="117" spans="1:32">
      <c r="A117" s="145" t="s">
        <v>735</v>
      </c>
      <c r="B117" s="145" t="s">
        <v>497</v>
      </c>
      <c r="C117" s="145" t="s">
        <v>498</v>
      </c>
      <c r="D117" s="145" t="s">
        <v>499</v>
      </c>
      <c r="E117" s="145" t="s">
        <v>500</v>
      </c>
      <c r="F117" s="145" t="s">
        <v>501</v>
      </c>
      <c r="G117" s="145" t="s">
        <v>202</v>
      </c>
      <c r="H117" s="145">
        <v>17</v>
      </c>
      <c r="I117" s="145" t="s">
        <v>338</v>
      </c>
      <c r="J117" s="146">
        <v>649</v>
      </c>
      <c r="K117" s="145">
        <v>8</v>
      </c>
      <c r="L117" s="145" t="s">
        <v>555</v>
      </c>
      <c r="M117" s="145" t="s">
        <v>338</v>
      </c>
      <c r="N117" s="145" t="s">
        <v>338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505</v>
      </c>
      <c r="U117" s="145" t="s">
        <v>338</v>
      </c>
      <c r="V117" s="145" t="s">
        <v>505</v>
      </c>
      <c r="W117" s="145" t="s">
        <v>506</v>
      </c>
      <c r="X117" s="145" t="s">
        <v>514</v>
      </c>
      <c r="Y117" s="145" t="s">
        <v>338</v>
      </c>
      <c r="Z117" s="145" t="s">
        <v>507</v>
      </c>
      <c r="AA117" s="145" t="s">
        <v>568</v>
      </c>
      <c r="AB117" s="145" t="s">
        <v>557</v>
      </c>
      <c r="AC117" s="145" t="s">
        <v>510</v>
      </c>
      <c r="AD117" s="145" t="s">
        <v>558</v>
      </c>
      <c r="AE117" s="145" t="s">
        <v>504</v>
      </c>
      <c r="AF117" s="145" t="s">
        <v>338</v>
      </c>
    </row>
    <row r="118" spans="1:32">
      <c r="A118" s="145" t="s">
        <v>736</v>
      </c>
      <c r="B118" s="145" t="s">
        <v>497</v>
      </c>
      <c r="C118" s="145" t="s">
        <v>498</v>
      </c>
      <c r="D118" s="145" t="s">
        <v>499</v>
      </c>
      <c r="E118" s="145" t="s">
        <v>500</v>
      </c>
      <c r="F118" s="145" t="s">
        <v>587</v>
      </c>
      <c r="G118" s="145" t="s">
        <v>128</v>
      </c>
      <c r="H118" s="145">
        <v>25</v>
      </c>
      <c r="I118" s="145" t="s">
        <v>338</v>
      </c>
      <c r="J118" s="146">
        <v>493</v>
      </c>
      <c r="K118" s="145">
        <v>3</v>
      </c>
      <c r="L118" s="145" t="s">
        <v>555</v>
      </c>
      <c r="M118" s="145" t="s">
        <v>338</v>
      </c>
      <c r="N118" s="145" t="s">
        <v>338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505</v>
      </c>
      <c r="U118" s="145" t="s">
        <v>338</v>
      </c>
      <c r="V118" s="145" t="s">
        <v>504</v>
      </c>
      <c r="W118" s="145" t="s">
        <v>513</v>
      </c>
      <c r="X118" s="145" t="s">
        <v>540</v>
      </c>
      <c r="Y118" s="145" t="s">
        <v>354</v>
      </c>
      <c r="Z118" s="145" t="s">
        <v>507</v>
      </c>
      <c r="AA118" s="145" t="s">
        <v>538</v>
      </c>
      <c r="AB118" s="145" t="s">
        <v>532</v>
      </c>
      <c r="AC118" s="145" t="s">
        <v>533</v>
      </c>
      <c r="AD118" s="145" t="s">
        <v>518</v>
      </c>
      <c r="AE118" s="145" t="s">
        <v>505</v>
      </c>
      <c r="AF118" s="145" t="s">
        <v>338</v>
      </c>
    </row>
    <row r="119" spans="1:32">
      <c r="A119" s="145" t="s">
        <v>737</v>
      </c>
      <c r="B119" s="145" t="s">
        <v>497</v>
      </c>
      <c r="C119" s="145" t="s">
        <v>498</v>
      </c>
      <c r="D119" s="145" t="s">
        <v>499</v>
      </c>
      <c r="E119" s="145" t="s">
        <v>500</v>
      </c>
      <c r="F119" s="145" t="s">
        <v>501</v>
      </c>
      <c r="G119" s="145" t="s">
        <v>130</v>
      </c>
      <c r="H119" s="145">
        <v>23</v>
      </c>
      <c r="I119" s="145" t="s">
        <v>338</v>
      </c>
      <c r="J119" s="146">
        <v>630</v>
      </c>
      <c r="K119" s="145">
        <v>6</v>
      </c>
      <c r="L119" s="145" t="s">
        <v>555</v>
      </c>
      <c r="M119" s="145" t="s">
        <v>338</v>
      </c>
      <c r="N119" s="145" t="s">
        <v>338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504</v>
      </c>
      <c r="U119" s="145" t="s">
        <v>338</v>
      </c>
      <c r="V119" s="145" t="s">
        <v>505</v>
      </c>
      <c r="W119" s="145" t="s">
        <v>506</v>
      </c>
      <c r="X119" s="145" t="s">
        <v>525</v>
      </c>
      <c r="Y119" s="145" t="s">
        <v>338</v>
      </c>
      <c r="Z119" s="145" t="s">
        <v>507</v>
      </c>
      <c r="AA119" s="145" t="s">
        <v>556</v>
      </c>
      <c r="AB119" s="145" t="s">
        <v>557</v>
      </c>
      <c r="AC119" s="145" t="s">
        <v>510</v>
      </c>
      <c r="AD119" s="145" t="s">
        <v>558</v>
      </c>
      <c r="AE119" s="145" t="s">
        <v>504</v>
      </c>
      <c r="AF119" s="145" t="s">
        <v>338</v>
      </c>
    </row>
    <row r="120" spans="1:32">
      <c r="A120" s="145" t="s">
        <v>738</v>
      </c>
      <c r="B120" s="145" t="s">
        <v>497</v>
      </c>
      <c r="C120" s="145" t="s">
        <v>498</v>
      </c>
      <c r="D120" s="145" t="s">
        <v>499</v>
      </c>
      <c r="E120" s="145" t="s">
        <v>500</v>
      </c>
      <c r="F120" s="145" t="s">
        <v>501</v>
      </c>
      <c r="G120" s="145" t="s">
        <v>209</v>
      </c>
      <c r="H120" s="145">
        <v>10</v>
      </c>
      <c r="I120" s="145" t="s">
        <v>338</v>
      </c>
      <c r="J120" s="146">
        <v>650</v>
      </c>
      <c r="K120" s="145">
        <v>4</v>
      </c>
      <c r="L120" s="145" t="s">
        <v>555</v>
      </c>
      <c r="M120" s="145" t="s">
        <v>338</v>
      </c>
      <c r="N120" s="145" t="s">
        <v>338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505</v>
      </c>
      <c r="U120" s="145">
        <v>26</v>
      </c>
      <c r="V120" s="145" t="s">
        <v>504</v>
      </c>
      <c r="W120" s="145" t="s">
        <v>506</v>
      </c>
      <c r="X120" s="145" t="s">
        <v>540</v>
      </c>
      <c r="Y120" s="145" t="s">
        <v>342</v>
      </c>
      <c r="Z120" s="145" t="s">
        <v>507</v>
      </c>
      <c r="AA120" s="145" t="s">
        <v>626</v>
      </c>
      <c r="AB120" s="145" t="s">
        <v>509</v>
      </c>
      <c r="AC120" s="145" t="s">
        <v>510</v>
      </c>
      <c r="AD120" s="145" t="s">
        <v>511</v>
      </c>
      <c r="AE120" s="145" t="s">
        <v>504</v>
      </c>
      <c r="AF120" s="145" t="s">
        <v>338</v>
      </c>
    </row>
    <row r="121" spans="1:32">
      <c r="A121" s="145" t="s">
        <v>739</v>
      </c>
      <c r="B121" s="145" t="s">
        <v>497</v>
      </c>
      <c r="C121" s="145" t="s">
        <v>498</v>
      </c>
      <c r="D121" s="145" t="s">
        <v>499</v>
      </c>
      <c r="E121" s="145" t="s">
        <v>500</v>
      </c>
      <c r="F121" s="145" t="s">
        <v>501</v>
      </c>
      <c r="G121" s="145" t="s">
        <v>127</v>
      </c>
      <c r="H121" s="145">
        <v>26</v>
      </c>
      <c r="I121" s="145" t="s">
        <v>338</v>
      </c>
      <c r="J121" s="146">
        <v>476.66666666666669</v>
      </c>
      <c r="K121" s="145">
        <v>15</v>
      </c>
      <c r="L121" s="145" t="s">
        <v>555</v>
      </c>
      <c r="M121" s="145">
        <v>5</v>
      </c>
      <c r="N121" s="145" t="s">
        <v>579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505</v>
      </c>
      <c r="U121" s="145" t="s">
        <v>338</v>
      </c>
      <c r="V121" s="145" t="s">
        <v>505</v>
      </c>
      <c r="W121" s="145" t="s">
        <v>506</v>
      </c>
      <c r="X121" s="145" t="s">
        <v>514</v>
      </c>
      <c r="Y121" s="145" t="s">
        <v>338</v>
      </c>
      <c r="Z121" s="145" t="s">
        <v>507</v>
      </c>
      <c r="AA121" s="145" t="s">
        <v>549</v>
      </c>
      <c r="AB121" s="145" t="s">
        <v>550</v>
      </c>
      <c r="AC121" s="145" t="s">
        <v>510</v>
      </c>
      <c r="AD121" s="145" t="s">
        <v>523</v>
      </c>
      <c r="AE121" s="145" t="s">
        <v>504</v>
      </c>
      <c r="AF121" s="145" t="s">
        <v>338</v>
      </c>
    </row>
    <row r="122" spans="1:32">
      <c r="A122" s="145" t="s">
        <v>740</v>
      </c>
      <c r="B122" s="145" t="s">
        <v>562</v>
      </c>
      <c r="C122" s="145" t="s">
        <v>632</v>
      </c>
      <c r="D122" s="145" t="s">
        <v>741</v>
      </c>
      <c r="E122" s="145" t="s">
        <v>338</v>
      </c>
      <c r="F122" s="145" t="s">
        <v>338</v>
      </c>
      <c r="G122" s="145" t="s">
        <v>742</v>
      </c>
      <c r="H122" s="145">
        <v>57</v>
      </c>
      <c r="I122" s="145" t="s">
        <v>622</v>
      </c>
      <c r="J122" s="146">
        <v>535</v>
      </c>
      <c r="K122" s="145" t="s">
        <v>338</v>
      </c>
      <c r="L122" s="145" t="s">
        <v>635</v>
      </c>
      <c r="M122" s="145" t="s">
        <v>338</v>
      </c>
      <c r="N122" s="145" t="s">
        <v>338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338</v>
      </c>
      <c r="T122" s="145" t="s">
        <v>505</v>
      </c>
      <c r="U122" s="145" t="s">
        <v>338</v>
      </c>
      <c r="V122" s="145" t="s">
        <v>505</v>
      </c>
      <c r="W122" s="145" t="s">
        <v>338</v>
      </c>
      <c r="X122" s="145" t="s">
        <v>338</v>
      </c>
      <c r="Y122" s="145" t="s">
        <v>338</v>
      </c>
      <c r="Z122" s="145" t="s">
        <v>595</v>
      </c>
      <c r="AA122" s="145" t="s">
        <v>636</v>
      </c>
      <c r="AB122" s="145" t="s">
        <v>637</v>
      </c>
      <c r="AC122" s="145" t="s">
        <v>638</v>
      </c>
      <c r="AD122" s="145" t="s">
        <v>523</v>
      </c>
      <c r="AE122" s="145" t="s">
        <v>505</v>
      </c>
      <c r="AF122" s="145" t="s">
        <v>505</v>
      </c>
    </row>
    <row r="123" spans="1:32">
      <c r="A123" s="145" t="s">
        <v>743</v>
      </c>
      <c r="B123" s="145" t="s">
        <v>497</v>
      </c>
      <c r="C123" s="145" t="s">
        <v>498</v>
      </c>
      <c r="D123" s="145" t="s">
        <v>499</v>
      </c>
      <c r="E123" s="145" t="s">
        <v>500</v>
      </c>
      <c r="F123" s="145" t="s">
        <v>501</v>
      </c>
      <c r="G123" s="145" t="s">
        <v>597</v>
      </c>
      <c r="H123" s="145">
        <v>35</v>
      </c>
      <c r="I123" s="145" t="s">
        <v>338</v>
      </c>
      <c r="J123" s="146">
        <v>520</v>
      </c>
      <c r="K123" s="145">
        <v>4</v>
      </c>
      <c r="L123" s="145" t="s">
        <v>555</v>
      </c>
      <c r="M123" s="145" t="s">
        <v>338</v>
      </c>
      <c r="N123" s="145" t="s">
        <v>338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504</v>
      </c>
      <c r="U123" s="145">
        <v>4</v>
      </c>
      <c r="V123" s="145" t="s">
        <v>504</v>
      </c>
      <c r="W123" s="145" t="s">
        <v>506</v>
      </c>
      <c r="X123" s="145" t="s">
        <v>514</v>
      </c>
      <c r="Y123" s="145" t="s">
        <v>342</v>
      </c>
      <c r="Z123" s="145" t="s">
        <v>507</v>
      </c>
      <c r="AA123" s="145" t="s">
        <v>640</v>
      </c>
      <c r="AB123" s="145" t="s">
        <v>536</v>
      </c>
      <c r="AC123" s="145" t="s">
        <v>517</v>
      </c>
      <c r="AD123" s="145" t="s">
        <v>518</v>
      </c>
      <c r="AE123" s="145" t="s">
        <v>504</v>
      </c>
      <c r="AF123" s="145" t="s">
        <v>338</v>
      </c>
    </row>
    <row r="124" spans="1:32">
      <c r="A124" s="145" t="s">
        <v>744</v>
      </c>
      <c r="B124" s="145" t="s">
        <v>497</v>
      </c>
      <c r="C124" s="145" t="s">
        <v>498</v>
      </c>
      <c r="D124" s="145" t="s">
        <v>499</v>
      </c>
      <c r="E124" s="145" t="s">
        <v>607</v>
      </c>
      <c r="F124" s="145" t="s">
        <v>594</v>
      </c>
      <c r="G124" s="145" t="s">
        <v>210</v>
      </c>
      <c r="H124" s="145">
        <v>9</v>
      </c>
      <c r="I124" s="145" t="s">
        <v>338</v>
      </c>
      <c r="J124" s="146">
        <v>1040</v>
      </c>
      <c r="K124" s="145">
        <v>17</v>
      </c>
      <c r="L124" s="145" t="s">
        <v>502</v>
      </c>
      <c r="M124" s="145">
        <v>17</v>
      </c>
      <c r="N124" s="145" t="s">
        <v>503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504</v>
      </c>
      <c r="U124" s="145" t="s">
        <v>338</v>
      </c>
      <c r="V124" s="145" t="s">
        <v>505</v>
      </c>
      <c r="W124" s="145" t="s">
        <v>506</v>
      </c>
      <c r="X124" s="145" t="s">
        <v>514</v>
      </c>
      <c r="Y124" s="145" t="s">
        <v>338</v>
      </c>
      <c r="Z124" s="145" t="s">
        <v>507</v>
      </c>
      <c r="AA124" s="145" t="s">
        <v>556</v>
      </c>
      <c r="AB124" s="145" t="s">
        <v>557</v>
      </c>
      <c r="AC124" s="145" t="s">
        <v>510</v>
      </c>
      <c r="AD124" s="145" t="s">
        <v>558</v>
      </c>
      <c r="AE124" s="145" t="s">
        <v>504</v>
      </c>
      <c r="AF124" s="145" t="s">
        <v>338</v>
      </c>
    </row>
    <row r="125" spans="1:32">
      <c r="A125" s="145" t="s">
        <v>745</v>
      </c>
      <c r="B125" s="145" t="s">
        <v>19</v>
      </c>
      <c r="C125" s="145" t="s">
        <v>498</v>
      </c>
      <c r="D125" s="145" t="s">
        <v>499</v>
      </c>
      <c r="E125" s="145" t="s">
        <v>616</v>
      </c>
      <c r="F125" s="145" t="s">
        <v>587</v>
      </c>
      <c r="G125" s="145" t="s">
        <v>245</v>
      </c>
      <c r="H125" s="145">
        <v>4</v>
      </c>
      <c r="I125" s="145" t="s">
        <v>338</v>
      </c>
      <c r="J125" s="146">
        <v>1327</v>
      </c>
      <c r="K125" s="145">
        <v>23</v>
      </c>
      <c r="L125" s="145" t="s">
        <v>502</v>
      </c>
      <c r="M125" s="145">
        <v>23</v>
      </c>
      <c r="N125" s="145" t="s">
        <v>503</v>
      </c>
      <c r="O125" s="146">
        <v>6254</v>
      </c>
      <c r="P125" s="146">
        <v>1400</v>
      </c>
      <c r="Q125" s="145" t="s">
        <v>338</v>
      </c>
      <c r="R125" s="146">
        <v>6254</v>
      </c>
      <c r="S125" s="147">
        <v>22.659420289855071</v>
      </c>
      <c r="T125" s="145" t="s">
        <v>504</v>
      </c>
      <c r="U125" s="145" t="s">
        <v>338</v>
      </c>
      <c r="V125" s="145" t="s">
        <v>504</v>
      </c>
      <c r="W125" s="145" t="s">
        <v>506</v>
      </c>
      <c r="X125" s="145" t="s">
        <v>525</v>
      </c>
      <c r="Y125" s="145" t="s">
        <v>342</v>
      </c>
      <c r="Z125" s="145" t="s">
        <v>507</v>
      </c>
      <c r="AA125" s="145" t="s">
        <v>553</v>
      </c>
      <c r="AB125" s="145" t="s">
        <v>536</v>
      </c>
      <c r="AC125" s="145" t="s">
        <v>517</v>
      </c>
      <c r="AD125" s="145" t="s">
        <v>518</v>
      </c>
      <c r="AE125" s="145" t="s">
        <v>504</v>
      </c>
      <c r="AF125" s="145" t="s">
        <v>338</v>
      </c>
    </row>
    <row r="126" spans="1:32">
      <c r="A126" s="145" t="s">
        <v>746</v>
      </c>
      <c r="B126" s="145" t="s">
        <v>19</v>
      </c>
      <c r="C126" s="145" t="s">
        <v>498</v>
      </c>
      <c r="D126" s="145" t="s">
        <v>499</v>
      </c>
      <c r="E126" s="145" t="s">
        <v>338</v>
      </c>
      <c r="F126" s="145" t="s">
        <v>501</v>
      </c>
      <c r="G126" s="145" t="s">
        <v>248</v>
      </c>
      <c r="H126" s="145">
        <v>1</v>
      </c>
      <c r="I126" s="145" t="s">
        <v>338</v>
      </c>
      <c r="J126" s="146">
        <v>6252</v>
      </c>
      <c r="K126" s="145">
        <v>83</v>
      </c>
      <c r="L126" s="145" t="s">
        <v>502</v>
      </c>
      <c r="M126" s="145">
        <v>83</v>
      </c>
      <c r="N126" s="145" t="s">
        <v>503</v>
      </c>
      <c r="O126" s="146">
        <v>6252</v>
      </c>
      <c r="P126" s="146">
        <v>6252</v>
      </c>
      <c r="Q126" s="145" t="s">
        <v>338</v>
      </c>
      <c r="R126" s="146">
        <v>6252</v>
      </c>
      <c r="S126" s="147">
        <v>6.2771084337349397</v>
      </c>
      <c r="T126" s="145" t="s">
        <v>504</v>
      </c>
      <c r="U126" s="145" t="s">
        <v>338</v>
      </c>
      <c r="V126" s="145" t="s">
        <v>505</v>
      </c>
      <c r="W126" s="145" t="s">
        <v>506</v>
      </c>
      <c r="X126" s="145" t="s">
        <v>514</v>
      </c>
      <c r="Y126" s="145" t="s">
        <v>342</v>
      </c>
      <c r="Z126" s="145" t="s">
        <v>507</v>
      </c>
      <c r="AA126" s="145" t="s">
        <v>715</v>
      </c>
      <c r="AB126" s="145" t="s">
        <v>652</v>
      </c>
      <c r="AC126" s="145" t="s">
        <v>566</v>
      </c>
      <c r="AD126" s="145" t="s">
        <v>716</v>
      </c>
      <c r="AE126" s="145" t="s">
        <v>504</v>
      </c>
      <c r="AF126" s="145" t="s">
        <v>338</v>
      </c>
    </row>
    <row r="127" spans="1:32">
      <c r="A127" s="145" t="s">
        <v>747</v>
      </c>
      <c r="B127" s="145" t="s">
        <v>497</v>
      </c>
      <c r="C127" s="145" t="s">
        <v>498</v>
      </c>
      <c r="D127" s="145" t="s">
        <v>499</v>
      </c>
      <c r="E127" s="145" t="s">
        <v>607</v>
      </c>
      <c r="F127" s="145" t="s">
        <v>501</v>
      </c>
      <c r="G127" s="145" t="s">
        <v>246</v>
      </c>
      <c r="H127" s="145">
        <v>3</v>
      </c>
      <c r="I127" s="145" t="s">
        <v>338</v>
      </c>
      <c r="J127" s="146">
        <v>2063</v>
      </c>
      <c r="K127" s="145">
        <v>47</v>
      </c>
      <c r="L127" s="145" t="s">
        <v>502</v>
      </c>
      <c r="M127" s="145">
        <v>47</v>
      </c>
      <c r="N127" s="145" t="s">
        <v>503</v>
      </c>
      <c r="O127" s="146">
        <v>6189</v>
      </c>
      <c r="P127" s="146">
        <v>2333</v>
      </c>
      <c r="Q127" s="145" t="s">
        <v>338</v>
      </c>
      <c r="R127" s="146">
        <v>6189</v>
      </c>
      <c r="S127" s="147">
        <v>10.973404255319149</v>
      </c>
      <c r="T127" s="145" t="s">
        <v>504</v>
      </c>
      <c r="U127" s="145" t="s">
        <v>338</v>
      </c>
      <c r="V127" s="145" t="s">
        <v>505</v>
      </c>
      <c r="W127" s="145" t="s">
        <v>506</v>
      </c>
      <c r="X127" s="145" t="s">
        <v>530</v>
      </c>
      <c r="Y127" s="145" t="s">
        <v>338</v>
      </c>
      <c r="Z127" s="145" t="s">
        <v>507</v>
      </c>
      <c r="AA127" s="145" t="s">
        <v>576</v>
      </c>
      <c r="AB127" s="145" t="s">
        <v>550</v>
      </c>
      <c r="AC127" s="145" t="s">
        <v>510</v>
      </c>
      <c r="AD127" s="145" t="s">
        <v>523</v>
      </c>
      <c r="AE127" s="145" t="s">
        <v>504</v>
      </c>
      <c r="AF127" s="145" t="s">
        <v>338</v>
      </c>
    </row>
    <row r="128" spans="1:32">
      <c r="A128" s="145" t="s">
        <v>748</v>
      </c>
      <c r="B128" s="145" t="s">
        <v>562</v>
      </c>
      <c r="C128" s="145" t="s">
        <v>657</v>
      </c>
      <c r="D128" s="145" t="s">
        <v>338</v>
      </c>
      <c r="E128" s="145" t="s">
        <v>338</v>
      </c>
      <c r="F128" s="145" t="s">
        <v>338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338</v>
      </c>
      <c r="L128" s="145" t="s">
        <v>635</v>
      </c>
      <c r="M128" s="145" t="s">
        <v>338</v>
      </c>
      <c r="N128" s="145" t="s">
        <v>338</v>
      </c>
      <c r="O128" s="146">
        <v>6162</v>
      </c>
      <c r="P128" s="145" t="s">
        <v>338</v>
      </c>
      <c r="Q128" s="146">
        <v>11280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5" t="s">
        <v>338</v>
      </c>
      <c r="W128" s="145" t="s">
        <v>338</v>
      </c>
      <c r="X128" s="145" t="s">
        <v>338</v>
      </c>
      <c r="Y128" s="145" t="s">
        <v>338</v>
      </c>
      <c r="Z128" s="145" t="s">
        <v>338</v>
      </c>
      <c r="AA128" s="145" t="s">
        <v>338</v>
      </c>
      <c r="AB128" s="145" t="s">
        <v>338</v>
      </c>
      <c r="AC128" s="145" t="s">
        <v>338</v>
      </c>
      <c r="AD128" s="145" t="s">
        <v>338</v>
      </c>
      <c r="AE128" s="145" t="s">
        <v>338</v>
      </c>
      <c r="AF128" s="145" t="s">
        <v>504</v>
      </c>
    </row>
    <row r="129" spans="1:32">
      <c r="A129" s="145" t="s">
        <v>749</v>
      </c>
      <c r="B129" s="145" t="s">
        <v>497</v>
      </c>
      <c r="C129" s="145" t="s">
        <v>498</v>
      </c>
      <c r="D129" s="145" t="s">
        <v>499</v>
      </c>
      <c r="E129" s="145" t="s">
        <v>607</v>
      </c>
      <c r="F129" s="145" t="s">
        <v>594</v>
      </c>
      <c r="G129" s="145" t="s">
        <v>207</v>
      </c>
      <c r="H129" s="145">
        <v>12</v>
      </c>
      <c r="I129" s="145" t="s">
        <v>338</v>
      </c>
      <c r="J129" s="146">
        <v>200</v>
      </c>
      <c r="K129" s="145">
        <v>5</v>
      </c>
      <c r="L129" s="145" t="s">
        <v>555</v>
      </c>
      <c r="M129" s="145">
        <v>5</v>
      </c>
      <c r="N129" s="145" t="s">
        <v>579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505</v>
      </c>
      <c r="U129" s="145" t="s">
        <v>338</v>
      </c>
      <c r="V129" s="145" t="s">
        <v>505</v>
      </c>
      <c r="W129" s="145" t="s">
        <v>506</v>
      </c>
      <c r="X129" s="145" t="s">
        <v>514</v>
      </c>
      <c r="Y129" s="145" t="s">
        <v>338</v>
      </c>
      <c r="Z129" s="145" t="s">
        <v>507</v>
      </c>
      <c r="AA129" s="145" t="s">
        <v>541</v>
      </c>
      <c r="AB129" s="145" t="s">
        <v>509</v>
      </c>
      <c r="AC129" s="145" t="s">
        <v>510</v>
      </c>
      <c r="AD129" s="145" t="s">
        <v>511</v>
      </c>
      <c r="AE129" s="145" t="s">
        <v>504</v>
      </c>
      <c r="AF129" s="145" t="s">
        <v>338</v>
      </c>
    </row>
    <row r="130" spans="1:32">
      <c r="A130" s="145" t="s">
        <v>750</v>
      </c>
      <c r="B130" s="145" t="s">
        <v>562</v>
      </c>
      <c r="C130" s="145" t="s">
        <v>657</v>
      </c>
      <c r="D130" s="145" t="s">
        <v>338</v>
      </c>
      <c r="E130" s="145" t="s">
        <v>338</v>
      </c>
      <c r="F130" s="145" t="s">
        <v>338</v>
      </c>
      <c r="G130" s="145" t="s">
        <v>245</v>
      </c>
      <c r="H130" s="145">
        <v>4</v>
      </c>
      <c r="I130" s="145" t="s">
        <v>622</v>
      </c>
      <c r="J130" s="146">
        <v>1500</v>
      </c>
      <c r="K130" s="145" t="s">
        <v>338</v>
      </c>
      <c r="L130" s="145" t="s">
        <v>635</v>
      </c>
      <c r="M130" s="145" t="s">
        <v>338</v>
      </c>
      <c r="N130" s="145" t="s">
        <v>338</v>
      </c>
      <c r="O130" s="146">
        <v>6000</v>
      </c>
      <c r="P130" s="146">
        <v>1500</v>
      </c>
      <c r="Q130" s="145" t="s">
        <v>338</v>
      </c>
      <c r="R130" s="146">
        <v>6000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5" t="s">
        <v>338</v>
      </c>
      <c r="AD130" s="145" t="s">
        <v>338</v>
      </c>
      <c r="AE130" s="145" t="s">
        <v>338</v>
      </c>
      <c r="AF130" s="145" t="s">
        <v>505</v>
      </c>
    </row>
    <row r="131" spans="1:32">
      <c r="A131" s="145" t="s">
        <v>751</v>
      </c>
      <c r="B131" s="145" t="s">
        <v>497</v>
      </c>
      <c r="C131" s="145" t="s">
        <v>498</v>
      </c>
      <c r="D131" s="145" t="s">
        <v>499</v>
      </c>
      <c r="E131" s="145" t="s">
        <v>500</v>
      </c>
      <c r="F131" s="145" t="s">
        <v>501</v>
      </c>
      <c r="G131" s="145" t="s">
        <v>203</v>
      </c>
      <c r="H131" s="145">
        <v>16</v>
      </c>
      <c r="I131" s="145" t="s">
        <v>338</v>
      </c>
      <c r="J131" s="146">
        <v>546.33333333333337</v>
      </c>
      <c r="K131" s="145">
        <v>10</v>
      </c>
      <c r="L131" s="145" t="s">
        <v>502</v>
      </c>
      <c r="M131" s="145">
        <v>10</v>
      </c>
      <c r="N131" s="145" t="s">
        <v>503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505</v>
      </c>
      <c r="U131" s="145" t="s">
        <v>338</v>
      </c>
      <c r="V131" s="145" t="s">
        <v>505</v>
      </c>
      <c r="W131" s="145" t="s">
        <v>506</v>
      </c>
      <c r="X131" s="145" t="s">
        <v>530</v>
      </c>
      <c r="Y131" s="145" t="s">
        <v>338</v>
      </c>
      <c r="Z131" s="145" t="s">
        <v>507</v>
      </c>
      <c r="AA131" s="145" t="s">
        <v>752</v>
      </c>
      <c r="AB131" s="145" t="s">
        <v>522</v>
      </c>
      <c r="AC131" s="145" t="s">
        <v>510</v>
      </c>
      <c r="AD131" s="145" t="s">
        <v>523</v>
      </c>
      <c r="AE131" s="145" t="s">
        <v>504</v>
      </c>
      <c r="AF131" s="145" t="s">
        <v>338</v>
      </c>
    </row>
    <row r="132" spans="1:32">
      <c r="A132" s="145" t="s">
        <v>753</v>
      </c>
      <c r="B132" s="145" t="s">
        <v>497</v>
      </c>
      <c r="C132" s="145" t="s">
        <v>498</v>
      </c>
      <c r="D132" s="145" t="s">
        <v>499</v>
      </c>
      <c r="E132" s="145" t="s">
        <v>500</v>
      </c>
      <c r="F132" s="145" t="s">
        <v>594</v>
      </c>
      <c r="G132" s="145" t="s">
        <v>126</v>
      </c>
      <c r="H132" s="145">
        <v>27</v>
      </c>
      <c r="I132" s="145" t="s">
        <v>338</v>
      </c>
      <c r="J132" s="146">
        <v>495</v>
      </c>
      <c r="K132" s="145">
        <v>16</v>
      </c>
      <c r="L132" s="145" t="s">
        <v>502</v>
      </c>
      <c r="M132" s="145">
        <v>16</v>
      </c>
      <c r="N132" s="145" t="s">
        <v>503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505</v>
      </c>
      <c r="U132" s="145" t="s">
        <v>338</v>
      </c>
      <c r="V132" s="145" t="s">
        <v>505</v>
      </c>
      <c r="W132" s="145" t="s">
        <v>506</v>
      </c>
      <c r="X132" s="145" t="s">
        <v>514</v>
      </c>
      <c r="Y132" s="145" t="s">
        <v>338</v>
      </c>
      <c r="Z132" s="145" t="s">
        <v>507</v>
      </c>
      <c r="AA132" s="145" t="s">
        <v>556</v>
      </c>
      <c r="AB132" s="145" t="s">
        <v>557</v>
      </c>
      <c r="AC132" s="145" t="s">
        <v>510</v>
      </c>
      <c r="AD132" s="145" t="s">
        <v>558</v>
      </c>
      <c r="AE132" s="145" t="s">
        <v>504</v>
      </c>
      <c r="AF132" s="145" t="s">
        <v>338</v>
      </c>
    </row>
    <row r="133" spans="1:32">
      <c r="A133" s="145" t="s">
        <v>754</v>
      </c>
      <c r="B133" s="145" t="s">
        <v>497</v>
      </c>
      <c r="C133" s="145" t="s">
        <v>498</v>
      </c>
      <c r="D133" s="145" t="s">
        <v>499</v>
      </c>
      <c r="E133" s="145" t="s">
        <v>616</v>
      </c>
      <c r="F133" s="145" t="s">
        <v>587</v>
      </c>
      <c r="G133" s="145" t="s">
        <v>211</v>
      </c>
      <c r="H133" s="145">
        <v>8</v>
      </c>
      <c r="I133" s="145" t="s">
        <v>338</v>
      </c>
      <c r="J133" s="146">
        <v>840</v>
      </c>
      <c r="K133" s="145">
        <v>11</v>
      </c>
      <c r="L133" s="145" t="s">
        <v>502</v>
      </c>
      <c r="M133" s="145">
        <v>11</v>
      </c>
      <c r="N133" s="145" t="s">
        <v>503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505</v>
      </c>
      <c r="U133" s="145" t="s">
        <v>338</v>
      </c>
      <c r="V133" s="145" t="s">
        <v>505</v>
      </c>
      <c r="W133" s="145" t="s">
        <v>506</v>
      </c>
      <c r="X133" s="145" t="s">
        <v>540</v>
      </c>
      <c r="Y133" s="145" t="s">
        <v>338</v>
      </c>
      <c r="Z133" s="145" t="s">
        <v>507</v>
      </c>
      <c r="AA133" s="145" t="s">
        <v>545</v>
      </c>
      <c r="AB133" s="145" t="s">
        <v>546</v>
      </c>
      <c r="AC133" s="145" t="s">
        <v>533</v>
      </c>
      <c r="AD133" s="145" t="s">
        <v>523</v>
      </c>
      <c r="AE133" s="145" t="s">
        <v>504</v>
      </c>
      <c r="AF133" s="145" t="s">
        <v>338</v>
      </c>
    </row>
    <row r="134" spans="1:32">
      <c r="A134" s="145" t="s">
        <v>755</v>
      </c>
      <c r="B134" s="145" t="s">
        <v>497</v>
      </c>
      <c r="C134" s="145" t="s">
        <v>498</v>
      </c>
      <c r="D134" s="145" t="s">
        <v>499</v>
      </c>
      <c r="E134" s="145" t="s">
        <v>500</v>
      </c>
      <c r="F134" s="145" t="s">
        <v>501</v>
      </c>
      <c r="G134" s="145" t="s">
        <v>206</v>
      </c>
      <c r="H134" s="145">
        <v>13</v>
      </c>
      <c r="I134" s="145" t="s">
        <v>338</v>
      </c>
      <c r="J134" s="146">
        <v>653.9666666666667</v>
      </c>
      <c r="K134" s="145">
        <v>6</v>
      </c>
      <c r="L134" s="145" t="s">
        <v>555</v>
      </c>
      <c r="M134" s="145">
        <v>6</v>
      </c>
      <c r="N134" s="145" t="s">
        <v>564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504</v>
      </c>
      <c r="U134" s="145">
        <v>5</v>
      </c>
      <c r="V134" s="145" t="s">
        <v>505</v>
      </c>
      <c r="W134" s="145" t="s">
        <v>506</v>
      </c>
      <c r="X134" s="145" t="s">
        <v>525</v>
      </c>
      <c r="Y134" s="145" t="s">
        <v>338</v>
      </c>
      <c r="Z134" s="145" t="s">
        <v>507</v>
      </c>
      <c r="AA134" s="145" t="s">
        <v>565</v>
      </c>
      <c r="AB134" s="145" t="s">
        <v>546</v>
      </c>
      <c r="AC134" s="145" t="s">
        <v>533</v>
      </c>
      <c r="AD134" s="145" t="s">
        <v>523</v>
      </c>
      <c r="AE134" s="145" t="s">
        <v>504</v>
      </c>
      <c r="AF134" s="145" t="s">
        <v>338</v>
      </c>
    </row>
    <row r="135" spans="1:32">
      <c r="A135" s="145" t="s">
        <v>756</v>
      </c>
      <c r="B135" s="145" t="s">
        <v>497</v>
      </c>
      <c r="C135" s="145" t="s">
        <v>678</v>
      </c>
      <c r="D135" s="145" t="s">
        <v>679</v>
      </c>
      <c r="E135" s="145" t="s">
        <v>338</v>
      </c>
      <c r="F135" s="145" t="s">
        <v>338</v>
      </c>
      <c r="G135" s="145" t="s">
        <v>757</v>
      </c>
      <c r="H135" s="145">
        <v>47</v>
      </c>
      <c r="I135" s="145" t="s">
        <v>338</v>
      </c>
      <c r="J135" s="146">
        <v>500</v>
      </c>
      <c r="K135" s="145">
        <v>0</v>
      </c>
      <c r="L135" s="145" t="s">
        <v>502</v>
      </c>
      <c r="M135" s="145">
        <v>0</v>
      </c>
      <c r="N135" s="145" t="s">
        <v>503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338</v>
      </c>
      <c r="T135" s="145" t="s">
        <v>505</v>
      </c>
      <c r="U135" s="145" t="s">
        <v>338</v>
      </c>
      <c r="V135" s="145" t="s">
        <v>505</v>
      </c>
      <c r="W135" s="145" t="s">
        <v>338</v>
      </c>
      <c r="X135" s="145" t="s">
        <v>338</v>
      </c>
      <c r="Y135" s="145" t="s">
        <v>338</v>
      </c>
      <c r="Z135" s="145" t="s">
        <v>595</v>
      </c>
      <c r="AA135" s="145" t="s">
        <v>680</v>
      </c>
      <c r="AB135" s="145" t="s">
        <v>681</v>
      </c>
      <c r="AC135" s="145" t="s">
        <v>638</v>
      </c>
      <c r="AD135" s="145" t="s">
        <v>682</v>
      </c>
      <c r="AE135" s="145" t="s">
        <v>505</v>
      </c>
      <c r="AF135" s="145" t="s">
        <v>338</v>
      </c>
    </row>
    <row r="136" spans="1:32">
      <c r="A136" s="145" t="s">
        <v>758</v>
      </c>
      <c r="B136" s="145" t="s">
        <v>562</v>
      </c>
      <c r="C136" s="145" t="s">
        <v>632</v>
      </c>
      <c r="D136" s="145" t="s">
        <v>338</v>
      </c>
      <c r="E136" s="145" t="s">
        <v>338</v>
      </c>
      <c r="F136" s="145" t="s">
        <v>338</v>
      </c>
      <c r="G136" s="145" t="s">
        <v>759</v>
      </c>
      <c r="H136" s="145">
        <v>36</v>
      </c>
      <c r="I136" s="145" t="s">
        <v>622</v>
      </c>
      <c r="J136" s="146">
        <v>485</v>
      </c>
      <c r="K136" s="145" t="s">
        <v>338</v>
      </c>
      <c r="L136" s="145" t="s">
        <v>635</v>
      </c>
      <c r="M136" s="145" t="s">
        <v>338</v>
      </c>
      <c r="N136" s="145" t="s">
        <v>338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338</v>
      </c>
      <c r="T136" s="145" t="s">
        <v>505</v>
      </c>
      <c r="U136" s="145" t="s">
        <v>338</v>
      </c>
      <c r="V136" s="145" t="s">
        <v>505</v>
      </c>
      <c r="W136" s="145" t="s">
        <v>338</v>
      </c>
      <c r="X136" s="145" t="s">
        <v>338</v>
      </c>
      <c r="Y136" s="145" t="s">
        <v>338</v>
      </c>
      <c r="Z136" s="145" t="s">
        <v>338</v>
      </c>
      <c r="AA136" s="145" t="s">
        <v>705</v>
      </c>
      <c r="AB136" s="145" t="s">
        <v>681</v>
      </c>
      <c r="AC136" s="145" t="s">
        <v>638</v>
      </c>
      <c r="AD136" s="145" t="s">
        <v>682</v>
      </c>
      <c r="AE136" s="145" t="s">
        <v>505</v>
      </c>
      <c r="AF136" s="145" t="s">
        <v>505</v>
      </c>
    </row>
    <row r="137" spans="1:32">
      <c r="A137" s="145" t="s">
        <v>760</v>
      </c>
      <c r="B137" s="145" t="s">
        <v>497</v>
      </c>
      <c r="C137" s="145" t="s">
        <v>678</v>
      </c>
      <c r="D137" s="145" t="s">
        <v>679</v>
      </c>
      <c r="E137" s="145" t="s">
        <v>338</v>
      </c>
      <c r="F137" s="145" t="s">
        <v>338</v>
      </c>
      <c r="G137" s="145" t="s">
        <v>204</v>
      </c>
      <c r="H137" s="145">
        <v>15</v>
      </c>
      <c r="I137" s="145" t="s">
        <v>338</v>
      </c>
      <c r="J137" s="146">
        <v>495</v>
      </c>
      <c r="K137" s="145" t="s">
        <v>338</v>
      </c>
      <c r="L137" s="145" t="s">
        <v>704</v>
      </c>
      <c r="M137" s="145" t="s">
        <v>338</v>
      </c>
      <c r="N137" s="145" t="s">
        <v>338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338</v>
      </c>
      <c r="T137" s="145" t="s">
        <v>505</v>
      </c>
      <c r="U137" s="145" t="s">
        <v>338</v>
      </c>
      <c r="V137" s="145" t="s">
        <v>505</v>
      </c>
      <c r="W137" s="145" t="s">
        <v>338</v>
      </c>
      <c r="X137" s="145" t="s">
        <v>525</v>
      </c>
      <c r="Y137" s="145" t="s">
        <v>338</v>
      </c>
      <c r="Z137" s="145" t="s">
        <v>595</v>
      </c>
      <c r="AA137" s="145" t="s">
        <v>680</v>
      </c>
      <c r="AB137" s="145" t="s">
        <v>681</v>
      </c>
      <c r="AC137" s="145" t="s">
        <v>638</v>
      </c>
      <c r="AD137" s="145" t="s">
        <v>682</v>
      </c>
      <c r="AE137" s="145" t="s">
        <v>505</v>
      </c>
      <c r="AF137" s="145" t="s">
        <v>338</v>
      </c>
    </row>
    <row r="138" spans="1:32">
      <c r="A138" s="145" t="s">
        <v>761</v>
      </c>
      <c r="B138" s="145" t="s">
        <v>497</v>
      </c>
      <c r="C138" s="145" t="s">
        <v>678</v>
      </c>
      <c r="D138" s="145" t="s">
        <v>679</v>
      </c>
      <c r="E138" s="145" t="s">
        <v>338</v>
      </c>
      <c r="F138" s="145" t="s">
        <v>338</v>
      </c>
      <c r="G138" s="145" t="s">
        <v>128</v>
      </c>
      <c r="H138" s="145">
        <v>25</v>
      </c>
      <c r="I138" s="145" t="s">
        <v>338</v>
      </c>
      <c r="J138" s="146">
        <v>406</v>
      </c>
      <c r="K138" s="145" t="s">
        <v>338</v>
      </c>
      <c r="L138" s="145" t="s">
        <v>704</v>
      </c>
      <c r="M138" s="145" t="s">
        <v>338</v>
      </c>
      <c r="N138" s="145" t="s">
        <v>338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338</v>
      </c>
      <c r="T138" s="145" t="s">
        <v>505</v>
      </c>
      <c r="U138" s="145" t="s">
        <v>338</v>
      </c>
      <c r="V138" s="145" t="s">
        <v>505</v>
      </c>
      <c r="W138" s="145" t="s">
        <v>513</v>
      </c>
      <c r="X138" s="145" t="s">
        <v>540</v>
      </c>
      <c r="Y138" s="145" t="s">
        <v>338</v>
      </c>
      <c r="Z138" s="145" t="s">
        <v>595</v>
      </c>
      <c r="AA138" s="145" t="s">
        <v>680</v>
      </c>
      <c r="AB138" s="145" t="s">
        <v>681</v>
      </c>
      <c r="AC138" s="145" t="s">
        <v>638</v>
      </c>
      <c r="AD138" s="145" t="s">
        <v>682</v>
      </c>
      <c r="AE138" s="145" t="s">
        <v>505</v>
      </c>
      <c r="AF138" s="145" t="s">
        <v>338</v>
      </c>
    </row>
    <row r="139" spans="1:32">
      <c r="A139" s="145" t="s">
        <v>762</v>
      </c>
      <c r="B139" s="145" t="s">
        <v>562</v>
      </c>
      <c r="C139" s="145" t="s">
        <v>632</v>
      </c>
      <c r="D139" s="145" t="s">
        <v>328</v>
      </c>
      <c r="E139" s="145" t="s">
        <v>338</v>
      </c>
      <c r="F139" s="145" t="s">
        <v>338</v>
      </c>
      <c r="G139" s="145" t="s">
        <v>732</v>
      </c>
      <c r="H139" s="145">
        <v>52</v>
      </c>
      <c r="I139" s="145" t="s">
        <v>622</v>
      </c>
      <c r="J139" s="146">
        <v>460</v>
      </c>
      <c r="K139" s="145" t="s">
        <v>338</v>
      </c>
      <c r="L139" s="145" t="s">
        <v>635</v>
      </c>
      <c r="M139" s="145" t="s">
        <v>338</v>
      </c>
      <c r="N139" s="145" t="s">
        <v>338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338</v>
      </c>
      <c r="T139" s="145" t="s">
        <v>505</v>
      </c>
      <c r="U139" s="145" t="s">
        <v>338</v>
      </c>
      <c r="V139" s="145" t="s">
        <v>505</v>
      </c>
      <c r="W139" s="145" t="s">
        <v>338</v>
      </c>
      <c r="X139" s="145" t="s">
        <v>338</v>
      </c>
      <c r="Y139" s="145" t="s">
        <v>338</v>
      </c>
      <c r="Z139" s="145" t="s">
        <v>595</v>
      </c>
      <c r="AA139" s="145" t="s">
        <v>669</v>
      </c>
      <c r="AB139" s="145" t="s">
        <v>637</v>
      </c>
      <c r="AC139" s="145" t="s">
        <v>638</v>
      </c>
      <c r="AD139" s="145" t="s">
        <v>523</v>
      </c>
      <c r="AE139" s="145" t="s">
        <v>505</v>
      </c>
      <c r="AF139" s="145" t="s">
        <v>505</v>
      </c>
    </row>
    <row r="140" spans="1:32">
      <c r="A140" s="145" t="s">
        <v>763</v>
      </c>
      <c r="B140" s="145" t="s">
        <v>562</v>
      </c>
      <c r="C140" s="145" t="s">
        <v>498</v>
      </c>
      <c r="D140" s="145" t="s">
        <v>499</v>
      </c>
      <c r="E140" s="145" t="s">
        <v>500</v>
      </c>
      <c r="F140" s="145" t="s">
        <v>501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502</v>
      </c>
      <c r="M140" s="145">
        <v>0</v>
      </c>
      <c r="N140" s="145" t="s">
        <v>503</v>
      </c>
      <c r="O140" s="146">
        <v>5575</v>
      </c>
      <c r="P140" s="145" t="s">
        <v>338</v>
      </c>
      <c r="Q140" s="146">
        <v>7036</v>
      </c>
      <c r="R140" s="146">
        <v>2635</v>
      </c>
      <c r="S140" s="145" t="s">
        <v>338</v>
      </c>
      <c r="T140" s="145" t="s">
        <v>505</v>
      </c>
      <c r="U140" s="145" t="s">
        <v>338</v>
      </c>
      <c r="V140" s="145" t="s">
        <v>504</v>
      </c>
      <c r="W140" s="145" t="s">
        <v>513</v>
      </c>
      <c r="X140" s="145" t="s">
        <v>514</v>
      </c>
      <c r="Y140" s="145" t="s">
        <v>764</v>
      </c>
      <c r="Z140" s="145" t="s">
        <v>507</v>
      </c>
      <c r="AA140" s="145" t="s">
        <v>553</v>
      </c>
      <c r="AB140" s="145" t="s">
        <v>536</v>
      </c>
      <c r="AC140" s="145" t="s">
        <v>517</v>
      </c>
      <c r="AD140" s="145" t="s">
        <v>518</v>
      </c>
      <c r="AE140" s="145" t="s">
        <v>505</v>
      </c>
      <c r="AF140" s="145" t="s">
        <v>504</v>
      </c>
    </row>
    <row r="141" spans="1:32">
      <c r="A141" s="145" t="s">
        <v>765</v>
      </c>
      <c r="B141" s="145" t="s">
        <v>497</v>
      </c>
      <c r="C141" s="145" t="s">
        <v>678</v>
      </c>
      <c r="D141" s="145" t="s">
        <v>679</v>
      </c>
      <c r="E141" s="145" t="s">
        <v>338</v>
      </c>
      <c r="F141" s="145" t="s">
        <v>338</v>
      </c>
      <c r="G141" s="145" t="s">
        <v>127</v>
      </c>
      <c r="H141" s="145">
        <v>26</v>
      </c>
      <c r="I141" s="145" t="s">
        <v>338</v>
      </c>
      <c r="J141" s="146">
        <v>358.33333333333331</v>
      </c>
      <c r="K141" s="145" t="s">
        <v>338</v>
      </c>
      <c r="L141" s="145" t="s">
        <v>704</v>
      </c>
      <c r="M141" s="145" t="s">
        <v>338</v>
      </c>
      <c r="N141" s="145" t="s">
        <v>338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338</v>
      </c>
      <c r="T141" s="145" t="s">
        <v>505</v>
      </c>
      <c r="U141" s="145" t="s">
        <v>338</v>
      </c>
      <c r="V141" s="145" t="s">
        <v>505</v>
      </c>
      <c r="W141" s="145" t="s">
        <v>338</v>
      </c>
      <c r="X141" s="145" t="s">
        <v>338</v>
      </c>
      <c r="Y141" s="145" t="s">
        <v>338</v>
      </c>
      <c r="Z141" s="145" t="s">
        <v>595</v>
      </c>
      <c r="AA141" s="145" t="s">
        <v>766</v>
      </c>
      <c r="AB141" s="145" t="s">
        <v>681</v>
      </c>
      <c r="AC141" s="145" t="s">
        <v>638</v>
      </c>
      <c r="AD141" s="145" t="s">
        <v>682</v>
      </c>
      <c r="AE141" s="145" t="s">
        <v>505</v>
      </c>
      <c r="AF141" s="145" t="s">
        <v>338</v>
      </c>
    </row>
    <row r="142" spans="1:32">
      <c r="A142" s="145" t="s">
        <v>767</v>
      </c>
      <c r="B142" s="145" t="s">
        <v>497</v>
      </c>
      <c r="C142" s="145" t="s">
        <v>678</v>
      </c>
      <c r="D142" s="145" t="s">
        <v>679</v>
      </c>
      <c r="E142" s="145" t="s">
        <v>338</v>
      </c>
      <c r="F142" s="145" t="s">
        <v>338</v>
      </c>
      <c r="G142" s="145" t="s">
        <v>211</v>
      </c>
      <c r="H142" s="145">
        <v>8</v>
      </c>
      <c r="I142" s="145" t="s">
        <v>338</v>
      </c>
      <c r="J142" s="146">
        <v>725</v>
      </c>
      <c r="K142" s="145" t="s">
        <v>338</v>
      </c>
      <c r="L142" s="145" t="s">
        <v>704</v>
      </c>
      <c r="M142" s="145" t="s">
        <v>338</v>
      </c>
      <c r="N142" s="145" t="s">
        <v>338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338</v>
      </c>
      <c r="T142" s="145" t="s">
        <v>505</v>
      </c>
      <c r="U142" s="145" t="s">
        <v>338</v>
      </c>
      <c r="V142" s="145" t="s">
        <v>505</v>
      </c>
      <c r="W142" s="145" t="s">
        <v>338</v>
      </c>
      <c r="X142" s="145" t="s">
        <v>338</v>
      </c>
      <c r="Y142" s="145" t="s">
        <v>338</v>
      </c>
      <c r="Z142" s="145" t="s">
        <v>338</v>
      </c>
      <c r="AA142" s="145" t="s">
        <v>766</v>
      </c>
      <c r="AB142" s="145" t="s">
        <v>681</v>
      </c>
      <c r="AC142" s="145" t="s">
        <v>566</v>
      </c>
      <c r="AD142" s="145" t="s">
        <v>682</v>
      </c>
      <c r="AE142" s="145" t="s">
        <v>505</v>
      </c>
      <c r="AF142" s="145" t="s">
        <v>338</v>
      </c>
    </row>
    <row r="143" spans="1:32">
      <c r="A143" s="145" t="s">
        <v>768</v>
      </c>
      <c r="B143" s="145" t="s">
        <v>562</v>
      </c>
      <c r="C143" s="145" t="s">
        <v>498</v>
      </c>
      <c r="D143" s="145" t="s">
        <v>499</v>
      </c>
      <c r="E143" s="145" t="s">
        <v>500</v>
      </c>
      <c r="F143" s="145" t="s">
        <v>501</v>
      </c>
      <c r="G143" s="145" t="s">
        <v>129</v>
      </c>
      <c r="H143" s="145">
        <v>24</v>
      </c>
      <c r="I143" s="145" t="s">
        <v>622</v>
      </c>
      <c r="J143" s="146">
        <v>350</v>
      </c>
      <c r="K143" s="145">
        <v>4</v>
      </c>
      <c r="L143" s="145" t="s">
        <v>563</v>
      </c>
      <c r="M143" s="145" t="s">
        <v>338</v>
      </c>
      <c r="N143" s="145" t="s">
        <v>338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505</v>
      </c>
      <c r="U143" s="145" t="s">
        <v>338</v>
      </c>
      <c r="V143" s="145" t="s">
        <v>505</v>
      </c>
      <c r="W143" s="145" t="s">
        <v>506</v>
      </c>
      <c r="X143" s="145" t="s">
        <v>540</v>
      </c>
      <c r="Y143" s="145" t="s">
        <v>338</v>
      </c>
      <c r="Z143" s="145" t="s">
        <v>507</v>
      </c>
      <c r="AA143" s="145" t="s">
        <v>532</v>
      </c>
      <c r="AB143" s="145" t="s">
        <v>769</v>
      </c>
      <c r="AC143" s="145" t="s">
        <v>533</v>
      </c>
      <c r="AD143" s="145" t="s">
        <v>518</v>
      </c>
      <c r="AE143" s="145" t="s">
        <v>505</v>
      </c>
      <c r="AF143" s="145" t="s">
        <v>504</v>
      </c>
    </row>
    <row r="144" spans="1:32">
      <c r="A144" s="145" t="s">
        <v>770</v>
      </c>
      <c r="B144" s="145" t="s">
        <v>562</v>
      </c>
      <c r="C144" s="145" t="s">
        <v>678</v>
      </c>
      <c r="D144" s="145" t="s">
        <v>679</v>
      </c>
      <c r="E144" s="145" t="s">
        <v>338</v>
      </c>
      <c r="F144" s="145" t="s">
        <v>338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338</v>
      </c>
      <c r="L144" s="145" t="s">
        <v>635</v>
      </c>
      <c r="M144" s="145" t="s">
        <v>338</v>
      </c>
      <c r="N144" s="145" t="s">
        <v>338</v>
      </c>
      <c r="O144" s="146">
        <v>5495</v>
      </c>
      <c r="P144" s="145" t="s">
        <v>338</v>
      </c>
      <c r="Q144" s="146">
        <v>6000</v>
      </c>
      <c r="R144" s="146">
        <v>2745</v>
      </c>
      <c r="S144" s="145" t="s">
        <v>338</v>
      </c>
      <c r="T144" s="145" t="s">
        <v>505</v>
      </c>
      <c r="U144" s="145" t="s">
        <v>338</v>
      </c>
      <c r="V144" s="145" t="s">
        <v>505</v>
      </c>
      <c r="W144" s="145" t="s">
        <v>338</v>
      </c>
      <c r="X144" s="145" t="s">
        <v>338</v>
      </c>
      <c r="Y144" s="145" t="s">
        <v>338</v>
      </c>
      <c r="Z144" s="145" t="s">
        <v>595</v>
      </c>
      <c r="AA144" s="145" t="s">
        <v>766</v>
      </c>
      <c r="AB144" s="145" t="s">
        <v>681</v>
      </c>
      <c r="AC144" s="145" t="s">
        <v>638</v>
      </c>
      <c r="AD144" s="145" t="s">
        <v>511</v>
      </c>
      <c r="AE144" s="145" t="s">
        <v>505</v>
      </c>
      <c r="AF144" s="145" t="s">
        <v>504</v>
      </c>
    </row>
    <row r="145" spans="1:32">
      <c r="A145" s="145" t="s">
        <v>771</v>
      </c>
      <c r="B145" s="145" t="s">
        <v>497</v>
      </c>
      <c r="C145" s="145" t="s">
        <v>498</v>
      </c>
      <c r="D145" s="145" t="s">
        <v>499</v>
      </c>
      <c r="E145" s="145" t="s">
        <v>500</v>
      </c>
      <c r="F145" s="145" t="s">
        <v>501</v>
      </c>
      <c r="G145" s="145" t="s">
        <v>244</v>
      </c>
      <c r="H145" s="145">
        <v>5</v>
      </c>
      <c r="I145" s="145" t="s">
        <v>338</v>
      </c>
      <c r="J145" s="146">
        <v>1119.4666666666667</v>
      </c>
      <c r="K145" s="145">
        <v>17</v>
      </c>
      <c r="L145" s="145" t="s">
        <v>502</v>
      </c>
      <c r="M145" s="145">
        <v>17</v>
      </c>
      <c r="N145" s="145" t="s">
        <v>503</v>
      </c>
      <c r="O145" s="146">
        <v>5488.4</v>
      </c>
      <c r="P145" s="146">
        <v>1317</v>
      </c>
      <c r="Q145" s="145" t="s">
        <v>338</v>
      </c>
      <c r="R145" s="146">
        <v>5488.4</v>
      </c>
      <c r="S145" s="147">
        <v>26.90392156862745</v>
      </c>
      <c r="T145" s="145" t="s">
        <v>505</v>
      </c>
      <c r="U145" s="145" t="s">
        <v>338</v>
      </c>
      <c r="V145" s="145" t="s">
        <v>504</v>
      </c>
      <c r="W145" s="145" t="s">
        <v>506</v>
      </c>
      <c r="X145" s="145" t="s">
        <v>530</v>
      </c>
      <c r="Y145" s="145" t="s">
        <v>342</v>
      </c>
      <c r="Z145" s="145" t="s">
        <v>507</v>
      </c>
      <c r="AA145" s="145" t="s">
        <v>535</v>
      </c>
      <c r="AB145" s="145" t="s">
        <v>536</v>
      </c>
      <c r="AC145" s="145" t="s">
        <v>517</v>
      </c>
      <c r="AD145" s="145" t="s">
        <v>518</v>
      </c>
      <c r="AE145" s="145" t="s">
        <v>504</v>
      </c>
      <c r="AF145" s="145" t="s">
        <v>338</v>
      </c>
    </row>
    <row r="146" spans="1:32">
      <c r="A146" s="145" t="s">
        <v>772</v>
      </c>
      <c r="B146" s="145" t="s">
        <v>497</v>
      </c>
      <c r="C146" s="145" t="s">
        <v>498</v>
      </c>
      <c r="D146" s="145" t="s">
        <v>499</v>
      </c>
      <c r="E146" s="145" t="s">
        <v>500</v>
      </c>
      <c r="F146" s="145" t="s">
        <v>501</v>
      </c>
      <c r="G146" s="145" t="s">
        <v>203</v>
      </c>
      <c r="H146" s="145">
        <v>16</v>
      </c>
      <c r="I146" s="145" t="s">
        <v>338</v>
      </c>
      <c r="J146" s="146">
        <v>495</v>
      </c>
      <c r="K146" s="145">
        <v>4</v>
      </c>
      <c r="L146" s="145" t="s">
        <v>555</v>
      </c>
      <c r="M146" s="145" t="s">
        <v>338</v>
      </c>
      <c r="N146" s="145" t="s">
        <v>338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505</v>
      </c>
      <c r="U146" s="145" t="s">
        <v>338</v>
      </c>
      <c r="V146" s="145" t="s">
        <v>505</v>
      </c>
      <c r="W146" s="145" t="s">
        <v>506</v>
      </c>
      <c r="X146" s="145" t="s">
        <v>530</v>
      </c>
      <c r="Y146" s="145" t="s">
        <v>338</v>
      </c>
      <c r="Z146" s="145" t="s">
        <v>507</v>
      </c>
      <c r="AA146" s="145" t="s">
        <v>752</v>
      </c>
      <c r="AB146" s="145" t="s">
        <v>522</v>
      </c>
      <c r="AC146" s="145" t="s">
        <v>510</v>
      </c>
      <c r="AD146" s="145" t="s">
        <v>523</v>
      </c>
      <c r="AE146" s="145" t="s">
        <v>504</v>
      </c>
      <c r="AF146" s="145" t="s">
        <v>338</v>
      </c>
    </row>
    <row r="147" spans="1:32">
      <c r="A147" s="145" t="s">
        <v>773</v>
      </c>
      <c r="B147" s="145" t="s">
        <v>562</v>
      </c>
      <c r="C147" s="145" t="s">
        <v>632</v>
      </c>
      <c r="D147" s="145" t="s">
        <v>774</v>
      </c>
      <c r="E147" s="145" t="s">
        <v>338</v>
      </c>
      <c r="F147" s="145" t="s">
        <v>338</v>
      </c>
      <c r="G147" s="145" t="s">
        <v>634</v>
      </c>
      <c r="H147" s="145">
        <v>63</v>
      </c>
      <c r="I147" s="145" t="s">
        <v>338</v>
      </c>
      <c r="J147" s="146">
        <v>455</v>
      </c>
      <c r="K147" s="145" t="s">
        <v>338</v>
      </c>
      <c r="L147" s="145" t="s">
        <v>635</v>
      </c>
      <c r="M147" s="145" t="s">
        <v>338</v>
      </c>
      <c r="N147" s="145" t="s">
        <v>338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338</v>
      </c>
      <c r="T147" s="145" t="s">
        <v>505</v>
      </c>
      <c r="U147" s="145" t="s">
        <v>338</v>
      </c>
      <c r="V147" s="145" t="s">
        <v>505</v>
      </c>
      <c r="W147" s="145" t="s">
        <v>338</v>
      </c>
      <c r="X147" s="145" t="s">
        <v>338</v>
      </c>
      <c r="Y147" s="145" t="s">
        <v>338</v>
      </c>
      <c r="Z147" s="145" t="s">
        <v>507</v>
      </c>
      <c r="AA147" s="145" t="s">
        <v>669</v>
      </c>
      <c r="AB147" s="145" t="s">
        <v>637</v>
      </c>
      <c r="AC147" s="145" t="s">
        <v>638</v>
      </c>
      <c r="AD147" s="145" t="s">
        <v>523</v>
      </c>
      <c r="AE147" s="145" t="s">
        <v>505</v>
      </c>
      <c r="AF147" s="145" t="s">
        <v>338</v>
      </c>
    </row>
    <row r="148" spans="1:32">
      <c r="A148" s="145" t="s">
        <v>775</v>
      </c>
      <c r="B148" s="145" t="s">
        <v>562</v>
      </c>
      <c r="C148" s="145" t="s">
        <v>632</v>
      </c>
      <c r="D148" s="145" t="s">
        <v>776</v>
      </c>
      <c r="E148" s="145" t="s">
        <v>338</v>
      </c>
      <c r="F148" s="145" t="s">
        <v>338</v>
      </c>
      <c r="G148" s="145" t="s">
        <v>777</v>
      </c>
      <c r="H148" s="145">
        <v>43</v>
      </c>
      <c r="I148" s="145" t="s">
        <v>622</v>
      </c>
      <c r="J148" s="146">
        <v>455</v>
      </c>
      <c r="K148" s="145" t="s">
        <v>338</v>
      </c>
      <c r="L148" s="145" t="s">
        <v>635</v>
      </c>
      <c r="M148" s="145" t="s">
        <v>338</v>
      </c>
      <c r="N148" s="145" t="s">
        <v>338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338</v>
      </c>
      <c r="T148" s="145" t="s">
        <v>505</v>
      </c>
      <c r="U148" s="145" t="s">
        <v>338</v>
      </c>
      <c r="V148" s="145" t="s">
        <v>505</v>
      </c>
      <c r="W148" s="145" t="s">
        <v>338</v>
      </c>
      <c r="X148" s="145" t="s">
        <v>338</v>
      </c>
      <c r="Y148" s="145" t="s">
        <v>338</v>
      </c>
      <c r="Z148" s="145" t="s">
        <v>595</v>
      </c>
      <c r="AA148" s="145" t="s">
        <v>669</v>
      </c>
      <c r="AB148" s="145" t="s">
        <v>637</v>
      </c>
      <c r="AC148" s="145" t="s">
        <v>638</v>
      </c>
      <c r="AD148" s="145" t="s">
        <v>523</v>
      </c>
      <c r="AE148" s="145" t="s">
        <v>505</v>
      </c>
      <c r="AF148" s="145" t="s">
        <v>505</v>
      </c>
    </row>
    <row r="149" spans="1:32">
      <c r="A149" s="145" t="s">
        <v>778</v>
      </c>
      <c r="B149" s="145" t="s">
        <v>497</v>
      </c>
      <c r="C149" s="145" t="s">
        <v>678</v>
      </c>
      <c r="D149" s="145" t="s">
        <v>679</v>
      </c>
      <c r="E149" s="145" t="s">
        <v>338</v>
      </c>
      <c r="F149" s="145" t="s">
        <v>338</v>
      </c>
      <c r="G149" s="145" t="s">
        <v>131</v>
      </c>
      <c r="H149" s="145">
        <v>22</v>
      </c>
      <c r="I149" s="145" t="s">
        <v>338</v>
      </c>
      <c r="J149" s="146">
        <v>425</v>
      </c>
      <c r="K149" s="145" t="s">
        <v>338</v>
      </c>
      <c r="L149" s="145" t="s">
        <v>704</v>
      </c>
      <c r="M149" s="145" t="s">
        <v>338</v>
      </c>
      <c r="N149" s="145" t="s">
        <v>338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338</v>
      </c>
      <c r="T149" s="145" t="s">
        <v>505</v>
      </c>
      <c r="U149" s="145" t="s">
        <v>338</v>
      </c>
      <c r="V149" s="145" t="s">
        <v>505</v>
      </c>
      <c r="W149" s="145" t="s">
        <v>338</v>
      </c>
      <c r="X149" s="145" t="s">
        <v>525</v>
      </c>
      <c r="Y149" s="145" t="s">
        <v>338</v>
      </c>
      <c r="Z149" s="145" t="s">
        <v>338</v>
      </c>
      <c r="AA149" s="145" t="s">
        <v>705</v>
      </c>
      <c r="AB149" s="145" t="s">
        <v>681</v>
      </c>
      <c r="AC149" s="145" t="s">
        <v>638</v>
      </c>
      <c r="AD149" s="145" t="s">
        <v>682</v>
      </c>
      <c r="AE149" s="145" t="s">
        <v>505</v>
      </c>
      <c r="AF149" s="145" t="s">
        <v>338</v>
      </c>
    </row>
    <row r="150" spans="1:32">
      <c r="A150" s="145" t="s">
        <v>779</v>
      </c>
      <c r="B150" s="145" t="s">
        <v>497</v>
      </c>
      <c r="C150" s="145" t="s">
        <v>678</v>
      </c>
      <c r="D150" s="145" t="s">
        <v>679</v>
      </c>
      <c r="E150" s="145" t="s">
        <v>338</v>
      </c>
      <c r="F150" s="145" t="s">
        <v>338</v>
      </c>
      <c r="G150" s="145" t="s">
        <v>200</v>
      </c>
      <c r="H150" s="145">
        <v>19</v>
      </c>
      <c r="I150" s="145" t="s">
        <v>338</v>
      </c>
      <c r="J150" s="146">
        <v>406.66666666666669</v>
      </c>
      <c r="K150" s="145" t="s">
        <v>338</v>
      </c>
      <c r="L150" s="145" t="s">
        <v>704</v>
      </c>
      <c r="M150" s="145" t="s">
        <v>338</v>
      </c>
      <c r="N150" s="145" t="s">
        <v>338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338</v>
      </c>
      <c r="T150" s="145" t="s">
        <v>505</v>
      </c>
      <c r="U150" s="145" t="s">
        <v>338</v>
      </c>
      <c r="V150" s="145" t="s">
        <v>505</v>
      </c>
      <c r="W150" s="145" t="s">
        <v>338</v>
      </c>
      <c r="X150" s="145" t="s">
        <v>338</v>
      </c>
      <c r="Y150" s="145" t="s">
        <v>338</v>
      </c>
      <c r="Z150" s="145" t="s">
        <v>595</v>
      </c>
      <c r="AA150" s="145" t="s">
        <v>766</v>
      </c>
      <c r="AB150" s="145" t="s">
        <v>681</v>
      </c>
      <c r="AC150" s="145" t="s">
        <v>638</v>
      </c>
      <c r="AD150" s="145" t="s">
        <v>682</v>
      </c>
      <c r="AE150" s="145" t="s">
        <v>505</v>
      </c>
      <c r="AF150" s="145" t="s">
        <v>338</v>
      </c>
    </row>
    <row r="151" spans="1:32">
      <c r="A151" s="145" t="s">
        <v>780</v>
      </c>
      <c r="B151" s="145" t="s">
        <v>497</v>
      </c>
      <c r="C151" s="145" t="s">
        <v>498</v>
      </c>
      <c r="D151" s="145" t="s">
        <v>499</v>
      </c>
      <c r="E151" s="145" t="s">
        <v>500</v>
      </c>
      <c r="F151" s="145" t="s">
        <v>501</v>
      </c>
      <c r="G151" s="145" t="s">
        <v>245</v>
      </c>
      <c r="H151" s="145">
        <v>4</v>
      </c>
      <c r="I151" s="145" t="s">
        <v>338</v>
      </c>
      <c r="J151" s="146">
        <v>1265</v>
      </c>
      <c r="K151" s="145">
        <v>13</v>
      </c>
      <c r="L151" s="145" t="s">
        <v>502</v>
      </c>
      <c r="M151" s="145">
        <v>13</v>
      </c>
      <c r="N151" s="145" t="s">
        <v>503</v>
      </c>
      <c r="O151" s="146">
        <v>5155</v>
      </c>
      <c r="P151" s="146">
        <v>935</v>
      </c>
      <c r="Q151" s="145" t="s">
        <v>338</v>
      </c>
      <c r="R151" s="146">
        <v>5155</v>
      </c>
      <c r="S151" s="147">
        <v>33.044871794871796</v>
      </c>
      <c r="T151" s="145" t="s">
        <v>504</v>
      </c>
      <c r="U151" s="145">
        <v>3</v>
      </c>
      <c r="V151" s="145" t="s">
        <v>505</v>
      </c>
      <c r="W151" s="145" t="s">
        <v>506</v>
      </c>
      <c r="X151" s="145" t="s">
        <v>514</v>
      </c>
      <c r="Y151" s="145" t="s">
        <v>338</v>
      </c>
      <c r="Z151" s="145" t="s">
        <v>507</v>
      </c>
      <c r="AA151" s="145" t="s">
        <v>665</v>
      </c>
      <c r="AB151" s="145" t="s">
        <v>781</v>
      </c>
      <c r="AC151" s="145" t="s">
        <v>517</v>
      </c>
      <c r="AD151" s="145" t="s">
        <v>558</v>
      </c>
      <c r="AE151" s="145" t="s">
        <v>504</v>
      </c>
      <c r="AF151" s="145" t="s">
        <v>338</v>
      </c>
    </row>
    <row r="152" spans="1:32">
      <c r="A152" s="145" t="s">
        <v>782</v>
      </c>
      <c r="B152" s="145" t="s">
        <v>497</v>
      </c>
      <c r="C152" s="145" t="s">
        <v>498</v>
      </c>
      <c r="D152" s="145" t="s">
        <v>499</v>
      </c>
      <c r="E152" s="145" t="s">
        <v>500</v>
      </c>
      <c r="F152" s="145" t="s">
        <v>501</v>
      </c>
      <c r="G152" s="145" t="s">
        <v>207</v>
      </c>
      <c r="H152" s="145">
        <v>12</v>
      </c>
      <c r="I152" s="145" t="s">
        <v>338</v>
      </c>
      <c r="J152" s="146">
        <v>596.62</v>
      </c>
      <c r="K152" s="145">
        <v>5</v>
      </c>
      <c r="L152" s="145" t="s">
        <v>555</v>
      </c>
      <c r="M152" s="145" t="s">
        <v>338</v>
      </c>
      <c r="N152" s="145" t="s">
        <v>338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504</v>
      </c>
      <c r="U152" s="145">
        <v>4</v>
      </c>
      <c r="V152" s="145" t="s">
        <v>505</v>
      </c>
      <c r="W152" s="145" t="s">
        <v>506</v>
      </c>
      <c r="X152" s="145" t="s">
        <v>525</v>
      </c>
      <c r="Y152" s="145" t="s">
        <v>338</v>
      </c>
      <c r="Z152" s="145" t="s">
        <v>507</v>
      </c>
      <c r="AA152" s="145" t="s">
        <v>600</v>
      </c>
      <c r="AB152" s="145" t="s">
        <v>527</v>
      </c>
      <c r="AC152" s="145" t="s">
        <v>517</v>
      </c>
      <c r="AD152" s="145" t="s">
        <v>511</v>
      </c>
      <c r="AE152" s="145" t="s">
        <v>504</v>
      </c>
      <c r="AF152" s="145" t="s">
        <v>338</v>
      </c>
    </row>
    <row r="153" spans="1:32">
      <c r="A153" s="145" t="s">
        <v>783</v>
      </c>
      <c r="B153" s="145" t="s">
        <v>497</v>
      </c>
      <c r="C153" s="145" t="s">
        <v>678</v>
      </c>
      <c r="D153" s="145" t="s">
        <v>679</v>
      </c>
      <c r="E153" s="145" t="s">
        <v>338</v>
      </c>
      <c r="F153" s="145" t="s">
        <v>338</v>
      </c>
      <c r="G153" s="145" t="s">
        <v>207</v>
      </c>
      <c r="H153" s="145">
        <v>12</v>
      </c>
      <c r="I153" s="145" t="s">
        <v>338</v>
      </c>
      <c r="J153" s="146">
        <v>410</v>
      </c>
      <c r="K153" s="145" t="s">
        <v>338</v>
      </c>
      <c r="L153" s="145" t="s">
        <v>704</v>
      </c>
      <c r="M153" s="145" t="s">
        <v>338</v>
      </c>
      <c r="N153" s="145" t="s">
        <v>338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338</v>
      </c>
      <c r="T153" s="145" t="s">
        <v>505</v>
      </c>
      <c r="U153" s="145" t="s">
        <v>338</v>
      </c>
      <c r="V153" s="145" t="s">
        <v>505</v>
      </c>
      <c r="W153" s="145" t="s">
        <v>513</v>
      </c>
      <c r="X153" s="145" t="s">
        <v>530</v>
      </c>
      <c r="Y153" s="145" t="s">
        <v>338</v>
      </c>
      <c r="Z153" s="145" t="s">
        <v>595</v>
      </c>
      <c r="AA153" s="145" t="s">
        <v>680</v>
      </c>
      <c r="AB153" s="145" t="s">
        <v>681</v>
      </c>
      <c r="AC153" s="145" t="s">
        <v>638</v>
      </c>
      <c r="AD153" s="145" t="s">
        <v>682</v>
      </c>
      <c r="AE153" s="145" t="s">
        <v>505</v>
      </c>
      <c r="AF153" s="145" t="s">
        <v>338</v>
      </c>
    </row>
    <row r="154" spans="1:32">
      <c r="A154" s="145" t="s">
        <v>784</v>
      </c>
      <c r="B154" s="145" t="s">
        <v>562</v>
      </c>
      <c r="C154" s="145" t="s">
        <v>498</v>
      </c>
      <c r="D154" s="145" t="s">
        <v>338</v>
      </c>
      <c r="E154" s="145" t="s">
        <v>338</v>
      </c>
      <c r="F154" s="145" t="s">
        <v>338</v>
      </c>
      <c r="G154" s="145" t="s">
        <v>785</v>
      </c>
      <c r="H154" s="145">
        <v>44</v>
      </c>
      <c r="I154" s="145" t="s">
        <v>338</v>
      </c>
      <c r="J154" s="146">
        <v>666.66666666666663</v>
      </c>
      <c r="K154" s="145">
        <v>14</v>
      </c>
      <c r="L154" s="145" t="s">
        <v>563</v>
      </c>
      <c r="M154" s="145" t="s">
        <v>338</v>
      </c>
      <c r="N154" s="145" t="s">
        <v>338</v>
      </c>
      <c r="O154" s="146">
        <v>5080</v>
      </c>
      <c r="P154" s="145" t="s">
        <v>338</v>
      </c>
      <c r="Q154" s="146">
        <v>6770</v>
      </c>
      <c r="R154" s="146">
        <v>2000</v>
      </c>
      <c r="S154" s="147">
        <v>30.238095238095237</v>
      </c>
      <c r="T154" s="145" t="s">
        <v>505</v>
      </c>
      <c r="U154" s="145" t="s">
        <v>338</v>
      </c>
      <c r="V154" s="145" t="s">
        <v>505</v>
      </c>
      <c r="W154" s="145" t="s">
        <v>338</v>
      </c>
      <c r="X154" s="145" t="s">
        <v>338</v>
      </c>
      <c r="Y154" s="145" t="s">
        <v>338</v>
      </c>
      <c r="Z154" s="145" t="s">
        <v>338</v>
      </c>
      <c r="AA154" s="145" t="s">
        <v>338</v>
      </c>
      <c r="AB154" s="145" t="s">
        <v>338</v>
      </c>
      <c r="AC154" s="145" t="s">
        <v>338</v>
      </c>
      <c r="AD154" s="145" t="s">
        <v>338</v>
      </c>
      <c r="AE154" s="145" t="s">
        <v>505</v>
      </c>
      <c r="AF154" s="145" t="s">
        <v>338</v>
      </c>
    </row>
    <row r="155" spans="1:32">
      <c r="A155" s="145" t="s">
        <v>786</v>
      </c>
      <c r="B155" s="145" t="s">
        <v>497</v>
      </c>
      <c r="C155" s="145" t="s">
        <v>678</v>
      </c>
      <c r="D155" s="145" t="s">
        <v>679</v>
      </c>
      <c r="E155" s="145" t="s">
        <v>338</v>
      </c>
      <c r="F155" s="145" t="s">
        <v>338</v>
      </c>
      <c r="G155" s="145" t="s">
        <v>690</v>
      </c>
      <c r="H155" s="145">
        <v>45</v>
      </c>
      <c r="I155" s="145" t="s">
        <v>338</v>
      </c>
      <c r="J155" s="146">
        <v>425</v>
      </c>
      <c r="K155" s="145">
        <v>0</v>
      </c>
      <c r="L155" s="145" t="s">
        <v>502</v>
      </c>
      <c r="M155" s="145">
        <v>0</v>
      </c>
      <c r="N155" s="145" t="s">
        <v>503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338</v>
      </c>
      <c r="T155" s="145" t="s">
        <v>505</v>
      </c>
      <c r="U155" s="145" t="s">
        <v>338</v>
      </c>
      <c r="V155" s="145" t="s">
        <v>505</v>
      </c>
      <c r="W155" s="145" t="s">
        <v>338</v>
      </c>
      <c r="X155" s="145" t="s">
        <v>338</v>
      </c>
      <c r="Y155" s="145" t="s">
        <v>338</v>
      </c>
      <c r="Z155" s="145" t="s">
        <v>595</v>
      </c>
      <c r="AA155" s="145" t="s">
        <v>705</v>
      </c>
      <c r="AB155" s="145" t="s">
        <v>681</v>
      </c>
      <c r="AC155" s="145" t="s">
        <v>638</v>
      </c>
      <c r="AD155" s="145" t="s">
        <v>682</v>
      </c>
      <c r="AE155" s="145" t="s">
        <v>505</v>
      </c>
      <c r="AF155" s="145" t="s">
        <v>338</v>
      </c>
    </row>
    <row r="156" spans="1:32">
      <c r="A156" s="145" t="s">
        <v>787</v>
      </c>
      <c r="B156" s="145" t="s">
        <v>497</v>
      </c>
      <c r="C156" s="145" t="s">
        <v>678</v>
      </c>
      <c r="D156" s="145" t="s">
        <v>679</v>
      </c>
      <c r="E156" s="145" t="s">
        <v>338</v>
      </c>
      <c r="F156" s="145" t="s">
        <v>338</v>
      </c>
      <c r="G156" s="145" t="s">
        <v>570</v>
      </c>
      <c r="H156" s="145">
        <v>33</v>
      </c>
      <c r="I156" s="145" t="s">
        <v>338</v>
      </c>
      <c r="J156" s="146">
        <v>425</v>
      </c>
      <c r="K156" s="145">
        <v>11</v>
      </c>
      <c r="L156" s="145" t="s">
        <v>502</v>
      </c>
      <c r="M156" s="145">
        <v>11</v>
      </c>
      <c r="N156" s="145" t="s">
        <v>503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505</v>
      </c>
      <c r="U156" s="145" t="s">
        <v>338</v>
      </c>
      <c r="V156" s="145" t="s">
        <v>505</v>
      </c>
      <c r="W156" s="145" t="s">
        <v>338</v>
      </c>
      <c r="X156" s="145" t="s">
        <v>530</v>
      </c>
      <c r="Y156" s="145" t="s">
        <v>338</v>
      </c>
      <c r="Z156" s="145" t="s">
        <v>595</v>
      </c>
      <c r="AA156" s="145" t="s">
        <v>680</v>
      </c>
      <c r="AB156" s="145" t="s">
        <v>681</v>
      </c>
      <c r="AC156" s="145" t="s">
        <v>638</v>
      </c>
      <c r="AD156" s="145" t="s">
        <v>682</v>
      </c>
      <c r="AE156" s="145" t="s">
        <v>505</v>
      </c>
      <c r="AF156" s="145" t="s">
        <v>338</v>
      </c>
    </row>
    <row r="157" spans="1:32">
      <c r="A157" s="145" t="s">
        <v>788</v>
      </c>
      <c r="B157" s="145" t="s">
        <v>497</v>
      </c>
      <c r="C157" s="145" t="s">
        <v>498</v>
      </c>
      <c r="D157" s="145" t="s">
        <v>499</v>
      </c>
      <c r="E157" s="145" t="s">
        <v>500</v>
      </c>
      <c r="F157" s="145" t="s">
        <v>501</v>
      </c>
      <c r="G157" s="145" t="s">
        <v>127</v>
      </c>
      <c r="H157" s="145">
        <v>26</v>
      </c>
      <c r="I157" s="145" t="s">
        <v>338</v>
      </c>
      <c r="J157" s="146">
        <v>452</v>
      </c>
      <c r="K157" s="145">
        <v>2</v>
      </c>
      <c r="L157" s="145" t="s">
        <v>502</v>
      </c>
      <c r="M157" s="145">
        <v>2</v>
      </c>
      <c r="N157" s="145" t="s">
        <v>503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504</v>
      </c>
      <c r="U157" s="145" t="s">
        <v>338</v>
      </c>
      <c r="V157" s="145" t="s">
        <v>505</v>
      </c>
      <c r="W157" s="145" t="s">
        <v>513</v>
      </c>
      <c r="X157" s="145" t="s">
        <v>338</v>
      </c>
      <c r="Y157" s="145" t="s">
        <v>338</v>
      </c>
      <c r="Z157" s="145" t="s">
        <v>507</v>
      </c>
      <c r="AA157" s="145" t="s">
        <v>608</v>
      </c>
      <c r="AB157" s="145" t="s">
        <v>532</v>
      </c>
      <c r="AC157" s="145" t="s">
        <v>533</v>
      </c>
      <c r="AD157" s="145" t="s">
        <v>518</v>
      </c>
      <c r="AE157" s="145" t="s">
        <v>505</v>
      </c>
      <c r="AF157" s="145" t="s">
        <v>338</v>
      </c>
    </row>
    <row r="158" spans="1:32">
      <c r="A158" s="145" t="s">
        <v>789</v>
      </c>
      <c r="B158" s="145" t="s">
        <v>497</v>
      </c>
      <c r="C158" s="145" t="s">
        <v>678</v>
      </c>
      <c r="D158" s="145" t="s">
        <v>679</v>
      </c>
      <c r="E158" s="145" t="s">
        <v>338</v>
      </c>
      <c r="F158" s="145" t="s">
        <v>338</v>
      </c>
      <c r="G158" s="145" t="s">
        <v>206</v>
      </c>
      <c r="H158" s="145">
        <v>13</v>
      </c>
      <c r="I158" s="145" t="s">
        <v>338</v>
      </c>
      <c r="J158" s="146">
        <v>406</v>
      </c>
      <c r="K158" s="145" t="s">
        <v>338</v>
      </c>
      <c r="L158" s="145" t="s">
        <v>704</v>
      </c>
      <c r="M158" s="145" t="s">
        <v>338</v>
      </c>
      <c r="N158" s="145" t="s">
        <v>338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338</v>
      </c>
      <c r="T158" s="145" t="s">
        <v>505</v>
      </c>
      <c r="U158" s="145" t="s">
        <v>338</v>
      </c>
      <c r="V158" s="145" t="s">
        <v>505</v>
      </c>
      <c r="W158" s="145" t="s">
        <v>513</v>
      </c>
      <c r="X158" s="145" t="s">
        <v>514</v>
      </c>
      <c r="Y158" s="145" t="s">
        <v>338</v>
      </c>
      <c r="Z158" s="145" t="s">
        <v>595</v>
      </c>
      <c r="AA158" s="145" t="s">
        <v>680</v>
      </c>
      <c r="AB158" s="145" t="s">
        <v>681</v>
      </c>
      <c r="AC158" s="145" t="s">
        <v>638</v>
      </c>
      <c r="AD158" s="145" t="s">
        <v>682</v>
      </c>
      <c r="AE158" s="145" t="s">
        <v>505</v>
      </c>
      <c r="AF158" s="145" t="s">
        <v>338</v>
      </c>
    </row>
    <row r="159" spans="1:32">
      <c r="A159" s="145" t="s">
        <v>790</v>
      </c>
      <c r="B159" s="145" t="s">
        <v>562</v>
      </c>
      <c r="C159" s="145" t="s">
        <v>632</v>
      </c>
      <c r="D159" s="145" t="s">
        <v>791</v>
      </c>
      <c r="E159" s="145" t="s">
        <v>338</v>
      </c>
      <c r="F159" s="145" t="s">
        <v>338</v>
      </c>
      <c r="G159" s="145" t="s">
        <v>122</v>
      </c>
      <c r="H159" s="145">
        <v>31</v>
      </c>
      <c r="I159" s="145" t="s">
        <v>622</v>
      </c>
      <c r="J159" s="146">
        <v>410</v>
      </c>
      <c r="K159" s="145" t="s">
        <v>338</v>
      </c>
      <c r="L159" s="145" t="s">
        <v>635</v>
      </c>
      <c r="M159" s="145" t="s">
        <v>338</v>
      </c>
      <c r="N159" s="145" t="s">
        <v>338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338</v>
      </c>
      <c r="T159" s="145" t="s">
        <v>505</v>
      </c>
      <c r="U159" s="145" t="s">
        <v>338</v>
      </c>
      <c r="V159" s="145" t="s">
        <v>505</v>
      </c>
      <c r="W159" s="145" t="s">
        <v>338</v>
      </c>
      <c r="X159" s="145" t="s">
        <v>338</v>
      </c>
      <c r="Y159" s="145" t="s">
        <v>338</v>
      </c>
      <c r="Z159" s="145" t="s">
        <v>595</v>
      </c>
      <c r="AA159" s="145" t="s">
        <v>669</v>
      </c>
      <c r="AB159" s="145" t="s">
        <v>637</v>
      </c>
      <c r="AC159" s="145" t="s">
        <v>638</v>
      </c>
      <c r="AD159" s="145" t="s">
        <v>523</v>
      </c>
      <c r="AE159" s="145" t="s">
        <v>505</v>
      </c>
      <c r="AF159" s="145" t="s">
        <v>505</v>
      </c>
    </row>
    <row r="160" spans="1:32">
      <c r="A160" s="145" t="s">
        <v>792</v>
      </c>
      <c r="B160" s="145" t="s">
        <v>497</v>
      </c>
      <c r="C160" s="145" t="s">
        <v>498</v>
      </c>
      <c r="D160" s="145" t="s">
        <v>499</v>
      </c>
      <c r="E160" s="145" t="s">
        <v>500</v>
      </c>
      <c r="F160" s="145" t="s">
        <v>501</v>
      </c>
      <c r="G160" s="145" t="s">
        <v>203</v>
      </c>
      <c r="H160" s="145">
        <v>16</v>
      </c>
      <c r="I160" s="145" t="s">
        <v>338</v>
      </c>
      <c r="J160" s="146">
        <v>418</v>
      </c>
      <c r="K160" s="145">
        <v>4</v>
      </c>
      <c r="L160" s="145" t="s">
        <v>555</v>
      </c>
      <c r="M160" s="145" t="s">
        <v>338</v>
      </c>
      <c r="N160" s="145" t="s">
        <v>338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505</v>
      </c>
      <c r="U160" s="145" t="s">
        <v>338</v>
      </c>
      <c r="V160" s="145" t="s">
        <v>505</v>
      </c>
      <c r="W160" s="145" t="s">
        <v>506</v>
      </c>
      <c r="X160" s="145" t="s">
        <v>338</v>
      </c>
      <c r="Y160" s="145" t="s">
        <v>338</v>
      </c>
      <c r="Z160" s="145" t="s">
        <v>507</v>
      </c>
      <c r="AA160" s="145" t="s">
        <v>515</v>
      </c>
      <c r="AB160" s="145" t="s">
        <v>516</v>
      </c>
      <c r="AC160" s="145" t="s">
        <v>517</v>
      </c>
      <c r="AD160" s="145" t="s">
        <v>518</v>
      </c>
      <c r="AE160" s="145" t="s">
        <v>504</v>
      </c>
      <c r="AF160" s="145" t="s">
        <v>338</v>
      </c>
    </row>
    <row r="161" spans="1:32">
      <c r="A161" s="145" t="s">
        <v>793</v>
      </c>
      <c r="B161" s="145" t="s">
        <v>497</v>
      </c>
      <c r="C161" s="145" t="s">
        <v>678</v>
      </c>
      <c r="D161" s="145" t="s">
        <v>679</v>
      </c>
      <c r="E161" s="145" t="s">
        <v>338</v>
      </c>
      <c r="F161" s="145" t="s">
        <v>338</v>
      </c>
      <c r="G161" s="145" t="s">
        <v>794</v>
      </c>
      <c r="H161" s="145">
        <v>48</v>
      </c>
      <c r="I161" s="145" t="s">
        <v>338</v>
      </c>
      <c r="J161" s="146">
        <v>400</v>
      </c>
      <c r="K161" s="145" t="s">
        <v>338</v>
      </c>
      <c r="L161" s="145" t="s">
        <v>704</v>
      </c>
      <c r="M161" s="145" t="s">
        <v>338</v>
      </c>
      <c r="N161" s="145" t="s">
        <v>338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338</v>
      </c>
      <c r="T161" s="145" t="s">
        <v>505</v>
      </c>
      <c r="U161" s="145" t="s">
        <v>338</v>
      </c>
      <c r="V161" s="145" t="s">
        <v>505</v>
      </c>
      <c r="W161" s="145" t="s">
        <v>513</v>
      </c>
      <c r="X161" s="145" t="s">
        <v>525</v>
      </c>
      <c r="Y161" s="145" t="s">
        <v>338</v>
      </c>
      <c r="Z161" s="145" t="s">
        <v>595</v>
      </c>
      <c r="AA161" s="145" t="s">
        <v>705</v>
      </c>
      <c r="AB161" s="145" t="s">
        <v>681</v>
      </c>
      <c r="AC161" s="145" t="s">
        <v>638</v>
      </c>
      <c r="AD161" s="145" t="s">
        <v>682</v>
      </c>
      <c r="AE161" s="145" t="s">
        <v>505</v>
      </c>
      <c r="AF161" s="145" t="s">
        <v>338</v>
      </c>
    </row>
    <row r="162" spans="1:32">
      <c r="A162" s="145" t="s">
        <v>795</v>
      </c>
      <c r="B162" s="145" t="s">
        <v>497</v>
      </c>
      <c r="C162" s="145" t="s">
        <v>678</v>
      </c>
      <c r="D162" s="145" t="s">
        <v>679</v>
      </c>
      <c r="E162" s="145" t="s">
        <v>338</v>
      </c>
      <c r="F162" s="145" t="s">
        <v>338</v>
      </c>
      <c r="G162" s="145" t="s">
        <v>205</v>
      </c>
      <c r="H162" s="145">
        <v>14</v>
      </c>
      <c r="I162" s="145" t="s">
        <v>338</v>
      </c>
      <c r="J162" s="146">
        <v>412</v>
      </c>
      <c r="K162" s="145">
        <v>12</v>
      </c>
      <c r="L162" s="145" t="s">
        <v>502</v>
      </c>
      <c r="M162" s="145">
        <v>12</v>
      </c>
      <c r="N162" s="145" t="s">
        <v>503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505</v>
      </c>
      <c r="U162" s="145" t="s">
        <v>338</v>
      </c>
      <c r="V162" s="145" t="s">
        <v>505</v>
      </c>
      <c r="W162" s="145" t="s">
        <v>338</v>
      </c>
      <c r="X162" s="145" t="s">
        <v>530</v>
      </c>
      <c r="Y162" s="145" t="s">
        <v>338</v>
      </c>
      <c r="Z162" s="145" t="s">
        <v>595</v>
      </c>
      <c r="AA162" s="145" t="s">
        <v>766</v>
      </c>
      <c r="AB162" s="145" t="s">
        <v>681</v>
      </c>
      <c r="AC162" s="145" t="s">
        <v>638</v>
      </c>
      <c r="AD162" s="145" t="s">
        <v>682</v>
      </c>
      <c r="AE162" s="145" t="s">
        <v>505</v>
      </c>
      <c r="AF162" s="145" t="s">
        <v>338</v>
      </c>
    </row>
    <row r="163" spans="1:32">
      <c r="A163" s="145" t="s">
        <v>796</v>
      </c>
      <c r="B163" s="145" t="s">
        <v>562</v>
      </c>
      <c r="C163" s="145" t="s">
        <v>632</v>
      </c>
      <c r="D163" s="145" t="s">
        <v>667</v>
      </c>
      <c r="E163" s="145" t="s">
        <v>338</v>
      </c>
      <c r="F163" s="145" t="s">
        <v>338</v>
      </c>
      <c r="G163" s="145" t="s">
        <v>757</v>
      </c>
      <c r="H163" s="145">
        <v>47</v>
      </c>
      <c r="I163" s="145" t="s">
        <v>622</v>
      </c>
      <c r="J163" s="146">
        <v>405</v>
      </c>
      <c r="K163" s="145" t="s">
        <v>338</v>
      </c>
      <c r="L163" s="145" t="s">
        <v>635</v>
      </c>
      <c r="M163" s="145" t="s">
        <v>338</v>
      </c>
      <c r="N163" s="145" t="s">
        <v>338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338</v>
      </c>
      <c r="T163" s="145" t="s">
        <v>505</v>
      </c>
      <c r="U163" s="145" t="s">
        <v>338</v>
      </c>
      <c r="V163" s="145" t="s">
        <v>505</v>
      </c>
      <c r="W163" s="145" t="s">
        <v>338</v>
      </c>
      <c r="X163" s="145" t="s">
        <v>338</v>
      </c>
      <c r="Y163" s="145" t="s">
        <v>338</v>
      </c>
      <c r="Z163" s="145" t="s">
        <v>595</v>
      </c>
      <c r="AA163" s="145" t="s">
        <v>669</v>
      </c>
      <c r="AB163" s="145" t="s">
        <v>637</v>
      </c>
      <c r="AC163" s="145" t="s">
        <v>638</v>
      </c>
      <c r="AD163" s="145" t="s">
        <v>523</v>
      </c>
      <c r="AE163" s="145" t="s">
        <v>505</v>
      </c>
      <c r="AF163" s="145" t="s">
        <v>505</v>
      </c>
    </row>
    <row r="164" spans="1:32">
      <c r="A164" s="145" t="s">
        <v>797</v>
      </c>
      <c r="B164" s="145" t="s">
        <v>497</v>
      </c>
      <c r="C164" s="145" t="s">
        <v>678</v>
      </c>
      <c r="D164" s="145" t="s">
        <v>679</v>
      </c>
      <c r="E164" s="145" t="s">
        <v>338</v>
      </c>
      <c r="F164" s="145" t="s">
        <v>338</v>
      </c>
      <c r="G164" s="145" t="s">
        <v>204</v>
      </c>
      <c r="H164" s="145">
        <v>15</v>
      </c>
      <c r="I164" s="145" t="s">
        <v>338</v>
      </c>
      <c r="J164" s="146">
        <v>418</v>
      </c>
      <c r="K164" s="145" t="s">
        <v>338</v>
      </c>
      <c r="L164" s="145" t="s">
        <v>704</v>
      </c>
      <c r="M164" s="145" t="s">
        <v>338</v>
      </c>
      <c r="N164" s="145" t="s">
        <v>338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338</v>
      </c>
      <c r="T164" s="145" t="s">
        <v>505</v>
      </c>
      <c r="U164" s="145" t="s">
        <v>338</v>
      </c>
      <c r="V164" s="145" t="s">
        <v>505</v>
      </c>
      <c r="W164" s="145" t="s">
        <v>338</v>
      </c>
      <c r="X164" s="145" t="s">
        <v>525</v>
      </c>
      <c r="Y164" s="145" t="s">
        <v>338</v>
      </c>
      <c r="Z164" s="145" t="s">
        <v>595</v>
      </c>
      <c r="AA164" s="145" t="s">
        <v>680</v>
      </c>
      <c r="AB164" s="145" t="s">
        <v>681</v>
      </c>
      <c r="AC164" s="145" t="s">
        <v>638</v>
      </c>
      <c r="AD164" s="145" t="s">
        <v>682</v>
      </c>
      <c r="AE164" s="145" t="s">
        <v>505</v>
      </c>
      <c r="AF164" s="145" t="s">
        <v>338</v>
      </c>
    </row>
    <row r="165" spans="1:32">
      <c r="A165" s="145" t="s">
        <v>798</v>
      </c>
      <c r="B165" s="145" t="s">
        <v>497</v>
      </c>
      <c r="C165" s="145" t="s">
        <v>678</v>
      </c>
      <c r="D165" s="145" t="s">
        <v>679</v>
      </c>
      <c r="E165" s="145" t="s">
        <v>338</v>
      </c>
      <c r="F165" s="145" t="s">
        <v>338</v>
      </c>
      <c r="G165" s="145" t="s">
        <v>588</v>
      </c>
      <c r="H165" s="145">
        <v>32</v>
      </c>
      <c r="I165" s="145" t="s">
        <v>338</v>
      </c>
      <c r="J165" s="146">
        <v>400</v>
      </c>
      <c r="K165" s="145" t="s">
        <v>338</v>
      </c>
      <c r="L165" s="145" t="s">
        <v>704</v>
      </c>
      <c r="M165" s="145" t="s">
        <v>338</v>
      </c>
      <c r="N165" s="145" t="s">
        <v>338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338</v>
      </c>
      <c r="T165" s="145" t="s">
        <v>505</v>
      </c>
      <c r="U165" s="145" t="s">
        <v>338</v>
      </c>
      <c r="V165" s="145" t="s">
        <v>505</v>
      </c>
      <c r="W165" s="145" t="s">
        <v>338</v>
      </c>
      <c r="X165" s="145" t="s">
        <v>530</v>
      </c>
      <c r="Y165" s="145" t="s">
        <v>338</v>
      </c>
      <c r="Z165" s="145" t="s">
        <v>595</v>
      </c>
      <c r="AA165" s="145" t="s">
        <v>705</v>
      </c>
      <c r="AB165" s="145" t="s">
        <v>681</v>
      </c>
      <c r="AC165" s="145" t="s">
        <v>638</v>
      </c>
      <c r="AD165" s="145" t="s">
        <v>682</v>
      </c>
      <c r="AE165" s="145" t="s">
        <v>505</v>
      </c>
      <c r="AF165" s="145" t="s">
        <v>338</v>
      </c>
    </row>
    <row r="166" spans="1:32">
      <c r="A166" s="145" t="s">
        <v>799</v>
      </c>
      <c r="B166" s="145" t="s">
        <v>562</v>
      </c>
      <c r="C166" s="145" t="s">
        <v>678</v>
      </c>
      <c r="D166" s="145" t="s">
        <v>679</v>
      </c>
      <c r="E166" s="145" t="s">
        <v>338</v>
      </c>
      <c r="F166" s="145" t="s">
        <v>338</v>
      </c>
      <c r="G166" s="145" t="s">
        <v>203</v>
      </c>
      <c r="H166" s="145">
        <v>16</v>
      </c>
      <c r="I166" s="145" t="s">
        <v>338</v>
      </c>
      <c r="J166" s="146">
        <v>648.33333333333337</v>
      </c>
      <c r="K166" s="145" t="s">
        <v>338</v>
      </c>
      <c r="L166" s="145" t="s">
        <v>635</v>
      </c>
      <c r="M166" s="145" t="s">
        <v>338</v>
      </c>
      <c r="N166" s="145" t="s">
        <v>338</v>
      </c>
      <c r="O166" s="146">
        <v>4820</v>
      </c>
      <c r="P166" s="145" t="s">
        <v>338</v>
      </c>
      <c r="Q166" s="146">
        <v>5336.25</v>
      </c>
      <c r="R166" s="146">
        <v>1945</v>
      </c>
      <c r="S166" s="145" t="s">
        <v>338</v>
      </c>
      <c r="T166" s="145" t="s">
        <v>504</v>
      </c>
      <c r="U166" s="145">
        <v>5</v>
      </c>
      <c r="V166" s="145" t="s">
        <v>505</v>
      </c>
      <c r="W166" s="145" t="s">
        <v>338</v>
      </c>
      <c r="X166" s="145" t="s">
        <v>338</v>
      </c>
      <c r="Y166" s="145" t="s">
        <v>338</v>
      </c>
      <c r="Z166" s="145" t="s">
        <v>595</v>
      </c>
      <c r="AA166" s="145" t="s">
        <v>705</v>
      </c>
      <c r="AB166" s="145" t="s">
        <v>681</v>
      </c>
      <c r="AC166" s="145" t="s">
        <v>638</v>
      </c>
      <c r="AD166" s="145" t="s">
        <v>511</v>
      </c>
      <c r="AE166" s="145" t="s">
        <v>505</v>
      </c>
      <c r="AF166" s="145" t="s">
        <v>338</v>
      </c>
    </row>
    <row r="167" spans="1:32">
      <c r="A167" s="145" t="s">
        <v>800</v>
      </c>
      <c r="B167" s="145" t="s">
        <v>497</v>
      </c>
      <c r="C167" s="145" t="s">
        <v>498</v>
      </c>
      <c r="D167" s="145" t="s">
        <v>499</v>
      </c>
      <c r="E167" s="145" t="s">
        <v>616</v>
      </c>
      <c r="F167" s="145" t="s">
        <v>587</v>
      </c>
      <c r="G167" s="145" t="s">
        <v>246</v>
      </c>
      <c r="H167" s="145">
        <v>3</v>
      </c>
      <c r="I167" s="145" t="s">
        <v>338</v>
      </c>
      <c r="J167" s="146">
        <v>1592.6666666666667</v>
      </c>
      <c r="K167" s="145">
        <v>15</v>
      </c>
      <c r="L167" s="145" t="s">
        <v>502</v>
      </c>
      <c r="M167" s="145">
        <v>15</v>
      </c>
      <c r="N167" s="145" t="s">
        <v>503</v>
      </c>
      <c r="O167" s="146">
        <v>4778</v>
      </c>
      <c r="P167" s="146">
        <v>1108</v>
      </c>
      <c r="Q167" s="145" t="s">
        <v>338</v>
      </c>
      <c r="R167" s="146">
        <v>4778</v>
      </c>
      <c r="S167" s="147">
        <v>26.544444444444444</v>
      </c>
      <c r="T167" s="145" t="s">
        <v>505</v>
      </c>
      <c r="U167" s="145" t="s">
        <v>338</v>
      </c>
      <c r="V167" s="145" t="s">
        <v>505</v>
      </c>
      <c r="W167" s="145" t="s">
        <v>506</v>
      </c>
      <c r="X167" s="145" t="s">
        <v>540</v>
      </c>
      <c r="Y167" s="145" t="s">
        <v>342</v>
      </c>
      <c r="Z167" s="145" t="s">
        <v>507</v>
      </c>
      <c r="AA167" s="145" t="s">
        <v>648</v>
      </c>
      <c r="AB167" s="145" t="s">
        <v>648</v>
      </c>
      <c r="AC167" s="145" t="s">
        <v>533</v>
      </c>
      <c r="AD167" s="145" t="s">
        <v>511</v>
      </c>
      <c r="AE167" s="145" t="s">
        <v>504</v>
      </c>
      <c r="AF167" s="145" t="s">
        <v>338</v>
      </c>
    </row>
    <row r="168" spans="1:32">
      <c r="A168" s="145" t="s">
        <v>801</v>
      </c>
      <c r="B168" s="145" t="s">
        <v>562</v>
      </c>
      <c r="C168" s="145" t="s">
        <v>632</v>
      </c>
      <c r="D168" s="145" t="s">
        <v>802</v>
      </c>
      <c r="E168" s="145" t="s">
        <v>338</v>
      </c>
      <c r="F168" s="145" t="s">
        <v>338</v>
      </c>
      <c r="G168" s="145" t="s">
        <v>634</v>
      </c>
      <c r="H168" s="145">
        <v>63</v>
      </c>
      <c r="I168" s="145" t="s">
        <v>622</v>
      </c>
      <c r="J168" s="146">
        <v>400</v>
      </c>
      <c r="K168" s="145" t="s">
        <v>338</v>
      </c>
      <c r="L168" s="145" t="s">
        <v>635</v>
      </c>
      <c r="M168" s="145" t="s">
        <v>338</v>
      </c>
      <c r="N168" s="145" t="s">
        <v>338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338</v>
      </c>
      <c r="T168" s="145" t="s">
        <v>505</v>
      </c>
      <c r="U168" s="145" t="s">
        <v>338</v>
      </c>
      <c r="V168" s="145" t="s">
        <v>505</v>
      </c>
      <c r="W168" s="145" t="s">
        <v>338</v>
      </c>
      <c r="X168" s="145" t="s">
        <v>338</v>
      </c>
      <c r="Y168" s="145" t="s">
        <v>338</v>
      </c>
      <c r="Z168" s="145" t="s">
        <v>595</v>
      </c>
      <c r="AA168" s="145" t="s">
        <v>636</v>
      </c>
      <c r="AB168" s="145" t="s">
        <v>637</v>
      </c>
      <c r="AC168" s="145" t="s">
        <v>638</v>
      </c>
      <c r="AD168" s="145" t="s">
        <v>523</v>
      </c>
      <c r="AE168" s="145" t="s">
        <v>505</v>
      </c>
      <c r="AF168" s="145" t="s">
        <v>505</v>
      </c>
    </row>
    <row r="169" spans="1:32">
      <c r="A169" s="145" t="s">
        <v>803</v>
      </c>
      <c r="B169" s="145" t="s">
        <v>497</v>
      </c>
      <c r="C169" s="145" t="s">
        <v>498</v>
      </c>
      <c r="D169" s="145" t="s">
        <v>499</v>
      </c>
      <c r="E169" s="145" t="s">
        <v>607</v>
      </c>
      <c r="F169" s="145" t="s">
        <v>594</v>
      </c>
      <c r="G169" s="145" t="s">
        <v>205</v>
      </c>
      <c r="H169" s="145">
        <v>14</v>
      </c>
      <c r="I169" s="145" t="s">
        <v>338</v>
      </c>
      <c r="J169" s="146">
        <v>363.3</v>
      </c>
      <c r="K169" s="145">
        <v>10</v>
      </c>
      <c r="L169" s="145" t="s">
        <v>502</v>
      </c>
      <c r="M169" s="145">
        <v>10</v>
      </c>
      <c r="N169" s="145" t="s">
        <v>503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504</v>
      </c>
      <c r="U169" s="145" t="s">
        <v>338</v>
      </c>
      <c r="V169" s="145" t="s">
        <v>505</v>
      </c>
      <c r="W169" s="145" t="s">
        <v>506</v>
      </c>
      <c r="X169" s="145" t="s">
        <v>514</v>
      </c>
      <c r="Y169" s="145" t="s">
        <v>338</v>
      </c>
      <c r="Z169" s="145" t="s">
        <v>507</v>
      </c>
      <c r="AA169" s="145" t="s">
        <v>591</v>
      </c>
      <c r="AB169" s="145" t="s">
        <v>527</v>
      </c>
      <c r="AC169" s="145" t="s">
        <v>517</v>
      </c>
      <c r="AD169" s="145" t="s">
        <v>511</v>
      </c>
      <c r="AE169" s="145" t="s">
        <v>504</v>
      </c>
      <c r="AF169" s="145" t="s">
        <v>338</v>
      </c>
    </row>
    <row r="170" spans="1:32">
      <c r="A170" s="145" t="s">
        <v>804</v>
      </c>
      <c r="B170" s="145" t="s">
        <v>497</v>
      </c>
      <c r="C170" s="145" t="s">
        <v>498</v>
      </c>
      <c r="D170" s="145" t="s">
        <v>499</v>
      </c>
      <c r="E170" s="145" t="s">
        <v>500</v>
      </c>
      <c r="F170" s="145" t="s">
        <v>587</v>
      </c>
      <c r="G170" s="145" t="s">
        <v>206</v>
      </c>
      <c r="H170" s="145">
        <v>13</v>
      </c>
      <c r="I170" s="145" t="s">
        <v>338</v>
      </c>
      <c r="J170" s="146">
        <v>386</v>
      </c>
      <c r="K170" s="145">
        <v>2</v>
      </c>
      <c r="L170" s="145" t="s">
        <v>502</v>
      </c>
      <c r="M170" s="145">
        <v>2</v>
      </c>
      <c r="N170" s="145" t="s">
        <v>503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505</v>
      </c>
      <c r="U170" s="145" t="s">
        <v>338</v>
      </c>
      <c r="V170" s="145" t="s">
        <v>505</v>
      </c>
      <c r="W170" s="145" t="s">
        <v>506</v>
      </c>
      <c r="X170" s="145" t="s">
        <v>805</v>
      </c>
      <c r="Y170" s="145" t="s">
        <v>338</v>
      </c>
      <c r="Z170" s="145" t="s">
        <v>507</v>
      </c>
      <c r="AA170" s="145" t="s">
        <v>553</v>
      </c>
      <c r="AB170" s="145" t="s">
        <v>536</v>
      </c>
      <c r="AC170" s="145" t="s">
        <v>517</v>
      </c>
      <c r="AD170" s="145" t="s">
        <v>518</v>
      </c>
      <c r="AE170" s="145" t="s">
        <v>504</v>
      </c>
      <c r="AF170" s="145" t="s">
        <v>338</v>
      </c>
    </row>
    <row r="171" spans="1:32">
      <c r="A171" s="145" t="s">
        <v>806</v>
      </c>
      <c r="B171" s="145" t="s">
        <v>562</v>
      </c>
      <c r="C171" s="145" t="s">
        <v>632</v>
      </c>
      <c r="D171" s="145" t="s">
        <v>807</v>
      </c>
      <c r="E171" s="145" t="s">
        <v>338</v>
      </c>
      <c r="F171" s="145" t="s">
        <v>338</v>
      </c>
      <c r="G171" s="145" t="s">
        <v>808</v>
      </c>
      <c r="H171" s="145">
        <v>58</v>
      </c>
      <c r="I171" s="145" t="s">
        <v>622</v>
      </c>
      <c r="J171" s="146">
        <v>385</v>
      </c>
      <c r="K171" s="145" t="s">
        <v>338</v>
      </c>
      <c r="L171" s="145" t="s">
        <v>635</v>
      </c>
      <c r="M171" s="145" t="s">
        <v>338</v>
      </c>
      <c r="N171" s="145" t="s">
        <v>338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338</v>
      </c>
      <c r="T171" s="145" t="s">
        <v>505</v>
      </c>
      <c r="U171" s="145" t="s">
        <v>338</v>
      </c>
      <c r="V171" s="145" t="s">
        <v>505</v>
      </c>
      <c r="W171" s="145" t="s">
        <v>338</v>
      </c>
      <c r="X171" s="145" t="s">
        <v>338</v>
      </c>
      <c r="Y171" s="145" t="s">
        <v>338</v>
      </c>
      <c r="Z171" s="145" t="s">
        <v>595</v>
      </c>
      <c r="AA171" s="145" t="s">
        <v>669</v>
      </c>
      <c r="AB171" s="145" t="s">
        <v>637</v>
      </c>
      <c r="AC171" s="145" t="s">
        <v>638</v>
      </c>
      <c r="AD171" s="145" t="s">
        <v>523</v>
      </c>
      <c r="AE171" s="145" t="s">
        <v>505</v>
      </c>
      <c r="AF171" s="145" t="s">
        <v>505</v>
      </c>
    </row>
    <row r="172" spans="1:32">
      <c r="A172" s="145" t="s">
        <v>809</v>
      </c>
      <c r="B172" s="145" t="s">
        <v>562</v>
      </c>
      <c r="C172" s="145" t="s">
        <v>498</v>
      </c>
      <c r="D172" s="145" t="s">
        <v>499</v>
      </c>
      <c r="E172" s="145" t="s">
        <v>500</v>
      </c>
      <c r="F172" s="145" t="s">
        <v>501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502</v>
      </c>
      <c r="M172" s="145">
        <v>0</v>
      </c>
      <c r="N172" s="145" t="s">
        <v>503</v>
      </c>
      <c r="O172" s="146">
        <v>4640</v>
      </c>
      <c r="P172" s="145" t="s">
        <v>338</v>
      </c>
      <c r="Q172" s="146">
        <v>4360</v>
      </c>
      <c r="R172" s="146">
        <v>2140</v>
      </c>
      <c r="S172" s="145" t="s">
        <v>338</v>
      </c>
      <c r="T172" s="145" t="s">
        <v>505</v>
      </c>
      <c r="U172" s="145" t="s">
        <v>338</v>
      </c>
      <c r="V172" s="145" t="s">
        <v>505</v>
      </c>
      <c r="W172" s="145" t="s">
        <v>513</v>
      </c>
      <c r="X172" s="145" t="s">
        <v>338</v>
      </c>
      <c r="Y172" s="145" t="s">
        <v>354</v>
      </c>
      <c r="Z172" s="145" t="s">
        <v>507</v>
      </c>
      <c r="AA172" s="145" t="s">
        <v>643</v>
      </c>
      <c r="AB172" s="145" t="s">
        <v>546</v>
      </c>
      <c r="AC172" s="145" t="s">
        <v>566</v>
      </c>
      <c r="AD172" s="145" t="s">
        <v>523</v>
      </c>
      <c r="AE172" s="145" t="s">
        <v>505</v>
      </c>
      <c r="AF172" s="145" t="s">
        <v>505</v>
      </c>
    </row>
    <row r="173" spans="1:32">
      <c r="A173" s="145" t="s">
        <v>810</v>
      </c>
      <c r="B173" s="145" t="s">
        <v>562</v>
      </c>
      <c r="C173" s="145" t="s">
        <v>498</v>
      </c>
      <c r="D173" s="145" t="s">
        <v>499</v>
      </c>
      <c r="E173" s="145" t="s">
        <v>500</v>
      </c>
      <c r="F173" s="145" t="s">
        <v>501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502</v>
      </c>
      <c r="M173" s="145">
        <v>0</v>
      </c>
      <c r="N173" s="145" t="s">
        <v>503</v>
      </c>
      <c r="O173" s="146">
        <v>4625</v>
      </c>
      <c r="P173" s="145" t="s">
        <v>338</v>
      </c>
      <c r="Q173" s="146">
        <v>5960</v>
      </c>
      <c r="R173" s="146">
        <v>2475</v>
      </c>
      <c r="S173" s="145" t="s">
        <v>338</v>
      </c>
      <c r="T173" s="145" t="s">
        <v>505</v>
      </c>
      <c r="U173" s="145" t="s">
        <v>338</v>
      </c>
      <c r="V173" s="145" t="s">
        <v>505</v>
      </c>
      <c r="W173" s="145" t="s">
        <v>513</v>
      </c>
      <c r="X173" s="145" t="s">
        <v>530</v>
      </c>
      <c r="Y173" s="145" t="s">
        <v>338</v>
      </c>
      <c r="Z173" s="145" t="s">
        <v>507</v>
      </c>
      <c r="AA173" s="145" t="s">
        <v>531</v>
      </c>
      <c r="AB173" s="145" t="s">
        <v>769</v>
      </c>
      <c r="AC173" s="145" t="s">
        <v>533</v>
      </c>
      <c r="AD173" s="145" t="s">
        <v>518</v>
      </c>
      <c r="AE173" s="145" t="s">
        <v>505</v>
      </c>
      <c r="AF173" s="145" t="s">
        <v>504</v>
      </c>
    </row>
    <row r="174" spans="1:32">
      <c r="A174" s="145" t="s">
        <v>811</v>
      </c>
      <c r="B174" s="145" t="s">
        <v>562</v>
      </c>
      <c r="C174" s="145" t="s">
        <v>632</v>
      </c>
      <c r="D174" s="145" t="s">
        <v>812</v>
      </c>
      <c r="E174" s="145" t="s">
        <v>338</v>
      </c>
      <c r="F174" s="145" t="s">
        <v>338</v>
      </c>
      <c r="G174" s="145" t="s">
        <v>597</v>
      </c>
      <c r="H174" s="145">
        <v>35</v>
      </c>
      <c r="I174" s="145" t="s">
        <v>622</v>
      </c>
      <c r="J174" s="146">
        <v>385</v>
      </c>
      <c r="K174" s="145" t="s">
        <v>338</v>
      </c>
      <c r="L174" s="145" t="s">
        <v>635</v>
      </c>
      <c r="M174" s="145" t="s">
        <v>338</v>
      </c>
      <c r="N174" s="145" t="s">
        <v>338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338</v>
      </c>
      <c r="T174" s="145" t="s">
        <v>505</v>
      </c>
      <c r="U174" s="145" t="s">
        <v>338</v>
      </c>
      <c r="V174" s="145" t="s">
        <v>505</v>
      </c>
      <c r="W174" s="145" t="s">
        <v>338</v>
      </c>
      <c r="X174" s="145" t="s">
        <v>338</v>
      </c>
      <c r="Y174" s="145" t="s">
        <v>338</v>
      </c>
      <c r="Z174" s="145" t="s">
        <v>595</v>
      </c>
      <c r="AA174" s="145" t="s">
        <v>636</v>
      </c>
      <c r="AB174" s="145" t="s">
        <v>637</v>
      </c>
      <c r="AC174" s="145" t="s">
        <v>638</v>
      </c>
      <c r="AD174" s="145" t="s">
        <v>523</v>
      </c>
      <c r="AE174" s="145" t="s">
        <v>505</v>
      </c>
      <c r="AF174" s="145" t="s">
        <v>505</v>
      </c>
    </row>
    <row r="175" spans="1:32">
      <c r="A175" s="145" t="s">
        <v>813</v>
      </c>
      <c r="B175" s="145" t="s">
        <v>497</v>
      </c>
      <c r="C175" s="145" t="s">
        <v>498</v>
      </c>
      <c r="D175" s="145" t="s">
        <v>499</v>
      </c>
      <c r="E175" s="145" t="s">
        <v>500</v>
      </c>
      <c r="F175" s="145" t="s">
        <v>501</v>
      </c>
      <c r="G175" s="145" t="s">
        <v>126</v>
      </c>
      <c r="H175" s="145">
        <v>27</v>
      </c>
      <c r="I175" s="145" t="s">
        <v>338</v>
      </c>
      <c r="J175" s="146">
        <v>389.33333333333331</v>
      </c>
      <c r="K175" s="145">
        <v>3</v>
      </c>
      <c r="L175" s="145" t="s">
        <v>555</v>
      </c>
      <c r="M175" s="145" t="s">
        <v>338</v>
      </c>
      <c r="N175" s="145" t="s">
        <v>338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505</v>
      </c>
      <c r="U175" s="145" t="s">
        <v>338</v>
      </c>
      <c r="V175" s="145" t="s">
        <v>505</v>
      </c>
      <c r="W175" s="145" t="s">
        <v>506</v>
      </c>
      <c r="X175" s="145" t="s">
        <v>514</v>
      </c>
      <c r="Y175" s="145" t="s">
        <v>338</v>
      </c>
      <c r="Z175" s="145" t="s">
        <v>507</v>
      </c>
      <c r="AA175" s="145" t="s">
        <v>589</v>
      </c>
      <c r="AB175" s="145" t="s">
        <v>581</v>
      </c>
      <c r="AC175" s="145" t="s">
        <v>510</v>
      </c>
      <c r="AD175" s="145" t="s">
        <v>523</v>
      </c>
      <c r="AE175" s="145" t="s">
        <v>504</v>
      </c>
      <c r="AF175" s="145" t="s">
        <v>338</v>
      </c>
    </row>
    <row r="176" spans="1:32">
      <c r="A176" s="145" t="s">
        <v>814</v>
      </c>
      <c r="B176" s="145" t="s">
        <v>497</v>
      </c>
      <c r="C176" s="145" t="s">
        <v>678</v>
      </c>
      <c r="D176" s="145" t="s">
        <v>679</v>
      </c>
      <c r="E176" s="145" t="s">
        <v>338</v>
      </c>
      <c r="F176" s="145" t="s">
        <v>338</v>
      </c>
      <c r="G176" s="145" t="s">
        <v>572</v>
      </c>
      <c r="H176" s="145">
        <v>42</v>
      </c>
      <c r="I176" s="145" t="s">
        <v>338</v>
      </c>
      <c r="J176" s="146">
        <v>410</v>
      </c>
      <c r="K176" s="145">
        <v>0</v>
      </c>
      <c r="L176" s="145" t="s">
        <v>502</v>
      </c>
      <c r="M176" s="145">
        <v>0</v>
      </c>
      <c r="N176" s="145" t="s">
        <v>503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338</v>
      </c>
      <c r="T176" s="145" t="s">
        <v>505</v>
      </c>
      <c r="U176" s="145" t="s">
        <v>338</v>
      </c>
      <c r="V176" s="145" t="s">
        <v>505</v>
      </c>
      <c r="W176" s="145" t="s">
        <v>338</v>
      </c>
      <c r="X176" s="145" t="s">
        <v>338</v>
      </c>
      <c r="Y176" s="145" t="s">
        <v>338</v>
      </c>
      <c r="Z176" s="145" t="s">
        <v>595</v>
      </c>
      <c r="AA176" s="145" t="s">
        <v>680</v>
      </c>
      <c r="AB176" s="145" t="s">
        <v>681</v>
      </c>
      <c r="AC176" s="145" t="s">
        <v>638</v>
      </c>
      <c r="AD176" s="145" t="s">
        <v>682</v>
      </c>
      <c r="AE176" s="145" t="s">
        <v>505</v>
      </c>
      <c r="AF176" s="145" t="s">
        <v>338</v>
      </c>
    </row>
    <row r="177" spans="1:32">
      <c r="A177" s="145" t="s">
        <v>815</v>
      </c>
      <c r="B177" s="145" t="s">
        <v>497</v>
      </c>
      <c r="C177" s="145" t="s">
        <v>678</v>
      </c>
      <c r="D177" s="145" t="s">
        <v>679</v>
      </c>
      <c r="E177" s="145" t="s">
        <v>338</v>
      </c>
      <c r="F177" s="145" t="s">
        <v>338</v>
      </c>
      <c r="G177" s="145" t="s">
        <v>209</v>
      </c>
      <c r="H177" s="145">
        <v>10</v>
      </c>
      <c r="I177" s="145" t="s">
        <v>338</v>
      </c>
      <c r="J177" s="146">
        <v>420</v>
      </c>
      <c r="K177" s="145">
        <v>2</v>
      </c>
      <c r="L177" s="145" t="s">
        <v>502</v>
      </c>
      <c r="M177" s="145">
        <v>2</v>
      </c>
      <c r="N177" s="145" t="s">
        <v>503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504</v>
      </c>
      <c r="U177" s="145">
        <v>1</v>
      </c>
      <c r="V177" s="145" t="s">
        <v>505</v>
      </c>
      <c r="W177" s="145" t="s">
        <v>513</v>
      </c>
      <c r="X177" s="145" t="s">
        <v>530</v>
      </c>
      <c r="Y177" s="145" t="s">
        <v>338</v>
      </c>
      <c r="Z177" s="145" t="s">
        <v>595</v>
      </c>
      <c r="AA177" s="145" t="s">
        <v>705</v>
      </c>
      <c r="AB177" s="145" t="s">
        <v>681</v>
      </c>
      <c r="AC177" s="145" t="s">
        <v>638</v>
      </c>
      <c r="AD177" s="145" t="s">
        <v>682</v>
      </c>
      <c r="AE177" s="145" t="s">
        <v>505</v>
      </c>
      <c r="AF177" s="145" t="s">
        <v>338</v>
      </c>
    </row>
    <row r="178" spans="1:32">
      <c r="A178" s="145" t="s">
        <v>816</v>
      </c>
      <c r="B178" s="145" t="s">
        <v>562</v>
      </c>
      <c r="C178" s="145" t="s">
        <v>678</v>
      </c>
      <c r="D178" s="145" t="s">
        <v>679</v>
      </c>
      <c r="E178" s="145" t="s">
        <v>338</v>
      </c>
      <c r="F178" s="145" t="s">
        <v>338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338</v>
      </c>
      <c r="L178" s="145" t="s">
        <v>635</v>
      </c>
      <c r="M178" s="145" t="s">
        <v>338</v>
      </c>
      <c r="N178" s="145" t="s">
        <v>338</v>
      </c>
      <c r="O178" s="146">
        <v>4400</v>
      </c>
      <c r="P178" s="145" t="s">
        <v>338</v>
      </c>
      <c r="Q178" s="146">
        <v>3379.25</v>
      </c>
      <c r="R178" s="146">
        <v>2300</v>
      </c>
      <c r="S178" s="145" t="s">
        <v>338</v>
      </c>
      <c r="T178" s="145" t="s">
        <v>504</v>
      </c>
      <c r="U178" s="145" t="s">
        <v>338</v>
      </c>
      <c r="V178" s="145" t="s">
        <v>505</v>
      </c>
      <c r="W178" s="145" t="s">
        <v>338</v>
      </c>
      <c r="X178" s="145" t="s">
        <v>525</v>
      </c>
      <c r="Y178" s="145" t="s">
        <v>338</v>
      </c>
      <c r="Z178" s="145" t="s">
        <v>595</v>
      </c>
      <c r="AA178" s="145" t="s">
        <v>766</v>
      </c>
      <c r="AB178" s="145" t="s">
        <v>681</v>
      </c>
      <c r="AC178" s="145" t="s">
        <v>638</v>
      </c>
      <c r="AD178" s="145" t="s">
        <v>682</v>
      </c>
      <c r="AE178" s="145" t="s">
        <v>505</v>
      </c>
      <c r="AF178" s="145" t="s">
        <v>504</v>
      </c>
    </row>
    <row r="179" spans="1:32">
      <c r="A179" s="145" t="s">
        <v>817</v>
      </c>
      <c r="B179" s="145" t="s">
        <v>562</v>
      </c>
      <c r="C179" s="145" t="s">
        <v>678</v>
      </c>
      <c r="D179" s="145" t="s">
        <v>679</v>
      </c>
      <c r="E179" s="145" t="s">
        <v>338</v>
      </c>
      <c r="F179" s="145" t="s">
        <v>338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502</v>
      </c>
      <c r="M179" s="145">
        <v>25</v>
      </c>
      <c r="N179" s="145" t="s">
        <v>503</v>
      </c>
      <c r="O179" s="146">
        <v>4390</v>
      </c>
      <c r="P179" s="145" t="s">
        <v>338</v>
      </c>
      <c r="Q179" s="146">
        <v>4755</v>
      </c>
      <c r="R179" s="146">
        <v>2400</v>
      </c>
      <c r="S179" s="147">
        <v>14.633333333333333</v>
      </c>
      <c r="T179" s="145" t="s">
        <v>505</v>
      </c>
      <c r="U179" s="145" t="s">
        <v>338</v>
      </c>
      <c r="V179" s="145" t="s">
        <v>505</v>
      </c>
      <c r="W179" s="145" t="s">
        <v>338</v>
      </c>
      <c r="X179" s="145" t="s">
        <v>540</v>
      </c>
      <c r="Y179" s="145" t="s">
        <v>338</v>
      </c>
      <c r="Z179" s="145" t="s">
        <v>595</v>
      </c>
      <c r="AA179" s="145" t="s">
        <v>680</v>
      </c>
      <c r="AB179" s="145" t="s">
        <v>681</v>
      </c>
      <c r="AC179" s="145" t="s">
        <v>638</v>
      </c>
      <c r="AD179" s="145" t="s">
        <v>511</v>
      </c>
      <c r="AE179" s="145" t="s">
        <v>505</v>
      </c>
      <c r="AF179" s="145" t="s">
        <v>504</v>
      </c>
    </row>
    <row r="180" spans="1:32">
      <c r="A180" s="145" t="s">
        <v>818</v>
      </c>
      <c r="B180" s="145" t="s">
        <v>562</v>
      </c>
      <c r="C180" s="145" t="s">
        <v>498</v>
      </c>
      <c r="D180" s="145" t="s">
        <v>499</v>
      </c>
      <c r="E180" s="145" t="s">
        <v>500</v>
      </c>
      <c r="F180" s="145" t="s">
        <v>501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563</v>
      </c>
      <c r="M180" s="145" t="s">
        <v>338</v>
      </c>
      <c r="N180" s="145" t="s">
        <v>338</v>
      </c>
      <c r="O180" s="146">
        <v>4370</v>
      </c>
      <c r="P180" s="145" t="s">
        <v>338</v>
      </c>
      <c r="Q180" s="146">
        <v>1970</v>
      </c>
      <c r="R180" s="146">
        <v>2400</v>
      </c>
      <c r="S180" s="147">
        <v>91.041666666666671</v>
      </c>
      <c r="T180" s="145" t="s">
        <v>504</v>
      </c>
      <c r="U180" s="145" t="s">
        <v>338</v>
      </c>
      <c r="V180" s="145" t="s">
        <v>505</v>
      </c>
      <c r="W180" s="145" t="s">
        <v>506</v>
      </c>
      <c r="X180" s="145" t="s">
        <v>525</v>
      </c>
      <c r="Y180" s="145" t="s">
        <v>338</v>
      </c>
      <c r="Z180" s="145" t="s">
        <v>507</v>
      </c>
      <c r="AA180" s="145" t="s">
        <v>600</v>
      </c>
      <c r="AB180" s="145" t="s">
        <v>527</v>
      </c>
      <c r="AC180" s="145" t="s">
        <v>517</v>
      </c>
      <c r="AD180" s="145" t="s">
        <v>511</v>
      </c>
      <c r="AE180" s="145" t="s">
        <v>504</v>
      </c>
      <c r="AF180" s="145" t="s">
        <v>504</v>
      </c>
    </row>
    <row r="181" spans="1:32">
      <c r="A181" s="145" t="s">
        <v>819</v>
      </c>
      <c r="B181" s="145" t="s">
        <v>562</v>
      </c>
      <c r="C181" s="145" t="s">
        <v>632</v>
      </c>
      <c r="D181" s="145" t="s">
        <v>338</v>
      </c>
      <c r="E181" s="145" t="s">
        <v>338</v>
      </c>
      <c r="F181" s="145" t="s">
        <v>338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338</v>
      </c>
      <c r="L181" s="145" t="s">
        <v>635</v>
      </c>
      <c r="M181" s="145" t="s">
        <v>338</v>
      </c>
      <c r="N181" s="145" t="s">
        <v>338</v>
      </c>
      <c r="O181" s="146">
        <v>4345</v>
      </c>
      <c r="P181" s="145" t="s">
        <v>338</v>
      </c>
      <c r="Q181" s="146">
        <v>3325</v>
      </c>
      <c r="R181" s="146">
        <v>1700</v>
      </c>
      <c r="S181" s="145" t="s">
        <v>338</v>
      </c>
      <c r="T181" s="145" t="s">
        <v>505</v>
      </c>
      <c r="U181" s="145" t="s">
        <v>338</v>
      </c>
      <c r="V181" s="145" t="s">
        <v>505</v>
      </c>
      <c r="W181" s="145" t="s">
        <v>338</v>
      </c>
      <c r="X181" s="145" t="s">
        <v>338</v>
      </c>
      <c r="Y181" s="145" t="s">
        <v>338</v>
      </c>
      <c r="Z181" s="145" t="s">
        <v>595</v>
      </c>
      <c r="AA181" s="145" t="s">
        <v>766</v>
      </c>
      <c r="AB181" s="145" t="s">
        <v>681</v>
      </c>
      <c r="AC181" s="145" t="s">
        <v>638</v>
      </c>
      <c r="AD181" s="145" t="s">
        <v>682</v>
      </c>
      <c r="AE181" s="145" t="s">
        <v>505</v>
      </c>
      <c r="AF181" s="145" t="s">
        <v>504</v>
      </c>
    </row>
    <row r="182" spans="1:32">
      <c r="A182" s="145" t="s">
        <v>820</v>
      </c>
      <c r="B182" s="145" t="s">
        <v>562</v>
      </c>
      <c r="C182" s="145" t="s">
        <v>657</v>
      </c>
      <c r="D182" s="145" t="s">
        <v>338</v>
      </c>
      <c r="E182" s="145" t="s">
        <v>338</v>
      </c>
      <c r="F182" s="145" t="s">
        <v>338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338</v>
      </c>
      <c r="L182" s="145" t="s">
        <v>635</v>
      </c>
      <c r="M182" s="145" t="s">
        <v>338</v>
      </c>
      <c r="N182" s="145" t="s">
        <v>338</v>
      </c>
      <c r="O182" s="146">
        <v>4315</v>
      </c>
      <c r="P182" s="145" t="s">
        <v>338</v>
      </c>
      <c r="Q182" s="146">
        <v>5085</v>
      </c>
      <c r="R182" s="146">
        <v>2115</v>
      </c>
      <c r="S182" s="145" t="s">
        <v>338</v>
      </c>
      <c r="T182" s="145" t="s">
        <v>338</v>
      </c>
      <c r="U182" s="145" t="s">
        <v>338</v>
      </c>
      <c r="V182" s="145" t="s">
        <v>338</v>
      </c>
      <c r="W182" s="145" t="s">
        <v>338</v>
      </c>
      <c r="X182" s="145" t="s">
        <v>338</v>
      </c>
      <c r="Y182" s="145" t="s">
        <v>338</v>
      </c>
      <c r="Z182" s="145" t="s">
        <v>338</v>
      </c>
      <c r="AA182" s="145" t="s">
        <v>338</v>
      </c>
      <c r="AB182" s="145" t="s">
        <v>338</v>
      </c>
      <c r="AC182" s="145" t="s">
        <v>338</v>
      </c>
      <c r="AD182" s="145" t="s">
        <v>338</v>
      </c>
      <c r="AE182" s="145" t="s">
        <v>338</v>
      </c>
      <c r="AF182" s="145" t="s">
        <v>504</v>
      </c>
    </row>
    <row r="183" spans="1:32">
      <c r="A183" s="145" t="s">
        <v>821</v>
      </c>
      <c r="B183" s="145" t="s">
        <v>497</v>
      </c>
      <c r="C183" s="145" t="s">
        <v>498</v>
      </c>
      <c r="D183" s="145" t="s">
        <v>499</v>
      </c>
      <c r="E183" s="145" t="s">
        <v>500</v>
      </c>
      <c r="F183" s="145" t="s">
        <v>501</v>
      </c>
      <c r="G183" s="145" t="s">
        <v>242</v>
      </c>
      <c r="H183" s="145">
        <v>7</v>
      </c>
      <c r="I183" s="145" t="s">
        <v>338</v>
      </c>
      <c r="J183" s="146">
        <v>719</v>
      </c>
      <c r="K183" s="145">
        <v>8</v>
      </c>
      <c r="L183" s="145" t="s">
        <v>502</v>
      </c>
      <c r="M183" s="145">
        <v>8</v>
      </c>
      <c r="N183" s="145" t="s">
        <v>503</v>
      </c>
      <c r="O183" s="146">
        <v>4276</v>
      </c>
      <c r="P183" s="146">
        <v>719</v>
      </c>
      <c r="Q183" s="145" t="s">
        <v>338</v>
      </c>
      <c r="R183" s="146">
        <v>4276</v>
      </c>
      <c r="S183" s="147">
        <v>44.541666666666664</v>
      </c>
      <c r="T183" s="145" t="s">
        <v>505</v>
      </c>
      <c r="U183" s="145" t="s">
        <v>338</v>
      </c>
      <c r="V183" s="145" t="s">
        <v>504</v>
      </c>
      <c r="W183" s="145" t="s">
        <v>506</v>
      </c>
      <c r="X183" s="145" t="s">
        <v>530</v>
      </c>
      <c r="Y183" s="145" t="s">
        <v>342</v>
      </c>
      <c r="Z183" s="145" t="s">
        <v>507</v>
      </c>
      <c r="AA183" s="145" t="s">
        <v>556</v>
      </c>
      <c r="AB183" s="145" t="s">
        <v>557</v>
      </c>
      <c r="AC183" s="145" t="s">
        <v>510</v>
      </c>
      <c r="AD183" s="145" t="s">
        <v>558</v>
      </c>
      <c r="AE183" s="145" t="s">
        <v>504</v>
      </c>
      <c r="AF183" s="145" t="s">
        <v>338</v>
      </c>
    </row>
    <row r="184" spans="1:32">
      <c r="A184" s="145" t="s">
        <v>822</v>
      </c>
      <c r="B184" s="145" t="s">
        <v>497</v>
      </c>
      <c r="C184" s="145" t="s">
        <v>632</v>
      </c>
      <c r="D184" s="145" t="s">
        <v>823</v>
      </c>
      <c r="E184" s="145" t="s">
        <v>338</v>
      </c>
      <c r="F184" s="145" t="s">
        <v>338</v>
      </c>
      <c r="G184" s="145" t="s">
        <v>634</v>
      </c>
      <c r="H184" s="145">
        <v>63</v>
      </c>
      <c r="I184" s="145" t="s">
        <v>338</v>
      </c>
      <c r="J184" s="146">
        <v>355</v>
      </c>
      <c r="K184" s="145" t="s">
        <v>338</v>
      </c>
      <c r="L184" s="145" t="s">
        <v>668</v>
      </c>
      <c r="M184" s="145" t="s">
        <v>338</v>
      </c>
      <c r="N184" s="145" t="s">
        <v>338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338</v>
      </c>
      <c r="T184" s="145" t="s">
        <v>505</v>
      </c>
      <c r="U184" s="145" t="s">
        <v>338</v>
      </c>
      <c r="V184" s="145" t="s">
        <v>505</v>
      </c>
      <c r="W184" s="145" t="s">
        <v>338</v>
      </c>
      <c r="X184" s="145" t="s">
        <v>338</v>
      </c>
      <c r="Y184" s="145" t="s">
        <v>338</v>
      </c>
      <c r="Z184" s="145" t="s">
        <v>595</v>
      </c>
      <c r="AA184" s="145" t="s">
        <v>636</v>
      </c>
      <c r="AB184" s="145" t="s">
        <v>637</v>
      </c>
      <c r="AC184" s="145" t="s">
        <v>638</v>
      </c>
      <c r="AD184" s="145" t="s">
        <v>523</v>
      </c>
      <c r="AE184" s="145" t="s">
        <v>505</v>
      </c>
      <c r="AF184" s="145" t="s">
        <v>338</v>
      </c>
    </row>
    <row r="185" spans="1:32">
      <c r="A185" s="145" t="s">
        <v>824</v>
      </c>
      <c r="B185" s="145" t="s">
        <v>497</v>
      </c>
      <c r="C185" s="145" t="s">
        <v>498</v>
      </c>
      <c r="D185" s="145" t="s">
        <v>499</v>
      </c>
      <c r="E185" s="145" t="s">
        <v>607</v>
      </c>
      <c r="F185" s="145" t="s">
        <v>594</v>
      </c>
      <c r="G185" s="145" t="s">
        <v>205</v>
      </c>
      <c r="H185" s="145">
        <v>14</v>
      </c>
      <c r="I185" s="145" t="s">
        <v>338</v>
      </c>
      <c r="J185" s="146">
        <v>360</v>
      </c>
      <c r="K185" s="145">
        <v>5</v>
      </c>
      <c r="L185" s="145" t="s">
        <v>555</v>
      </c>
      <c r="M185" s="145" t="s">
        <v>338</v>
      </c>
      <c r="N185" s="145" t="s">
        <v>338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504</v>
      </c>
      <c r="U185" s="145">
        <v>6</v>
      </c>
      <c r="V185" s="145" t="s">
        <v>505</v>
      </c>
      <c r="W185" s="145" t="s">
        <v>506</v>
      </c>
      <c r="X185" s="145" t="s">
        <v>514</v>
      </c>
      <c r="Y185" s="145" t="s">
        <v>338</v>
      </c>
      <c r="Z185" s="145" t="s">
        <v>507</v>
      </c>
      <c r="AA185" s="145" t="s">
        <v>531</v>
      </c>
      <c r="AB185" s="145" t="s">
        <v>532</v>
      </c>
      <c r="AC185" s="145" t="s">
        <v>533</v>
      </c>
      <c r="AD185" s="145" t="s">
        <v>518</v>
      </c>
      <c r="AE185" s="145" t="s">
        <v>504</v>
      </c>
      <c r="AF185" s="145" t="s">
        <v>338</v>
      </c>
    </row>
    <row r="186" spans="1:32">
      <c r="A186" s="145" t="s">
        <v>825</v>
      </c>
      <c r="B186" s="145" t="s">
        <v>497</v>
      </c>
      <c r="C186" s="145" t="s">
        <v>498</v>
      </c>
      <c r="D186" s="145" t="s">
        <v>499</v>
      </c>
      <c r="E186" s="145" t="s">
        <v>616</v>
      </c>
      <c r="F186" s="145" t="s">
        <v>587</v>
      </c>
      <c r="G186" s="145" t="s">
        <v>244</v>
      </c>
      <c r="H186" s="145">
        <v>5</v>
      </c>
      <c r="I186" s="145" t="s">
        <v>338</v>
      </c>
      <c r="J186" s="146">
        <v>899.33333333333337</v>
      </c>
      <c r="K186" s="145">
        <v>8</v>
      </c>
      <c r="L186" s="145" t="s">
        <v>502</v>
      </c>
      <c r="M186" s="145">
        <v>8</v>
      </c>
      <c r="N186" s="145" t="s">
        <v>503</v>
      </c>
      <c r="O186" s="146">
        <v>4204</v>
      </c>
      <c r="P186" s="146">
        <v>886</v>
      </c>
      <c r="Q186" s="145" t="s">
        <v>338</v>
      </c>
      <c r="R186" s="146">
        <v>4204</v>
      </c>
      <c r="S186" s="147">
        <v>43.791666666666664</v>
      </c>
      <c r="T186" s="145" t="s">
        <v>504</v>
      </c>
      <c r="U186" s="145" t="s">
        <v>338</v>
      </c>
      <c r="V186" s="145" t="s">
        <v>505</v>
      </c>
      <c r="W186" s="145" t="s">
        <v>506</v>
      </c>
      <c r="X186" s="145" t="s">
        <v>514</v>
      </c>
      <c r="Y186" s="145" t="s">
        <v>342</v>
      </c>
      <c r="Z186" s="145" t="s">
        <v>507</v>
      </c>
      <c r="AA186" s="145" t="s">
        <v>535</v>
      </c>
      <c r="AB186" s="145" t="s">
        <v>536</v>
      </c>
      <c r="AC186" s="145" t="s">
        <v>517</v>
      </c>
      <c r="AD186" s="145" t="s">
        <v>518</v>
      </c>
      <c r="AE186" s="145" t="s">
        <v>504</v>
      </c>
      <c r="AF186" s="145" t="s">
        <v>338</v>
      </c>
    </row>
    <row r="187" spans="1:32">
      <c r="A187" s="145" t="s">
        <v>826</v>
      </c>
      <c r="B187" s="145" t="s">
        <v>19</v>
      </c>
      <c r="C187" s="145" t="s">
        <v>498</v>
      </c>
      <c r="D187" s="145" t="s">
        <v>499</v>
      </c>
      <c r="E187" s="145" t="s">
        <v>338</v>
      </c>
      <c r="F187" s="145" t="s">
        <v>501</v>
      </c>
      <c r="G187" s="145" t="s">
        <v>247</v>
      </c>
      <c r="H187" s="145">
        <v>2</v>
      </c>
      <c r="I187" s="145" t="s">
        <v>338</v>
      </c>
      <c r="J187" s="146">
        <v>1986</v>
      </c>
      <c r="K187" s="145">
        <v>21</v>
      </c>
      <c r="L187" s="145" t="s">
        <v>502</v>
      </c>
      <c r="M187" s="145">
        <v>21</v>
      </c>
      <c r="N187" s="145" t="s">
        <v>503</v>
      </c>
      <c r="O187" s="146">
        <v>3972</v>
      </c>
      <c r="P187" s="146">
        <v>1316</v>
      </c>
      <c r="Q187" s="145" t="s">
        <v>338</v>
      </c>
      <c r="R187" s="146">
        <v>3972</v>
      </c>
      <c r="S187" s="147">
        <v>15.761904761904763</v>
      </c>
      <c r="T187" s="145" t="s">
        <v>504</v>
      </c>
      <c r="U187" s="145" t="s">
        <v>338</v>
      </c>
      <c r="V187" s="145" t="s">
        <v>504</v>
      </c>
      <c r="W187" s="145" t="s">
        <v>506</v>
      </c>
      <c r="X187" s="145" t="s">
        <v>610</v>
      </c>
      <c r="Y187" s="145" t="s">
        <v>342</v>
      </c>
      <c r="Z187" s="145" t="s">
        <v>507</v>
      </c>
      <c r="AA187" s="145" t="s">
        <v>651</v>
      </c>
      <c r="AB187" s="145" t="s">
        <v>652</v>
      </c>
      <c r="AC187" s="145" t="s">
        <v>566</v>
      </c>
      <c r="AD187" s="145" t="s">
        <v>653</v>
      </c>
      <c r="AE187" s="145" t="s">
        <v>504</v>
      </c>
      <c r="AF187" s="145" t="s">
        <v>338</v>
      </c>
    </row>
    <row r="188" spans="1:32">
      <c r="A188" s="145" t="s">
        <v>827</v>
      </c>
      <c r="B188" s="145" t="s">
        <v>562</v>
      </c>
      <c r="C188" s="145" t="s">
        <v>678</v>
      </c>
      <c r="D188" s="145" t="s">
        <v>679</v>
      </c>
      <c r="E188" s="145" t="s">
        <v>338</v>
      </c>
      <c r="F188" s="145" t="s">
        <v>338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338</v>
      </c>
      <c r="L188" s="145" t="s">
        <v>635</v>
      </c>
      <c r="M188" s="145" t="s">
        <v>338</v>
      </c>
      <c r="N188" s="145" t="s">
        <v>338</v>
      </c>
      <c r="O188" s="146">
        <v>3940</v>
      </c>
      <c r="P188" s="145" t="s">
        <v>338</v>
      </c>
      <c r="Q188" s="146">
        <v>2190</v>
      </c>
      <c r="R188" s="146">
        <v>1750</v>
      </c>
      <c r="S188" s="145" t="s">
        <v>338</v>
      </c>
      <c r="T188" s="145" t="s">
        <v>505</v>
      </c>
      <c r="U188" s="145" t="s">
        <v>338</v>
      </c>
      <c r="V188" s="145" t="s">
        <v>505</v>
      </c>
      <c r="W188" s="145" t="s">
        <v>338</v>
      </c>
      <c r="X188" s="145" t="s">
        <v>338</v>
      </c>
      <c r="Y188" s="145" t="s">
        <v>338</v>
      </c>
      <c r="Z188" s="145" t="s">
        <v>595</v>
      </c>
      <c r="AA188" s="145" t="s">
        <v>705</v>
      </c>
      <c r="AB188" s="145" t="s">
        <v>681</v>
      </c>
      <c r="AC188" s="145" t="s">
        <v>638</v>
      </c>
      <c r="AD188" s="145" t="s">
        <v>511</v>
      </c>
      <c r="AE188" s="145" t="s">
        <v>505</v>
      </c>
      <c r="AF188" s="145" t="s">
        <v>504</v>
      </c>
    </row>
    <row r="189" spans="1:32">
      <c r="A189" s="145" t="s">
        <v>828</v>
      </c>
      <c r="B189" s="145" t="s">
        <v>562</v>
      </c>
      <c r="C189" s="145" t="s">
        <v>498</v>
      </c>
      <c r="D189" s="145" t="s">
        <v>499</v>
      </c>
      <c r="E189" s="145" t="s">
        <v>500</v>
      </c>
      <c r="F189" s="145" t="s">
        <v>501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563</v>
      </c>
      <c r="M189" s="145" t="s">
        <v>338</v>
      </c>
      <c r="N189" s="145" t="s">
        <v>338</v>
      </c>
      <c r="O189" s="146">
        <v>3800</v>
      </c>
      <c r="P189" s="145" t="s">
        <v>338</v>
      </c>
      <c r="Q189" s="146">
        <v>2940</v>
      </c>
      <c r="R189" s="146">
        <v>1570</v>
      </c>
      <c r="S189" s="147">
        <v>79.166666666666671</v>
      </c>
      <c r="T189" s="145" t="s">
        <v>505</v>
      </c>
      <c r="U189" s="145">
        <v>2</v>
      </c>
      <c r="V189" s="145" t="s">
        <v>505</v>
      </c>
      <c r="W189" s="145" t="s">
        <v>338</v>
      </c>
      <c r="X189" s="145" t="s">
        <v>338</v>
      </c>
      <c r="Y189" s="145" t="s">
        <v>338</v>
      </c>
      <c r="Z189" s="145" t="s">
        <v>338</v>
      </c>
      <c r="AA189" s="145" t="s">
        <v>591</v>
      </c>
      <c r="AB189" s="145" t="s">
        <v>527</v>
      </c>
      <c r="AC189" s="145" t="s">
        <v>338</v>
      </c>
      <c r="AD189" s="145" t="s">
        <v>338</v>
      </c>
      <c r="AE189" s="145" t="s">
        <v>505</v>
      </c>
      <c r="AF189" s="145" t="s">
        <v>504</v>
      </c>
    </row>
    <row r="190" spans="1:32">
      <c r="A190" s="145" t="s">
        <v>829</v>
      </c>
      <c r="B190" s="145" t="s">
        <v>562</v>
      </c>
      <c r="C190" s="145" t="s">
        <v>498</v>
      </c>
      <c r="D190" s="145" t="s">
        <v>499</v>
      </c>
      <c r="E190" s="145" t="s">
        <v>500</v>
      </c>
      <c r="F190" s="145" t="s">
        <v>501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555</v>
      </c>
      <c r="M190" s="145" t="s">
        <v>338</v>
      </c>
      <c r="N190" s="145" t="s">
        <v>338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505</v>
      </c>
      <c r="U190" s="145" t="s">
        <v>338</v>
      </c>
      <c r="V190" s="145" t="s">
        <v>505</v>
      </c>
      <c r="W190" s="145" t="s">
        <v>506</v>
      </c>
      <c r="X190" s="145" t="s">
        <v>514</v>
      </c>
      <c r="Y190" s="145" t="s">
        <v>338</v>
      </c>
      <c r="Z190" s="145" t="s">
        <v>507</v>
      </c>
      <c r="AA190" s="145" t="s">
        <v>651</v>
      </c>
      <c r="AB190" s="145" t="s">
        <v>652</v>
      </c>
      <c r="AC190" s="145" t="s">
        <v>566</v>
      </c>
      <c r="AD190" s="145" t="s">
        <v>653</v>
      </c>
      <c r="AE190" s="145" t="s">
        <v>504</v>
      </c>
      <c r="AF190" s="145" t="s">
        <v>504</v>
      </c>
    </row>
    <row r="191" spans="1:32">
      <c r="A191" s="145" t="s">
        <v>830</v>
      </c>
      <c r="B191" s="145" t="s">
        <v>497</v>
      </c>
      <c r="C191" s="145" t="s">
        <v>498</v>
      </c>
      <c r="D191" s="145" t="s">
        <v>499</v>
      </c>
      <c r="E191" s="145" t="s">
        <v>616</v>
      </c>
      <c r="F191" s="145" t="s">
        <v>587</v>
      </c>
      <c r="G191" s="145" t="s">
        <v>246</v>
      </c>
      <c r="H191" s="145">
        <v>3</v>
      </c>
      <c r="I191" s="145" t="s">
        <v>338</v>
      </c>
      <c r="J191" s="146">
        <v>1256.3333333333333</v>
      </c>
      <c r="K191" s="145">
        <v>22</v>
      </c>
      <c r="L191" s="145" t="s">
        <v>502</v>
      </c>
      <c r="M191" s="145">
        <v>22</v>
      </c>
      <c r="N191" s="145" t="s">
        <v>503</v>
      </c>
      <c r="O191" s="146">
        <v>3769</v>
      </c>
      <c r="P191" s="146">
        <v>885</v>
      </c>
      <c r="Q191" s="145" t="s">
        <v>338</v>
      </c>
      <c r="R191" s="146">
        <v>3769</v>
      </c>
      <c r="S191" s="147">
        <v>14.27651515151515</v>
      </c>
      <c r="T191" s="145" t="s">
        <v>505</v>
      </c>
      <c r="U191" s="145" t="s">
        <v>338</v>
      </c>
      <c r="V191" s="145" t="s">
        <v>505</v>
      </c>
      <c r="W191" s="145" t="s">
        <v>506</v>
      </c>
      <c r="X191" s="145" t="s">
        <v>530</v>
      </c>
      <c r="Y191" s="145" t="s">
        <v>338</v>
      </c>
      <c r="Z191" s="145" t="s">
        <v>507</v>
      </c>
      <c r="AA191" s="145" t="s">
        <v>648</v>
      </c>
      <c r="AB191" s="145" t="s">
        <v>648</v>
      </c>
      <c r="AC191" s="145" t="s">
        <v>533</v>
      </c>
      <c r="AD191" s="145" t="s">
        <v>511</v>
      </c>
      <c r="AE191" s="145" t="s">
        <v>504</v>
      </c>
      <c r="AF191" s="145" t="s">
        <v>338</v>
      </c>
    </row>
    <row r="192" spans="1:32">
      <c r="A192" s="145" t="s">
        <v>831</v>
      </c>
      <c r="B192" s="145" t="s">
        <v>497</v>
      </c>
      <c r="C192" s="145" t="s">
        <v>498</v>
      </c>
      <c r="D192" s="145" t="s">
        <v>499</v>
      </c>
      <c r="E192" s="145" t="s">
        <v>500</v>
      </c>
      <c r="F192" s="145" t="s">
        <v>501</v>
      </c>
      <c r="G192" s="145" t="s">
        <v>211</v>
      </c>
      <c r="H192" s="145">
        <v>8</v>
      </c>
      <c r="I192" s="145" t="s">
        <v>338</v>
      </c>
      <c r="J192" s="146">
        <v>425</v>
      </c>
      <c r="K192" s="145">
        <v>6</v>
      </c>
      <c r="L192" s="145" t="s">
        <v>502</v>
      </c>
      <c r="M192" s="145">
        <v>6</v>
      </c>
      <c r="N192" s="145" t="s">
        <v>503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504</v>
      </c>
      <c r="U192" s="145" t="s">
        <v>338</v>
      </c>
      <c r="V192" s="145" t="s">
        <v>505</v>
      </c>
      <c r="W192" s="145" t="s">
        <v>506</v>
      </c>
      <c r="X192" s="145" t="s">
        <v>530</v>
      </c>
      <c r="Y192" s="145" t="s">
        <v>338</v>
      </c>
      <c r="Z192" s="145" t="s">
        <v>507</v>
      </c>
      <c r="AA192" s="145" t="s">
        <v>626</v>
      </c>
      <c r="AB192" s="145" t="s">
        <v>509</v>
      </c>
      <c r="AC192" s="145" t="s">
        <v>510</v>
      </c>
      <c r="AD192" s="145" t="s">
        <v>511</v>
      </c>
      <c r="AE192" s="145" t="s">
        <v>504</v>
      </c>
      <c r="AF192" s="145" t="s">
        <v>338</v>
      </c>
    </row>
    <row r="193" spans="1:32">
      <c r="A193" s="145" t="s">
        <v>832</v>
      </c>
      <c r="B193" s="145" t="s">
        <v>562</v>
      </c>
      <c r="C193" s="145" t="s">
        <v>498</v>
      </c>
      <c r="D193" s="145" t="s">
        <v>499</v>
      </c>
      <c r="E193" s="145" t="s">
        <v>616</v>
      </c>
      <c r="F193" s="145" t="s">
        <v>587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502</v>
      </c>
      <c r="M193" s="145">
        <v>14</v>
      </c>
      <c r="N193" s="145" t="s">
        <v>503</v>
      </c>
      <c r="O193" s="146">
        <v>3748</v>
      </c>
      <c r="P193" s="145" t="s">
        <v>338</v>
      </c>
      <c r="Q193" s="145" t="s">
        <v>338</v>
      </c>
      <c r="R193" s="146">
        <v>3748</v>
      </c>
      <c r="S193" s="147">
        <v>22.309523809523807</v>
      </c>
      <c r="T193" s="145" t="s">
        <v>505</v>
      </c>
      <c r="U193" s="145" t="s">
        <v>338</v>
      </c>
      <c r="V193" s="145" t="s">
        <v>504</v>
      </c>
      <c r="W193" s="145" t="s">
        <v>513</v>
      </c>
      <c r="X193" s="145" t="s">
        <v>525</v>
      </c>
      <c r="Y193" s="145" t="s">
        <v>342</v>
      </c>
      <c r="Z193" s="145" t="s">
        <v>507</v>
      </c>
      <c r="AA193" s="145" t="s">
        <v>833</v>
      </c>
      <c r="AB193" s="145" t="s">
        <v>833</v>
      </c>
      <c r="AC193" s="145" t="s">
        <v>517</v>
      </c>
      <c r="AD193" s="145" t="s">
        <v>518</v>
      </c>
      <c r="AE193" s="145" t="s">
        <v>505</v>
      </c>
      <c r="AF193" s="145" t="s">
        <v>504</v>
      </c>
    </row>
    <row r="194" spans="1:32">
      <c r="A194" s="145" t="s">
        <v>834</v>
      </c>
      <c r="B194" s="145" t="s">
        <v>497</v>
      </c>
      <c r="C194" s="145" t="s">
        <v>498</v>
      </c>
      <c r="D194" s="145" t="s">
        <v>499</v>
      </c>
      <c r="E194" s="145" t="s">
        <v>607</v>
      </c>
      <c r="F194" s="145" t="s">
        <v>594</v>
      </c>
      <c r="G194" s="145" t="s">
        <v>245</v>
      </c>
      <c r="H194" s="145">
        <v>4</v>
      </c>
      <c r="I194" s="145" t="s">
        <v>338</v>
      </c>
      <c r="J194" s="146">
        <v>760</v>
      </c>
      <c r="K194" s="145">
        <v>25</v>
      </c>
      <c r="L194" s="145" t="s">
        <v>555</v>
      </c>
      <c r="M194" s="145" t="s">
        <v>338</v>
      </c>
      <c r="N194" s="145" t="s">
        <v>338</v>
      </c>
      <c r="O194" s="146">
        <v>3660</v>
      </c>
      <c r="P194" s="146">
        <v>750</v>
      </c>
      <c r="Q194" s="145" t="s">
        <v>338</v>
      </c>
      <c r="R194" s="146">
        <v>3660</v>
      </c>
      <c r="S194" s="147">
        <v>12.2</v>
      </c>
      <c r="T194" s="145" t="s">
        <v>505</v>
      </c>
      <c r="U194" s="145" t="s">
        <v>338</v>
      </c>
      <c r="V194" s="145" t="s">
        <v>505</v>
      </c>
      <c r="W194" s="145" t="s">
        <v>506</v>
      </c>
      <c r="X194" s="145" t="s">
        <v>514</v>
      </c>
      <c r="Y194" s="145" t="s">
        <v>338</v>
      </c>
      <c r="Z194" s="145" t="s">
        <v>507</v>
      </c>
      <c r="AA194" s="145" t="s">
        <v>535</v>
      </c>
      <c r="AB194" s="145" t="s">
        <v>536</v>
      </c>
      <c r="AC194" s="145" t="s">
        <v>517</v>
      </c>
      <c r="AD194" s="145" t="s">
        <v>518</v>
      </c>
      <c r="AE194" s="145" t="s">
        <v>505</v>
      </c>
      <c r="AF194" s="145" t="s">
        <v>338</v>
      </c>
    </row>
    <row r="195" spans="1:32">
      <c r="A195" s="145" t="s">
        <v>835</v>
      </c>
      <c r="B195" s="145" t="s">
        <v>497</v>
      </c>
      <c r="C195" s="145" t="s">
        <v>678</v>
      </c>
      <c r="D195" s="145" t="s">
        <v>679</v>
      </c>
      <c r="E195" s="145" t="s">
        <v>338</v>
      </c>
      <c r="F195" s="145" t="s">
        <v>338</v>
      </c>
      <c r="G195" s="145" t="s">
        <v>125</v>
      </c>
      <c r="H195" s="145">
        <v>28</v>
      </c>
      <c r="I195" s="145" t="s">
        <v>338</v>
      </c>
      <c r="J195" s="146">
        <v>306.66666666666669</v>
      </c>
      <c r="K195" s="145" t="s">
        <v>338</v>
      </c>
      <c r="L195" s="145" t="s">
        <v>704</v>
      </c>
      <c r="M195" s="145" t="s">
        <v>338</v>
      </c>
      <c r="N195" s="145" t="s">
        <v>338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338</v>
      </c>
      <c r="T195" s="145" t="s">
        <v>505</v>
      </c>
      <c r="U195" s="145" t="s">
        <v>338</v>
      </c>
      <c r="V195" s="145" t="s">
        <v>505</v>
      </c>
      <c r="W195" s="145" t="s">
        <v>338</v>
      </c>
      <c r="X195" s="145" t="s">
        <v>338</v>
      </c>
      <c r="Y195" s="145" t="s">
        <v>338</v>
      </c>
      <c r="Z195" s="145" t="s">
        <v>595</v>
      </c>
      <c r="AA195" s="145" t="s">
        <v>680</v>
      </c>
      <c r="AB195" s="145" t="s">
        <v>681</v>
      </c>
      <c r="AC195" s="145" t="s">
        <v>638</v>
      </c>
      <c r="AD195" s="145" t="s">
        <v>682</v>
      </c>
      <c r="AE195" s="145" t="s">
        <v>505</v>
      </c>
      <c r="AF195" s="145" t="s">
        <v>338</v>
      </c>
    </row>
    <row r="196" spans="1:32">
      <c r="A196" s="145" t="s">
        <v>836</v>
      </c>
      <c r="B196" s="145" t="s">
        <v>497</v>
      </c>
      <c r="C196" s="145" t="s">
        <v>498</v>
      </c>
      <c r="D196" s="145" t="s">
        <v>499</v>
      </c>
      <c r="E196" s="145" t="s">
        <v>500</v>
      </c>
      <c r="F196" s="145" t="s">
        <v>501</v>
      </c>
      <c r="G196" s="145" t="s">
        <v>208</v>
      </c>
      <c r="H196" s="145">
        <v>11</v>
      </c>
      <c r="I196" s="145" t="s">
        <v>338</v>
      </c>
      <c r="J196" s="146">
        <v>407.12333333333328</v>
      </c>
      <c r="K196" s="145">
        <v>2</v>
      </c>
      <c r="L196" s="145" t="s">
        <v>555</v>
      </c>
      <c r="M196" s="145" t="s">
        <v>338</v>
      </c>
      <c r="N196" s="145" t="s">
        <v>338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504</v>
      </c>
      <c r="U196" s="145" t="s">
        <v>338</v>
      </c>
      <c r="V196" s="145" t="s">
        <v>505</v>
      </c>
      <c r="W196" s="145" t="s">
        <v>506</v>
      </c>
      <c r="X196" s="145" t="s">
        <v>530</v>
      </c>
      <c r="Y196" s="145" t="s">
        <v>338</v>
      </c>
      <c r="Z196" s="145" t="s">
        <v>507</v>
      </c>
      <c r="AA196" s="145" t="s">
        <v>626</v>
      </c>
      <c r="AB196" s="145" t="s">
        <v>509</v>
      </c>
      <c r="AC196" s="145" t="s">
        <v>510</v>
      </c>
      <c r="AD196" s="145" t="s">
        <v>511</v>
      </c>
      <c r="AE196" s="145" t="s">
        <v>504</v>
      </c>
      <c r="AF196" s="145" t="s">
        <v>338</v>
      </c>
    </row>
    <row r="197" spans="1:32">
      <c r="A197" s="145" t="s">
        <v>837</v>
      </c>
      <c r="B197" s="145" t="s">
        <v>497</v>
      </c>
      <c r="C197" s="145" t="s">
        <v>678</v>
      </c>
      <c r="D197" s="145" t="s">
        <v>679</v>
      </c>
      <c r="E197" s="145" t="s">
        <v>338</v>
      </c>
      <c r="F197" s="145" t="s">
        <v>338</v>
      </c>
      <c r="G197" s="145" t="s">
        <v>210</v>
      </c>
      <c r="H197" s="145">
        <v>9</v>
      </c>
      <c r="I197" s="145" t="s">
        <v>338</v>
      </c>
      <c r="J197" s="146">
        <v>400</v>
      </c>
      <c r="K197" s="145" t="s">
        <v>338</v>
      </c>
      <c r="L197" s="145" t="s">
        <v>704</v>
      </c>
      <c r="M197" s="145" t="s">
        <v>338</v>
      </c>
      <c r="N197" s="145" t="s">
        <v>338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338</v>
      </c>
      <c r="T197" s="145" t="s">
        <v>505</v>
      </c>
      <c r="U197" s="145" t="s">
        <v>338</v>
      </c>
      <c r="V197" s="145" t="s">
        <v>505</v>
      </c>
      <c r="W197" s="145" t="s">
        <v>513</v>
      </c>
      <c r="X197" s="145" t="s">
        <v>514</v>
      </c>
      <c r="Y197" s="145" t="s">
        <v>338</v>
      </c>
      <c r="Z197" s="145" t="s">
        <v>595</v>
      </c>
      <c r="AA197" s="145" t="s">
        <v>766</v>
      </c>
      <c r="AB197" s="145" t="s">
        <v>681</v>
      </c>
      <c r="AC197" s="145" t="s">
        <v>638</v>
      </c>
      <c r="AD197" s="145" t="s">
        <v>682</v>
      </c>
      <c r="AE197" s="145" t="s">
        <v>505</v>
      </c>
      <c r="AF197" s="145" t="s">
        <v>338</v>
      </c>
    </row>
    <row r="198" spans="1:32">
      <c r="A198" s="145" t="s">
        <v>838</v>
      </c>
      <c r="B198" s="145" t="s">
        <v>562</v>
      </c>
      <c r="C198" s="145" t="s">
        <v>498</v>
      </c>
      <c r="D198" s="145" t="s">
        <v>499</v>
      </c>
      <c r="E198" s="145" t="s">
        <v>500</v>
      </c>
      <c r="F198" s="145" t="s">
        <v>501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563</v>
      </c>
      <c r="M198" s="145" t="s">
        <v>338</v>
      </c>
      <c r="N198" s="145" t="s">
        <v>338</v>
      </c>
      <c r="O198" s="146">
        <v>3455</v>
      </c>
      <c r="P198" s="145" t="s">
        <v>338</v>
      </c>
      <c r="Q198" s="146">
        <v>5025</v>
      </c>
      <c r="R198" s="146">
        <v>1200</v>
      </c>
      <c r="S198" s="147">
        <v>71.979166666666671</v>
      </c>
      <c r="T198" s="145" t="s">
        <v>505</v>
      </c>
      <c r="U198" s="145" t="s">
        <v>338</v>
      </c>
      <c r="V198" s="145" t="s">
        <v>505</v>
      </c>
      <c r="W198" s="145" t="s">
        <v>338</v>
      </c>
      <c r="X198" s="145" t="s">
        <v>338</v>
      </c>
      <c r="Y198" s="145" t="s">
        <v>338</v>
      </c>
      <c r="Z198" s="145" t="s">
        <v>338</v>
      </c>
      <c r="AA198" s="145" t="s">
        <v>545</v>
      </c>
      <c r="AB198" s="145" t="s">
        <v>546</v>
      </c>
      <c r="AC198" s="145" t="s">
        <v>338</v>
      </c>
      <c r="AD198" s="145" t="s">
        <v>338</v>
      </c>
      <c r="AE198" s="145" t="s">
        <v>505</v>
      </c>
      <c r="AF198" s="145" t="s">
        <v>504</v>
      </c>
    </row>
    <row r="199" spans="1:32">
      <c r="A199" s="145" t="s">
        <v>839</v>
      </c>
      <c r="B199" s="145" t="s">
        <v>562</v>
      </c>
      <c r="C199" s="145" t="s">
        <v>632</v>
      </c>
      <c r="D199" s="145" t="s">
        <v>667</v>
      </c>
      <c r="E199" s="145" t="s">
        <v>338</v>
      </c>
      <c r="F199" s="145" t="s">
        <v>338</v>
      </c>
      <c r="G199" s="145" t="s">
        <v>757</v>
      </c>
      <c r="H199" s="145">
        <v>47</v>
      </c>
      <c r="I199" s="145" t="s">
        <v>622</v>
      </c>
      <c r="J199" s="146">
        <v>285</v>
      </c>
      <c r="K199" s="145" t="s">
        <v>338</v>
      </c>
      <c r="L199" s="145" t="s">
        <v>635</v>
      </c>
      <c r="M199" s="145" t="s">
        <v>338</v>
      </c>
      <c r="N199" s="145" t="s">
        <v>338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338</v>
      </c>
      <c r="T199" s="145" t="s">
        <v>505</v>
      </c>
      <c r="U199" s="145" t="s">
        <v>338</v>
      </c>
      <c r="V199" s="145" t="s">
        <v>505</v>
      </c>
      <c r="W199" s="145" t="s">
        <v>338</v>
      </c>
      <c r="X199" s="145" t="s">
        <v>338</v>
      </c>
      <c r="Y199" s="145" t="s">
        <v>338</v>
      </c>
      <c r="Z199" s="145" t="s">
        <v>595</v>
      </c>
      <c r="AA199" s="145" t="s">
        <v>669</v>
      </c>
      <c r="AB199" s="145" t="s">
        <v>637</v>
      </c>
      <c r="AC199" s="145" t="s">
        <v>638</v>
      </c>
      <c r="AD199" s="145" t="s">
        <v>523</v>
      </c>
      <c r="AE199" s="145" t="s">
        <v>505</v>
      </c>
      <c r="AF199" s="145" t="s">
        <v>505</v>
      </c>
    </row>
    <row r="200" spans="1:32">
      <c r="A200" s="145" t="s">
        <v>840</v>
      </c>
      <c r="B200" s="145" t="s">
        <v>562</v>
      </c>
      <c r="C200" s="145" t="s">
        <v>678</v>
      </c>
      <c r="D200" s="145" t="s">
        <v>679</v>
      </c>
      <c r="E200" s="145" t="s">
        <v>338</v>
      </c>
      <c r="F200" s="145" t="s">
        <v>338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338</v>
      </c>
      <c r="L200" s="145" t="s">
        <v>635</v>
      </c>
      <c r="M200" s="145" t="s">
        <v>338</v>
      </c>
      <c r="N200" s="145" t="s">
        <v>338</v>
      </c>
      <c r="O200" s="146">
        <v>3340</v>
      </c>
      <c r="P200" s="145" t="s">
        <v>338</v>
      </c>
      <c r="Q200" s="146">
        <v>640</v>
      </c>
      <c r="R200" s="146">
        <v>2700</v>
      </c>
      <c r="S200" s="145" t="s">
        <v>338</v>
      </c>
      <c r="T200" s="145" t="s">
        <v>505</v>
      </c>
      <c r="U200" s="145" t="s">
        <v>338</v>
      </c>
      <c r="V200" s="145" t="s">
        <v>505</v>
      </c>
      <c r="W200" s="145" t="s">
        <v>513</v>
      </c>
      <c r="X200" s="145" t="s">
        <v>530</v>
      </c>
      <c r="Y200" s="145" t="s">
        <v>338</v>
      </c>
      <c r="Z200" s="145" t="s">
        <v>595</v>
      </c>
      <c r="AA200" s="145" t="s">
        <v>705</v>
      </c>
      <c r="AB200" s="145" t="s">
        <v>681</v>
      </c>
      <c r="AC200" s="145" t="s">
        <v>638</v>
      </c>
      <c r="AD200" s="145" t="s">
        <v>511</v>
      </c>
      <c r="AE200" s="145" t="s">
        <v>505</v>
      </c>
      <c r="AF200" s="145" t="s">
        <v>504</v>
      </c>
    </row>
    <row r="201" spans="1:32">
      <c r="A201" s="145" t="s">
        <v>841</v>
      </c>
      <c r="B201" s="145" t="s">
        <v>19</v>
      </c>
      <c r="C201" s="145" t="s">
        <v>498</v>
      </c>
      <c r="D201" s="145" t="s">
        <v>499</v>
      </c>
      <c r="E201" s="145" t="s">
        <v>338</v>
      </c>
      <c r="F201" s="145" t="s">
        <v>587</v>
      </c>
      <c r="G201" s="145" t="s">
        <v>247</v>
      </c>
      <c r="H201" s="145">
        <v>2</v>
      </c>
      <c r="I201" s="145" t="s">
        <v>338</v>
      </c>
      <c r="J201" s="146">
        <v>1662.5</v>
      </c>
      <c r="K201" s="145">
        <v>15</v>
      </c>
      <c r="L201" s="145" t="s">
        <v>502</v>
      </c>
      <c r="M201" s="145">
        <v>15</v>
      </c>
      <c r="N201" s="145" t="s">
        <v>503</v>
      </c>
      <c r="O201" s="146">
        <v>3325</v>
      </c>
      <c r="P201" s="146">
        <v>965</v>
      </c>
      <c r="Q201" s="145" t="s">
        <v>338</v>
      </c>
      <c r="R201" s="146">
        <v>3325</v>
      </c>
      <c r="S201" s="147">
        <v>18.472222222222221</v>
      </c>
      <c r="T201" s="145" t="s">
        <v>505</v>
      </c>
      <c r="U201" s="145" t="s">
        <v>338</v>
      </c>
      <c r="V201" s="145" t="s">
        <v>505</v>
      </c>
      <c r="W201" s="145" t="s">
        <v>842</v>
      </c>
      <c r="X201" s="145" t="s">
        <v>525</v>
      </c>
      <c r="Y201" s="145" t="s">
        <v>338</v>
      </c>
      <c r="Z201" s="145" t="s">
        <v>507</v>
      </c>
      <c r="AA201" s="145" t="s">
        <v>715</v>
      </c>
      <c r="AB201" s="145" t="s">
        <v>652</v>
      </c>
      <c r="AC201" s="145" t="s">
        <v>566</v>
      </c>
      <c r="AD201" s="145" t="s">
        <v>716</v>
      </c>
      <c r="AE201" s="145" t="s">
        <v>505</v>
      </c>
      <c r="AF201" s="145" t="s">
        <v>338</v>
      </c>
    </row>
    <row r="202" spans="1:32">
      <c r="A202" s="145" t="s">
        <v>843</v>
      </c>
      <c r="B202" s="145" t="s">
        <v>497</v>
      </c>
      <c r="C202" s="145" t="s">
        <v>498</v>
      </c>
      <c r="D202" s="145" t="s">
        <v>499</v>
      </c>
      <c r="E202" s="145" t="s">
        <v>616</v>
      </c>
      <c r="F202" s="145" t="s">
        <v>587</v>
      </c>
      <c r="G202" s="145" t="s">
        <v>243</v>
      </c>
      <c r="H202" s="145">
        <v>6</v>
      </c>
      <c r="I202" s="145" t="s">
        <v>338</v>
      </c>
      <c r="J202" s="146">
        <v>585.33333333333337</v>
      </c>
      <c r="K202" s="145">
        <v>10</v>
      </c>
      <c r="L202" s="145" t="s">
        <v>502</v>
      </c>
      <c r="M202" s="145">
        <v>10</v>
      </c>
      <c r="N202" s="145" t="s">
        <v>503</v>
      </c>
      <c r="O202" s="146">
        <v>3278</v>
      </c>
      <c r="P202" s="146">
        <v>606</v>
      </c>
      <c r="Q202" s="145" t="s">
        <v>338</v>
      </c>
      <c r="R202" s="146">
        <v>3278</v>
      </c>
      <c r="S202" s="147">
        <v>27.31666666666667</v>
      </c>
      <c r="T202" s="145" t="s">
        <v>505</v>
      </c>
      <c r="U202" s="145" t="s">
        <v>338</v>
      </c>
      <c r="V202" s="145" t="s">
        <v>505</v>
      </c>
      <c r="W202" s="145" t="s">
        <v>506</v>
      </c>
      <c r="X202" s="145" t="s">
        <v>530</v>
      </c>
      <c r="Y202" s="145" t="s">
        <v>338</v>
      </c>
      <c r="Z202" s="145" t="s">
        <v>507</v>
      </c>
      <c r="AA202" s="145" t="s">
        <v>521</v>
      </c>
      <c r="AB202" s="145" t="s">
        <v>522</v>
      </c>
      <c r="AC202" s="145" t="s">
        <v>510</v>
      </c>
      <c r="AD202" s="145" t="s">
        <v>523</v>
      </c>
      <c r="AE202" s="145" t="s">
        <v>504</v>
      </c>
      <c r="AF202" s="145" t="s">
        <v>338</v>
      </c>
    </row>
    <row r="203" spans="1:32">
      <c r="A203" s="145" t="s">
        <v>844</v>
      </c>
      <c r="B203" s="145" t="s">
        <v>562</v>
      </c>
      <c r="C203" s="145" t="s">
        <v>632</v>
      </c>
      <c r="D203" s="145" t="s">
        <v>845</v>
      </c>
      <c r="E203" s="145" t="s">
        <v>338</v>
      </c>
      <c r="F203" s="145" t="s">
        <v>338</v>
      </c>
      <c r="G203" s="145" t="s">
        <v>634</v>
      </c>
      <c r="H203" s="145">
        <v>63</v>
      </c>
      <c r="I203" s="145" t="s">
        <v>622</v>
      </c>
      <c r="J203" s="146">
        <v>285</v>
      </c>
      <c r="K203" s="145" t="s">
        <v>338</v>
      </c>
      <c r="L203" s="145" t="s">
        <v>635</v>
      </c>
      <c r="M203" s="145" t="s">
        <v>338</v>
      </c>
      <c r="N203" s="145" t="s">
        <v>338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338</v>
      </c>
      <c r="T203" s="145" t="s">
        <v>505</v>
      </c>
      <c r="U203" s="145" t="s">
        <v>338</v>
      </c>
      <c r="V203" s="145" t="s">
        <v>505</v>
      </c>
      <c r="W203" s="145" t="s">
        <v>338</v>
      </c>
      <c r="X203" s="145" t="s">
        <v>338</v>
      </c>
      <c r="Y203" s="145" t="s">
        <v>338</v>
      </c>
      <c r="Z203" s="145" t="s">
        <v>595</v>
      </c>
      <c r="AA203" s="145" t="s">
        <v>636</v>
      </c>
      <c r="AB203" s="145" t="s">
        <v>637</v>
      </c>
      <c r="AC203" s="145" t="s">
        <v>638</v>
      </c>
      <c r="AD203" s="145" t="s">
        <v>523</v>
      </c>
      <c r="AE203" s="145" t="s">
        <v>505</v>
      </c>
      <c r="AF203" s="145" t="s">
        <v>505</v>
      </c>
    </row>
    <row r="204" spans="1:32">
      <c r="A204" s="145" t="s">
        <v>846</v>
      </c>
      <c r="B204" s="145" t="s">
        <v>497</v>
      </c>
      <c r="C204" s="145" t="s">
        <v>498</v>
      </c>
      <c r="D204" s="145" t="s">
        <v>499</v>
      </c>
      <c r="E204" s="145" t="s">
        <v>500</v>
      </c>
      <c r="F204" s="145" t="s">
        <v>501</v>
      </c>
      <c r="G204" s="145" t="s">
        <v>210</v>
      </c>
      <c r="H204" s="145">
        <v>9</v>
      </c>
      <c r="I204" s="145" t="s">
        <v>338</v>
      </c>
      <c r="J204" s="146">
        <v>400</v>
      </c>
      <c r="K204" s="145">
        <v>4</v>
      </c>
      <c r="L204" s="145" t="s">
        <v>555</v>
      </c>
      <c r="M204" s="145" t="s">
        <v>338</v>
      </c>
      <c r="N204" s="145" t="s">
        <v>338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505</v>
      </c>
      <c r="U204" s="145" t="s">
        <v>338</v>
      </c>
      <c r="V204" s="145" t="s">
        <v>505</v>
      </c>
      <c r="W204" s="145" t="s">
        <v>506</v>
      </c>
      <c r="X204" s="145" t="s">
        <v>530</v>
      </c>
      <c r="Y204" s="145" t="s">
        <v>338</v>
      </c>
      <c r="Z204" s="145" t="s">
        <v>507</v>
      </c>
      <c r="AA204" s="145" t="s">
        <v>643</v>
      </c>
      <c r="AB204" s="145" t="s">
        <v>546</v>
      </c>
      <c r="AC204" s="145" t="s">
        <v>533</v>
      </c>
      <c r="AD204" s="145" t="s">
        <v>523</v>
      </c>
      <c r="AE204" s="145" t="s">
        <v>504</v>
      </c>
      <c r="AF204" s="145" t="s">
        <v>338</v>
      </c>
    </row>
    <row r="205" spans="1:32">
      <c r="A205" s="145" t="s">
        <v>847</v>
      </c>
      <c r="B205" s="145" t="s">
        <v>497</v>
      </c>
      <c r="C205" s="145" t="s">
        <v>498</v>
      </c>
      <c r="D205" s="145" t="s">
        <v>499</v>
      </c>
      <c r="E205" s="145" t="s">
        <v>607</v>
      </c>
      <c r="F205" s="145" t="s">
        <v>594</v>
      </c>
      <c r="G205" s="145" t="s">
        <v>209</v>
      </c>
      <c r="H205" s="145">
        <v>10</v>
      </c>
      <c r="I205" s="145" t="s">
        <v>338</v>
      </c>
      <c r="J205" s="146">
        <v>350</v>
      </c>
      <c r="K205" s="145">
        <v>10</v>
      </c>
      <c r="L205" s="145" t="s">
        <v>555</v>
      </c>
      <c r="M205" s="145" t="s">
        <v>338</v>
      </c>
      <c r="N205" s="145" t="s">
        <v>338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505</v>
      </c>
      <c r="U205" s="145" t="s">
        <v>338</v>
      </c>
      <c r="V205" s="145" t="s">
        <v>505</v>
      </c>
      <c r="W205" s="145" t="s">
        <v>506</v>
      </c>
      <c r="X205" s="145" t="s">
        <v>514</v>
      </c>
      <c r="Y205" s="145" t="s">
        <v>338</v>
      </c>
      <c r="Z205" s="145" t="s">
        <v>507</v>
      </c>
      <c r="AA205" s="145" t="s">
        <v>556</v>
      </c>
      <c r="AB205" s="145" t="s">
        <v>557</v>
      </c>
      <c r="AC205" s="145" t="s">
        <v>510</v>
      </c>
      <c r="AD205" s="145" t="s">
        <v>558</v>
      </c>
      <c r="AE205" s="145" t="s">
        <v>504</v>
      </c>
      <c r="AF205" s="145" t="s">
        <v>338</v>
      </c>
    </row>
    <row r="206" spans="1:32">
      <c r="A206" s="145" t="s">
        <v>848</v>
      </c>
      <c r="B206" s="145" t="s">
        <v>497</v>
      </c>
      <c r="C206" s="145" t="s">
        <v>498</v>
      </c>
      <c r="D206" s="145" t="s">
        <v>499</v>
      </c>
      <c r="E206" s="145" t="s">
        <v>607</v>
      </c>
      <c r="F206" s="145" t="s">
        <v>594</v>
      </c>
      <c r="G206" s="145" t="s">
        <v>242</v>
      </c>
      <c r="H206" s="145">
        <v>7</v>
      </c>
      <c r="I206" s="145" t="s">
        <v>338</v>
      </c>
      <c r="J206" s="146">
        <v>420</v>
      </c>
      <c r="K206" s="145">
        <v>12</v>
      </c>
      <c r="L206" s="145" t="s">
        <v>555</v>
      </c>
      <c r="M206" s="145">
        <v>12</v>
      </c>
      <c r="N206" s="145" t="s">
        <v>579</v>
      </c>
      <c r="O206" s="146">
        <v>3220</v>
      </c>
      <c r="P206" s="146">
        <v>420</v>
      </c>
      <c r="Q206" s="145" t="s">
        <v>338</v>
      </c>
      <c r="R206" s="146">
        <v>3220</v>
      </c>
      <c r="S206" s="147">
        <v>22.361111111111111</v>
      </c>
      <c r="T206" s="145" t="s">
        <v>505</v>
      </c>
      <c r="U206" s="145" t="s">
        <v>338</v>
      </c>
      <c r="V206" s="145" t="s">
        <v>505</v>
      </c>
      <c r="W206" s="145" t="s">
        <v>506</v>
      </c>
      <c r="X206" s="145" t="s">
        <v>514</v>
      </c>
      <c r="Y206" s="145" t="s">
        <v>338</v>
      </c>
      <c r="Z206" s="145" t="s">
        <v>507</v>
      </c>
      <c r="AA206" s="145" t="s">
        <v>664</v>
      </c>
      <c r="AB206" s="145" t="s">
        <v>665</v>
      </c>
      <c r="AC206" s="145" t="s">
        <v>517</v>
      </c>
      <c r="AD206" s="145" t="s">
        <v>558</v>
      </c>
      <c r="AE206" s="145" t="s">
        <v>504</v>
      </c>
      <c r="AF206" s="145" t="s">
        <v>338</v>
      </c>
    </row>
    <row r="207" spans="1:32">
      <c r="A207" s="145" t="s">
        <v>849</v>
      </c>
      <c r="B207" s="145" t="s">
        <v>562</v>
      </c>
      <c r="C207" s="145" t="s">
        <v>498</v>
      </c>
      <c r="D207" s="145" t="s">
        <v>499</v>
      </c>
      <c r="E207" s="145" t="s">
        <v>616</v>
      </c>
      <c r="F207" s="145" t="s">
        <v>587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563</v>
      </c>
      <c r="M207" s="145" t="s">
        <v>338</v>
      </c>
      <c r="N207" s="145" t="s">
        <v>338</v>
      </c>
      <c r="O207" s="146">
        <v>3123</v>
      </c>
      <c r="P207" s="145" t="s">
        <v>338</v>
      </c>
      <c r="Q207" s="146">
        <v>973</v>
      </c>
      <c r="R207" s="146">
        <v>2150</v>
      </c>
      <c r="S207" s="147">
        <v>28.916666666666668</v>
      </c>
      <c r="T207" s="145" t="s">
        <v>505</v>
      </c>
      <c r="U207" s="145" t="s">
        <v>338</v>
      </c>
      <c r="V207" s="145" t="s">
        <v>505</v>
      </c>
      <c r="W207" s="145" t="s">
        <v>842</v>
      </c>
      <c r="X207" s="145" t="s">
        <v>338</v>
      </c>
      <c r="Y207" s="145" t="s">
        <v>338</v>
      </c>
      <c r="Z207" s="145" t="s">
        <v>507</v>
      </c>
      <c r="AA207" s="145" t="s">
        <v>553</v>
      </c>
      <c r="AB207" s="145" t="s">
        <v>536</v>
      </c>
      <c r="AC207" s="145" t="s">
        <v>566</v>
      </c>
      <c r="AD207" s="145" t="s">
        <v>518</v>
      </c>
      <c r="AE207" s="145" t="s">
        <v>505</v>
      </c>
      <c r="AF207" s="145" t="s">
        <v>504</v>
      </c>
    </row>
    <row r="208" spans="1:32">
      <c r="A208" s="145" t="s">
        <v>850</v>
      </c>
      <c r="B208" s="145" t="s">
        <v>562</v>
      </c>
      <c r="C208" s="145" t="s">
        <v>498</v>
      </c>
      <c r="D208" s="145" t="s">
        <v>499</v>
      </c>
      <c r="E208" s="145" t="s">
        <v>616</v>
      </c>
      <c r="F208" s="145" t="s">
        <v>587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563</v>
      </c>
      <c r="M208" s="145" t="s">
        <v>338</v>
      </c>
      <c r="N208" s="145" t="s">
        <v>338</v>
      </c>
      <c r="O208" s="146">
        <v>3035</v>
      </c>
      <c r="P208" s="145" t="s">
        <v>338</v>
      </c>
      <c r="Q208" s="145" t="s">
        <v>338</v>
      </c>
      <c r="R208" s="146">
        <v>3035</v>
      </c>
      <c r="S208" s="147">
        <v>31.614583333333332</v>
      </c>
      <c r="T208" s="145" t="s">
        <v>505</v>
      </c>
      <c r="U208" s="145" t="s">
        <v>338</v>
      </c>
      <c r="V208" s="145" t="s">
        <v>505</v>
      </c>
      <c r="W208" s="145" t="s">
        <v>338</v>
      </c>
      <c r="X208" s="145" t="s">
        <v>338</v>
      </c>
      <c r="Y208" s="145" t="s">
        <v>338</v>
      </c>
      <c r="Z208" s="145" t="s">
        <v>338</v>
      </c>
      <c r="AA208" s="145" t="s">
        <v>851</v>
      </c>
      <c r="AB208" s="145" t="s">
        <v>852</v>
      </c>
      <c r="AC208" s="145" t="s">
        <v>338</v>
      </c>
      <c r="AD208" s="145" t="s">
        <v>338</v>
      </c>
      <c r="AE208" s="145" t="s">
        <v>505</v>
      </c>
      <c r="AF208" s="145" t="s">
        <v>504</v>
      </c>
    </row>
    <row r="209" spans="1:32">
      <c r="A209" s="145" t="s">
        <v>853</v>
      </c>
      <c r="B209" s="145" t="s">
        <v>562</v>
      </c>
      <c r="C209" s="145" t="s">
        <v>657</v>
      </c>
      <c r="D209" s="145" t="s">
        <v>338</v>
      </c>
      <c r="E209" s="145" t="s">
        <v>338</v>
      </c>
      <c r="F209" s="145" t="s">
        <v>338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338</v>
      </c>
      <c r="L209" s="145" t="s">
        <v>635</v>
      </c>
      <c r="M209" s="145" t="s">
        <v>338</v>
      </c>
      <c r="N209" s="145" t="s">
        <v>338</v>
      </c>
      <c r="O209" s="146">
        <v>2982.5</v>
      </c>
      <c r="P209" s="145" t="s">
        <v>338</v>
      </c>
      <c r="Q209" s="146">
        <v>4737.5</v>
      </c>
      <c r="R209" s="146">
        <v>90</v>
      </c>
      <c r="S209" s="145" t="s">
        <v>338</v>
      </c>
      <c r="T209" s="145" t="s">
        <v>338</v>
      </c>
      <c r="U209" s="145" t="s">
        <v>338</v>
      </c>
      <c r="V209" s="145" t="s">
        <v>338</v>
      </c>
      <c r="W209" s="145" t="s">
        <v>338</v>
      </c>
      <c r="X209" s="145" t="s">
        <v>338</v>
      </c>
      <c r="Y209" s="145" t="s">
        <v>338</v>
      </c>
      <c r="Z209" s="145" t="s">
        <v>338</v>
      </c>
      <c r="AA209" s="145" t="s">
        <v>338</v>
      </c>
      <c r="AB209" s="145" t="s">
        <v>338</v>
      </c>
      <c r="AC209" s="145" t="s">
        <v>338</v>
      </c>
      <c r="AD209" s="145" t="s">
        <v>338</v>
      </c>
      <c r="AE209" s="145" t="s">
        <v>338</v>
      </c>
      <c r="AF209" s="145" t="s">
        <v>504</v>
      </c>
    </row>
    <row r="210" spans="1:32">
      <c r="A210" s="145" t="s">
        <v>854</v>
      </c>
      <c r="B210" s="145" t="s">
        <v>562</v>
      </c>
      <c r="C210" s="145" t="s">
        <v>498</v>
      </c>
      <c r="D210" s="145" t="s">
        <v>499</v>
      </c>
      <c r="E210" s="145" t="s">
        <v>500</v>
      </c>
      <c r="F210" s="145" t="s">
        <v>501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563</v>
      </c>
      <c r="M210" s="145" t="s">
        <v>338</v>
      </c>
      <c r="N210" s="145" t="s">
        <v>338</v>
      </c>
      <c r="O210" s="146">
        <v>2926</v>
      </c>
      <c r="P210" s="145" t="s">
        <v>338</v>
      </c>
      <c r="Q210" s="145" t="s">
        <v>338</v>
      </c>
      <c r="R210" s="146">
        <v>2926</v>
      </c>
      <c r="S210" s="147">
        <v>48.766666666666666</v>
      </c>
      <c r="T210" s="145" t="s">
        <v>505</v>
      </c>
      <c r="U210" s="145" t="s">
        <v>338</v>
      </c>
      <c r="V210" s="145" t="s">
        <v>505</v>
      </c>
      <c r="W210" s="145" t="s">
        <v>842</v>
      </c>
      <c r="X210" s="145" t="s">
        <v>338</v>
      </c>
      <c r="Y210" s="145" t="s">
        <v>338</v>
      </c>
      <c r="Z210" s="145" t="s">
        <v>507</v>
      </c>
      <c r="AA210" s="145" t="s">
        <v>553</v>
      </c>
      <c r="AB210" s="145" t="s">
        <v>536</v>
      </c>
      <c r="AC210" s="145" t="s">
        <v>566</v>
      </c>
      <c r="AD210" s="145" t="s">
        <v>518</v>
      </c>
      <c r="AE210" s="145" t="s">
        <v>505</v>
      </c>
      <c r="AF210" s="145" t="s">
        <v>504</v>
      </c>
    </row>
    <row r="211" spans="1:32">
      <c r="A211" s="145" t="s">
        <v>855</v>
      </c>
      <c r="B211" s="145" t="s">
        <v>562</v>
      </c>
      <c r="C211" s="145" t="s">
        <v>498</v>
      </c>
      <c r="D211" s="145" t="s">
        <v>499</v>
      </c>
      <c r="E211" s="145" t="s">
        <v>338</v>
      </c>
      <c r="F211" s="145" t="s">
        <v>338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563</v>
      </c>
      <c r="M211" s="145" t="s">
        <v>338</v>
      </c>
      <c r="N211" s="145" t="s">
        <v>338</v>
      </c>
      <c r="O211" s="146">
        <v>2875</v>
      </c>
      <c r="P211" s="145" t="s">
        <v>338</v>
      </c>
      <c r="Q211" s="146">
        <v>5171</v>
      </c>
      <c r="R211" s="146">
        <v>875</v>
      </c>
      <c r="S211" s="147">
        <v>59.895833333333336</v>
      </c>
      <c r="T211" s="145" t="s">
        <v>505</v>
      </c>
      <c r="U211" s="145" t="s">
        <v>338</v>
      </c>
      <c r="V211" s="145" t="s">
        <v>505</v>
      </c>
      <c r="W211" s="145" t="s">
        <v>338</v>
      </c>
      <c r="X211" s="145" t="s">
        <v>338</v>
      </c>
      <c r="Y211" s="145" t="s">
        <v>338</v>
      </c>
      <c r="Z211" s="145" t="s">
        <v>338</v>
      </c>
      <c r="AA211" s="145" t="s">
        <v>705</v>
      </c>
      <c r="AB211" s="145" t="s">
        <v>681</v>
      </c>
      <c r="AC211" s="145" t="s">
        <v>338</v>
      </c>
      <c r="AD211" s="145" t="s">
        <v>338</v>
      </c>
      <c r="AE211" s="145" t="s">
        <v>505</v>
      </c>
      <c r="AF211" s="145" t="s">
        <v>504</v>
      </c>
    </row>
    <row r="212" spans="1:32">
      <c r="A212" s="145" t="s">
        <v>856</v>
      </c>
      <c r="B212" s="145" t="s">
        <v>497</v>
      </c>
      <c r="C212" s="145" t="s">
        <v>498</v>
      </c>
      <c r="D212" s="145" t="s">
        <v>499</v>
      </c>
      <c r="E212" s="145" t="s">
        <v>616</v>
      </c>
      <c r="F212" s="145" t="s">
        <v>587</v>
      </c>
      <c r="G212" s="145" t="s">
        <v>243</v>
      </c>
      <c r="H212" s="145">
        <v>6</v>
      </c>
      <c r="I212" s="145" t="s">
        <v>338</v>
      </c>
      <c r="J212" s="146">
        <v>420</v>
      </c>
      <c r="K212" s="145">
        <v>6</v>
      </c>
      <c r="L212" s="145" t="s">
        <v>555</v>
      </c>
      <c r="M212" s="145" t="s">
        <v>338</v>
      </c>
      <c r="N212" s="145" t="s">
        <v>338</v>
      </c>
      <c r="O212" s="146">
        <v>2794</v>
      </c>
      <c r="P212" s="146">
        <v>420</v>
      </c>
      <c r="Q212" s="145" t="s">
        <v>338</v>
      </c>
      <c r="R212" s="146">
        <v>2794</v>
      </c>
      <c r="S212" s="147">
        <v>38.805555555555557</v>
      </c>
      <c r="T212" s="145" t="s">
        <v>505</v>
      </c>
      <c r="U212" s="145" t="s">
        <v>338</v>
      </c>
      <c r="V212" s="145" t="s">
        <v>505</v>
      </c>
      <c r="W212" s="145" t="s">
        <v>506</v>
      </c>
      <c r="X212" s="145" t="s">
        <v>514</v>
      </c>
      <c r="Y212" s="145" t="s">
        <v>338</v>
      </c>
      <c r="Z212" s="145" t="s">
        <v>507</v>
      </c>
      <c r="AA212" s="145" t="s">
        <v>664</v>
      </c>
      <c r="AB212" s="145" t="s">
        <v>665</v>
      </c>
      <c r="AC212" s="145" t="s">
        <v>517</v>
      </c>
      <c r="AD212" s="145" t="s">
        <v>558</v>
      </c>
      <c r="AE212" s="145" t="s">
        <v>504</v>
      </c>
      <c r="AF212" s="145" t="s">
        <v>338</v>
      </c>
    </row>
    <row r="213" spans="1:32">
      <c r="A213" s="145" t="s">
        <v>857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338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338</v>
      </c>
      <c r="L213" s="145" t="s">
        <v>635</v>
      </c>
      <c r="M213" s="145" t="s">
        <v>338</v>
      </c>
      <c r="N213" s="145" t="s">
        <v>338</v>
      </c>
      <c r="O213" s="146">
        <v>2775</v>
      </c>
      <c r="P213" s="145" t="s">
        <v>338</v>
      </c>
      <c r="Q213" s="146">
        <v>7455</v>
      </c>
      <c r="R213" s="145" t="s">
        <v>338</v>
      </c>
      <c r="S213" s="145" t="s">
        <v>338</v>
      </c>
      <c r="T213" s="145" t="s">
        <v>338</v>
      </c>
      <c r="U213" s="145" t="s">
        <v>338</v>
      </c>
      <c r="V213" s="145" t="s">
        <v>338</v>
      </c>
      <c r="W213" s="145" t="s">
        <v>338</v>
      </c>
      <c r="X213" s="145" t="s">
        <v>338</v>
      </c>
      <c r="Y213" s="145" t="s">
        <v>338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5" t="s">
        <v>338</v>
      </c>
      <c r="AE213" s="145" t="s">
        <v>338</v>
      </c>
      <c r="AF213" s="145" t="s">
        <v>505</v>
      </c>
    </row>
    <row r="214" spans="1:32">
      <c r="A214" s="145" t="s">
        <v>858</v>
      </c>
      <c r="B214" s="145" t="s">
        <v>497</v>
      </c>
      <c r="C214" s="145" t="s">
        <v>678</v>
      </c>
      <c r="D214" s="145" t="s">
        <v>679</v>
      </c>
      <c r="E214" s="145" t="s">
        <v>338</v>
      </c>
      <c r="F214" s="145" t="s">
        <v>338</v>
      </c>
      <c r="G214" s="145" t="s">
        <v>243</v>
      </c>
      <c r="H214" s="145">
        <v>6</v>
      </c>
      <c r="I214" s="145" t="s">
        <v>338</v>
      </c>
      <c r="J214" s="146">
        <v>418</v>
      </c>
      <c r="K214" s="145">
        <v>5</v>
      </c>
      <c r="L214" s="145" t="s">
        <v>502</v>
      </c>
      <c r="M214" s="145">
        <v>5</v>
      </c>
      <c r="N214" s="145" t="s">
        <v>503</v>
      </c>
      <c r="O214" s="146">
        <v>2621</v>
      </c>
      <c r="P214" s="146">
        <v>418</v>
      </c>
      <c r="Q214" s="145" t="s">
        <v>338</v>
      </c>
      <c r="R214" s="146">
        <v>2621</v>
      </c>
      <c r="S214" s="147">
        <v>43.68333333333333</v>
      </c>
      <c r="T214" s="145" t="s">
        <v>505</v>
      </c>
      <c r="U214" s="145" t="s">
        <v>338</v>
      </c>
      <c r="V214" s="145" t="s">
        <v>505</v>
      </c>
      <c r="W214" s="145" t="s">
        <v>513</v>
      </c>
      <c r="X214" s="145" t="s">
        <v>525</v>
      </c>
      <c r="Y214" s="145" t="s">
        <v>338</v>
      </c>
      <c r="Z214" s="145" t="s">
        <v>595</v>
      </c>
      <c r="AA214" s="145" t="s">
        <v>766</v>
      </c>
      <c r="AB214" s="145" t="s">
        <v>681</v>
      </c>
      <c r="AC214" s="145" t="s">
        <v>638</v>
      </c>
      <c r="AD214" s="145" t="s">
        <v>682</v>
      </c>
      <c r="AE214" s="145" t="s">
        <v>505</v>
      </c>
      <c r="AF214" s="145" t="s">
        <v>338</v>
      </c>
    </row>
    <row r="215" spans="1:32">
      <c r="A215" s="145" t="s">
        <v>859</v>
      </c>
      <c r="B215" s="145" t="s">
        <v>562</v>
      </c>
      <c r="C215" s="145" t="s">
        <v>657</v>
      </c>
      <c r="D215" s="145" t="s">
        <v>338</v>
      </c>
      <c r="E215" s="145" t="s">
        <v>338</v>
      </c>
      <c r="F215" s="145" t="s">
        <v>338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338</v>
      </c>
      <c r="L215" s="145" t="s">
        <v>635</v>
      </c>
      <c r="M215" s="145" t="s">
        <v>338</v>
      </c>
      <c r="N215" s="145" t="s">
        <v>338</v>
      </c>
      <c r="O215" s="146">
        <v>2590</v>
      </c>
      <c r="P215" s="145" t="s">
        <v>338</v>
      </c>
      <c r="Q215" s="146">
        <v>5411.25</v>
      </c>
      <c r="R215" s="145" t="s">
        <v>338</v>
      </c>
      <c r="S215" s="145" t="s">
        <v>338</v>
      </c>
      <c r="T215" s="145" t="s">
        <v>338</v>
      </c>
      <c r="U215" s="145" t="s">
        <v>338</v>
      </c>
      <c r="V215" s="145" t="s">
        <v>338</v>
      </c>
      <c r="W215" s="145" t="s">
        <v>338</v>
      </c>
      <c r="X215" s="145" t="s">
        <v>338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5" t="s">
        <v>338</v>
      </c>
      <c r="AE215" s="145" t="s">
        <v>338</v>
      </c>
      <c r="AF215" s="145" t="s">
        <v>504</v>
      </c>
    </row>
    <row r="216" spans="1:32">
      <c r="A216" s="145" t="s">
        <v>860</v>
      </c>
      <c r="B216" s="145" t="s">
        <v>497</v>
      </c>
      <c r="C216" s="145" t="s">
        <v>498</v>
      </c>
      <c r="D216" s="145" t="s">
        <v>499</v>
      </c>
      <c r="E216" s="145" t="s">
        <v>500</v>
      </c>
      <c r="F216" s="145" t="s">
        <v>501</v>
      </c>
      <c r="G216" s="145" t="s">
        <v>245</v>
      </c>
      <c r="H216" s="145">
        <v>4</v>
      </c>
      <c r="I216" s="145" t="s">
        <v>338</v>
      </c>
      <c r="J216" s="146">
        <v>547.66666666666663</v>
      </c>
      <c r="K216" s="145">
        <v>8</v>
      </c>
      <c r="L216" s="145" t="s">
        <v>555</v>
      </c>
      <c r="M216" s="145">
        <v>6</v>
      </c>
      <c r="N216" s="145" t="s">
        <v>579</v>
      </c>
      <c r="O216" s="146">
        <v>2581</v>
      </c>
      <c r="P216" s="146">
        <v>632</v>
      </c>
      <c r="Q216" s="145" t="s">
        <v>338</v>
      </c>
      <c r="R216" s="146">
        <v>2581</v>
      </c>
      <c r="S216" s="147">
        <v>26.885416666666668</v>
      </c>
      <c r="T216" s="145" t="s">
        <v>505</v>
      </c>
      <c r="U216" s="145" t="s">
        <v>338</v>
      </c>
      <c r="V216" s="145" t="s">
        <v>504</v>
      </c>
      <c r="W216" s="145" t="s">
        <v>506</v>
      </c>
      <c r="X216" s="145" t="s">
        <v>525</v>
      </c>
      <c r="Y216" s="145" t="s">
        <v>342</v>
      </c>
      <c r="Z216" s="145" t="s">
        <v>507</v>
      </c>
      <c r="AA216" s="145" t="s">
        <v>612</v>
      </c>
      <c r="AB216" s="145" t="s">
        <v>613</v>
      </c>
      <c r="AC216" s="145" t="s">
        <v>533</v>
      </c>
      <c r="AD216" s="145" t="s">
        <v>511</v>
      </c>
      <c r="AE216" s="145" t="s">
        <v>504</v>
      </c>
      <c r="AF216" s="145" t="s">
        <v>338</v>
      </c>
    </row>
    <row r="217" spans="1:32">
      <c r="A217" s="145" t="s">
        <v>861</v>
      </c>
      <c r="B217" s="145" t="s">
        <v>19</v>
      </c>
      <c r="C217" s="145" t="s">
        <v>498</v>
      </c>
      <c r="D217" s="145" t="s">
        <v>499</v>
      </c>
      <c r="E217" s="145" t="s">
        <v>338</v>
      </c>
      <c r="F217" s="145" t="s">
        <v>594</v>
      </c>
      <c r="G217" s="145" t="s">
        <v>248</v>
      </c>
      <c r="H217" s="145">
        <v>1</v>
      </c>
      <c r="I217" s="145" t="s">
        <v>338</v>
      </c>
      <c r="J217" s="146">
        <v>2460</v>
      </c>
      <c r="K217" s="145">
        <v>41</v>
      </c>
      <c r="L217" s="145" t="s">
        <v>555</v>
      </c>
      <c r="M217" s="145" t="s">
        <v>338</v>
      </c>
      <c r="N217" s="145" t="s">
        <v>338</v>
      </c>
      <c r="O217" s="146">
        <v>2460</v>
      </c>
      <c r="P217" s="146">
        <v>2460</v>
      </c>
      <c r="Q217" s="145" t="s">
        <v>338</v>
      </c>
      <c r="R217" s="146">
        <v>2460</v>
      </c>
      <c r="S217" s="147">
        <v>5</v>
      </c>
      <c r="T217" s="145" t="s">
        <v>505</v>
      </c>
      <c r="U217" s="145" t="s">
        <v>338</v>
      </c>
      <c r="V217" s="145" t="s">
        <v>505</v>
      </c>
      <c r="W217" s="145" t="s">
        <v>506</v>
      </c>
      <c r="X217" s="145" t="s">
        <v>514</v>
      </c>
      <c r="Y217" s="145" t="s">
        <v>338</v>
      </c>
      <c r="Z217" s="145" t="s">
        <v>507</v>
      </c>
      <c r="AA217" s="145" t="s">
        <v>862</v>
      </c>
      <c r="AB217" s="145" t="s">
        <v>652</v>
      </c>
      <c r="AC217" s="145" t="s">
        <v>566</v>
      </c>
      <c r="AD217" s="145" t="s">
        <v>653</v>
      </c>
      <c r="AE217" s="145" t="s">
        <v>504</v>
      </c>
      <c r="AF217" s="145" t="s">
        <v>338</v>
      </c>
    </row>
    <row r="218" spans="1:32">
      <c r="A218" s="145" t="s">
        <v>863</v>
      </c>
      <c r="B218" s="145" t="s">
        <v>562</v>
      </c>
      <c r="C218" s="145" t="s">
        <v>498</v>
      </c>
      <c r="D218" s="145" t="s">
        <v>499</v>
      </c>
      <c r="E218" s="145" t="s">
        <v>500</v>
      </c>
      <c r="F218" s="145" t="s">
        <v>501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563</v>
      </c>
      <c r="M218" s="145" t="s">
        <v>338</v>
      </c>
      <c r="N218" s="145" t="s">
        <v>338</v>
      </c>
      <c r="O218" s="146">
        <v>2360</v>
      </c>
      <c r="P218" s="145" t="s">
        <v>338</v>
      </c>
      <c r="Q218" s="145" t="s">
        <v>338</v>
      </c>
      <c r="R218" s="146">
        <v>2360</v>
      </c>
      <c r="S218" s="147">
        <v>24.583333333333332</v>
      </c>
      <c r="T218" s="145" t="s">
        <v>505</v>
      </c>
      <c r="U218" s="145" t="s">
        <v>338</v>
      </c>
      <c r="V218" s="145" t="s">
        <v>505</v>
      </c>
      <c r="W218" s="145" t="s">
        <v>514</v>
      </c>
      <c r="X218" s="145" t="s">
        <v>338</v>
      </c>
      <c r="Y218" s="145" t="s">
        <v>338</v>
      </c>
      <c r="Z218" s="145" t="s">
        <v>507</v>
      </c>
      <c r="AA218" s="145" t="s">
        <v>568</v>
      </c>
      <c r="AB218" s="145" t="s">
        <v>557</v>
      </c>
      <c r="AC218" s="145" t="s">
        <v>510</v>
      </c>
      <c r="AD218" s="145" t="s">
        <v>558</v>
      </c>
      <c r="AE218" s="145" t="s">
        <v>505</v>
      </c>
      <c r="AF218" s="145" t="s">
        <v>505</v>
      </c>
    </row>
    <row r="219" spans="1:32">
      <c r="A219" s="145" t="s">
        <v>864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338</v>
      </c>
      <c r="G219" s="145" t="s">
        <v>570</v>
      </c>
      <c r="H219" s="145">
        <v>23</v>
      </c>
      <c r="I219" s="145" t="s">
        <v>209</v>
      </c>
      <c r="J219" s="146">
        <v>1200</v>
      </c>
      <c r="K219" s="145" t="s">
        <v>338</v>
      </c>
      <c r="L219" s="145" t="s">
        <v>635</v>
      </c>
      <c r="M219" s="145" t="s">
        <v>338</v>
      </c>
      <c r="N219" s="145" t="s">
        <v>338</v>
      </c>
      <c r="O219" s="146">
        <v>2330</v>
      </c>
      <c r="P219" s="145" t="s">
        <v>338</v>
      </c>
      <c r="Q219" s="146">
        <v>10615</v>
      </c>
      <c r="R219" s="145" t="s">
        <v>338</v>
      </c>
      <c r="S219" s="145" t="s">
        <v>338</v>
      </c>
      <c r="T219" s="145" t="s">
        <v>338</v>
      </c>
      <c r="U219" s="145" t="s">
        <v>338</v>
      </c>
      <c r="V219" s="145" t="s">
        <v>338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5" t="s">
        <v>338</v>
      </c>
      <c r="AE219" s="145" t="s">
        <v>338</v>
      </c>
      <c r="AF219" s="145" t="s">
        <v>504</v>
      </c>
    </row>
    <row r="220" spans="1:32">
      <c r="A220" s="145" t="s">
        <v>865</v>
      </c>
      <c r="B220" s="145" t="s">
        <v>562</v>
      </c>
      <c r="C220" s="145" t="s">
        <v>632</v>
      </c>
      <c r="D220" s="145" t="s">
        <v>338</v>
      </c>
      <c r="E220" s="145" t="s">
        <v>338</v>
      </c>
      <c r="F220" s="145" t="s">
        <v>338</v>
      </c>
      <c r="G220" s="145" t="s">
        <v>634</v>
      </c>
      <c r="H220" s="145">
        <v>59</v>
      </c>
      <c r="I220" s="145" t="s">
        <v>245</v>
      </c>
      <c r="J220" s="146">
        <v>300</v>
      </c>
      <c r="K220" s="145" t="s">
        <v>338</v>
      </c>
      <c r="L220" s="145" t="s">
        <v>635</v>
      </c>
      <c r="M220" s="145" t="s">
        <v>338</v>
      </c>
      <c r="N220" s="145" t="s">
        <v>338</v>
      </c>
      <c r="O220" s="146">
        <v>2225</v>
      </c>
      <c r="P220" s="145" t="s">
        <v>338</v>
      </c>
      <c r="Q220" s="146">
        <v>3210</v>
      </c>
      <c r="R220" s="146">
        <v>900</v>
      </c>
      <c r="S220" s="145" t="s">
        <v>338</v>
      </c>
      <c r="T220" s="145" t="s">
        <v>505</v>
      </c>
      <c r="U220" s="145" t="s">
        <v>338</v>
      </c>
      <c r="V220" s="145" t="s">
        <v>505</v>
      </c>
      <c r="W220" s="145" t="s">
        <v>338</v>
      </c>
      <c r="X220" s="145" t="s">
        <v>338</v>
      </c>
      <c r="Y220" s="145" t="s">
        <v>338</v>
      </c>
      <c r="Z220" s="145" t="s">
        <v>338</v>
      </c>
      <c r="AA220" s="145" t="s">
        <v>669</v>
      </c>
      <c r="AB220" s="145" t="s">
        <v>637</v>
      </c>
      <c r="AC220" s="145" t="s">
        <v>338</v>
      </c>
      <c r="AD220" s="145" t="s">
        <v>338</v>
      </c>
      <c r="AE220" s="145" t="s">
        <v>505</v>
      </c>
      <c r="AF220" s="145" t="s">
        <v>504</v>
      </c>
    </row>
    <row r="221" spans="1:32">
      <c r="A221" s="145" t="s">
        <v>866</v>
      </c>
      <c r="B221" s="145" t="s">
        <v>562</v>
      </c>
      <c r="C221" s="145" t="s">
        <v>657</v>
      </c>
      <c r="D221" s="145" t="s">
        <v>338</v>
      </c>
      <c r="E221" s="145" t="s">
        <v>338</v>
      </c>
      <c r="F221" s="145" t="s">
        <v>338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338</v>
      </c>
      <c r="L221" s="145" t="s">
        <v>635</v>
      </c>
      <c r="M221" s="145" t="s">
        <v>338</v>
      </c>
      <c r="N221" s="145" t="s">
        <v>338</v>
      </c>
      <c r="O221" s="146">
        <v>2205</v>
      </c>
      <c r="P221" s="145" t="s">
        <v>338</v>
      </c>
      <c r="Q221" s="146">
        <v>3260</v>
      </c>
      <c r="R221" s="146">
        <v>375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5" t="s">
        <v>338</v>
      </c>
      <c r="AD221" s="145" t="s">
        <v>338</v>
      </c>
      <c r="AE221" s="145" t="s">
        <v>338</v>
      </c>
      <c r="AF221" s="145" t="s">
        <v>505</v>
      </c>
    </row>
    <row r="222" spans="1:32">
      <c r="A222" s="145" t="s">
        <v>867</v>
      </c>
      <c r="B222" s="145" t="s">
        <v>19</v>
      </c>
      <c r="C222" s="145" t="s">
        <v>498</v>
      </c>
      <c r="D222" s="145" t="s">
        <v>499</v>
      </c>
      <c r="E222" s="145" t="s">
        <v>338</v>
      </c>
      <c r="F222" s="145" t="s">
        <v>501</v>
      </c>
      <c r="G222" s="145" t="s">
        <v>248</v>
      </c>
      <c r="H222" s="145">
        <v>1</v>
      </c>
      <c r="I222" s="145" t="s">
        <v>338</v>
      </c>
      <c r="J222" s="146">
        <v>2198</v>
      </c>
      <c r="K222" s="145">
        <v>29</v>
      </c>
      <c r="L222" s="145" t="s">
        <v>555</v>
      </c>
      <c r="M222" s="145" t="s">
        <v>338</v>
      </c>
      <c r="N222" s="145" t="s">
        <v>338</v>
      </c>
      <c r="O222" s="146">
        <v>2198</v>
      </c>
      <c r="P222" s="146">
        <v>2198</v>
      </c>
      <c r="Q222" s="145" t="s">
        <v>338</v>
      </c>
      <c r="R222" s="146">
        <v>2198</v>
      </c>
      <c r="S222" s="147">
        <v>6.3160919540229878</v>
      </c>
      <c r="T222" s="145" t="s">
        <v>504</v>
      </c>
      <c r="U222" s="145" t="s">
        <v>338</v>
      </c>
      <c r="V222" s="145" t="s">
        <v>505</v>
      </c>
      <c r="W222" s="145" t="s">
        <v>506</v>
      </c>
      <c r="X222" s="145" t="s">
        <v>514</v>
      </c>
      <c r="Y222" s="145" t="s">
        <v>338</v>
      </c>
      <c r="Z222" s="145" t="s">
        <v>507</v>
      </c>
      <c r="AA222" s="145" t="s">
        <v>651</v>
      </c>
      <c r="AB222" s="145" t="s">
        <v>652</v>
      </c>
      <c r="AC222" s="145" t="s">
        <v>566</v>
      </c>
      <c r="AD222" s="145" t="s">
        <v>653</v>
      </c>
      <c r="AE222" s="145" t="s">
        <v>504</v>
      </c>
      <c r="AF222" s="145" t="s">
        <v>338</v>
      </c>
    </row>
    <row r="223" spans="1:32">
      <c r="A223" s="145" t="s">
        <v>868</v>
      </c>
      <c r="B223" s="145" t="s">
        <v>562</v>
      </c>
      <c r="C223" s="145" t="s">
        <v>498</v>
      </c>
      <c r="D223" s="145" t="s">
        <v>499</v>
      </c>
      <c r="E223" s="145" t="s">
        <v>338</v>
      </c>
      <c r="F223" s="145" t="s">
        <v>587</v>
      </c>
      <c r="G223" s="145" t="s">
        <v>246</v>
      </c>
      <c r="H223" s="145">
        <v>3</v>
      </c>
      <c r="I223" s="145" t="s">
        <v>338</v>
      </c>
      <c r="J223" s="146">
        <v>1097</v>
      </c>
      <c r="K223" s="145">
        <v>20</v>
      </c>
      <c r="L223" s="145" t="s">
        <v>502</v>
      </c>
      <c r="M223" s="145">
        <v>20</v>
      </c>
      <c r="N223" s="145" t="s">
        <v>503</v>
      </c>
      <c r="O223" s="146">
        <v>2194</v>
      </c>
      <c r="P223" s="146">
        <v>1097</v>
      </c>
      <c r="Q223" s="145" t="s">
        <v>338</v>
      </c>
      <c r="R223" s="146">
        <v>2194</v>
      </c>
      <c r="S223" s="147">
        <v>9.1416666666666675</v>
      </c>
      <c r="T223" s="145" t="s">
        <v>505</v>
      </c>
      <c r="U223" s="145" t="s">
        <v>338</v>
      </c>
      <c r="V223" s="145" t="s">
        <v>505</v>
      </c>
      <c r="W223" s="145" t="s">
        <v>842</v>
      </c>
      <c r="X223" s="145" t="s">
        <v>514</v>
      </c>
      <c r="Y223" s="145" t="s">
        <v>338</v>
      </c>
      <c r="Z223" s="145" t="s">
        <v>507</v>
      </c>
      <c r="AA223" s="145" t="s">
        <v>715</v>
      </c>
      <c r="AB223" s="145" t="s">
        <v>652</v>
      </c>
      <c r="AC223" s="145" t="s">
        <v>566</v>
      </c>
      <c r="AD223" s="145" t="s">
        <v>716</v>
      </c>
      <c r="AE223" s="145" t="s">
        <v>505</v>
      </c>
      <c r="AF223" s="145" t="s">
        <v>338</v>
      </c>
    </row>
    <row r="224" spans="1:32">
      <c r="A224" s="145" t="s">
        <v>869</v>
      </c>
      <c r="B224" s="145" t="s">
        <v>562</v>
      </c>
      <c r="C224" s="145" t="s">
        <v>657</v>
      </c>
      <c r="D224" s="145" t="s">
        <v>338</v>
      </c>
      <c r="E224" s="145" t="s">
        <v>338</v>
      </c>
      <c r="F224" s="145" t="s">
        <v>338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338</v>
      </c>
      <c r="L224" s="145" t="s">
        <v>635</v>
      </c>
      <c r="M224" s="145" t="s">
        <v>338</v>
      </c>
      <c r="N224" s="145" t="s">
        <v>338</v>
      </c>
      <c r="O224" s="146">
        <v>2185</v>
      </c>
      <c r="P224" s="145" t="s">
        <v>338</v>
      </c>
      <c r="Q224" s="146">
        <v>3508.75</v>
      </c>
      <c r="R224" s="146">
        <v>60</v>
      </c>
      <c r="S224" s="145" t="s">
        <v>338</v>
      </c>
      <c r="T224" s="145" t="s">
        <v>338</v>
      </c>
      <c r="U224" s="145" t="s">
        <v>338</v>
      </c>
      <c r="V224" s="145" t="s">
        <v>338</v>
      </c>
      <c r="W224" s="145" t="s">
        <v>338</v>
      </c>
      <c r="X224" s="145" t="s">
        <v>338</v>
      </c>
      <c r="Y224" s="145" t="s">
        <v>338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5" t="s">
        <v>338</v>
      </c>
      <c r="AE224" s="145" t="s">
        <v>338</v>
      </c>
      <c r="AF224" s="145" t="s">
        <v>504</v>
      </c>
    </row>
    <row r="225" spans="1:32">
      <c r="A225" s="145" t="s">
        <v>870</v>
      </c>
      <c r="B225" s="145" t="s">
        <v>497</v>
      </c>
      <c r="C225" s="145" t="s">
        <v>678</v>
      </c>
      <c r="D225" s="145" t="s">
        <v>679</v>
      </c>
      <c r="E225" s="145" t="s">
        <v>338</v>
      </c>
      <c r="F225" s="145" t="s">
        <v>338</v>
      </c>
      <c r="G225" s="145" t="s">
        <v>242</v>
      </c>
      <c r="H225" s="145">
        <v>7</v>
      </c>
      <c r="I225" s="145" t="s">
        <v>338</v>
      </c>
      <c r="J225" s="146">
        <v>300</v>
      </c>
      <c r="K225" s="145">
        <v>5</v>
      </c>
      <c r="L225" s="145" t="s">
        <v>502</v>
      </c>
      <c r="M225" s="145">
        <v>5</v>
      </c>
      <c r="N225" s="145" t="s">
        <v>503</v>
      </c>
      <c r="O225" s="146">
        <v>2165</v>
      </c>
      <c r="P225" s="146">
        <v>300</v>
      </c>
      <c r="Q225" s="145" t="s">
        <v>338</v>
      </c>
      <c r="R225" s="146">
        <v>2165</v>
      </c>
      <c r="S225" s="147">
        <v>36.083333333333329</v>
      </c>
      <c r="T225" s="145" t="s">
        <v>504</v>
      </c>
      <c r="U225" s="145" t="s">
        <v>338</v>
      </c>
      <c r="V225" s="145" t="s">
        <v>505</v>
      </c>
      <c r="W225" s="145" t="s">
        <v>513</v>
      </c>
      <c r="X225" s="145" t="s">
        <v>338</v>
      </c>
      <c r="Y225" s="145" t="s">
        <v>354</v>
      </c>
      <c r="Z225" s="145" t="s">
        <v>595</v>
      </c>
      <c r="AA225" s="145" t="s">
        <v>766</v>
      </c>
      <c r="AB225" s="145" t="s">
        <v>681</v>
      </c>
      <c r="AC225" s="145" t="s">
        <v>638</v>
      </c>
      <c r="AD225" s="145" t="s">
        <v>682</v>
      </c>
      <c r="AE225" s="145" t="s">
        <v>505</v>
      </c>
      <c r="AF225" s="145" t="s">
        <v>338</v>
      </c>
    </row>
    <row r="226" spans="1:32">
      <c r="A226" s="145" t="s">
        <v>871</v>
      </c>
      <c r="B226" s="145" t="s">
        <v>562</v>
      </c>
      <c r="C226" s="145" t="s">
        <v>872</v>
      </c>
      <c r="D226" s="145" t="s">
        <v>338</v>
      </c>
      <c r="E226" s="145" t="s">
        <v>338</v>
      </c>
      <c r="F226" s="145" t="s">
        <v>338</v>
      </c>
      <c r="G226" s="145" t="s">
        <v>873</v>
      </c>
      <c r="H226" s="145">
        <v>54</v>
      </c>
      <c r="I226" s="145" t="s">
        <v>244</v>
      </c>
      <c r="J226" s="146">
        <v>305</v>
      </c>
      <c r="K226" s="145" t="s">
        <v>338</v>
      </c>
      <c r="L226" s="145" t="s">
        <v>635</v>
      </c>
      <c r="M226" s="145" t="s">
        <v>338</v>
      </c>
      <c r="N226" s="145" t="s">
        <v>338</v>
      </c>
      <c r="O226" s="146">
        <v>2125</v>
      </c>
      <c r="P226" s="145" t="s">
        <v>338</v>
      </c>
      <c r="Q226" s="146">
        <v>3595</v>
      </c>
      <c r="R226" s="146">
        <v>610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5" t="s">
        <v>338</v>
      </c>
      <c r="AD226" s="145" t="s">
        <v>338</v>
      </c>
      <c r="AE226" s="145" t="s">
        <v>338</v>
      </c>
      <c r="AF226" s="145" t="s">
        <v>504</v>
      </c>
    </row>
    <row r="227" spans="1:32">
      <c r="A227" s="145" t="s">
        <v>874</v>
      </c>
      <c r="B227" s="145" t="s">
        <v>562</v>
      </c>
      <c r="C227" s="145" t="s">
        <v>872</v>
      </c>
      <c r="D227" s="145" t="s">
        <v>338</v>
      </c>
      <c r="E227" s="145" t="s">
        <v>338</v>
      </c>
      <c r="F227" s="145" t="s">
        <v>338</v>
      </c>
      <c r="G227" s="145" t="s">
        <v>732</v>
      </c>
      <c r="H227" s="145">
        <v>46</v>
      </c>
      <c r="I227" s="145" t="s">
        <v>243</v>
      </c>
      <c r="J227" s="146">
        <v>350</v>
      </c>
      <c r="K227" s="145" t="s">
        <v>338</v>
      </c>
      <c r="L227" s="145" t="s">
        <v>635</v>
      </c>
      <c r="M227" s="145" t="s">
        <v>338</v>
      </c>
      <c r="N227" s="145" t="s">
        <v>338</v>
      </c>
      <c r="O227" s="146">
        <v>2100</v>
      </c>
      <c r="P227" s="145" t="s">
        <v>338</v>
      </c>
      <c r="Q227" s="146">
        <v>4155</v>
      </c>
      <c r="R227" s="146">
        <v>350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5" t="s">
        <v>338</v>
      </c>
      <c r="AB227" s="145" t="s">
        <v>338</v>
      </c>
      <c r="AC227" s="145" t="s">
        <v>338</v>
      </c>
      <c r="AD227" s="145" t="s">
        <v>338</v>
      </c>
      <c r="AE227" s="145" t="s">
        <v>338</v>
      </c>
      <c r="AF227" s="145" t="s">
        <v>504</v>
      </c>
    </row>
    <row r="228" spans="1:32">
      <c r="A228" s="145" t="s">
        <v>875</v>
      </c>
      <c r="B228" s="145" t="s">
        <v>562</v>
      </c>
      <c r="C228" s="145" t="s">
        <v>498</v>
      </c>
      <c r="D228" s="145" t="s">
        <v>499</v>
      </c>
      <c r="E228" s="145" t="s">
        <v>500</v>
      </c>
      <c r="F228" s="145" t="s">
        <v>501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563</v>
      </c>
      <c r="M228" s="145" t="s">
        <v>338</v>
      </c>
      <c r="N228" s="145" t="s">
        <v>338</v>
      </c>
      <c r="O228" s="146">
        <v>2100</v>
      </c>
      <c r="P228" s="145" t="s">
        <v>338</v>
      </c>
      <c r="Q228" s="146">
        <v>3620</v>
      </c>
      <c r="R228" s="146">
        <v>-200</v>
      </c>
      <c r="S228" s="147">
        <v>43.75</v>
      </c>
      <c r="T228" s="145" t="s">
        <v>505</v>
      </c>
      <c r="U228" s="145" t="s">
        <v>338</v>
      </c>
      <c r="V228" s="145" t="s">
        <v>505</v>
      </c>
      <c r="W228" s="145" t="s">
        <v>338</v>
      </c>
      <c r="X228" s="145" t="s">
        <v>338</v>
      </c>
      <c r="Y228" s="145" t="s">
        <v>338</v>
      </c>
      <c r="Z228" s="145" t="s">
        <v>338</v>
      </c>
      <c r="AA228" s="145" t="s">
        <v>876</v>
      </c>
      <c r="AB228" s="145" t="s">
        <v>877</v>
      </c>
      <c r="AC228" s="145" t="s">
        <v>338</v>
      </c>
      <c r="AD228" s="145" t="s">
        <v>338</v>
      </c>
      <c r="AE228" s="145" t="s">
        <v>505</v>
      </c>
      <c r="AF228" s="145" t="s">
        <v>505</v>
      </c>
    </row>
    <row r="229" spans="1:32">
      <c r="A229" s="145" t="s">
        <v>878</v>
      </c>
      <c r="B229" s="145" t="s">
        <v>562</v>
      </c>
      <c r="C229" s="145" t="s">
        <v>657</v>
      </c>
      <c r="D229" s="145" t="s">
        <v>338</v>
      </c>
      <c r="E229" s="145" t="s">
        <v>338</v>
      </c>
      <c r="F229" s="145" t="s">
        <v>338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338</v>
      </c>
      <c r="L229" s="145" t="s">
        <v>635</v>
      </c>
      <c r="M229" s="145" t="s">
        <v>338</v>
      </c>
      <c r="N229" s="145" t="s">
        <v>338</v>
      </c>
      <c r="O229" s="146">
        <v>2065</v>
      </c>
      <c r="P229" s="145" t="s">
        <v>338</v>
      </c>
      <c r="Q229" s="146">
        <v>7271.25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5" t="s">
        <v>338</v>
      </c>
      <c r="X229" s="145" t="s">
        <v>338</v>
      </c>
      <c r="Y229" s="145" t="s">
        <v>338</v>
      </c>
      <c r="Z229" s="145" t="s">
        <v>338</v>
      </c>
      <c r="AA229" s="145" t="s">
        <v>338</v>
      </c>
      <c r="AB229" s="145" t="s">
        <v>338</v>
      </c>
      <c r="AC229" s="145" t="s">
        <v>338</v>
      </c>
      <c r="AD229" s="145" t="s">
        <v>338</v>
      </c>
      <c r="AE229" s="145" t="s">
        <v>338</v>
      </c>
      <c r="AF229" s="145" t="s">
        <v>505</v>
      </c>
    </row>
    <row r="230" spans="1:32">
      <c r="A230" s="145" t="s">
        <v>879</v>
      </c>
      <c r="B230" s="145" t="s">
        <v>497</v>
      </c>
      <c r="C230" s="145" t="s">
        <v>498</v>
      </c>
      <c r="D230" s="145" t="s">
        <v>499</v>
      </c>
      <c r="E230" s="145" t="s">
        <v>500</v>
      </c>
      <c r="F230" s="145" t="s">
        <v>501</v>
      </c>
      <c r="G230" s="145" t="s">
        <v>246</v>
      </c>
      <c r="H230" s="145">
        <v>3</v>
      </c>
      <c r="I230" s="145" t="s">
        <v>338</v>
      </c>
      <c r="J230" s="146">
        <v>680.66666666666663</v>
      </c>
      <c r="K230" s="145">
        <v>3</v>
      </c>
      <c r="L230" s="145" t="s">
        <v>502</v>
      </c>
      <c r="M230" s="145">
        <v>3</v>
      </c>
      <c r="N230" s="145" t="s">
        <v>503</v>
      </c>
      <c r="O230" s="146">
        <v>2042</v>
      </c>
      <c r="P230" s="146">
        <v>378</v>
      </c>
      <c r="Q230" s="145" t="s">
        <v>338</v>
      </c>
      <c r="R230" s="146">
        <v>2042</v>
      </c>
      <c r="S230" s="147">
        <v>56.722222222222221</v>
      </c>
      <c r="T230" s="145" t="s">
        <v>504</v>
      </c>
      <c r="U230" s="145" t="s">
        <v>338</v>
      </c>
      <c r="V230" s="145" t="s">
        <v>505</v>
      </c>
      <c r="W230" s="145" t="s">
        <v>506</v>
      </c>
      <c r="X230" s="145" t="s">
        <v>530</v>
      </c>
      <c r="Y230" s="145" t="s">
        <v>338</v>
      </c>
      <c r="Z230" s="145" t="s">
        <v>507</v>
      </c>
      <c r="AA230" s="145" t="s">
        <v>600</v>
      </c>
      <c r="AB230" s="145" t="s">
        <v>527</v>
      </c>
      <c r="AC230" s="145" t="s">
        <v>517</v>
      </c>
      <c r="AD230" s="145" t="s">
        <v>511</v>
      </c>
      <c r="AE230" s="145" t="s">
        <v>504</v>
      </c>
      <c r="AF230" s="145" t="s">
        <v>338</v>
      </c>
    </row>
    <row r="231" spans="1:32">
      <c r="A231" s="145" t="s">
        <v>880</v>
      </c>
      <c r="B231" s="145" t="s">
        <v>562</v>
      </c>
      <c r="C231" s="145" t="s">
        <v>678</v>
      </c>
      <c r="D231" s="145" t="s">
        <v>679</v>
      </c>
      <c r="E231" s="145" t="s">
        <v>338</v>
      </c>
      <c r="F231" s="145" t="s">
        <v>338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338</v>
      </c>
      <c r="L231" s="145" t="s">
        <v>635</v>
      </c>
      <c r="M231" s="145" t="s">
        <v>338</v>
      </c>
      <c r="N231" s="145" t="s">
        <v>338</v>
      </c>
      <c r="O231" s="146">
        <v>2000</v>
      </c>
      <c r="P231" s="145" t="s">
        <v>338</v>
      </c>
      <c r="Q231" s="146">
        <v>2432.5</v>
      </c>
      <c r="R231" s="146">
        <v>1000</v>
      </c>
      <c r="S231" s="145" t="s">
        <v>338</v>
      </c>
      <c r="T231" s="145" t="s">
        <v>505</v>
      </c>
      <c r="U231" s="145" t="s">
        <v>338</v>
      </c>
      <c r="V231" s="145" t="s">
        <v>505</v>
      </c>
      <c r="W231" s="145" t="s">
        <v>338</v>
      </c>
      <c r="X231" s="145" t="s">
        <v>514</v>
      </c>
      <c r="Y231" s="145" t="s">
        <v>338</v>
      </c>
      <c r="Z231" s="145" t="s">
        <v>595</v>
      </c>
      <c r="AA231" s="145" t="s">
        <v>680</v>
      </c>
      <c r="AB231" s="145" t="s">
        <v>681</v>
      </c>
      <c r="AC231" s="145" t="s">
        <v>638</v>
      </c>
      <c r="AD231" s="145" t="s">
        <v>511</v>
      </c>
      <c r="AE231" s="145" t="s">
        <v>505</v>
      </c>
      <c r="AF231" s="145" t="s">
        <v>504</v>
      </c>
    </row>
    <row r="232" spans="1:32">
      <c r="A232" s="145" t="s">
        <v>881</v>
      </c>
      <c r="B232" s="145" t="s">
        <v>562</v>
      </c>
      <c r="C232" s="145" t="s">
        <v>657</v>
      </c>
      <c r="D232" s="145" t="s">
        <v>338</v>
      </c>
      <c r="E232" s="145" t="s">
        <v>338</v>
      </c>
      <c r="F232" s="145" t="s">
        <v>338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338</v>
      </c>
      <c r="L232" s="145" t="s">
        <v>635</v>
      </c>
      <c r="M232" s="145" t="s">
        <v>338</v>
      </c>
      <c r="N232" s="145" t="s">
        <v>338</v>
      </c>
      <c r="O232" s="146">
        <v>2000</v>
      </c>
      <c r="P232" s="145" t="s">
        <v>338</v>
      </c>
      <c r="Q232" s="146">
        <v>2387.5</v>
      </c>
      <c r="R232" s="146">
        <v>1000</v>
      </c>
      <c r="S232" s="145" t="s">
        <v>338</v>
      </c>
      <c r="T232" s="145" t="s">
        <v>338</v>
      </c>
      <c r="U232" s="145" t="s">
        <v>338</v>
      </c>
      <c r="V232" s="145" t="s">
        <v>338</v>
      </c>
      <c r="W232" s="145" t="s">
        <v>338</v>
      </c>
      <c r="X232" s="145" t="s">
        <v>338</v>
      </c>
      <c r="Y232" s="145" t="s">
        <v>338</v>
      </c>
      <c r="Z232" s="145" t="s">
        <v>338</v>
      </c>
      <c r="AA232" s="145" t="s">
        <v>338</v>
      </c>
      <c r="AB232" s="145" t="s">
        <v>338</v>
      </c>
      <c r="AC232" s="145" t="s">
        <v>338</v>
      </c>
      <c r="AD232" s="145" t="s">
        <v>338</v>
      </c>
      <c r="AE232" s="145" t="s">
        <v>338</v>
      </c>
      <c r="AF232" s="145" t="s">
        <v>504</v>
      </c>
    </row>
    <row r="233" spans="1:32">
      <c r="A233" s="145" t="s">
        <v>882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338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338</v>
      </c>
      <c r="L233" s="145" t="s">
        <v>635</v>
      </c>
      <c r="M233" s="145" t="s">
        <v>338</v>
      </c>
      <c r="N233" s="145" t="s">
        <v>338</v>
      </c>
      <c r="O233" s="146">
        <v>1890</v>
      </c>
      <c r="P233" s="145" t="s">
        <v>338</v>
      </c>
      <c r="Q233" s="146">
        <v>8275</v>
      </c>
      <c r="R233" s="145" t="s">
        <v>338</v>
      </c>
      <c r="S233" s="145" t="s">
        <v>338</v>
      </c>
      <c r="T233" s="145" t="s">
        <v>338</v>
      </c>
      <c r="U233" s="145" t="s">
        <v>338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5" t="s">
        <v>338</v>
      </c>
      <c r="AE233" s="145" t="s">
        <v>338</v>
      </c>
      <c r="AF233" s="145" t="s">
        <v>504</v>
      </c>
    </row>
    <row r="234" spans="1:32">
      <c r="A234" s="145" t="s">
        <v>883</v>
      </c>
      <c r="B234" s="145" t="s">
        <v>562</v>
      </c>
      <c r="C234" s="145" t="s">
        <v>498</v>
      </c>
      <c r="D234" s="145" t="s">
        <v>499</v>
      </c>
      <c r="E234" s="145" t="s">
        <v>500</v>
      </c>
      <c r="F234" s="145" t="s">
        <v>501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563</v>
      </c>
      <c r="M234" s="145" t="s">
        <v>338</v>
      </c>
      <c r="N234" s="145" t="s">
        <v>338</v>
      </c>
      <c r="O234" s="146">
        <v>1794</v>
      </c>
      <c r="P234" s="145" t="s">
        <v>338</v>
      </c>
      <c r="Q234" s="145" t="s">
        <v>338</v>
      </c>
      <c r="R234" s="146">
        <v>1794</v>
      </c>
      <c r="S234" s="147">
        <v>16.611111111111111</v>
      </c>
      <c r="T234" s="145" t="s">
        <v>505</v>
      </c>
      <c r="U234" s="145" t="s">
        <v>338</v>
      </c>
      <c r="V234" s="145" t="s">
        <v>505</v>
      </c>
      <c r="W234" s="145" t="s">
        <v>514</v>
      </c>
      <c r="X234" s="145" t="s">
        <v>338</v>
      </c>
      <c r="Y234" s="145" t="s">
        <v>338</v>
      </c>
      <c r="Z234" s="145" t="s">
        <v>507</v>
      </c>
      <c r="AA234" s="145" t="s">
        <v>851</v>
      </c>
      <c r="AB234" s="145" t="s">
        <v>852</v>
      </c>
      <c r="AC234" s="145" t="s">
        <v>781</v>
      </c>
      <c r="AD234" s="145" t="s">
        <v>716</v>
      </c>
      <c r="AE234" s="145" t="s">
        <v>505</v>
      </c>
      <c r="AF234" s="145" t="s">
        <v>505</v>
      </c>
    </row>
    <row r="235" spans="1:32">
      <c r="A235" s="145" t="s">
        <v>884</v>
      </c>
      <c r="B235" s="145" t="s">
        <v>562</v>
      </c>
      <c r="C235" s="145" t="s">
        <v>728</v>
      </c>
      <c r="D235" s="145" t="s">
        <v>338</v>
      </c>
      <c r="E235" s="145" t="s">
        <v>338</v>
      </c>
      <c r="F235" s="145" t="s">
        <v>338</v>
      </c>
      <c r="G235" s="145" t="s">
        <v>133</v>
      </c>
      <c r="H235" s="145">
        <v>20</v>
      </c>
      <c r="I235" s="145" t="s">
        <v>338</v>
      </c>
      <c r="J235" s="146">
        <v>400</v>
      </c>
      <c r="K235" s="145" t="s">
        <v>338</v>
      </c>
      <c r="L235" s="145" t="s">
        <v>635</v>
      </c>
      <c r="M235" s="145" t="s">
        <v>338</v>
      </c>
      <c r="N235" s="145" t="s">
        <v>338</v>
      </c>
      <c r="O235" s="146">
        <v>1600</v>
      </c>
      <c r="P235" s="145" t="s">
        <v>338</v>
      </c>
      <c r="Q235" s="146">
        <v>4600</v>
      </c>
      <c r="R235" s="145" t="s">
        <v>338</v>
      </c>
      <c r="S235" s="145" t="s">
        <v>338</v>
      </c>
      <c r="T235" s="145" t="s">
        <v>338</v>
      </c>
      <c r="U235" s="145" t="s">
        <v>338</v>
      </c>
      <c r="V235" s="145" t="s">
        <v>338</v>
      </c>
      <c r="W235" s="145" t="s">
        <v>338</v>
      </c>
      <c r="X235" s="145" t="s">
        <v>338</v>
      </c>
      <c r="Y235" s="145" t="s">
        <v>338</v>
      </c>
      <c r="Z235" s="145" t="s">
        <v>338</v>
      </c>
      <c r="AA235" s="145" t="s">
        <v>338</v>
      </c>
      <c r="AB235" s="145" t="s">
        <v>338</v>
      </c>
      <c r="AC235" s="145" t="s">
        <v>338</v>
      </c>
      <c r="AD235" s="145" t="s">
        <v>338</v>
      </c>
      <c r="AE235" s="145" t="s">
        <v>338</v>
      </c>
      <c r="AF235" s="145" t="s">
        <v>338</v>
      </c>
    </row>
    <row r="236" spans="1:32">
      <c r="A236" s="145" t="s">
        <v>885</v>
      </c>
      <c r="B236" s="145" t="s">
        <v>497</v>
      </c>
      <c r="C236" s="145" t="s">
        <v>498</v>
      </c>
      <c r="D236" s="145" t="s">
        <v>499</v>
      </c>
      <c r="E236" s="145" t="s">
        <v>607</v>
      </c>
      <c r="F236" s="145" t="s">
        <v>594</v>
      </c>
      <c r="G236" s="145" t="s">
        <v>209</v>
      </c>
      <c r="H236" s="145">
        <v>10</v>
      </c>
      <c r="I236" s="145" t="s">
        <v>338</v>
      </c>
      <c r="J236" s="146">
        <v>333.33333333333331</v>
      </c>
      <c r="K236" s="145">
        <v>9</v>
      </c>
      <c r="L236" s="145" t="s">
        <v>555</v>
      </c>
      <c r="M236" s="145" t="s">
        <v>338</v>
      </c>
      <c r="N236" s="145" t="s">
        <v>338</v>
      </c>
      <c r="O236" s="146">
        <v>1600</v>
      </c>
      <c r="P236" s="146">
        <v>400</v>
      </c>
      <c r="Q236" s="145" t="s">
        <v>338</v>
      </c>
      <c r="R236" s="146">
        <v>1600</v>
      </c>
      <c r="S236" s="147">
        <v>14.814814814814817</v>
      </c>
      <c r="T236" s="145" t="s">
        <v>504</v>
      </c>
      <c r="U236" s="145" t="s">
        <v>338</v>
      </c>
      <c r="V236" s="145" t="s">
        <v>505</v>
      </c>
      <c r="W236" s="145" t="s">
        <v>506</v>
      </c>
      <c r="X236" s="145" t="s">
        <v>530</v>
      </c>
      <c r="Y236" s="145" t="s">
        <v>338</v>
      </c>
      <c r="Z236" s="145" t="s">
        <v>338</v>
      </c>
      <c r="AA236" s="145" t="s">
        <v>640</v>
      </c>
      <c r="AB236" s="145" t="s">
        <v>536</v>
      </c>
      <c r="AC236" s="145" t="s">
        <v>517</v>
      </c>
      <c r="AD236" s="145" t="s">
        <v>518</v>
      </c>
      <c r="AE236" s="145" t="s">
        <v>504</v>
      </c>
      <c r="AF236" s="145" t="s">
        <v>338</v>
      </c>
    </row>
    <row r="237" spans="1:32">
      <c r="A237" s="145" t="s">
        <v>886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338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338</v>
      </c>
      <c r="L237" s="145" t="s">
        <v>635</v>
      </c>
      <c r="M237" s="145" t="s">
        <v>338</v>
      </c>
      <c r="N237" s="145" t="s">
        <v>338</v>
      </c>
      <c r="O237" s="146">
        <v>1537</v>
      </c>
      <c r="P237" s="145" t="s">
        <v>338</v>
      </c>
      <c r="Q237" s="146">
        <v>5194</v>
      </c>
      <c r="R237" s="146">
        <v>225</v>
      </c>
      <c r="S237" s="145" t="s">
        <v>338</v>
      </c>
      <c r="T237" s="145" t="s">
        <v>338</v>
      </c>
      <c r="U237" s="145" t="s">
        <v>338</v>
      </c>
      <c r="V237" s="145" t="s">
        <v>338</v>
      </c>
      <c r="W237" s="145" t="s">
        <v>338</v>
      </c>
      <c r="X237" s="145" t="s">
        <v>338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5" t="s">
        <v>338</v>
      </c>
      <c r="AE237" s="145" t="s">
        <v>338</v>
      </c>
      <c r="AF237" s="145" t="s">
        <v>504</v>
      </c>
    </row>
    <row r="238" spans="1:32">
      <c r="A238" s="145" t="s">
        <v>887</v>
      </c>
      <c r="B238" s="145" t="s">
        <v>562</v>
      </c>
      <c r="C238" s="145" t="s">
        <v>728</v>
      </c>
      <c r="D238" s="145" t="s">
        <v>338</v>
      </c>
      <c r="E238" s="145" t="s">
        <v>338</v>
      </c>
      <c r="F238" s="145" t="s">
        <v>338</v>
      </c>
      <c r="G238" s="145" t="s">
        <v>209</v>
      </c>
      <c r="H238" s="145">
        <v>10</v>
      </c>
      <c r="I238" s="145" t="s">
        <v>338</v>
      </c>
      <c r="J238" s="146">
        <v>765</v>
      </c>
      <c r="K238" s="145" t="s">
        <v>338</v>
      </c>
      <c r="L238" s="145" t="s">
        <v>635</v>
      </c>
      <c r="M238" s="145" t="s">
        <v>338</v>
      </c>
      <c r="N238" s="145" t="s">
        <v>338</v>
      </c>
      <c r="O238" s="146">
        <v>1530</v>
      </c>
      <c r="P238" s="145" t="s">
        <v>338</v>
      </c>
      <c r="Q238" s="146">
        <v>765</v>
      </c>
      <c r="R238" s="146">
        <v>765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5" t="s">
        <v>338</v>
      </c>
      <c r="AA238" s="145" t="s">
        <v>338</v>
      </c>
      <c r="AB238" s="145" t="s">
        <v>338</v>
      </c>
      <c r="AC238" s="145" t="s">
        <v>338</v>
      </c>
      <c r="AD238" s="145" t="s">
        <v>338</v>
      </c>
      <c r="AE238" s="145" t="s">
        <v>338</v>
      </c>
      <c r="AF238" s="145" t="s">
        <v>338</v>
      </c>
    </row>
    <row r="239" spans="1:32">
      <c r="A239" s="145" t="s">
        <v>888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338</v>
      </c>
      <c r="G239" s="145" t="s">
        <v>209</v>
      </c>
      <c r="H239" s="145">
        <v>10</v>
      </c>
      <c r="I239" s="145" t="s">
        <v>338</v>
      </c>
      <c r="J239" s="146">
        <v>765</v>
      </c>
      <c r="K239" s="145" t="s">
        <v>338</v>
      </c>
      <c r="L239" s="145" t="s">
        <v>635</v>
      </c>
      <c r="M239" s="145" t="s">
        <v>338</v>
      </c>
      <c r="N239" s="145" t="s">
        <v>338</v>
      </c>
      <c r="O239" s="146">
        <v>1530</v>
      </c>
      <c r="P239" s="145" t="s">
        <v>338</v>
      </c>
      <c r="Q239" s="146">
        <v>765</v>
      </c>
      <c r="R239" s="146">
        <v>765</v>
      </c>
      <c r="S239" s="145" t="s">
        <v>338</v>
      </c>
      <c r="T239" s="145" t="s">
        <v>338</v>
      </c>
      <c r="U239" s="145" t="s">
        <v>338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5" t="s">
        <v>338</v>
      </c>
      <c r="AE239" s="145" t="s">
        <v>338</v>
      </c>
      <c r="AF239" s="145" t="s">
        <v>338</v>
      </c>
    </row>
    <row r="240" spans="1:32">
      <c r="A240" s="145" t="s">
        <v>889</v>
      </c>
      <c r="B240" s="145" t="s">
        <v>562</v>
      </c>
      <c r="C240" s="145" t="s">
        <v>728</v>
      </c>
      <c r="D240" s="145" t="s">
        <v>338</v>
      </c>
      <c r="E240" s="145" t="s">
        <v>338</v>
      </c>
      <c r="F240" s="145" t="s">
        <v>338</v>
      </c>
      <c r="G240" s="145" t="s">
        <v>209</v>
      </c>
      <c r="H240" s="145">
        <v>10</v>
      </c>
      <c r="I240" s="145" t="s">
        <v>338</v>
      </c>
      <c r="J240" s="146">
        <v>765</v>
      </c>
      <c r="K240" s="145" t="s">
        <v>338</v>
      </c>
      <c r="L240" s="145" t="s">
        <v>635</v>
      </c>
      <c r="M240" s="145" t="s">
        <v>338</v>
      </c>
      <c r="N240" s="145" t="s">
        <v>338</v>
      </c>
      <c r="O240" s="146">
        <v>1530</v>
      </c>
      <c r="P240" s="145" t="s">
        <v>338</v>
      </c>
      <c r="Q240" s="146">
        <v>765</v>
      </c>
      <c r="R240" s="146">
        <v>765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5" t="s">
        <v>338</v>
      </c>
      <c r="X240" s="145" t="s">
        <v>338</v>
      </c>
      <c r="Y240" s="145" t="s">
        <v>338</v>
      </c>
      <c r="Z240" s="145" t="s">
        <v>338</v>
      </c>
      <c r="AA240" s="145" t="s">
        <v>338</v>
      </c>
      <c r="AB240" s="145" t="s">
        <v>338</v>
      </c>
      <c r="AC240" s="145" t="s">
        <v>338</v>
      </c>
      <c r="AD240" s="145" t="s">
        <v>338</v>
      </c>
      <c r="AE240" s="145" t="s">
        <v>338</v>
      </c>
      <c r="AF240" s="145" t="s">
        <v>338</v>
      </c>
    </row>
    <row r="241" spans="1:32">
      <c r="A241" s="145" t="s">
        <v>890</v>
      </c>
      <c r="B241" s="145" t="s">
        <v>562</v>
      </c>
      <c r="C241" s="145" t="s">
        <v>728</v>
      </c>
      <c r="D241" s="145" t="s">
        <v>338</v>
      </c>
      <c r="E241" s="145" t="s">
        <v>338</v>
      </c>
      <c r="F241" s="145" t="s">
        <v>338</v>
      </c>
      <c r="G241" s="145" t="s">
        <v>209</v>
      </c>
      <c r="H241" s="145">
        <v>10</v>
      </c>
      <c r="I241" s="145" t="s">
        <v>338</v>
      </c>
      <c r="J241" s="146">
        <v>765</v>
      </c>
      <c r="K241" s="145" t="s">
        <v>338</v>
      </c>
      <c r="L241" s="145" t="s">
        <v>635</v>
      </c>
      <c r="M241" s="145" t="s">
        <v>338</v>
      </c>
      <c r="N241" s="145" t="s">
        <v>338</v>
      </c>
      <c r="O241" s="146">
        <v>1530</v>
      </c>
      <c r="P241" s="145" t="s">
        <v>338</v>
      </c>
      <c r="Q241" s="146">
        <v>765</v>
      </c>
      <c r="R241" s="146">
        <v>765</v>
      </c>
      <c r="S241" s="145" t="s">
        <v>338</v>
      </c>
      <c r="T241" s="145" t="s">
        <v>338</v>
      </c>
      <c r="U241" s="145" t="s">
        <v>338</v>
      </c>
      <c r="V241" s="145" t="s">
        <v>338</v>
      </c>
      <c r="W241" s="145" t="s">
        <v>338</v>
      </c>
      <c r="X241" s="145" t="s">
        <v>338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5" t="s">
        <v>338</v>
      </c>
      <c r="AE241" s="145" t="s">
        <v>338</v>
      </c>
      <c r="AF241" s="145" t="s">
        <v>338</v>
      </c>
    </row>
    <row r="242" spans="1:32">
      <c r="A242" s="145" t="s">
        <v>891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338</v>
      </c>
      <c r="G242" s="145" t="s">
        <v>209</v>
      </c>
      <c r="H242" s="145">
        <v>10</v>
      </c>
      <c r="I242" s="145" t="s">
        <v>338</v>
      </c>
      <c r="J242" s="146">
        <v>765</v>
      </c>
      <c r="K242" s="145" t="s">
        <v>338</v>
      </c>
      <c r="L242" s="145" t="s">
        <v>635</v>
      </c>
      <c r="M242" s="145" t="s">
        <v>338</v>
      </c>
      <c r="N242" s="145" t="s">
        <v>338</v>
      </c>
      <c r="O242" s="146">
        <v>1530</v>
      </c>
      <c r="P242" s="145" t="s">
        <v>338</v>
      </c>
      <c r="Q242" s="146">
        <v>765</v>
      </c>
      <c r="R242" s="146">
        <v>765</v>
      </c>
      <c r="S242" s="145" t="s">
        <v>338</v>
      </c>
      <c r="T242" s="145" t="s">
        <v>338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5" t="s">
        <v>338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5" t="s">
        <v>338</v>
      </c>
      <c r="AE242" s="145" t="s">
        <v>338</v>
      </c>
      <c r="AF242" s="145" t="s">
        <v>338</v>
      </c>
    </row>
    <row r="243" spans="1:32">
      <c r="A243" s="145" t="s">
        <v>892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338</v>
      </c>
      <c r="G243" s="145" t="s">
        <v>209</v>
      </c>
      <c r="H243" s="145">
        <v>10</v>
      </c>
      <c r="I243" s="145" t="s">
        <v>338</v>
      </c>
      <c r="J243" s="146">
        <v>765</v>
      </c>
      <c r="K243" s="145" t="s">
        <v>338</v>
      </c>
      <c r="L243" s="145" t="s">
        <v>635</v>
      </c>
      <c r="M243" s="145" t="s">
        <v>338</v>
      </c>
      <c r="N243" s="145" t="s">
        <v>338</v>
      </c>
      <c r="O243" s="146">
        <v>1530</v>
      </c>
      <c r="P243" s="145" t="s">
        <v>338</v>
      </c>
      <c r="Q243" s="146">
        <v>765</v>
      </c>
      <c r="R243" s="146">
        <v>765</v>
      </c>
      <c r="S243" s="145" t="s">
        <v>338</v>
      </c>
      <c r="T243" s="145" t="s">
        <v>338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5" t="s">
        <v>338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5" t="s">
        <v>338</v>
      </c>
      <c r="AE243" s="145" t="s">
        <v>338</v>
      </c>
      <c r="AF243" s="145" t="s">
        <v>338</v>
      </c>
    </row>
    <row r="244" spans="1:32">
      <c r="A244" s="145" t="s">
        <v>893</v>
      </c>
      <c r="B244" s="145" t="s">
        <v>562</v>
      </c>
      <c r="C244" s="145" t="s">
        <v>872</v>
      </c>
      <c r="D244" s="145" t="s">
        <v>338</v>
      </c>
      <c r="E244" s="145" t="s">
        <v>338</v>
      </c>
      <c r="F244" s="145" t="s">
        <v>338</v>
      </c>
      <c r="G244" s="145" t="s">
        <v>777</v>
      </c>
      <c r="H244" s="145">
        <v>36</v>
      </c>
      <c r="I244" s="145" t="s">
        <v>242</v>
      </c>
      <c r="J244" s="146">
        <v>305</v>
      </c>
      <c r="K244" s="145" t="s">
        <v>338</v>
      </c>
      <c r="L244" s="145" t="s">
        <v>635</v>
      </c>
      <c r="M244" s="145" t="s">
        <v>338</v>
      </c>
      <c r="N244" s="145" t="s">
        <v>338</v>
      </c>
      <c r="O244" s="146">
        <v>1525</v>
      </c>
      <c r="P244" s="145" t="s">
        <v>338</v>
      </c>
      <c r="Q244" s="146">
        <v>3735</v>
      </c>
      <c r="R244" s="145" t="s">
        <v>338</v>
      </c>
      <c r="S244" s="145" t="s">
        <v>338</v>
      </c>
      <c r="T244" s="145" t="s">
        <v>338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5" t="s">
        <v>338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5" t="s">
        <v>338</v>
      </c>
      <c r="AE244" s="145" t="s">
        <v>338</v>
      </c>
      <c r="AF244" s="145" t="s">
        <v>504</v>
      </c>
    </row>
    <row r="245" spans="1:32">
      <c r="A245" s="145" t="s">
        <v>894</v>
      </c>
      <c r="B245" s="145" t="s">
        <v>497</v>
      </c>
      <c r="C245" s="145" t="s">
        <v>678</v>
      </c>
      <c r="D245" s="145" t="s">
        <v>679</v>
      </c>
      <c r="E245" s="145" t="s">
        <v>338</v>
      </c>
      <c r="F245" s="145" t="s">
        <v>338</v>
      </c>
      <c r="G245" s="145" t="s">
        <v>244</v>
      </c>
      <c r="H245" s="145">
        <v>5</v>
      </c>
      <c r="I245" s="145" t="s">
        <v>338</v>
      </c>
      <c r="J245" s="146">
        <v>401.66666666666669</v>
      </c>
      <c r="K245" s="145">
        <v>0</v>
      </c>
      <c r="L245" s="145" t="s">
        <v>502</v>
      </c>
      <c r="M245" s="145">
        <v>0</v>
      </c>
      <c r="N245" s="145" t="s">
        <v>503</v>
      </c>
      <c r="O245" s="146">
        <v>1525</v>
      </c>
      <c r="P245" s="146">
        <v>260</v>
      </c>
      <c r="Q245" s="145" t="s">
        <v>338</v>
      </c>
      <c r="R245" s="146">
        <v>1525</v>
      </c>
      <c r="S245" s="145" t="s">
        <v>338</v>
      </c>
      <c r="T245" s="145" t="s">
        <v>505</v>
      </c>
      <c r="U245" s="145" t="s">
        <v>338</v>
      </c>
      <c r="V245" s="145" t="s">
        <v>505</v>
      </c>
      <c r="W245" s="145" t="s">
        <v>513</v>
      </c>
      <c r="X245" s="145" t="s">
        <v>530</v>
      </c>
      <c r="Y245" s="145" t="s">
        <v>338</v>
      </c>
      <c r="Z245" s="145" t="s">
        <v>338</v>
      </c>
      <c r="AA245" s="145" t="s">
        <v>705</v>
      </c>
      <c r="AB245" s="145" t="s">
        <v>681</v>
      </c>
      <c r="AC245" s="145" t="s">
        <v>566</v>
      </c>
      <c r="AD245" s="145" t="s">
        <v>682</v>
      </c>
      <c r="AE245" s="145" t="s">
        <v>505</v>
      </c>
      <c r="AF245" s="145" t="s">
        <v>338</v>
      </c>
    </row>
    <row r="246" spans="1:32">
      <c r="A246" s="145" t="s">
        <v>895</v>
      </c>
      <c r="B246" s="145" t="s">
        <v>497</v>
      </c>
      <c r="C246" s="145" t="s">
        <v>498</v>
      </c>
      <c r="D246" s="145" t="s">
        <v>499</v>
      </c>
      <c r="E246" s="145" t="s">
        <v>607</v>
      </c>
      <c r="F246" s="145" t="s">
        <v>594</v>
      </c>
      <c r="G246" s="145" t="s">
        <v>203</v>
      </c>
      <c r="H246" s="145">
        <v>16</v>
      </c>
      <c r="I246" s="145" t="s">
        <v>338</v>
      </c>
      <c r="J246" s="146">
        <v>116.66666666666667</v>
      </c>
      <c r="K246" s="145">
        <v>5</v>
      </c>
      <c r="L246" s="145" t="s">
        <v>502</v>
      </c>
      <c r="M246" s="145">
        <v>5</v>
      </c>
      <c r="N246" s="145" t="s">
        <v>503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505</v>
      </c>
      <c r="U246" s="145" t="s">
        <v>338</v>
      </c>
      <c r="V246" s="145" t="s">
        <v>505</v>
      </c>
      <c r="W246" s="145" t="s">
        <v>514</v>
      </c>
      <c r="X246" s="145" t="s">
        <v>514</v>
      </c>
      <c r="Y246" s="145" t="s">
        <v>338</v>
      </c>
      <c r="Z246" s="145" t="s">
        <v>507</v>
      </c>
      <c r="AA246" s="145" t="s">
        <v>589</v>
      </c>
      <c r="AB246" s="145" t="s">
        <v>581</v>
      </c>
      <c r="AC246" s="145" t="s">
        <v>510</v>
      </c>
      <c r="AD246" s="145" t="s">
        <v>523</v>
      </c>
      <c r="AE246" s="145" t="s">
        <v>505</v>
      </c>
      <c r="AF246" s="145" t="s">
        <v>338</v>
      </c>
    </row>
    <row r="247" spans="1:32">
      <c r="A247" s="145" t="s">
        <v>896</v>
      </c>
      <c r="B247" s="145" t="s">
        <v>497</v>
      </c>
      <c r="C247" s="145" t="s">
        <v>498</v>
      </c>
      <c r="D247" s="145" t="s">
        <v>499</v>
      </c>
      <c r="E247" s="145" t="s">
        <v>500</v>
      </c>
      <c r="F247" s="145" t="s">
        <v>594</v>
      </c>
      <c r="G247" s="145" t="s">
        <v>243</v>
      </c>
      <c r="H247" s="145">
        <v>6</v>
      </c>
      <c r="I247" s="145" t="s">
        <v>338</v>
      </c>
      <c r="J247" s="146">
        <v>120</v>
      </c>
      <c r="K247" s="145">
        <v>2</v>
      </c>
      <c r="L247" s="145" t="s">
        <v>555</v>
      </c>
      <c r="M247" s="145" t="s">
        <v>338</v>
      </c>
      <c r="N247" s="145" t="s">
        <v>338</v>
      </c>
      <c r="O247" s="146">
        <v>1502.5</v>
      </c>
      <c r="P247" s="146">
        <v>120</v>
      </c>
      <c r="Q247" s="145" t="s">
        <v>338</v>
      </c>
      <c r="R247" s="146">
        <v>1502.5</v>
      </c>
      <c r="S247" s="147">
        <v>62.604166666666664</v>
      </c>
      <c r="T247" s="145" t="s">
        <v>505</v>
      </c>
      <c r="U247" s="145" t="s">
        <v>338</v>
      </c>
      <c r="V247" s="145" t="s">
        <v>505</v>
      </c>
      <c r="W247" s="145" t="s">
        <v>506</v>
      </c>
      <c r="X247" s="145" t="s">
        <v>514</v>
      </c>
      <c r="Y247" s="145" t="s">
        <v>338</v>
      </c>
      <c r="Z247" s="145" t="s">
        <v>507</v>
      </c>
      <c r="AA247" s="145" t="s">
        <v>568</v>
      </c>
      <c r="AB247" s="145" t="s">
        <v>557</v>
      </c>
      <c r="AC247" s="145" t="s">
        <v>510</v>
      </c>
      <c r="AD247" s="145" t="s">
        <v>558</v>
      </c>
      <c r="AE247" s="145" t="s">
        <v>504</v>
      </c>
      <c r="AF247" s="145" t="s">
        <v>338</v>
      </c>
    </row>
    <row r="248" spans="1:32">
      <c r="A248" s="145" t="s">
        <v>897</v>
      </c>
      <c r="B248" s="145" t="s">
        <v>562</v>
      </c>
      <c r="C248" s="145" t="s">
        <v>657</v>
      </c>
      <c r="D248" s="145" t="s">
        <v>338</v>
      </c>
      <c r="E248" s="145" t="s">
        <v>338</v>
      </c>
      <c r="F248" s="145" t="s">
        <v>338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338</v>
      </c>
      <c r="L248" s="145" t="s">
        <v>635</v>
      </c>
      <c r="M248" s="145" t="s">
        <v>338</v>
      </c>
      <c r="N248" s="145" t="s">
        <v>338</v>
      </c>
      <c r="O248" s="146">
        <v>1450</v>
      </c>
      <c r="P248" s="145" t="s">
        <v>338</v>
      </c>
      <c r="Q248" s="146">
        <v>3200</v>
      </c>
      <c r="R248" s="145" t="s">
        <v>338</v>
      </c>
      <c r="S248" s="145" t="s">
        <v>338</v>
      </c>
      <c r="T248" s="145" t="s">
        <v>338</v>
      </c>
      <c r="U248" s="145" t="s">
        <v>338</v>
      </c>
      <c r="V248" s="145" t="s">
        <v>338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5" t="s">
        <v>338</v>
      </c>
      <c r="AE248" s="145" t="s">
        <v>338</v>
      </c>
      <c r="AF248" s="145" t="s">
        <v>504</v>
      </c>
    </row>
    <row r="249" spans="1:32">
      <c r="A249" s="145" t="s">
        <v>898</v>
      </c>
      <c r="B249" s="145" t="s">
        <v>562</v>
      </c>
      <c r="C249" s="145" t="s">
        <v>657</v>
      </c>
      <c r="D249" s="145" t="s">
        <v>338</v>
      </c>
      <c r="E249" s="145" t="s">
        <v>338</v>
      </c>
      <c r="F249" s="145" t="s">
        <v>338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338</v>
      </c>
      <c r="L249" s="145" t="s">
        <v>635</v>
      </c>
      <c r="M249" s="145" t="s">
        <v>338</v>
      </c>
      <c r="N249" s="145" t="s">
        <v>338</v>
      </c>
      <c r="O249" s="146">
        <v>1410</v>
      </c>
      <c r="P249" s="145" t="s">
        <v>338</v>
      </c>
      <c r="Q249" s="146">
        <v>1640</v>
      </c>
      <c r="R249" s="146">
        <v>120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5" t="s">
        <v>338</v>
      </c>
      <c r="Z249" s="145" t="s">
        <v>338</v>
      </c>
      <c r="AA249" s="145" t="s">
        <v>338</v>
      </c>
      <c r="AB249" s="145" t="s">
        <v>338</v>
      </c>
      <c r="AC249" s="145" t="s">
        <v>338</v>
      </c>
      <c r="AD249" s="145" t="s">
        <v>338</v>
      </c>
      <c r="AE249" s="145" t="s">
        <v>338</v>
      </c>
      <c r="AF249" s="145" t="s">
        <v>504</v>
      </c>
    </row>
    <row r="250" spans="1:32">
      <c r="A250" s="145" t="s">
        <v>899</v>
      </c>
      <c r="B250" s="145" t="s">
        <v>562</v>
      </c>
      <c r="C250" s="145" t="s">
        <v>678</v>
      </c>
      <c r="D250" s="145" t="s">
        <v>679</v>
      </c>
      <c r="E250" s="145" t="s">
        <v>338</v>
      </c>
      <c r="F250" s="145" t="s">
        <v>338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502</v>
      </c>
      <c r="M250" s="145">
        <v>4</v>
      </c>
      <c r="N250" s="145" t="s">
        <v>503</v>
      </c>
      <c r="O250" s="146">
        <v>1336.5</v>
      </c>
      <c r="P250" s="145" t="s">
        <v>338</v>
      </c>
      <c r="Q250" s="145" t="s">
        <v>338</v>
      </c>
      <c r="R250" s="146">
        <v>1336.5</v>
      </c>
      <c r="S250" s="147">
        <v>27.84375</v>
      </c>
      <c r="T250" s="145" t="s">
        <v>505</v>
      </c>
      <c r="U250" s="145" t="s">
        <v>338</v>
      </c>
      <c r="V250" s="145" t="s">
        <v>505</v>
      </c>
      <c r="W250" s="145" t="s">
        <v>513</v>
      </c>
      <c r="X250" s="145" t="s">
        <v>525</v>
      </c>
      <c r="Y250" s="145" t="s">
        <v>338</v>
      </c>
      <c r="Z250" s="145" t="s">
        <v>595</v>
      </c>
      <c r="AA250" s="145" t="s">
        <v>637</v>
      </c>
      <c r="AB250" s="145" t="s">
        <v>637</v>
      </c>
      <c r="AC250" s="145" t="s">
        <v>638</v>
      </c>
      <c r="AD250" s="145" t="s">
        <v>523</v>
      </c>
      <c r="AE250" s="145" t="s">
        <v>505</v>
      </c>
      <c r="AF250" s="145" t="s">
        <v>504</v>
      </c>
    </row>
    <row r="251" spans="1:32">
      <c r="A251" s="145" t="s">
        <v>900</v>
      </c>
      <c r="B251" s="145" t="s">
        <v>497</v>
      </c>
      <c r="C251" s="145" t="s">
        <v>678</v>
      </c>
      <c r="D251" s="145" t="s">
        <v>679</v>
      </c>
      <c r="E251" s="145" t="s">
        <v>338</v>
      </c>
      <c r="F251" s="145" t="s">
        <v>338</v>
      </c>
      <c r="G251" s="145" t="s">
        <v>245</v>
      </c>
      <c r="H251" s="145">
        <v>4</v>
      </c>
      <c r="I251" s="145" t="s">
        <v>338</v>
      </c>
      <c r="J251" s="146">
        <v>310</v>
      </c>
      <c r="K251" s="145" t="s">
        <v>338</v>
      </c>
      <c r="L251" s="145" t="s">
        <v>704</v>
      </c>
      <c r="M251" s="145" t="s">
        <v>338</v>
      </c>
      <c r="N251" s="145" t="s">
        <v>338</v>
      </c>
      <c r="O251" s="146">
        <v>1240</v>
      </c>
      <c r="P251" s="146">
        <v>310</v>
      </c>
      <c r="Q251" s="145" t="s">
        <v>338</v>
      </c>
      <c r="R251" s="146">
        <v>1240</v>
      </c>
      <c r="S251" s="145" t="s">
        <v>338</v>
      </c>
      <c r="T251" s="145" t="s">
        <v>505</v>
      </c>
      <c r="U251" s="145" t="s">
        <v>338</v>
      </c>
      <c r="V251" s="145" t="s">
        <v>505</v>
      </c>
      <c r="W251" s="145" t="s">
        <v>513</v>
      </c>
      <c r="X251" s="145" t="s">
        <v>514</v>
      </c>
      <c r="Y251" s="145" t="s">
        <v>338</v>
      </c>
      <c r="Z251" s="145" t="s">
        <v>338</v>
      </c>
      <c r="AA251" s="145" t="s">
        <v>766</v>
      </c>
      <c r="AB251" s="145" t="s">
        <v>681</v>
      </c>
      <c r="AC251" s="145" t="s">
        <v>566</v>
      </c>
      <c r="AD251" s="145" t="s">
        <v>682</v>
      </c>
      <c r="AE251" s="145" t="s">
        <v>505</v>
      </c>
      <c r="AF251" s="145" t="s">
        <v>338</v>
      </c>
    </row>
    <row r="252" spans="1:32">
      <c r="A252" s="145" t="s">
        <v>901</v>
      </c>
      <c r="B252" s="145" t="s">
        <v>497</v>
      </c>
      <c r="C252" s="145" t="s">
        <v>498</v>
      </c>
      <c r="D252" s="145" t="s">
        <v>499</v>
      </c>
      <c r="E252" s="145" t="s">
        <v>338</v>
      </c>
      <c r="F252" s="145" t="s">
        <v>501</v>
      </c>
      <c r="G252" s="145" t="s">
        <v>247</v>
      </c>
      <c r="H252" s="145">
        <v>2</v>
      </c>
      <c r="I252" s="145" t="s">
        <v>338</v>
      </c>
      <c r="J252" s="146">
        <v>614.5</v>
      </c>
      <c r="K252" s="145">
        <v>4</v>
      </c>
      <c r="L252" s="145" t="s">
        <v>502</v>
      </c>
      <c r="M252" s="145">
        <v>4</v>
      </c>
      <c r="N252" s="145" t="s">
        <v>503</v>
      </c>
      <c r="O252" s="146">
        <v>1229</v>
      </c>
      <c r="P252" s="146">
        <v>418</v>
      </c>
      <c r="Q252" s="145" t="s">
        <v>338</v>
      </c>
      <c r="R252" s="146">
        <v>1229</v>
      </c>
      <c r="S252" s="147">
        <v>25.604166666666668</v>
      </c>
      <c r="T252" s="145" t="s">
        <v>505</v>
      </c>
      <c r="U252" s="145" t="s">
        <v>338</v>
      </c>
      <c r="V252" s="145" t="s">
        <v>505</v>
      </c>
      <c r="W252" s="145" t="s">
        <v>506</v>
      </c>
      <c r="X252" s="145" t="s">
        <v>525</v>
      </c>
      <c r="Y252" s="145" t="s">
        <v>342</v>
      </c>
      <c r="Z252" s="145" t="s">
        <v>507</v>
      </c>
      <c r="AA252" s="145" t="s">
        <v>902</v>
      </c>
      <c r="AB252" s="145" t="s">
        <v>648</v>
      </c>
      <c r="AC252" s="145" t="s">
        <v>533</v>
      </c>
      <c r="AD252" s="145" t="s">
        <v>511</v>
      </c>
      <c r="AE252" s="145" t="s">
        <v>504</v>
      </c>
      <c r="AF252" s="145" t="s">
        <v>338</v>
      </c>
    </row>
    <row r="253" spans="1:32">
      <c r="A253" s="145" t="s">
        <v>903</v>
      </c>
      <c r="B253" s="145" t="s">
        <v>497</v>
      </c>
      <c r="C253" s="145" t="s">
        <v>678</v>
      </c>
      <c r="D253" s="145" t="s">
        <v>679</v>
      </c>
      <c r="E253" s="145" t="s">
        <v>338</v>
      </c>
      <c r="F253" s="145" t="s">
        <v>338</v>
      </c>
      <c r="G253" s="145" t="s">
        <v>211</v>
      </c>
      <c r="H253" s="145">
        <v>8</v>
      </c>
      <c r="I253" s="145" t="s">
        <v>338</v>
      </c>
      <c r="J253" s="146">
        <v>150</v>
      </c>
      <c r="K253" s="145">
        <v>0</v>
      </c>
      <c r="L253" s="145" t="s">
        <v>502</v>
      </c>
      <c r="M253" s="145">
        <v>0</v>
      </c>
      <c r="N253" s="145" t="s">
        <v>503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338</v>
      </c>
      <c r="T253" s="145" t="s">
        <v>505</v>
      </c>
      <c r="U253" s="145" t="s">
        <v>338</v>
      </c>
      <c r="V253" s="145" t="s">
        <v>505</v>
      </c>
      <c r="W253" s="145" t="s">
        <v>338</v>
      </c>
      <c r="X253" s="145" t="s">
        <v>338</v>
      </c>
      <c r="Y253" s="145" t="s">
        <v>338</v>
      </c>
      <c r="Z253" s="145" t="s">
        <v>595</v>
      </c>
      <c r="AA253" s="145" t="s">
        <v>766</v>
      </c>
      <c r="AB253" s="145" t="s">
        <v>681</v>
      </c>
      <c r="AC253" s="145" t="s">
        <v>638</v>
      </c>
      <c r="AD253" s="145" t="s">
        <v>682</v>
      </c>
      <c r="AE253" s="145" t="s">
        <v>505</v>
      </c>
      <c r="AF253" s="145" t="s">
        <v>338</v>
      </c>
    </row>
    <row r="254" spans="1:32">
      <c r="A254" s="145" t="s">
        <v>904</v>
      </c>
      <c r="B254" s="145" t="s">
        <v>497</v>
      </c>
      <c r="C254" s="145" t="s">
        <v>498</v>
      </c>
      <c r="D254" s="145" t="s">
        <v>499</v>
      </c>
      <c r="E254" s="145" t="s">
        <v>338</v>
      </c>
      <c r="F254" s="145" t="s">
        <v>587</v>
      </c>
      <c r="G254" s="145" t="s">
        <v>247</v>
      </c>
      <c r="H254" s="145">
        <v>2</v>
      </c>
      <c r="I254" s="145" t="s">
        <v>338</v>
      </c>
      <c r="J254" s="146">
        <v>603.25</v>
      </c>
      <c r="K254" s="145">
        <v>3</v>
      </c>
      <c r="L254" s="145" t="s">
        <v>502</v>
      </c>
      <c r="M254" s="145">
        <v>3</v>
      </c>
      <c r="N254" s="145" t="s">
        <v>503</v>
      </c>
      <c r="O254" s="146">
        <v>1206.5</v>
      </c>
      <c r="P254" s="146">
        <v>373</v>
      </c>
      <c r="Q254" s="145" t="s">
        <v>338</v>
      </c>
      <c r="R254" s="146">
        <v>1206.5</v>
      </c>
      <c r="S254" s="147">
        <v>33.513888888888893</v>
      </c>
      <c r="T254" s="145" t="s">
        <v>505</v>
      </c>
      <c r="U254" s="145" t="s">
        <v>338</v>
      </c>
      <c r="V254" s="145" t="s">
        <v>505</v>
      </c>
      <c r="W254" s="145" t="s">
        <v>506</v>
      </c>
      <c r="X254" s="145" t="s">
        <v>530</v>
      </c>
      <c r="Y254" s="145" t="s">
        <v>342</v>
      </c>
      <c r="Z254" s="145" t="s">
        <v>507</v>
      </c>
      <c r="AA254" s="145" t="s">
        <v>902</v>
      </c>
      <c r="AB254" s="145" t="s">
        <v>648</v>
      </c>
      <c r="AC254" s="145" t="s">
        <v>533</v>
      </c>
      <c r="AD254" s="145" t="s">
        <v>511</v>
      </c>
      <c r="AE254" s="145" t="s">
        <v>504</v>
      </c>
      <c r="AF254" s="145" t="s">
        <v>338</v>
      </c>
    </row>
    <row r="255" spans="1:32">
      <c r="A255" s="145" t="s">
        <v>905</v>
      </c>
      <c r="B255" s="145" t="s">
        <v>562</v>
      </c>
      <c r="C255" s="145" t="s">
        <v>728</v>
      </c>
      <c r="D255" s="145" t="s">
        <v>338</v>
      </c>
      <c r="E255" s="145" t="s">
        <v>338</v>
      </c>
      <c r="F255" s="145" t="s">
        <v>338</v>
      </c>
      <c r="G255" s="145" t="s">
        <v>242</v>
      </c>
      <c r="H255" s="145">
        <v>7</v>
      </c>
      <c r="I255" s="145" t="s">
        <v>338</v>
      </c>
      <c r="J255" s="146">
        <v>1125</v>
      </c>
      <c r="K255" s="145" t="s">
        <v>338</v>
      </c>
      <c r="L255" s="145" t="s">
        <v>635</v>
      </c>
      <c r="M255" s="145" t="s">
        <v>338</v>
      </c>
      <c r="N255" s="145" t="s">
        <v>338</v>
      </c>
      <c r="O255" s="146">
        <v>1125</v>
      </c>
      <c r="P255" s="145" t="s">
        <v>338</v>
      </c>
      <c r="Q255" s="145" t="s">
        <v>338</v>
      </c>
      <c r="R255" s="146">
        <v>1125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5" t="s">
        <v>338</v>
      </c>
      <c r="AA255" s="145" t="s">
        <v>338</v>
      </c>
      <c r="AB255" s="145" t="s">
        <v>338</v>
      </c>
      <c r="AC255" s="145" t="s">
        <v>338</v>
      </c>
      <c r="AD255" s="145" t="s">
        <v>338</v>
      </c>
      <c r="AE255" s="145" t="s">
        <v>338</v>
      </c>
      <c r="AF255" s="145" t="s">
        <v>338</v>
      </c>
    </row>
    <row r="256" spans="1:32">
      <c r="A256" s="145" t="s">
        <v>906</v>
      </c>
      <c r="B256" s="145" t="s">
        <v>19</v>
      </c>
      <c r="C256" s="145" t="s">
        <v>498</v>
      </c>
      <c r="D256" s="145" t="s">
        <v>499</v>
      </c>
      <c r="E256" s="145" t="s">
        <v>338</v>
      </c>
      <c r="F256" s="145" t="s">
        <v>501</v>
      </c>
      <c r="G256" s="145" t="s">
        <v>248</v>
      </c>
      <c r="H256" s="145">
        <v>1</v>
      </c>
      <c r="I256" s="145" t="s">
        <v>338</v>
      </c>
      <c r="J256" s="146">
        <v>1101</v>
      </c>
      <c r="K256" s="145">
        <v>6</v>
      </c>
      <c r="L256" s="145" t="s">
        <v>502</v>
      </c>
      <c r="M256" s="145">
        <v>6</v>
      </c>
      <c r="N256" s="145" t="s">
        <v>503</v>
      </c>
      <c r="O256" s="146">
        <v>1101</v>
      </c>
      <c r="P256" s="146">
        <v>1101</v>
      </c>
      <c r="Q256" s="145" t="s">
        <v>338</v>
      </c>
      <c r="R256" s="146">
        <v>1101</v>
      </c>
      <c r="S256" s="147">
        <v>15.291666666666666</v>
      </c>
      <c r="T256" s="145" t="s">
        <v>504</v>
      </c>
      <c r="U256" s="145" t="s">
        <v>338</v>
      </c>
      <c r="V256" s="145" t="s">
        <v>505</v>
      </c>
      <c r="W256" s="145" t="s">
        <v>506</v>
      </c>
      <c r="X256" s="145" t="s">
        <v>525</v>
      </c>
      <c r="Y256" s="145" t="s">
        <v>342</v>
      </c>
      <c r="Z256" s="145" t="s">
        <v>507</v>
      </c>
      <c r="AA256" s="145" t="s">
        <v>862</v>
      </c>
      <c r="AB256" s="145" t="s">
        <v>652</v>
      </c>
      <c r="AC256" s="145" t="s">
        <v>566</v>
      </c>
      <c r="AD256" s="145" t="s">
        <v>716</v>
      </c>
      <c r="AE256" s="145" t="s">
        <v>504</v>
      </c>
      <c r="AF256" s="145" t="s">
        <v>338</v>
      </c>
    </row>
    <row r="257" spans="1:32">
      <c r="A257" s="145" t="s">
        <v>907</v>
      </c>
      <c r="B257" s="145" t="s">
        <v>562</v>
      </c>
      <c r="C257" s="145" t="s">
        <v>728</v>
      </c>
      <c r="D257" s="145" t="s">
        <v>338</v>
      </c>
      <c r="E257" s="145" t="s">
        <v>338</v>
      </c>
      <c r="F257" s="145" t="s">
        <v>338</v>
      </c>
      <c r="G257" s="145" t="s">
        <v>208</v>
      </c>
      <c r="H257" s="145">
        <v>11</v>
      </c>
      <c r="I257" s="145" t="s">
        <v>338</v>
      </c>
      <c r="J257" s="146">
        <v>1080</v>
      </c>
      <c r="K257" s="145" t="s">
        <v>338</v>
      </c>
      <c r="L257" s="145" t="s">
        <v>635</v>
      </c>
      <c r="M257" s="145" t="s">
        <v>338</v>
      </c>
      <c r="N257" s="145" t="s">
        <v>338</v>
      </c>
      <c r="O257" s="146">
        <v>1080</v>
      </c>
      <c r="P257" s="145" t="s">
        <v>338</v>
      </c>
      <c r="Q257" s="146">
        <v>1080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5" t="s">
        <v>338</v>
      </c>
      <c r="W257" s="145" t="s">
        <v>338</v>
      </c>
      <c r="X257" s="145" t="s">
        <v>338</v>
      </c>
      <c r="Y257" s="145" t="s">
        <v>338</v>
      </c>
      <c r="Z257" s="145" t="s">
        <v>338</v>
      </c>
      <c r="AA257" s="145" t="s">
        <v>338</v>
      </c>
      <c r="AB257" s="145" t="s">
        <v>338</v>
      </c>
      <c r="AC257" s="145" t="s">
        <v>338</v>
      </c>
      <c r="AD257" s="145" t="s">
        <v>338</v>
      </c>
      <c r="AE257" s="145" t="s">
        <v>338</v>
      </c>
      <c r="AF257" s="145" t="s">
        <v>338</v>
      </c>
    </row>
    <row r="258" spans="1:32">
      <c r="A258" s="145" t="s">
        <v>908</v>
      </c>
      <c r="B258" s="145" t="s">
        <v>497</v>
      </c>
      <c r="C258" s="145" t="s">
        <v>678</v>
      </c>
      <c r="D258" s="145" t="s">
        <v>679</v>
      </c>
      <c r="E258" s="145" t="s">
        <v>338</v>
      </c>
      <c r="F258" s="145" t="s">
        <v>338</v>
      </c>
      <c r="G258" s="145" t="s">
        <v>245</v>
      </c>
      <c r="H258" s="145">
        <v>4</v>
      </c>
      <c r="I258" s="145" t="s">
        <v>338</v>
      </c>
      <c r="J258" s="146">
        <v>260</v>
      </c>
      <c r="K258" s="145" t="s">
        <v>338</v>
      </c>
      <c r="L258" s="145" t="s">
        <v>704</v>
      </c>
      <c r="M258" s="145" t="s">
        <v>338</v>
      </c>
      <c r="N258" s="145" t="s">
        <v>338</v>
      </c>
      <c r="O258" s="146">
        <v>1040</v>
      </c>
      <c r="P258" s="146">
        <v>260</v>
      </c>
      <c r="Q258" s="145" t="s">
        <v>338</v>
      </c>
      <c r="R258" s="146">
        <v>1040</v>
      </c>
      <c r="S258" s="145" t="s">
        <v>338</v>
      </c>
      <c r="T258" s="145" t="s">
        <v>505</v>
      </c>
      <c r="U258" s="145" t="s">
        <v>338</v>
      </c>
      <c r="V258" s="145" t="s">
        <v>505</v>
      </c>
      <c r="W258" s="145" t="s">
        <v>513</v>
      </c>
      <c r="X258" s="145" t="s">
        <v>530</v>
      </c>
      <c r="Y258" s="145" t="s">
        <v>338</v>
      </c>
      <c r="Z258" s="145" t="s">
        <v>595</v>
      </c>
      <c r="AA258" s="145" t="s">
        <v>705</v>
      </c>
      <c r="AB258" s="145" t="s">
        <v>681</v>
      </c>
      <c r="AC258" s="145" t="s">
        <v>566</v>
      </c>
      <c r="AD258" s="145" t="s">
        <v>682</v>
      </c>
      <c r="AE258" s="145" t="s">
        <v>505</v>
      </c>
      <c r="AF258" s="145" t="s">
        <v>338</v>
      </c>
    </row>
    <row r="259" spans="1:32">
      <c r="A259" s="145" t="s">
        <v>909</v>
      </c>
      <c r="B259" s="145" t="s">
        <v>562</v>
      </c>
      <c r="C259" s="145" t="s">
        <v>632</v>
      </c>
      <c r="D259" s="145" t="s">
        <v>338</v>
      </c>
      <c r="E259" s="145" t="s">
        <v>338</v>
      </c>
      <c r="F259" s="145" t="s">
        <v>338</v>
      </c>
      <c r="G259" s="145" t="s">
        <v>634</v>
      </c>
      <c r="H259" s="145">
        <v>56</v>
      </c>
      <c r="I259" s="145" t="s">
        <v>242</v>
      </c>
      <c r="J259" s="146">
        <v>148.33333333333334</v>
      </c>
      <c r="K259" s="145" t="s">
        <v>338</v>
      </c>
      <c r="L259" s="145" t="s">
        <v>635</v>
      </c>
      <c r="M259" s="145" t="s">
        <v>338</v>
      </c>
      <c r="N259" s="145" t="s">
        <v>338</v>
      </c>
      <c r="O259" s="146">
        <v>1000</v>
      </c>
      <c r="P259" s="145" t="s">
        <v>338</v>
      </c>
      <c r="Q259" s="146">
        <v>2325</v>
      </c>
      <c r="R259" s="146">
        <v>75</v>
      </c>
      <c r="S259" s="145" t="s">
        <v>338</v>
      </c>
      <c r="T259" s="145" t="s">
        <v>505</v>
      </c>
      <c r="U259" s="145" t="s">
        <v>338</v>
      </c>
      <c r="V259" s="145" t="s">
        <v>505</v>
      </c>
      <c r="W259" s="145" t="s">
        <v>338</v>
      </c>
      <c r="X259" s="145" t="s">
        <v>338</v>
      </c>
      <c r="Y259" s="145" t="s">
        <v>338</v>
      </c>
      <c r="Z259" s="145" t="s">
        <v>338</v>
      </c>
      <c r="AA259" s="145" t="s">
        <v>636</v>
      </c>
      <c r="AB259" s="145" t="s">
        <v>637</v>
      </c>
      <c r="AC259" s="145" t="s">
        <v>338</v>
      </c>
      <c r="AD259" s="145" t="s">
        <v>338</v>
      </c>
      <c r="AE259" s="145" t="s">
        <v>505</v>
      </c>
      <c r="AF259" s="145" t="s">
        <v>504</v>
      </c>
    </row>
    <row r="260" spans="1:32">
      <c r="A260" s="145" t="s">
        <v>910</v>
      </c>
      <c r="B260" s="145" t="s">
        <v>562</v>
      </c>
      <c r="C260" s="145" t="s">
        <v>657</v>
      </c>
      <c r="D260" s="145" t="s">
        <v>338</v>
      </c>
      <c r="E260" s="145" t="s">
        <v>338</v>
      </c>
      <c r="F260" s="145" t="s">
        <v>338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338</v>
      </c>
      <c r="L260" s="145" t="s">
        <v>635</v>
      </c>
      <c r="M260" s="145" t="s">
        <v>338</v>
      </c>
      <c r="N260" s="145" t="s">
        <v>338</v>
      </c>
      <c r="O260" s="146">
        <v>980</v>
      </c>
      <c r="P260" s="145" t="s">
        <v>338</v>
      </c>
      <c r="Q260" s="146">
        <v>980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5" t="s">
        <v>338</v>
      </c>
      <c r="AD260" s="145" t="s">
        <v>338</v>
      </c>
      <c r="AE260" s="145" t="s">
        <v>338</v>
      </c>
      <c r="AF260" s="145" t="s">
        <v>505</v>
      </c>
    </row>
    <row r="261" spans="1:32">
      <c r="A261" s="145" t="s">
        <v>911</v>
      </c>
      <c r="B261" s="145" t="s">
        <v>19</v>
      </c>
      <c r="C261" s="145" t="s">
        <v>678</v>
      </c>
      <c r="D261" s="145" t="s">
        <v>679</v>
      </c>
      <c r="E261" s="145" t="s">
        <v>338</v>
      </c>
      <c r="F261" s="145" t="s">
        <v>338</v>
      </c>
      <c r="G261" s="145" t="s">
        <v>243</v>
      </c>
      <c r="H261" s="145">
        <v>6</v>
      </c>
      <c r="I261" s="145" t="s">
        <v>338</v>
      </c>
      <c r="J261" s="146">
        <v>975</v>
      </c>
      <c r="K261" s="145" t="s">
        <v>338</v>
      </c>
      <c r="L261" s="145" t="s">
        <v>704</v>
      </c>
      <c r="M261" s="145" t="s">
        <v>338</v>
      </c>
      <c r="N261" s="145" t="s">
        <v>338</v>
      </c>
      <c r="O261" s="146">
        <v>975</v>
      </c>
      <c r="P261" s="145" t="s">
        <v>338</v>
      </c>
      <c r="Q261" s="145" t="s">
        <v>338</v>
      </c>
      <c r="R261" s="146">
        <v>975</v>
      </c>
      <c r="S261" s="145" t="s">
        <v>338</v>
      </c>
      <c r="T261" s="145" t="s">
        <v>505</v>
      </c>
      <c r="U261" s="145" t="s">
        <v>338</v>
      </c>
      <c r="V261" s="145" t="s">
        <v>505</v>
      </c>
      <c r="W261" s="145" t="s">
        <v>513</v>
      </c>
      <c r="X261" s="145" t="s">
        <v>338</v>
      </c>
      <c r="Y261" s="145" t="s">
        <v>338</v>
      </c>
      <c r="Z261" s="145" t="s">
        <v>338</v>
      </c>
      <c r="AA261" s="145" t="s">
        <v>651</v>
      </c>
      <c r="AB261" s="145" t="s">
        <v>652</v>
      </c>
      <c r="AC261" s="145" t="s">
        <v>566</v>
      </c>
      <c r="AD261" s="145" t="s">
        <v>716</v>
      </c>
      <c r="AE261" s="145" t="s">
        <v>504</v>
      </c>
      <c r="AF261" s="145" t="s">
        <v>338</v>
      </c>
    </row>
    <row r="262" spans="1:32">
      <c r="A262" s="145" t="s">
        <v>912</v>
      </c>
      <c r="B262" s="145" t="s">
        <v>562</v>
      </c>
      <c r="C262" s="145" t="s">
        <v>728</v>
      </c>
      <c r="D262" s="145" t="s">
        <v>338</v>
      </c>
      <c r="E262" s="145" t="s">
        <v>338</v>
      </c>
      <c r="F262" s="145" t="s">
        <v>338</v>
      </c>
      <c r="G262" s="145" t="s">
        <v>243</v>
      </c>
      <c r="H262" s="145">
        <v>6</v>
      </c>
      <c r="I262" s="145" t="s">
        <v>338</v>
      </c>
      <c r="J262" s="146">
        <v>975</v>
      </c>
      <c r="K262" s="145" t="s">
        <v>338</v>
      </c>
      <c r="L262" s="145" t="s">
        <v>635</v>
      </c>
      <c r="M262" s="145" t="s">
        <v>338</v>
      </c>
      <c r="N262" s="145" t="s">
        <v>338</v>
      </c>
      <c r="O262" s="146">
        <v>975</v>
      </c>
      <c r="P262" s="145" t="s">
        <v>338</v>
      </c>
      <c r="Q262" s="145" t="s">
        <v>338</v>
      </c>
      <c r="R262" s="146">
        <v>975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5" t="s">
        <v>338</v>
      </c>
      <c r="AA262" s="145" t="s">
        <v>338</v>
      </c>
      <c r="AB262" s="145" t="s">
        <v>338</v>
      </c>
      <c r="AC262" s="145" t="s">
        <v>338</v>
      </c>
      <c r="AD262" s="145" t="s">
        <v>338</v>
      </c>
      <c r="AE262" s="145" t="s">
        <v>338</v>
      </c>
      <c r="AF262" s="145" t="s">
        <v>338</v>
      </c>
    </row>
    <row r="263" spans="1:32">
      <c r="A263" s="145" t="s">
        <v>913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338</v>
      </c>
      <c r="G263" s="145" t="s">
        <v>914</v>
      </c>
      <c r="H263" s="145">
        <v>47</v>
      </c>
      <c r="I263" s="145" t="s">
        <v>245</v>
      </c>
      <c r="J263" s="146">
        <v>65.5</v>
      </c>
      <c r="K263" s="145" t="s">
        <v>338</v>
      </c>
      <c r="L263" s="145" t="s">
        <v>635</v>
      </c>
      <c r="M263" s="145" t="s">
        <v>338</v>
      </c>
      <c r="N263" s="145" t="s">
        <v>338</v>
      </c>
      <c r="O263" s="146">
        <v>956.5</v>
      </c>
      <c r="P263" s="145" t="s">
        <v>338</v>
      </c>
      <c r="Q263" s="146">
        <v>1895</v>
      </c>
      <c r="R263" s="146">
        <v>196.5</v>
      </c>
      <c r="S263" s="145" t="s">
        <v>338</v>
      </c>
      <c r="T263" s="145" t="s">
        <v>505</v>
      </c>
      <c r="U263" s="145" t="s">
        <v>338</v>
      </c>
      <c r="V263" s="145" t="s">
        <v>505</v>
      </c>
      <c r="W263" s="145" t="s">
        <v>338</v>
      </c>
      <c r="X263" s="145" t="s">
        <v>338</v>
      </c>
      <c r="Y263" s="145" t="s">
        <v>338</v>
      </c>
      <c r="Z263" s="145" t="s">
        <v>338</v>
      </c>
      <c r="AA263" s="145" t="s">
        <v>636</v>
      </c>
      <c r="AB263" s="145" t="s">
        <v>637</v>
      </c>
      <c r="AC263" s="145" t="s">
        <v>338</v>
      </c>
      <c r="AD263" s="145" t="s">
        <v>338</v>
      </c>
      <c r="AE263" s="145" t="s">
        <v>505</v>
      </c>
      <c r="AF263" s="145" t="s">
        <v>504</v>
      </c>
    </row>
    <row r="264" spans="1:32">
      <c r="A264" s="145" t="s">
        <v>915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338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338</v>
      </c>
      <c r="L264" s="145" t="s">
        <v>635</v>
      </c>
      <c r="M264" s="145" t="s">
        <v>338</v>
      </c>
      <c r="N264" s="145" t="s">
        <v>338</v>
      </c>
      <c r="O264" s="146">
        <v>900</v>
      </c>
      <c r="P264" s="145" t="s">
        <v>338</v>
      </c>
      <c r="Q264" s="146">
        <v>4050</v>
      </c>
      <c r="R264" s="145" t="s">
        <v>338</v>
      </c>
      <c r="S264" s="145" t="s">
        <v>338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5" t="s">
        <v>338</v>
      </c>
      <c r="AE264" s="145" t="s">
        <v>338</v>
      </c>
      <c r="AF264" s="145" t="s">
        <v>504</v>
      </c>
    </row>
    <row r="265" spans="1:32">
      <c r="A265" s="145" t="s">
        <v>916</v>
      </c>
      <c r="B265" s="145" t="s">
        <v>562</v>
      </c>
      <c r="C265" s="145" t="s">
        <v>728</v>
      </c>
      <c r="D265" s="145" t="s">
        <v>338</v>
      </c>
      <c r="E265" s="145" t="s">
        <v>338</v>
      </c>
      <c r="F265" s="145" t="s">
        <v>338</v>
      </c>
      <c r="G265" s="145" t="s">
        <v>125</v>
      </c>
      <c r="H265" s="145">
        <v>28</v>
      </c>
      <c r="I265" s="145" t="s">
        <v>338</v>
      </c>
      <c r="J265" s="146">
        <v>425</v>
      </c>
      <c r="K265" s="145">
        <v>5</v>
      </c>
      <c r="L265" s="145" t="s">
        <v>563</v>
      </c>
      <c r="M265" s="145" t="s">
        <v>338</v>
      </c>
      <c r="N265" s="145" t="s">
        <v>338</v>
      </c>
      <c r="O265" s="146">
        <v>875</v>
      </c>
      <c r="P265" s="145" t="s">
        <v>338</v>
      </c>
      <c r="Q265" s="146">
        <v>3750</v>
      </c>
      <c r="R265" s="145" t="s">
        <v>338</v>
      </c>
      <c r="S265" s="147">
        <v>14.583333333333334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5" t="s">
        <v>338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5" t="s">
        <v>338</v>
      </c>
      <c r="AE265" s="145" t="s">
        <v>338</v>
      </c>
      <c r="AF265" s="145" t="s">
        <v>338</v>
      </c>
    </row>
    <row r="266" spans="1:32">
      <c r="A266" s="145" t="s">
        <v>917</v>
      </c>
      <c r="B266" s="145" t="s">
        <v>562</v>
      </c>
      <c r="C266" s="145" t="s">
        <v>678</v>
      </c>
      <c r="D266" s="145" t="s">
        <v>679</v>
      </c>
      <c r="E266" s="145" t="s">
        <v>338</v>
      </c>
      <c r="F266" s="145" t="s">
        <v>338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502</v>
      </c>
      <c r="M266" s="145">
        <v>0</v>
      </c>
      <c r="N266" s="145" t="s">
        <v>503</v>
      </c>
      <c r="O266" s="146">
        <v>800</v>
      </c>
      <c r="P266" s="145" t="s">
        <v>338</v>
      </c>
      <c r="Q266" s="145" t="s">
        <v>338</v>
      </c>
      <c r="R266" s="146">
        <v>800</v>
      </c>
      <c r="S266" s="145" t="s">
        <v>338</v>
      </c>
      <c r="T266" s="145" t="s">
        <v>505</v>
      </c>
      <c r="U266" s="145" t="s">
        <v>338</v>
      </c>
      <c r="V266" s="145" t="s">
        <v>505</v>
      </c>
      <c r="W266" s="145" t="s">
        <v>338</v>
      </c>
      <c r="X266" s="145" t="s">
        <v>338</v>
      </c>
      <c r="Y266" s="145" t="s">
        <v>338</v>
      </c>
      <c r="Z266" s="145" t="s">
        <v>595</v>
      </c>
      <c r="AA266" s="145" t="s">
        <v>766</v>
      </c>
      <c r="AB266" s="145" t="s">
        <v>681</v>
      </c>
      <c r="AC266" s="145" t="s">
        <v>638</v>
      </c>
      <c r="AD266" s="145" t="s">
        <v>511</v>
      </c>
      <c r="AE266" s="145" t="s">
        <v>505</v>
      </c>
      <c r="AF266" s="145" t="s">
        <v>504</v>
      </c>
    </row>
    <row r="267" spans="1:32">
      <c r="A267" s="145" t="s">
        <v>918</v>
      </c>
      <c r="B267" s="145" t="s">
        <v>562</v>
      </c>
      <c r="C267" s="145" t="s">
        <v>678</v>
      </c>
      <c r="D267" s="145" t="s">
        <v>679</v>
      </c>
      <c r="E267" s="145" t="s">
        <v>338</v>
      </c>
      <c r="F267" s="145" t="s">
        <v>338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502</v>
      </c>
      <c r="M267" s="145">
        <v>0</v>
      </c>
      <c r="N267" s="145" t="s">
        <v>503</v>
      </c>
      <c r="O267" s="146">
        <v>800</v>
      </c>
      <c r="P267" s="145" t="s">
        <v>338</v>
      </c>
      <c r="Q267" s="145" t="s">
        <v>338</v>
      </c>
      <c r="R267" s="146">
        <v>800</v>
      </c>
      <c r="S267" s="145" t="s">
        <v>338</v>
      </c>
      <c r="T267" s="145" t="s">
        <v>505</v>
      </c>
      <c r="U267" s="145" t="s">
        <v>338</v>
      </c>
      <c r="V267" s="145" t="s">
        <v>505</v>
      </c>
      <c r="W267" s="145" t="s">
        <v>338</v>
      </c>
      <c r="X267" s="145" t="s">
        <v>338</v>
      </c>
      <c r="Y267" s="145" t="s">
        <v>338</v>
      </c>
      <c r="Z267" s="145" t="s">
        <v>595</v>
      </c>
      <c r="AA267" s="145" t="s">
        <v>766</v>
      </c>
      <c r="AB267" s="145" t="s">
        <v>681</v>
      </c>
      <c r="AC267" s="145" t="s">
        <v>638</v>
      </c>
      <c r="AD267" s="145" t="s">
        <v>511</v>
      </c>
      <c r="AE267" s="145" t="s">
        <v>505</v>
      </c>
      <c r="AF267" s="145" t="s">
        <v>504</v>
      </c>
    </row>
    <row r="268" spans="1:32">
      <c r="A268" s="145" t="s">
        <v>919</v>
      </c>
      <c r="B268" s="145" t="s">
        <v>562</v>
      </c>
      <c r="C268" s="145" t="s">
        <v>872</v>
      </c>
      <c r="D268" s="145" t="s">
        <v>338</v>
      </c>
      <c r="E268" s="145" t="s">
        <v>338</v>
      </c>
      <c r="F268" s="145" t="s">
        <v>338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338</v>
      </c>
      <c r="L268" s="145" t="s">
        <v>635</v>
      </c>
      <c r="M268" s="145" t="s">
        <v>338</v>
      </c>
      <c r="N268" s="145" t="s">
        <v>338</v>
      </c>
      <c r="O268" s="146">
        <v>800</v>
      </c>
      <c r="P268" s="145" t="s">
        <v>338</v>
      </c>
      <c r="Q268" s="146">
        <v>800</v>
      </c>
      <c r="R268" s="145" t="s">
        <v>338</v>
      </c>
      <c r="S268" s="145" t="s">
        <v>338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5" t="s">
        <v>338</v>
      </c>
      <c r="AE268" s="145" t="s">
        <v>338</v>
      </c>
      <c r="AF268" s="145" t="s">
        <v>505</v>
      </c>
    </row>
    <row r="269" spans="1:32">
      <c r="A269" s="145" t="s">
        <v>920</v>
      </c>
      <c r="B269" s="145" t="s">
        <v>562</v>
      </c>
      <c r="C269" s="145" t="s">
        <v>657</v>
      </c>
      <c r="D269" s="145" t="s">
        <v>338</v>
      </c>
      <c r="E269" s="145" t="s">
        <v>338</v>
      </c>
      <c r="F269" s="145" t="s">
        <v>338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338</v>
      </c>
      <c r="L269" s="145" t="s">
        <v>635</v>
      </c>
      <c r="M269" s="145" t="s">
        <v>338</v>
      </c>
      <c r="N269" s="145" t="s">
        <v>338</v>
      </c>
      <c r="O269" s="146">
        <v>800</v>
      </c>
      <c r="P269" s="145" t="s">
        <v>338</v>
      </c>
      <c r="Q269" s="146">
        <v>800</v>
      </c>
      <c r="R269" s="145" t="s">
        <v>338</v>
      </c>
      <c r="S269" s="145" t="s">
        <v>338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5" t="s">
        <v>338</v>
      </c>
      <c r="AE269" s="145" t="s">
        <v>338</v>
      </c>
      <c r="AF269" s="145" t="s">
        <v>505</v>
      </c>
    </row>
    <row r="270" spans="1:32">
      <c r="A270" s="145" t="s">
        <v>921</v>
      </c>
      <c r="B270" s="145" t="s">
        <v>562</v>
      </c>
      <c r="C270" s="145" t="s">
        <v>632</v>
      </c>
      <c r="D270" s="145" t="s">
        <v>667</v>
      </c>
      <c r="E270" s="145" t="s">
        <v>338</v>
      </c>
      <c r="F270" s="145" t="s">
        <v>338</v>
      </c>
      <c r="G270" s="145" t="s">
        <v>634</v>
      </c>
      <c r="H270" s="145">
        <v>56</v>
      </c>
      <c r="I270" s="145" t="s">
        <v>242</v>
      </c>
      <c r="J270" s="146">
        <v>147</v>
      </c>
      <c r="K270" s="145" t="s">
        <v>338</v>
      </c>
      <c r="L270" s="145" t="s">
        <v>635</v>
      </c>
      <c r="M270" s="145" t="s">
        <v>338</v>
      </c>
      <c r="N270" s="145" t="s">
        <v>338</v>
      </c>
      <c r="O270" s="146">
        <v>735</v>
      </c>
      <c r="P270" s="145" t="s">
        <v>338</v>
      </c>
      <c r="Q270" s="146">
        <v>1809</v>
      </c>
      <c r="R270" s="145" t="s">
        <v>338</v>
      </c>
      <c r="S270" s="145" t="s">
        <v>338</v>
      </c>
      <c r="T270" s="145" t="s">
        <v>505</v>
      </c>
      <c r="U270" s="145" t="s">
        <v>338</v>
      </c>
      <c r="V270" s="145" t="s">
        <v>505</v>
      </c>
      <c r="W270" s="145" t="s">
        <v>338</v>
      </c>
      <c r="X270" s="145" t="s">
        <v>338</v>
      </c>
      <c r="Y270" s="145" t="s">
        <v>338</v>
      </c>
      <c r="Z270" s="145" t="s">
        <v>595</v>
      </c>
      <c r="AA270" s="145" t="s">
        <v>636</v>
      </c>
      <c r="AB270" s="145" t="s">
        <v>637</v>
      </c>
      <c r="AC270" s="145" t="s">
        <v>638</v>
      </c>
      <c r="AD270" s="145" t="s">
        <v>523</v>
      </c>
      <c r="AE270" s="145" t="s">
        <v>505</v>
      </c>
      <c r="AF270" s="145" t="s">
        <v>504</v>
      </c>
    </row>
    <row r="271" spans="1:32">
      <c r="A271" s="145" t="s">
        <v>922</v>
      </c>
      <c r="B271" s="145" t="s">
        <v>562</v>
      </c>
      <c r="C271" s="145" t="s">
        <v>657</v>
      </c>
      <c r="D271" s="145" t="s">
        <v>338</v>
      </c>
      <c r="E271" s="145" t="s">
        <v>338</v>
      </c>
      <c r="F271" s="145" t="s">
        <v>338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338</v>
      </c>
      <c r="L271" s="145" t="s">
        <v>635</v>
      </c>
      <c r="M271" s="145" t="s">
        <v>338</v>
      </c>
      <c r="N271" s="145" t="s">
        <v>338</v>
      </c>
      <c r="O271" s="146">
        <v>725</v>
      </c>
      <c r="P271" s="145" t="s">
        <v>338</v>
      </c>
      <c r="Q271" s="146">
        <v>725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5" t="s">
        <v>338</v>
      </c>
      <c r="X271" s="145" t="s">
        <v>338</v>
      </c>
      <c r="Y271" s="145" t="s">
        <v>338</v>
      </c>
      <c r="Z271" s="145" t="s">
        <v>338</v>
      </c>
      <c r="AA271" s="145" t="s">
        <v>338</v>
      </c>
      <c r="AB271" s="145" t="s">
        <v>338</v>
      </c>
      <c r="AC271" s="145" t="s">
        <v>338</v>
      </c>
      <c r="AD271" s="145" t="s">
        <v>338</v>
      </c>
      <c r="AE271" s="145" t="s">
        <v>338</v>
      </c>
      <c r="AF271" s="145" t="s">
        <v>505</v>
      </c>
    </row>
    <row r="272" spans="1:32">
      <c r="A272" s="145" t="s">
        <v>923</v>
      </c>
      <c r="B272" s="145" t="s">
        <v>562</v>
      </c>
      <c r="C272" s="145" t="s">
        <v>728</v>
      </c>
      <c r="D272" s="145" t="s">
        <v>338</v>
      </c>
      <c r="E272" s="145" t="s">
        <v>338</v>
      </c>
      <c r="F272" s="145" t="s">
        <v>338</v>
      </c>
      <c r="G272" s="145" t="s">
        <v>243</v>
      </c>
      <c r="H272" s="145">
        <v>6</v>
      </c>
      <c r="I272" s="145" t="s">
        <v>338</v>
      </c>
      <c r="J272" s="146">
        <v>650</v>
      </c>
      <c r="K272" s="145" t="s">
        <v>338</v>
      </c>
      <c r="L272" s="145" t="s">
        <v>635</v>
      </c>
      <c r="M272" s="145" t="s">
        <v>338</v>
      </c>
      <c r="N272" s="145" t="s">
        <v>338</v>
      </c>
      <c r="O272" s="146">
        <v>650</v>
      </c>
      <c r="P272" s="145" t="s">
        <v>338</v>
      </c>
      <c r="Q272" s="145" t="s">
        <v>338</v>
      </c>
      <c r="R272" s="146">
        <v>650</v>
      </c>
      <c r="S272" s="145" t="s">
        <v>338</v>
      </c>
      <c r="T272" s="145" t="s">
        <v>338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5" t="s">
        <v>338</v>
      </c>
      <c r="AE272" s="145" t="s">
        <v>338</v>
      </c>
      <c r="AF272" s="145" t="s">
        <v>338</v>
      </c>
    </row>
    <row r="273" spans="1:32">
      <c r="A273" s="145" t="s">
        <v>924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338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338</v>
      </c>
      <c r="L273" s="145" t="s">
        <v>635</v>
      </c>
      <c r="M273" s="145" t="s">
        <v>338</v>
      </c>
      <c r="N273" s="145" t="s">
        <v>338</v>
      </c>
      <c r="O273" s="146">
        <v>550</v>
      </c>
      <c r="P273" s="145" t="s">
        <v>338</v>
      </c>
      <c r="Q273" s="146">
        <v>4460</v>
      </c>
      <c r="R273" s="145" t="s">
        <v>338</v>
      </c>
      <c r="S273" s="145" t="s">
        <v>338</v>
      </c>
      <c r="T273" s="145" t="s">
        <v>338</v>
      </c>
      <c r="U273" s="145" t="s">
        <v>338</v>
      </c>
      <c r="V273" s="145" t="s">
        <v>338</v>
      </c>
      <c r="W273" s="145" t="s">
        <v>338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5" t="s">
        <v>338</v>
      </c>
      <c r="AE273" s="145" t="s">
        <v>338</v>
      </c>
      <c r="AF273" s="145" t="s">
        <v>504</v>
      </c>
    </row>
    <row r="274" spans="1:32">
      <c r="A274" s="145" t="s">
        <v>925</v>
      </c>
      <c r="B274" s="145" t="s">
        <v>562</v>
      </c>
      <c r="C274" s="145" t="s">
        <v>728</v>
      </c>
      <c r="D274" s="145" t="s">
        <v>338</v>
      </c>
      <c r="E274" s="145" t="s">
        <v>338</v>
      </c>
      <c r="F274" s="145" t="s">
        <v>338</v>
      </c>
      <c r="G274" s="145" t="s">
        <v>209</v>
      </c>
      <c r="H274" s="145">
        <v>10</v>
      </c>
      <c r="I274" s="145" t="s">
        <v>338</v>
      </c>
      <c r="J274" s="146">
        <v>495</v>
      </c>
      <c r="K274" s="145" t="s">
        <v>338</v>
      </c>
      <c r="L274" s="145" t="s">
        <v>635</v>
      </c>
      <c r="M274" s="145" t="s">
        <v>338</v>
      </c>
      <c r="N274" s="145" t="s">
        <v>338</v>
      </c>
      <c r="O274" s="146">
        <v>495</v>
      </c>
      <c r="P274" s="145" t="s">
        <v>338</v>
      </c>
      <c r="Q274" s="146">
        <v>495</v>
      </c>
      <c r="R274" s="145" t="s">
        <v>338</v>
      </c>
      <c r="S274" s="145" t="s">
        <v>338</v>
      </c>
      <c r="T274" s="145" t="s">
        <v>338</v>
      </c>
      <c r="U274" s="145" t="s">
        <v>338</v>
      </c>
      <c r="V274" s="145" t="s">
        <v>338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5" t="s">
        <v>338</v>
      </c>
      <c r="AE274" s="145" t="s">
        <v>338</v>
      </c>
      <c r="AF274" s="145" t="s">
        <v>338</v>
      </c>
    </row>
    <row r="275" spans="1:32">
      <c r="A275" s="145" t="s">
        <v>926</v>
      </c>
      <c r="B275" s="145" t="s">
        <v>19</v>
      </c>
      <c r="C275" s="145" t="s">
        <v>678</v>
      </c>
      <c r="D275" s="145" t="s">
        <v>679</v>
      </c>
      <c r="E275" s="145" t="s">
        <v>338</v>
      </c>
      <c r="F275" s="145" t="s">
        <v>338</v>
      </c>
      <c r="G275" s="145" t="s">
        <v>248</v>
      </c>
      <c r="H275" s="145">
        <v>1</v>
      </c>
      <c r="I275" s="145" t="s">
        <v>338</v>
      </c>
      <c r="J275" s="146">
        <v>418</v>
      </c>
      <c r="K275" s="145" t="s">
        <v>338</v>
      </c>
      <c r="L275" s="145" t="s">
        <v>704</v>
      </c>
      <c r="M275" s="145" t="s">
        <v>338</v>
      </c>
      <c r="N275" s="145" t="s">
        <v>338</v>
      </c>
      <c r="O275" s="146">
        <v>418</v>
      </c>
      <c r="P275" s="146">
        <v>418</v>
      </c>
      <c r="Q275" s="145" t="s">
        <v>338</v>
      </c>
      <c r="R275" s="146">
        <v>418</v>
      </c>
      <c r="S275" s="145" t="s">
        <v>338</v>
      </c>
      <c r="T275" s="145" t="s">
        <v>505</v>
      </c>
      <c r="U275" s="145" t="s">
        <v>338</v>
      </c>
      <c r="V275" s="145" t="s">
        <v>505</v>
      </c>
      <c r="W275" s="145" t="s">
        <v>513</v>
      </c>
      <c r="X275" s="145" t="s">
        <v>530</v>
      </c>
      <c r="Y275" s="145" t="s">
        <v>338</v>
      </c>
      <c r="Z275" s="145" t="s">
        <v>595</v>
      </c>
      <c r="AA275" s="145" t="s">
        <v>862</v>
      </c>
      <c r="AB275" s="145" t="s">
        <v>652</v>
      </c>
      <c r="AC275" s="145" t="s">
        <v>566</v>
      </c>
      <c r="AD275" s="145" t="s">
        <v>716</v>
      </c>
      <c r="AE275" s="145" t="s">
        <v>505</v>
      </c>
      <c r="AF275" s="145" t="s">
        <v>338</v>
      </c>
    </row>
    <row r="276" spans="1:32">
      <c r="A276" s="145" t="s">
        <v>927</v>
      </c>
      <c r="B276" s="145" t="s">
        <v>562</v>
      </c>
      <c r="C276" s="145" t="s">
        <v>657</v>
      </c>
      <c r="D276" s="145" t="s">
        <v>338</v>
      </c>
      <c r="E276" s="145" t="s">
        <v>338</v>
      </c>
      <c r="F276" s="145" t="s">
        <v>338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338</v>
      </c>
      <c r="L276" s="145" t="s">
        <v>635</v>
      </c>
      <c r="M276" s="145" t="s">
        <v>338</v>
      </c>
      <c r="N276" s="145" t="s">
        <v>338</v>
      </c>
      <c r="O276" s="146">
        <v>395</v>
      </c>
      <c r="P276" s="145" t="s">
        <v>338</v>
      </c>
      <c r="Q276" s="146">
        <v>3160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5" t="s">
        <v>338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5" t="s">
        <v>338</v>
      </c>
      <c r="AE276" s="145" t="s">
        <v>338</v>
      </c>
      <c r="AF276" s="145" t="s">
        <v>504</v>
      </c>
    </row>
    <row r="277" spans="1:32">
      <c r="A277" s="145" t="s">
        <v>928</v>
      </c>
      <c r="B277" s="145" t="s">
        <v>562</v>
      </c>
      <c r="C277" s="145" t="s">
        <v>728</v>
      </c>
      <c r="D277" s="145" t="s">
        <v>338</v>
      </c>
      <c r="E277" s="145" t="s">
        <v>338</v>
      </c>
      <c r="F277" s="145" t="s">
        <v>338</v>
      </c>
      <c r="G277" s="145" t="s">
        <v>209</v>
      </c>
      <c r="H277" s="145">
        <v>10</v>
      </c>
      <c r="I277" s="145" t="s">
        <v>338</v>
      </c>
      <c r="J277" s="146">
        <v>380.25</v>
      </c>
      <c r="K277" s="145" t="s">
        <v>338</v>
      </c>
      <c r="L277" s="145" t="s">
        <v>635</v>
      </c>
      <c r="M277" s="145" t="s">
        <v>338</v>
      </c>
      <c r="N277" s="145" t="s">
        <v>338</v>
      </c>
      <c r="O277" s="146">
        <v>380.25</v>
      </c>
      <c r="P277" s="145" t="s">
        <v>338</v>
      </c>
      <c r="Q277" s="146">
        <v>380.25</v>
      </c>
      <c r="R277" s="145" t="s">
        <v>338</v>
      </c>
      <c r="S277" s="145" t="s">
        <v>338</v>
      </c>
      <c r="T277" s="145" t="s">
        <v>338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5" t="s">
        <v>338</v>
      </c>
      <c r="AE277" s="145" t="s">
        <v>338</v>
      </c>
      <c r="AF277" s="145" t="s">
        <v>338</v>
      </c>
    </row>
    <row r="278" spans="1:32">
      <c r="A278" s="145" t="s">
        <v>929</v>
      </c>
      <c r="B278" s="145" t="s">
        <v>562</v>
      </c>
      <c r="C278" s="145" t="s">
        <v>657</v>
      </c>
      <c r="D278" s="145" t="s">
        <v>338</v>
      </c>
      <c r="E278" s="145" t="s">
        <v>338</v>
      </c>
      <c r="F278" s="145" t="s">
        <v>338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338</v>
      </c>
      <c r="L278" s="145" t="s">
        <v>635</v>
      </c>
      <c r="M278" s="145" t="s">
        <v>338</v>
      </c>
      <c r="N278" s="145" t="s">
        <v>338</v>
      </c>
      <c r="O278" s="146">
        <v>355</v>
      </c>
      <c r="P278" s="145" t="s">
        <v>338</v>
      </c>
      <c r="Q278" s="146">
        <v>355</v>
      </c>
      <c r="R278" s="145" t="s">
        <v>338</v>
      </c>
      <c r="S278" s="145" t="s">
        <v>338</v>
      </c>
      <c r="T278" s="145" t="s">
        <v>338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5" t="s">
        <v>338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5" t="s">
        <v>338</v>
      </c>
      <c r="AE278" s="145" t="s">
        <v>338</v>
      </c>
      <c r="AF278" s="145" t="s">
        <v>505</v>
      </c>
    </row>
    <row r="279" spans="1:32">
      <c r="A279" s="145" t="s">
        <v>930</v>
      </c>
      <c r="B279" s="145" t="s">
        <v>562</v>
      </c>
      <c r="C279" s="145" t="s">
        <v>657</v>
      </c>
      <c r="D279" s="145" t="s">
        <v>338</v>
      </c>
      <c r="E279" s="145" t="s">
        <v>338</v>
      </c>
      <c r="F279" s="145" t="s">
        <v>338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338</v>
      </c>
      <c r="L279" s="145" t="s">
        <v>635</v>
      </c>
      <c r="M279" s="145" t="s">
        <v>338</v>
      </c>
      <c r="N279" s="145" t="s">
        <v>338</v>
      </c>
      <c r="O279" s="146">
        <v>200</v>
      </c>
      <c r="P279" s="145" t="s">
        <v>338</v>
      </c>
      <c r="Q279" s="146">
        <v>200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5" t="s">
        <v>338</v>
      </c>
      <c r="AD279" s="145" t="s">
        <v>338</v>
      </c>
      <c r="AE279" s="145" t="s">
        <v>338</v>
      </c>
      <c r="AF279" s="145" t="s">
        <v>505</v>
      </c>
    </row>
    <row r="280" spans="1:32">
      <c r="A280" s="145" t="s">
        <v>931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338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338</v>
      </c>
      <c r="L280" s="145" t="s">
        <v>635</v>
      </c>
      <c r="M280" s="145" t="s">
        <v>338</v>
      </c>
      <c r="N280" s="145" t="s">
        <v>338</v>
      </c>
      <c r="O280" s="146">
        <v>90</v>
      </c>
      <c r="P280" s="145" t="s">
        <v>338</v>
      </c>
      <c r="Q280" s="146">
        <v>6488</v>
      </c>
      <c r="R280" s="146">
        <v>90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5" t="s">
        <v>338</v>
      </c>
      <c r="AE280" s="145" t="s">
        <v>338</v>
      </c>
      <c r="AF280" s="145" t="s">
        <v>504</v>
      </c>
    </row>
    <row r="281" spans="1:32">
      <c r="A281" s="145" t="s">
        <v>932</v>
      </c>
      <c r="B281" s="145" t="s">
        <v>562</v>
      </c>
      <c r="C281" s="145" t="s">
        <v>657</v>
      </c>
      <c r="D281" s="145" t="s">
        <v>338</v>
      </c>
      <c r="E281" s="145" t="s">
        <v>338</v>
      </c>
      <c r="F281" s="145" t="s">
        <v>338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338</v>
      </c>
      <c r="L281" s="145" t="s">
        <v>635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6">
        <v>6030</v>
      </c>
      <c r="R281" s="145" t="s">
        <v>338</v>
      </c>
      <c r="S281" s="145" t="s">
        <v>338</v>
      </c>
      <c r="T281" s="145" t="s">
        <v>338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5" t="s">
        <v>338</v>
      </c>
      <c r="AE281" s="145" t="s">
        <v>338</v>
      </c>
      <c r="AF281" s="145" t="s">
        <v>504</v>
      </c>
    </row>
    <row r="282" spans="1:32">
      <c r="A282" s="145" t="s">
        <v>933</v>
      </c>
      <c r="B282" s="145" t="s">
        <v>562</v>
      </c>
      <c r="C282" s="145" t="s">
        <v>872</v>
      </c>
      <c r="D282" s="145" t="s">
        <v>338</v>
      </c>
      <c r="E282" s="145" t="s">
        <v>338</v>
      </c>
      <c r="F282" s="145" t="s">
        <v>338</v>
      </c>
      <c r="G282" s="145" t="s">
        <v>634</v>
      </c>
      <c r="H282" s="145">
        <v>51</v>
      </c>
      <c r="I282" s="145" t="s">
        <v>207</v>
      </c>
      <c r="J282" s="146">
        <v>710</v>
      </c>
      <c r="K282" s="145" t="s">
        <v>338</v>
      </c>
      <c r="L282" s="145" t="s">
        <v>635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6">
        <v>5210</v>
      </c>
      <c r="R282" s="145" t="s">
        <v>338</v>
      </c>
      <c r="S282" s="145" t="s">
        <v>338</v>
      </c>
      <c r="T282" s="145" t="s">
        <v>338</v>
      </c>
      <c r="U282" s="145" t="s">
        <v>338</v>
      </c>
      <c r="V282" s="145" t="s">
        <v>338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5" t="s">
        <v>338</v>
      </c>
      <c r="AE282" s="145" t="s">
        <v>338</v>
      </c>
      <c r="AF282" s="145" t="s">
        <v>504</v>
      </c>
    </row>
    <row r="283" spans="1:32">
      <c r="A283" s="145" t="s">
        <v>934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338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338</v>
      </c>
      <c r="L283" s="145" t="s">
        <v>635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6">
        <v>5082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5" t="s">
        <v>338</v>
      </c>
      <c r="W283" s="145" t="s">
        <v>338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5" t="s">
        <v>338</v>
      </c>
      <c r="AE283" s="145" t="s">
        <v>338</v>
      </c>
      <c r="AF283" s="145" t="s">
        <v>504</v>
      </c>
    </row>
    <row r="284" spans="1:32">
      <c r="A284" s="145" t="s">
        <v>935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338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338</v>
      </c>
      <c r="L284" s="145" t="s">
        <v>635</v>
      </c>
      <c r="M284" s="145" t="s">
        <v>338</v>
      </c>
      <c r="N284" s="145" t="s">
        <v>338</v>
      </c>
      <c r="O284" s="145" t="s">
        <v>338</v>
      </c>
      <c r="P284" s="145" t="s">
        <v>338</v>
      </c>
      <c r="Q284" s="146">
        <v>2390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5" t="s">
        <v>338</v>
      </c>
      <c r="X284" s="145" t="s">
        <v>338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5" t="s">
        <v>338</v>
      </c>
      <c r="AE284" s="145" t="s">
        <v>338</v>
      </c>
      <c r="AF284" s="145" t="s">
        <v>505</v>
      </c>
    </row>
    <row r="285" spans="1:32">
      <c r="A285" s="145" t="s">
        <v>936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338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338</v>
      </c>
      <c r="L285" s="145" t="s">
        <v>635</v>
      </c>
      <c r="M285" s="145" t="s">
        <v>338</v>
      </c>
      <c r="N285" s="145" t="s">
        <v>338</v>
      </c>
      <c r="O285" s="145" t="s">
        <v>338</v>
      </c>
      <c r="P285" s="145" t="s">
        <v>338</v>
      </c>
      <c r="Q285" s="146">
        <v>2160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5" t="s">
        <v>338</v>
      </c>
      <c r="AE285" s="145" t="s">
        <v>338</v>
      </c>
      <c r="AF285" s="145" t="s">
        <v>504</v>
      </c>
    </row>
    <row r="286" spans="1:32">
      <c r="A286" s="145" t="s">
        <v>937</v>
      </c>
      <c r="B286" s="145" t="s">
        <v>562</v>
      </c>
      <c r="C286" s="145" t="s">
        <v>657</v>
      </c>
      <c r="D286" s="145" t="s">
        <v>338</v>
      </c>
      <c r="E286" s="145" t="s">
        <v>338</v>
      </c>
      <c r="F286" s="145" t="s">
        <v>338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338</v>
      </c>
      <c r="L286" s="145" t="s">
        <v>635</v>
      </c>
      <c r="M286" s="145" t="s">
        <v>338</v>
      </c>
      <c r="N286" s="145" t="s">
        <v>338</v>
      </c>
      <c r="O286" s="145" t="s">
        <v>338</v>
      </c>
      <c r="P286" s="145" t="s">
        <v>338</v>
      </c>
      <c r="Q286" s="146">
        <v>2061.25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5" t="s">
        <v>338</v>
      </c>
      <c r="AE286" s="145" t="s">
        <v>338</v>
      </c>
      <c r="AF286" s="145" t="s">
        <v>504</v>
      </c>
    </row>
    <row r="287" spans="1:32">
      <c r="A287" s="145" t="s">
        <v>938</v>
      </c>
      <c r="B287" s="145" t="s">
        <v>562</v>
      </c>
      <c r="C287" s="145" t="s">
        <v>872</v>
      </c>
      <c r="D287" s="145" t="s">
        <v>338</v>
      </c>
      <c r="E287" s="145" t="s">
        <v>338</v>
      </c>
      <c r="F287" s="145" t="s">
        <v>338</v>
      </c>
      <c r="G287" s="145" t="s">
        <v>939</v>
      </c>
      <c r="H287" s="145">
        <v>51</v>
      </c>
      <c r="I287" s="145" t="s">
        <v>206</v>
      </c>
      <c r="J287" s="146">
        <v>303.33333333333331</v>
      </c>
      <c r="K287" s="145" t="s">
        <v>338</v>
      </c>
      <c r="L287" s="145" t="s">
        <v>635</v>
      </c>
      <c r="M287" s="145" t="s">
        <v>338</v>
      </c>
      <c r="N287" s="145" t="s">
        <v>338</v>
      </c>
      <c r="O287" s="145" t="s">
        <v>338</v>
      </c>
      <c r="P287" s="145" t="s">
        <v>338</v>
      </c>
      <c r="Q287" s="146">
        <v>2035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5" t="s">
        <v>338</v>
      </c>
      <c r="AE287" s="145" t="s">
        <v>338</v>
      </c>
      <c r="AF287" s="145" t="s">
        <v>504</v>
      </c>
    </row>
    <row r="288" spans="1:32">
      <c r="A288" s="145" t="s">
        <v>940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338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338</v>
      </c>
      <c r="L288" s="145" t="s">
        <v>635</v>
      </c>
      <c r="M288" s="145" t="s">
        <v>338</v>
      </c>
      <c r="N288" s="145" t="s">
        <v>338</v>
      </c>
      <c r="O288" s="145" t="s">
        <v>338</v>
      </c>
      <c r="P288" s="145" t="s">
        <v>338</v>
      </c>
      <c r="Q288" s="146">
        <v>1870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5" t="s">
        <v>338</v>
      </c>
      <c r="AE288" s="145" t="s">
        <v>338</v>
      </c>
      <c r="AF288" s="145" t="s">
        <v>504</v>
      </c>
    </row>
    <row r="289" spans="1:32">
      <c r="A289" s="145" t="s">
        <v>941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338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338</v>
      </c>
      <c r="L289" s="145" t="s">
        <v>635</v>
      </c>
      <c r="M289" s="145" t="s">
        <v>338</v>
      </c>
      <c r="N289" s="145" t="s">
        <v>338</v>
      </c>
      <c r="O289" s="145" t="s">
        <v>338</v>
      </c>
      <c r="P289" s="145" t="s">
        <v>338</v>
      </c>
      <c r="Q289" s="146">
        <v>1735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5" t="s">
        <v>338</v>
      </c>
      <c r="AE289" s="145" t="s">
        <v>338</v>
      </c>
      <c r="AF289" s="145" t="s">
        <v>504</v>
      </c>
    </row>
    <row r="290" spans="1:32">
      <c r="A290" s="145" t="s">
        <v>942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338</v>
      </c>
      <c r="G290" s="145" t="s">
        <v>620</v>
      </c>
      <c r="H290" s="145">
        <v>35</v>
      </c>
      <c r="I290" s="145" t="s">
        <v>205</v>
      </c>
      <c r="J290" s="146">
        <v>335</v>
      </c>
      <c r="K290" s="145" t="s">
        <v>338</v>
      </c>
      <c r="L290" s="145" t="s">
        <v>635</v>
      </c>
      <c r="M290" s="145" t="s">
        <v>338</v>
      </c>
      <c r="N290" s="145" t="s">
        <v>338</v>
      </c>
      <c r="O290" s="145" t="s">
        <v>338</v>
      </c>
      <c r="P290" s="145" t="s">
        <v>338</v>
      </c>
      <c r="Q290" s="146">
        <v>1665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5" t="s">
        <v>338</v>
      </c>
      <c r="AE290" s="145" t="s">
        <v>338</v>
      </c>
      <c r="AF290" s="145" t="s">
        <v>505</v>
      </c>
    </row>
    <row r="291" spans="1:32">
      <c r="A291" s="145" t="s">
        <v>943</v>
      </c>
      <c r="B291" s="145" t="s">
        <v>562</v>
      </c>
      <c r="C291" s="145" t="s">
        <v>657</v>
      </c>
      <c r="D291" s="145" t="s">
        <v>338</v>
      </c>
      <c r="E291" s="145" t="s">
        <v>338</v>
      </c>
      <c r="F291" s="145" t="s">
        <v>338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338</v>
      </c>
      <c r="L291" s="145" t="s">
        <v>635</v>
      </c>
      <c r="M291" s="145" t="s">
        <v>338</v>
      </c>
      <c r="N291" s="145" t="s">
        <v>338</v>
      </c>
      <c r="O291" s="145" t="s">
        <v>338</v>
      </c>
      <c r="P291" s="145" t="s">
        <v>338</v>
      </c>
      <c r="Q291" s="146">
        <v>1655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5" t="s">
        <v>338</v>
      </c>
      <c r="AE291" s="145" t="s">
        <v>338</v>
      </c>
      <c r="AF291" s="145" t="s">
        <v>504</v>
      </c>
    </row>
    <row r="292" spans="1:32">
      <c r="A292" s="145" t="s">
        <v>944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338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338</v>
      </c>
      <c r="L292" s="145" t="s">
        <v>635</v>
      </c>
      <c r="M292" s="145" t="s">
        <v>338</v>
      </c>
      <c r="N292" s="145" t="s">
        <v>338</v>
      </c>
      <c r="O292" s="145" t="s">
        <v>338</v>
      </c>
      <c r="P292" s="145" t="s">
        <v>338</v>
      </c>
      <c r="Q292" s="146">
        <v>1580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5" t="s">
        <v>338</v>
      </c>
      <c r="AE292" s="145" t="s">
        <v>338</v>
      </c>
      <c r="AF292" s="145" t="s">
        <v>505</v>
      </c>
    </row>
    <row r="293" spans="1:32">
      <c r="A293" s="145" t="s">
        <v>945</v>
      </c>
      <c r="B293" s="145" t="s">
        <v>562</v>
      </c>
      <c r="C293" s="145" t="s">
        <v>872</v>
      </c>
      <c r="D293" s="145" t="s">
        <v>338</v>
      </c>
      <c r="E293" s="145" t="s">
        <v>338</v>
      </c>
      <c r="F293" s="145" t="s">
        <v>338</v>
      </c>
      <c r="G293" s="145" t="s">
        <v>634</v>
      </c>
      <c r="H293" s="145">
        <v>49</v>
      </c>
      <c r="I293" s="145" t="s">
        <v>205</v>
      </c>
      <c r="J293" s="146">
        <v>300</v>
      </c>
      <c r="K293" s="145" t="s">
        <v>338</v>
      </c>
      <c r="L293" s="145" t="s">
        <v>635</v>
      </c>
      <c r="M293" s="145" t="s">
        <v>338</v>
      </c>
      <c r="N293" s="145" t="s">
        <v>338</v>
      </c>
      <c r="O293" s="145" t="s">
        <v>338</v>
      </c>
      <c r="P293" s="145" t="s">
        <v>338</v>
      </c>
      <c r="Q293" s="146">
        <v>1545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5" t="s">
        <v>338</v>
      </c>
      <c r="AE293" s="145" t="s">
        <v>338</v>
      </c>
      <c r="AF293" s="145" t="s">
        <v>504</v>
      </c>
    </row>
    <row r="294" spans="1:32">
      <c r="A294" s="145" t="s">
        <v>946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338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338</v>
      </c>
      <c r="L294" s="145" t="s">
        <v>635</v>
      </c>
      <c r="M294" s="145" t="s">
        <v>338</v>
      </c>
      <c r="N294" s="145" t="s">
        <v>338</v>
      </c>
      <c r="O294" s="145" t="s">
        <v>338</v>
      </c>
      <c r="P294" s="145" t="s">
        <v>338</v>
      </c>
      <c r="Q294" s="146">
        <v>1185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5" t="s">
        <v>338</v>
      </c>
      <c r="AE294" s="145" t="s">
        <v>338</v>
      </c>
      <c r="AF294" s="145" t="s">
        <v>504</v>
      </c>
    </row>
    <row r="295" spans="1:32">
      <c r="A295" s="145" t="s">
        <v>947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338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338</v>
      </c>
      <c r="L295" s="145" t="s">
        <v>635</v>
      </c>
      <c r="M295" s="145" t="s">
        <v>338</v>
      </c>
      <c r="N295" s="145" t="s">
        <v>338</v>
      </c>
      <c r="O295" s="145" t="s">
        <v>338</v>
      </c>
      <c r="P295" s="145" t="s">
        <v>338</v>
      </c>
      <c r="Q295" s="146">
        <v>1125.75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5" t="s">
        <v>338</v>
      </c>
      <c r="AE295" s="145" t="s">
        <v>338</v>
      </c>
      <c r="AF295" s="145" t="s">
        <v>505</v>
      </c>
    </row>
    <row r="296" spans="1:32">
      <c r="A296" s="145" t="s">
        <v>948</v>
      </c>
      <c r="B296" s="145" t="s">
        <v>562</v>
      </c>
      <c r="C296" s="145" t="s">
        <v>872</v>
      </c>
      <c r="D296" s="145" t="s">
        <v>338</v>
      </c>
      <c r="E296" s="145" t="s">
        <v>338</v>
      </c>
      <c r="F296" s="145" t="s">
        <v>338</v>
      </c>
      <c r="G296" s="145" t="s">
        <v>572</v>
      </c>
      <c r="H296" s="145">
        <v>24</v>
      </c>
      <c r="I296" s="145" t="s">
        <v>201</v>
      </c>
      <c r="J296" s="146">
        <v>875</v>
      </c>
      <c r="K296" s="145" t="s">
        <v>338</v>
      </c>
      <c r="L296" s="145" t="s">
        <v>635</v>
      </c>
      <c r="M296" s="145" t="s">
        <v>338</v>
      </c>
      <c r="N296" s="145" t="s">
        <v>338</v>
      </c>
      <c r="O296" s="145" t="s">
        <v>338</v>
      </c>
      <c r="P296" s="145" t="s">
        <v>338</v>
      </c>
      <c r="Q296" s="146">
        <v>875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5" t="s">
        <v>338</v>
      </c>
      <c r="AE296" s="145" t="s">
        <v>338</v>
      </c>
      <c r="AF296" s="145" t="s">
        <v>504</v>
      </c>
    </row>
    <row r="297" spans="1:32">
      <c r="A297" s="145" t="s">
        <v>949</v>
      </c>
      <c r="B297" s="145" t="s">
        <v>562</v>
      </c>
      <c r="C297" s="145" t="s">
        <v>657</v>
      </c>
      <c r="D297" s="145" t="s">
        <v>338</v>
      </c>
      <c r="E297" s="145" t="s">
        <v>338</v>
      </c>
      <c r="F297" s="145" t="s">
        <v>338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338</v>
      </c>
      <c r="L297" s="145" t="s">
        <v>635</v>
      </c>
      <c r="M297" s="145" t="s">
        <v>338</v>
      </c>
      <c r="N297" s="145" t="s">
        <v>338</v>
      </c>
      <c r="O297" s="145" t="s">
        <v>338</v>
      </c>
      <c r="P297" s="145" t="s">
        <v>338</v>
      </c>
      <c r="Q297" s="146">
        <v>860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5" t="s">
        <v>338</v>
      </c>
      <c r="AE297" s="145" t="s">
        <v>338</v>
      </c>
      <c r="AF297" s="145" t="s">
        <v>504</v>
      </c>
    </row>
    <row r="298" spans="1:32">
      <c r="A298" s="145" t="s">
        <v>950</v>
      </c>
      <c r="B298" s="145" t="s">
        <v>562</v>
      </c>
      <c r="C298" s="145" t="s">
        <v>872</v>
      </c>
      <c r="D298" s="145" t="s">
        <v>338</v>
      </c>
      <c r="E298" s="145" t="s">
        <v>338</v>
      </c>
      <c r="F298" s="145" t="s">
        <v>338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338</v>
      </c>
      <c r="L298" s="145" t="s">
        <v>635</v>
      </c>
      <c r="M298" s="145" t="s">
        <v>338</v>
      </c>
      <c r="N298" s="145" t="s">
        <v>338</v>
      </c>
      <c r="O298" s="145" t="s">
        <v>338</v>
      </c>
      <c r="P298" s="145" t="s">
        <v>338</v>
      </c>
      <c r="Q298" s="146">
        <v>800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5" t="s">
        <v>338</v>
      </c>
      <c r="AE298" s="145" t="s">
        <v>338</v>
      </c>
      <c r="AF298" s="145" t="s">
        <v>505</v>
      </c>
    </row>
    <row r="299" spans="1:32">
      <c r="A299" s="145" t="s">
        <v>951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338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338</v>
      </c>
      <c r="L299" s="145" t="s">
        <v>635</v>
      </c>
      <c r="M299" s="145" t="s">
        <v>338</v>
      </c>
      <c r="N299" s="145" t="s">
        <v>338</v>
      </c>
      <c r="O299" s="145" t="s">
        <v>338</v>
      </c>
      <c r="P299" s="145" t="s">
        <v>338</v>
      </c>
      <c r="Q299" s="146">
        <v>790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5" t="s">
        <v>338</v>
      </c>
      <c r="AE299" s="145" t="s">
        <v>338</v>
      </c>
      <c r="AF299" s="145" t="s">
        <v>504</v>
      </c>
    </row>
    <row r="300" spans="1:32">
      <c r="A300" s="145" t="s">
        <v>952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338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338</v>
      </c>
      <c r="L300" s="145" t="s">
        <v>635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6">
        <v>760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5" t="s">
        <v>338</v>
      </c>
      <c r="AE300" s="145" t="s">
        <v>338</v>
      </c>
      <c r="AF300" s="145" t="s">
        <v>505</v>
      </c>
    </row>
    <row r="301" spans="1:32">
      <c r="A301" s="145" t="s">
        <v>953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338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338</v>
      </c>
      <c r="L301" s="145" t="s">
        <v>635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6">
        <v>660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5" t="s">
        <v>338</v>
      </c>
      <c r="AE301" s="145" t="s">
        <v>338</v>
      </c>
      <c r="AF301" s="145" t="s">
        <v>505</v>
      </c>
    </row>
    <row r="302" spans="1:32">
      <c r="A302" s="145" t="s">
        <v>954</v>
      </c>
      <c r="B302" s="145" t="s">
        <v>562</v>
      </c>
      <c r="C302" s="145" t="s">
        <v>657</v>
      </c>
      <c r="D302" s="145" t="s">
        <v>338</v>
      </c>
      <c r="E302" s="145" t="s">
        <v>338</v>
      </c>
      <c r="F302" s="145" t="s">
        <v>338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338</v>
      </c>
      <c r="L302" s="145" t="s">
        <v>635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6">
        <v>561.25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5" t="s">
        <v>338</v>
      </c>
      <c r="AE302" s="145" t="s">
        <v>338</v>
      </c>
      <c r="AF302" s="145" t="s">
        <v>505</v>
      </c>
    </row>
    <row r="303" spans="1:32">
      <c r="A303" s="145" t="s">
        <v>955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338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338</v>
      </c>
      <c r="L303" s="145" t="s">
        <v>635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6">
        <v>510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5" t="s">
        <v>338</v>
      </c>
      <c r="AE303" s="145" t="s">
        <v>338</v>
      </c>
      <c r="AF303" s="145" t="s">
        <v>505</v>
      </c>
    </row>
    <row r="304" spans="1:32">
      <c r="A304" s="145" t="s">
        <v>956</v>
      </c>
      <c r="B304" s="145" t="s">
        <v>562</v>
      </c>
      <c r="C304" s="145" t="s">
        <v>657</v>
      </c>
      <c r="D304" s="145" t="s">
        <v>338</v>
      </c>
      <c r="E304" s="145" t="s">
        <v>338</v>
      </c>
      <c r="F304" s="145" t="s">
        <v>338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338</v>
      </c>
      <c r="L304" s="145" t="s">
        <v>635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6">
        <v>375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5" t="s">
        <v>338</v>
      </c>
      <c r="AE304" s="145" t="s">
        <v>338</v>
      </c>
      <c r="AF304" s="145" t="s">
        <v>505</v>
      </c>
    </row>
    <row r="305" spans="1:32">
      <c r="A305" s="145" t="s">
        <v>957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338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338</v>
      </c>
      <c r="L305" s="145" t="s">
        <v>635</v>
      </c>
      <c r="M305" s="145" t="s">
        <v>338</v>
      </c>
      <c r="N305" s="145" t="s">
        <v>338</v>
      </c>
      <c r="O305" s="145" t="s">
        <v>338</v>
      </c>
      <c r="P305" s="145" t="s">
        <v>338</v>
      </c>
      <c r="Q305" s="146">
        <v>360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5" t="s">
        <v>338</v>
      </c>
      <c r="AE305" s="145" t="s">
        <v>338</v>
      </c>
      <c r="AF305" s="145" t="s">
        <v>505</v>
      </c>
    </row>
    <row r="306" spans="1:32">
      <c r="A306" s="145" t="s">
        <v>958</v>
      </c>
      <c r="B306" s="145" t="s">
        <v>562</v>
      </c>
      <c r="C306" s="145" t="s">
        <v>872</v>
      </c>
      <c r="D306" s="145" t="s">
        <v>338</v>
      </c>
      <c r="E306" s="145" t="s">
        <v>338</v>
      </c>
      <c r="F306" s="145" t="s">
        <v>338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338</v>
      </c>
      <c r="L306" s="145" t="s">
        <v>635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6">
        <v>350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5" t="s">
        <v>338</v>
      </c>
      <c r="AE306" s="145" t="s">
        <v>338</v>
      </c>
      <c r="AF306" s="145" t="s">
        <v>505</v>
      </c>
    </row>
    <row r="307" spans="1:32">
      <c r="A307" s="145" t="s">
        <v>959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338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338</v>
      </c>
      <c r="L307" s="145" t="s">
        <v>635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6">
        <v>229.5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5" t="s">
        <v>338</v>
      </c>
      <c r="AE307" s="145" t="s">
        <v>338</v>
      </c>
      <c r="AF307" s="145" t="s">
        <v>504</v>
      </c>
    </row>
    <row r="308" spans="1:32">
      <c r="A308" s="145" t="s">
        <v>960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338</v>
      </c>
      <c r="G308" s="145" t="s">
        <v>588</v>
      </c>
      <c r="H308" s="145">
        <v>13</v>
      </c>
      <c r="I308" s="145" t="s">
        <v>200</v>
      </c>
      <c r="J308" s="146">
        <v>210</v>
      </c>
      <c r="K308" s="145" t="s">
        <v>338</v>
      </c>
      <c r="L308" s="145" t="s">
        <v>635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6">
        <v>210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5" t="s">
        <v>338</v>
      </c>
      <c r="AE308" s="145" t="s">
        <v>338</v>
      </c>
      <c r="AF308" s="145" t="s">
        <v>504</v>
      </c>
    </row>
    <row r="309" spans="1:32">
      <c r="A309" s="145" t="s">
        <v>961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338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338</v>
      </c>
      <c r="L309" s="145" t="s">
        <v>635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6">
        <v>85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5" t="s">
        <v>338</v>
      </c>
      <c r="AE309" s="145" t="s">
        <v>338</v>
      </c>
      <c r="AF309" s="145" t="s">
        <v>505</v>
      </c>
    </row>
    <row r="310" spans="1:32">
      <c r="A310" s="145" t="s">
        <v>962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338</v>
      </c>
      <c r="G310" s="145" t="s">
        <v>808</v>
      </c>
      <c r="H310" s="145">
        <v>39</v>
      </c>
      <c r="I310" s="145" t="s">
        <v>200</v>
      </c>
      <c r="J310" s="146">
        <v>15</v>
      </c>
      <c r="K310" s="145" t="s">
        <v>338</v>
      </c>
      <c r="L310" s="145" t="s">
        <v>635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6">
        <v>15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5" t="s">
        <v>338</v>
      </c>
      <c r="AE310" s="145" t="s">
        <v>338</v>
      </c>
      <c r="AF310" s="145" t="s">
        <v>504</v>
      </c>
    </row>
    <row r="312" spans="1:32">
      <c r="A312" s="145" t="s">
        <v>449</v>
      </c>
      <c r="B312" s="145" t="s">
        <v>963</v>
      </c>
      <c r="C312" s="145" t="s">
        <v>338</v>
      </c>
      <c r="D312" s="145" t="s">
        <v>338</v>
      </c>
      <c r="E312" s="145" t="s">
        <v>338</v>
      </c>
      <c r="F312" s="145" t="s">
        <v>338</v>
      </c>
      <c r="G312" s="145" t="s">
        <v>338</v>
      </c>
      <c r="H312" s="145" t="s">
        <v>338</v>
      </c>
      <c r="I312" s="145" t="s">
        <v>338</v>
      </c>
      <c r="J312" s="146">
        <v>325078.2983333334</v>
      </c>
      <c r="K312" s="145">
        <v>4211</v>
      </c>
      <c r="L312" s="145" t="s">
        <v>338</v>
      </c>
      <c r="M312" s="145" t="s">
        <v>338</v>
      </c>
      <c r="N312" s="145" t="s">
        <v>338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5" t="s">
        <v>338</v>
      </c>
      <c r="AE312" s="145" t="s">
        <v>338</v>
      </c>
      <c r="AF312" s="145" t="s">
        <v>338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1297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1298</v>
      </c>
      <c r="C6" s="177" t="s">
        <v>1299</v>
      </c>
    </row>
    <row r="7" spans="2:7">
      <c r="B7" s="171" t="s">
        <v>498</v>
      </c>
      <c r="C7" s="171" t="s">
        <v>1300</v>
      </c>
    </row>
    <row r="8" spans="2:7">
      <c r="B8" s="171" t="s">
        <v>632</v>
      </c>
      <c r="C8" s="171" t="s">
        <v>1301</v>
      </c>
    </row>
    <row r="9" spans="2:7">
      <c r="B9" s="171" t="s">
        <v>657</v>
      </c>
      <c r="C9" s="171" t="s">
        <v>1302</v>
      </c>
    </row>
    <row r="10" spans="2:7">
      <c r="B10" s="171" t="s">
        <v>678</v>
      </c>
      <c r="C10" s="171" t="s">
        <v>1178</v>
      </c>
    </row>
    <row r="11" spans="2:7">
      <c r="B11" s="171" t="s">
        <v>728</v>
      </c>
      <c r="C11" s="171" t="s">
        <v>1303</v>
      </c>
    </row>
    <row r="12" spans="2:7">
      <c r="B12" s="171" t="s">
        <v>872</v>
      </c>
      <c r="C12" s="171" t="s">
        <v>1301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1004</v>
      </c>
    </row>
    <row r="2" spans="1:2">
      <c r="A2" s="145" t="s">
        <v>1005</v>
      </c>
    </row>
    <row r="4" spans="1:2">
      <c r="A4" s="145" t="s">
        <v>1006</v>
      </c>
    </row>
    <row r="5" spans="1:2">
      <c r="A5" s="145" t="s">
        <v>1007</v>
      </c>
      <c r="B5" s="145" t="s">
        <v>1008</v>
      </c>
    </row>
    <row r="6" spans="1:2">
      <c r="A6" s="145" t="s">
        <v>1009</v>
      </c>
      <c r="B6" s="145" t="s">
        <v>1010</v>
      </c>
    </row>
    <row r="7" spans="1:2">
      <c r="A7" s="145" t="s">
        <v>1011</v>
      </c>
      <c r="B7" s="145" t="s">
        <v>1012</v>
      </c>
    </row>
    <row r="9" spans="1:2">
      <c r="A9" s="145" t="s">
        <v>1013</v>
      </c>
    </row>
    <row r="10" spans="1:2">
      <c r="A10" s="145" t="s">
        <v>1014</v>
      </c>
    </row>
    <row r="11" spans="1:2">
      <c r="A11" s="145" t="s">
        <v>1015</v>
      </c>
    </row>
    <row r="12" spans="1:2">
      <c r="A12" s="145" t="s">
        <v>1016</v>
      </c>
    </row>
    <row r="13" spans="1:2">
      <c r="A13" s="145" t="s">
        <v>338</v>
      </c>
    </row>
    <row r="14" spans="1:2">
      <c r="A14" s="145" t="s">
        <v>1017</v>
      </c>
    </row>
    <row r="15" spans="1:2">
      <c r="A15" s="145" t="s">
        <v>1018</v>
      </c>
    </row>
    <row r="17" spans="1:2">
      <c r="A17" s="145" t="s">
        <v>1019</v>
      </c>
    </row>
    <row r="18" spans="1:2">
      <c r="A18" s="145" t="s">
        <v>1020</v>
      </c>
    </row>
    <row r="19" spans="1:2">
      <c r="A19" s="145" t="s">
        <v>1021</v>
      </c>
    </row>
    <row r="20" spans="1:2">
      <c r="A20" s="145" t="s">
        <v>1022</v>
      </c>
    </row>
    <row r="21" spans="1:2">
      <c r="A21" s="145" t="s">
        <v>1023</v>
      </c>
    </row>
    <row r="22" spans="1:2">
      <c r="A22" s="145" t="s">
        <v>1024</v>
      </c>
    </row>
    <row r="23" spans="1:2">
      <c r="A23" s="145" t="s">
        <v>1025</v>
      </c>
    </row>
    <row r="25" spans="1:2">
      <c r="A25" s="145" t="s">
        <v>1026</v>
      </c>
    </row>
    <row r="26" spans="1:2">
      <c r="A26" s="145" t="s">
        <v>1027</v>
      </c>
      <c r="B26" s="147">
        <v>1874906.59</v>
      </c>
    </row>
    <row r="27" spans="1:2">
      <c r="A27" s="145" t="s">
        <v>1028</v>
      </c>
      <c r="B27" s="147">
        <v>1667598.3199999998</v>
      </c>
    </row>
    <row r="28" spans="1:2">
      <c r="A28" s="145" t="s">
        <v>1029</v>
      </c>
      <c r="B28" s="147">
        <v>3542504.9099999992</v>
      </c>
    </row>
    <row r="29" spans="1:2">
      <c r="A29" s="145" t="s">
        <v>1030</v>
      </c>
      <c r="B29" s="147">
        <v>2561315.7599999998</v>
      </c>
    </row>
    <row r="30" spans="1:2">
      <c r="A30" s="145" t="s">
        <v>1031</v>
      </c>
      <c r="B30" s="147">
        <v>251179.65</v>
      </c>
    </row>
    <row r="31" spans="1:2">
      <c r="A31" s="145" t="s">
        <v>1032</v>
      </c>
      <c r="B31" s="147">
        <v>3014155.8</v>
      </c>
    </row>
    <row r="32" spans="1:2">
      <c r="A32" s="145" t="s">
        <v>1033</v>
      </c>
      <c r="B32" s="147">
        <v>0.69956865095787091</v>
      </c>
    </row>
    <row r="33" spans="1:2">
      <c r="A33" s="145" t="s">
        <v>1034</v>
      </c>
      <c r="B33" s="147">
        <v>195</v>
      </c>
    </row>
    <row r="34" spans="1:2">
      <c r="A34" s="145" t="s">
        <v>1035</v>
      </c>
      <c r="B34" s="147">
        <v>307</v>
      </c>
    </row>
    <row r="36" spans="1:2">
      <c r="A36" s="145" t="s">
        <v>1036</v>
      </c>
    </row>
    <row r="37" spans="1:2">
      <c r="A37" s="145" t="s">
        <v>1037</v>
      </c>
    </row>
    <row r="38" spans="1:2">
      <c r="A38" s="145" t="s">
        <v>1038</v>
      </c>
    </row>
    <row r="39" spans="1:2">
      <c r="A39" s="145" t="s">
        <v>1039</v>
      </c>
    </row>
    <row r="40" spans="1:2">
      <c r="A40" s="145" t="s">
        <v>1040</v>
      </c>
    </row>
    <row r="41" spans="1:2">
      <c r="A41" s="145" t="s">
        <v>1041</v>
      </c>
    </row>
    <row r="43" spans="1:2">
      <c r="A43" s="145" t="s">
        <v>1042</v>
      </c>
    </row>
    <row r="44" spans="1:2">
      <c r="A44" s="145" t="s">
        <v>1043</v>
      </c>
    </row>
    <row r="45" spans="1:2">
      <c r="A45" s="145" t="s">
        <v>1044</v>
      </c>
    </row>
    <row r="46" spans="1:2">
      <c r="A46" s="145" t="s">
        <v>1045</v>
      </c>
    </row>
    <row r="47" spans="1:2">
      <c r="A47" s="145" t="s">
        <v>1046</v>
      </c>
    </row>
    <row r="48" spans="1:2">
      <c r="A48" s="145" t="s">
        <v>1047</v>
      </c>
    </row>
    <row r="49" spans="1:1">
      <c r="A49" s="145" t="s">
        <v>1048</v>
      </c>
    </row>
    <row r="50" spans="1:1">
      <c r="A50" s="145" t="s">
        <v>1049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1050</v>
      </c>
    </row>
    <row r="2" spans="1:2">
      <c r="A2" s="145" t="s">
        <v>1051</v>
      </c>
    </row>
    <row r="4" spans="1:2">
      <c r="A4" s="145" t="s">
        <v>1052</v>
      </c>
      <c r="B4" s="145" t="s">
        <v>1053</v>
      </c>
    </row>
    <row r="5" spans="1:2">
      <c r="A5" s="145" t="s">
        <v>4</v>
      </c>
      <c r="B5" s="146">
        <v>1874906.59</v>
      </c>
    </row>
    <row r="6" spans="1:2">
      <c r="A6" s="145" t="s">
        <v>1054</v>
      </c>
      <c r="B6" s="146">
        <v>1667598.3199999998</v>
      </c>
    </row>
    <row r="7" spans="1:2">
      <c r="A7" s="145" t="s">
        <v>1055</v>
      </c>
      <c r="B7" s="146">
        <v>2561315.7599999998</v>
      </c>
    </row>
    <row r="8" spans="1:2">
      <c r="A8" s="145" t="s">
        <v>1056</v>
      </c>
      <c r="B8" s="146">
        <v>251179.65</v>
      </c>
    </row>
    <row r="9" spans="1:2">
      <c r="A9" s="145" t="s">
        <v>1057</v>
      </c>
      <c r="B9" s="146">
        <v>3014155.8</v>
      </c>
    </row>
    <row r="11" spans="1:2">
      <c r="A11" s="145" t="s">
        <v>1058</v>
      </c>
      <c r="B11" s="145" t="s">
        <v>1059</v>
      </c>
    </row>
    <row r="12" spans="1:2">
      <c r="A12" s="145" t="s">
        <v>1060</v>
      </c>
      <c r="B12" s="170">
        <v>0.62418442297757926</v>
      </c>
    </row>
    <row r="13" spans="1:2">
      <c r="A13" s="145" t="s">
        <v>1061</v>
      </c>
      <c r="B13" s="170">
        <v>0.69956865095787091</v>
      </c>
    </row>
    <row r="14" spans="1:2">
      <c r="A14" s="145" t="s">
        <v>1062</v>
      </c>
      <c r="B14" s="170">
        <v>0.91686562499880764</v>
      </c>
    </row>
    <row r="16" spans="1:2">
      <c r="A16" s="145" t="s">
        <v>1063</v>
      </c>
      <c r="B16" s="145" t="s">
        <v>1064</v>
      </c>
    </row>
    <row r="17" spans="1:5">
      <c r="A17" s="145" t="s">
        <v>1065</v>
      </c>
      <c r="B17" s="146">
        <v>195</v>
      </c>
    </row>
    <row r="18" spans="1:5">
      <c r="A18" s="145" t="s">
        <v>1066</v>
      </c>
      <c r="B18" s="146">
        <v>171</v>
      </c>
    </row>
    <row r="19" spans="1:5">
      <c r="A19" s="145" t="s">
        <v>1067</v>
      </c>
      <c r="B19" s="146">
        <v>156</v>
      </c>
    </row>
    <row r="20" spans="1:5">
      <c r="A20" s="145" t="s">
        <v>1068</v>
      </c>
      <c r="B20" s="146">
        <v>307</v>
      </c>
    </row>
    <row r="21" spans="1:5">
      <c r="A21" s="145" t="s">
        <v>1069</v>
      </c>
      <c r="B21" s="146">
        <v>1288.1007692307692</v>
      </c>
    </row>
    <row r="22" spans="1:5">
      <c r="A22" s="145" t="s">
        <v>1070</v>
      </c>
      <c r="B22" s="146">
        <v>5552.5</v>
      </c>
    </row>
    <row r="24" spans="1:5">
      <c r="A24" s="145" t="s">
        <v>1071</v>
      </c>
      <c r="B24" s="145" t="s">
        <v>1072</v>
      </c>
    </row>
    <row r="25" spans="1:5">
      <c r="A25" s="145" t="s">
        <v>1073</v>
      </c>
      <c r="B25" s="170">
        <v>3.814703033725135E-2</v>
      </c>
    </row>
    <row r="26" spans="1:5">
      <c r="A26" s="145" t="s">
        <v>1074</v>
      </c>
      <c r="B26" s="170">
        <v>0.12870712590313346</v>
      </c>
    </row>
    <row r="27" spans="1:5">
      <c r="A27" s="145" t="s">
        <v>1075</v>
      </c>
      <c r="B27" s="170">
        <v>0.20009113206721532</v>
      </c>
    </row>
    <row r="28" spans="1:5">
      <c r="A28" s="145" t="s">
        <v>1076</v>
      </c>
      <c r="B28" s="170">
        <v>0.3054273519169694</v>
      </c>
    </row>
    <row r="29" spans="1:5">
      <c r="A29" s="145" t="s">
        <v>1077</v>
      </c>
      <c r="B29" s="170">
        <v>0.53592261111921624</v>
      </c>
    </row>
    <row r="31" spans="1:5">
      <c r="A31" s="145" t="s">
        <v>1078</v>
      </c>
    </row>
    <row r="32" spans="1:5">
      <c r="A32" s="145" t="s">
        <v>1079</v>
      </c>
      <c r="B32" s="145" t="s">
        <v>1080</v>
      </c>
      <c r="C32" s="145" t="s">
        <v>1081</v>
      </c>
      <c r="D32" s="145" t="s">
        <v>1082</v>
      </c>
      <c r="E32" s="145" t="s">
        <v>475</v>
      </c>
    </row>
    <row r="33" spans="1:5">
      <c r="A33" s="145" t="s">
        <v>1083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1084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1085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1086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1087</v>
      </c>
    </row>
    <row r="39" spans="1:5">
      <c r="A39" s="145" t="s">
        <v>1088</v>
      </c>
      <c r="B39" s="145" t="s">
        <v>1080</v>
      </c>
      <c r="C39" s="145" t="s">
        <v>1081</v>
      </c>
      <c r="D39" s="145" t="s">
        <v>1082</v>
      </c>
      <c r="E39" s="145" t="s">
        <v>475</v>
      </c>
    </row>
    <row r="40" spans="1:5">
      <c r="A40" s="145" t="s">
        <v>500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1085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616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607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1089</v>
      </c>
    </row>
    <row r="46" spans="1:5">
      <c r="A46" s="145" t="s">
        <v>487</v>
      </c>
      <c r="B46" s="145" t="s">
        <v>1080</v>
      </c>
      <c r="C46" s="145" t="s">
        <v>1081</v>
      </c>
      <c r="D46" s="145" t="s">
        <v>1082</v>
      </c>
      <c r="E46" s="145" t="s">
        <v>475</v>
      </c>
    </row>
    <row r="47" spans="1:5">
      <c r="A47" s="145" t="s">
        <v>514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1085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530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540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525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610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573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598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617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718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805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1090</v>
      </c>
    </row>
    <row r="60" spans="1:5">
      <c r="A60" s="145" t="s">
        <v>1091</v>
      </c>
      <c r="B60" s="145" t="s">
        <v>1080</v>
      </c>
      <c r="C60" s="145" t="s">
        <v>1081</v>
      </c>
      <c r="D60" s="145" t="s">
        <v>1082</v>
      </c>
      <c r="E60" s="145" t="s">
        <v>475</v>
      </c>
    </row>
    <row r="61" spans="1:5">
      <c r="A61" s="145" t="s">
        <v>1085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342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354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764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1092</v>
      </c>
    </row>
    <row r="67" spans="1:11">
      <c r="A67" s="145" t="s">
        <v>1093</v>
      </c>
      <c r="B67" s="145" t="s">
        <v>466</v>
      </c>
      <c r="C67" s="145" t="s">
        <v>1081</v>
      </c>
      <c r="D67" s="145" t="s">
        <v>1082</v>
      </c>
      <c r="E67" s="145" t="s">
        <v>4</v>
      </c>
      <c r="F67" s="145" t="s">
        <v>481</v>
      </c>
      <c r="G67" s="145" t="s">
        <v>1094</v>
      </c>
      <c r="H67" s="145" t="s">
        <v>1079</v>
      </c>
      <c r="I67" s="145" t="s">
        <v>1088</v>
      </c>
      <c r="J67" s="145" t="s">
        <v>1095</v>
      </c>
      <c r="K67" s="145" t="s">
        <v>1096</v>
      </c>
    </row>
    <row r="68" spans="1:11">
      <c r="A68" s="145">
        <v>1</v>
      </c>
      <c r="B68" s="145" t="s">
        <v>496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498</v>
      </c>
      <c r="I68" s="145" t="s">
        <v>500</v>
      </c>
      <c r="J68" s="145" t="s">
        <v>1097</v>
      </c>
      <c r="K68" s="145" t="s">
        <v>504</v>
      </c>
    </row>
    <row r="69" spans="1:11">
      <c r="A69" s="145">
        <v>2</v>
      </c>
      <c r="B69" s="145" t="s">
        <v>512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498</v>
      </c>
      <c r="I69" s="145" t="s">
        <v>500</v>
      </c>
      <c r="J69" s="145" t="s">
        <v>209</v>
      </c>
      <c r="K69" s="145" t="s">
        <v>504</v>
      </c>
    </row>
    <row r="70" spans="1:11">
      <c r="A70" s="145">
        <v>3</v>
      </c>
      <c r="B70" s="145" t="s">
        <v>519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498</v>
      </c>
      <c r="I70" s="145" t="s">
        <v>500</v>
      </c>
      <c r="J70" s="145" t="s">
        <v>1097</v>
      </c>
      <c r="K70" s="145" t="s">
        <v>504</v>
      </c>
    </row>
    <row r="71" spans="1:11">
      <c r="A71" s="145">
        <v>4</v>
      </c>
      <c r="B71" s="145" t="s">
        <v>524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498</v>
      </c>
      <c r="I71" s="145" t="s">
        <v>500</v>
      </c>
      <c r="J71" s="145" t="s">
        <v>202</v>
      </c>
      <c r="K71" s="145" t="s">
        <v>504</v>
      </c>
    </row>
    <row r="72" spans="1:11">
      <c r="A72" s="145">
        <v>5</v>
      </c>
      <c r="B72" s="145" t="s">
        <v>528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498</v>
      </c>
      <c r="I72" s="145" t="s">
        <v>500</v>
      </c>
      <c r="J72" s="145" t="s">
        <v>1097</v>
      </c>
      <c r="K72" s="145" t="s">
        <v>504</v>
      </c>
    </row>
    <row r="73" spans="1:11">
      <c r="A73" s="145">
        <v>6</v>
      </c>
      <c r="B73" s="145" t="s">
        <v>534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498</v>
      </c>
      <c r="I73" s="145" t="s">
        <v>500</v>
      </c>
      <c r="J73" s="145" t="s">
        <v>1097</v>
      </c>
      <c r="K73" s="145" t="s">
        <v>504</v>
      </c>
    </row>
    <row r="74" spans="1:11">
      <c r="A74" s="145">
        <v>7</v>
      </c>
      <c r="B74" s="145" t="s">
        <v>537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498</v>
      </c>
      <c r="I74" s="145" t="s">
        <v>500</v>
      </c>
      <c r="J74" s="145" t="s">
        <v>202</v>
      </c>
      <c r="K74" s="145" t="s">
        <v>504</v>
      </c>
    </row>
    <row r="75" spans="1:11">
      <c r="A75" s="145">
        <v>8</v>
      </c>
      <c r="B75" s="145" t="s">
        <v>539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498</v>
      </c>
      <c r="I75" s="145" t="s">
        <v>500</v>
      </c>
      <c r="J75" s="145" t="s">
        <v>1097</v>
      </c>
      <c r="K75" s="145" t="s">
        <v>504</v>
      </c>
    </row>
    <row r="76" spans="1:11">
      <c r="A76" s="145">
        <v>9</v>
      </c>
      <c r="B76" s="145" t="s">
        <v>542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498</v>
      </c>
      <c r="I76" s="145" t="s">
        <v>500</v>
      </c>
      <c r="J76" s="145" t="s">
        <v>1097</v>
      </c>
      <c r="K76" s="145" t="s">
        <v>504</v>
      </c>
    </row>
    <row r="77" spans="1:11">
      <c r="A77" s="145">
        <v>10</v>
      </c>
      <c r="B77" s="145" t="s">
        <v>544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498</v>
      </c>
      <c r="I77" s="145" t="s">
        <v>500</v>
      </c>
      <c r="J77" s="145" t="s">
        <v>1097</v>
      </c>
      <c r="K77" s="145" t="s">
        <v>504</v>
      </c>
    </row>
    <row r="78" spans="1:11">
      <c r="A78" s="145">
        <v>11</v>
      </c>
      <c r="B78" s="145" t="s">
        <v>547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498</v>
      </c>
      <c r="I78" s="145" t="s">
        <v>500</v>
      </c>
      <c r="J78" s="145" t="s">
        <v>1097</v>
      </c>
      <c r="K78" s="145" t="s">
        <v>504</v>
      </c>
    </row>
    <row r="79" spans="1:11">
      <c r="A79" s="145">
        <v>12</v>
      </c>
      <c r="B79" s="145" t="s">
        <v>551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498</v>
      </c>
      <c r="I79" s="145" t="s">
        <v>500</v>
      </c>
      <c r="J79" s="145" t="s">
        <v>1097</v>
      </c>
      <c r="K79" s="145" t="s">
        <v>504</v>
      </c>
    </row>
    <row r="80" spans="1:11">
      <c r="A80" s="145">
        <v>13</v>
      </c>
      <c r="B80" s="145" t="s">
        <v>552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498</v>
      </c>
      <c r="I80" s="145" t="s">
        <v>500</v>
      </c>
      <c r="J80" s="145" t="s">
        <v>1097</v>
      </c>
      <c r="K80" s="145" t="s">
        <v>504</v>
      </c>
    </row>
    <row r="81" spans="1:11">
      <c r="A81" s="145">
        <v>14</v>
      </c>
      <c r="B81" s="145" t="s">
        <v>554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498</v>
      </c>
      <c r="I81" s="145" t="s">
        <v>500</v>
      </c>
      <c r="J81" s="145" t="s">
        <v>1097</v>
      </c>
      <c r="K81" s="145" t="s">
        <v>504</v>
      </c>
    </row>
    <row r="82" spans="1:11">
      <c r="A82" s="145">
        <v>15</v>
      </c>
      <c r="B82" s="145" t="s">
        <v>559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498</v>
      </c>
      <c r="I82" s="145" t="s">
        <v>500</v>
      </c>
      <c r="J82" s="145" t="s">
        <v>204</v>
      </c>
      <c r="K82" s="145" t="s">
        <v>504</v>
      </c>
    </row>
    <row r="83" spans="1:11">
      <c r="A83" s="145">
        <v>16</v>
      </c>
      <c r="B83" s="145" t="s">
        <v>561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498</v>
      </c>
      <c r="I83" s="145" t="s">
        <v>500</v>
      </c>
      <c r="J83" s="145" t="s">
        <v>207</v>
      </c>
      <c r="K83" s="145" t="s">
        <v>505</v>
      </c>
    </row>
    <row r="84" spans="1:11">
      <c r="A84" s="145">
        <v>17</v>
      </c>
      <c r="B84" s="145" t="s">
        <v>567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498</v>
      </c>
      <c r="I84" s="145" t="s">
        <v>500</v>
      </c>
      <c r="J84" s="145" t="s">
        <v>206</v>
      </c>
      <c r="K84" s="145" t="s">
        <v>504</v>
      </c>
    </row>
    <row r="85" spans="1:11">
      <c r="A85" s="145">
        <v>18</v>
      </c>
      <c r="B85" s="145" t="s">
        <v>569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498</v>
      </c>
      <c r="I85" s="145" t="s">
        <v>500</v>
      </c>
      <c r="J85" s="145" t="s">
        <v>1097</v>
      </c>
      <c r="K85" s="145" t="s">
        <v>504</v>
      </c>
    </row>
    <row r="86" spans="1:11">
      <c r="A86" s="145">
        <v>19</v>
      </c>
      <c r="B86" s="145" t="s">
        <v>571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498</v>
      </c>
      <c r="I86" s="145" t="s">
        <v>500</v>
      </c>
      <c r="J86" s="145" t="s">
        <v>1097</v>
      </c>
      <c r="K86" s="145" t="s">
        <v>504</v>
      </c>
    </row>
    <row r="87" spans="1:11">
      <c r="A87" s="145">
        <v>20</v>
      </c>
      <c r="B87" s="145" t="s">
        <v>575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498</v>
      </c>
      <c r="I87" s="145" t="s">
        <v>500</v>
      </c>
      <c r="J87" s="145" t="s">
        <v>200</v>
      </c>
      <c r="K87" s="145" t="s">
        <v>504</v>
      </c>
    </row>
    <row r="88" spans="1:11">
      <c r="A88" s="145">
        <v>21</v>
      </c>
      <c r="B88" s="145" t="s">
        <v>577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498</v>
      </c>
      <c r="I88" s="145" t="s">
        <v>500</v>
      </c>
      <c r="J88" s="145" t="s">
        <v>1097</v>
      </c>
      <c r="K88" s="145" t="s">
        <v>504</v>
      </c>
    </row>
    <row r="89" spans="1:11">
      <c r="A89" s="145">
        <v>22</v>
      </c>
      <c r="B89" s="145" t="s">
        <v>578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498</v>
      </c>
      <c r="I89" s="145" t="s">
        <v>500</v>
      </c>
      <c r="J89" s="145" t="s">
        <v>1097</v>
      </c>
      <c r="K89" s="145" t="s">
        <v>504</v>
      </c>
    </row>
    <row r="90" spans="1:11">
      <c r="A90" s="145">
        <v>23</v>
      </c>
      <c r="B90" s="145" t="s">
        <v>582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498</v>
      </c>
      <c r="I90" s="145" t="s">
        <v>500</v>
      </c>
      <c r="J90" s="145" t="s">
        <v>1097</v>
      </c>
      <c r="K90" s="145" t="s">
        <v>504</v>
      </c>
    </row>
    <row r="91" spans="1:11">
      <c r="A91" s="145">
        <v>24</v>
      </c>
      <c r="B91" s="145" t="s">
        <v>585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498</v>
      </c>
      <c r="I91" s="145" t="s">
        <v>500</v>
      </c>
      <c r="J91" s="145" t="s">
        <v>204</v>
      </c>
      <c r="K91" s="145" t="s">
        <v>504</v>
      </c>
    </row>
    <row r="92" spans="1:11">
      <c r="A92" s="145">
        <v>25</v>
      </c>
      <c r="B92" s="145" t="s">
        <v>586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498</v>
      </c>
      <c r="I92" s="145" t="s">
        <v>500</v>
      </c>
      <c r="J92" s="145" t="s">
        <v>1097</v>
      </c>
      <c r="K92" s="145" t="s">
        <v>504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1108</v>
      </c>
    </row>
    <row r="2" spans="1:12">
      <c r="A2" s="145" t="s">
        <v>1109</v>
      </c>
    </row>
    <row r="3" spans="1:12">
      <c r="A3" s="145" t="s">
        <v>1110</v>
      </c>
    </row>
    <row r="5" spans="1:12">
      <c r="A5" s="145" t="s">
        <v>1111</v>
      </c>
      <c r="B5" s="145" t="s">
        <v>258</v>
      </c>
      <c r="C5" s="145" t="s">
        <v>1112</v>
      </c>
      <c r="D5" s="145" t="s">
        <v>1113</v>
      </c>
      <c r="E5" s="145" t="s">
        <v>1107</v>
      </c>
      <c r="F5" s="145" t="s">
        <v>1114</v>
      </c>
      <c r="G5" s="145" t="s">
        <v>1115</v>
      </c>
      <c r="H5" s="145" t="s">
        <v>1116</v>
      </c>
      <c r="I5" s="145" t="s">
        <v>1117</v>
      </c>
      <c r="J5" s="145" t="s">
        <v>1118</v>
      </c>
      <c r="K5" s="145" t="s">
        <v>1119</v>
      </c>
      <c r="L5" s="145" t="s">
        <v>1120</v>
      </c>
    </row>
    <row r="6" spans="1:12">
      <c r="A6" s="145" t="s">
        <v>200</v>
      </c>
      <c r="B6" s="146">
        <v>131036.65</v>
      </c>
      <c r="C6" s="145" t="s">
        <v>338</v>
      </c>
      <c r="D6" s="145" t="s">
        <v>338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338</v>
      </c>
      <c r="L6" s="145" t="s">
        <v>338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338</v>
      </c>
      <c r="L7" s="145" t="s">
        <v>338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338</v>
      </c>
      <c r="L8" s="145" t="s">
        <v>338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338</v>
      </c>
      <c r="L9" s="145" t="s">
        <v>338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338</v>
      </c>
      <c r="L10" s="145" t="s">
        <v>338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338</v>
      </c>
      <c r="L11" s="145" t="s">
        <v>338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338</v>
      </c>
      <c r="L12" s="145" t="s">
        <v>338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338</v>
      </c>
      <c r="L13" s="145" t="s">
        <v>338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338</v>
      </c>
      <c r="L14" s="145" t="s">
        <v>338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338</v>
      </c>
      <c r="L15" s="145" t="s">
        <v>338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338</v>
      </c>
      <c r="L16" s="145" t="s">
        <v>338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338</v>
      </c>
      <c r="L17" s="145" t="s">
        <v>338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1121</v>
      </c>
      <c r="B26" s="146">
        <v>1874906.59</v>
      </c>
    </row>
    <row r="27" spans="1:12">
      <c r="A27" s="145" t="s">
        <v>1054</v>
      </c>
      <c r="B27" s="146">
        <v>1667598.3199999998</v>
      </c>
    </row>
    <row r="28" spans="1:12">
      <c r="A28" s="145" t="s">
        <v>1122</v>
      </c>
      <c r="B28" s="146">
        <v>981189.14999999991</v>
      </c>
    </row>
    <row r="29" spans="1:12">
      <c r="A29" s="145" t="s">
        <v>1123</v>
      </c>
      <c r="B29" s="146">
        <v>3542504.9099999992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1124</v>
      </c>
    </row>
    <row r="2" spans="1:8">
      <c r="A2" s="145" t="s">
        <v>1125</v>
      </c>
    </row>
    <row r="3" spans="1:8">
      <c r="A3" s="145" t="s">
        <v>1126</v>
      </c>
    </row>
    <row r="4" spans="1:8">
      <c r="A4" s="145" t="s">
        <v>1127</v>
      </c>
    </row>
    <row r="5" spans="1:8">
      <c r="A5" s="145" t="s">
        <v>1128</v>
      </c>
    </row>
    <row r="7" spans="1:8">
      <c r="A7" s="145" t="s">
        <v>1111</v>
      </c>
      <c r="B7" s="145" t="s">
        <v>1115</v>
      </c>
      <c r="C7" s="145" t="s">
        <v>1129</v>
      </c>
      <c r="D7" s="145" t="s">
        <v>1130</v>
      </c>
      <c r="E7" s="145" t="s">
        <v>1117</v>
      </c>
      <c r="F7" s="145" t="s">
        <v>1131</v>
      </c>
      <c r="G7" s="145" t="s">
        <v>1132</v>
      </c>
      <c r="H7" s="145" t="s">
        <v>1133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1134</v>
      </c>
      <c r="B28" s="145">
        <v>58</v>
      </c>
      <c r="C28" s="145" t="s">
        <v>338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338</v>
      </c>
    </row>
    <row r="30" spans="1:9">
      <c r="A30" s="145" t="s">
        <v>1135</v>
      </c>
    </row>
    <row r="31" spans="1:9">
      <c r="A31" s="145" t="s">
        <v>1095</v>
      </c>
      <c r="B31" s="145" t="s">
        <v>466</v>
      </c>
      <c r="C31" s="145" t="s">
        <v>116</v>
      </c>
      <c r="D31" s="145" t="s">
        <v>467</v>
      </c>
      <c r="E31" s="145" t="s">
        <v>469</v>
      </c>
      <c r="F31" s="145" t="s">
        <v>1136</v>
      </c>
      <c r="G31" s="145" t="s">
        <v>1137</v>
      </c>
      <c r="H31" s="145" t="s">
        <v>1138</v>
      </c>
      <c r="I31" s="145" t="s">
        <v>1094</v>
      </c>
    </row>
    <row r="32" spans="1:9">
      <c r="A32" s="145" t="s">
        <v>242</v>
      </c>
      <c r="B32" s="145" t="s">
        <v>611</v>
      </c>
      <c r="C32" s="145" t="s">
        <v>1139</v>
      </c>
      <c r="D32" s="145" t="s">
        <v>498</v>
      </c>
      <c r="E32" s="145" t="s">
        <v>500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630</v>
      </c>
      <c r="C33" s="145" t="s">
        <v>1139</v>
      </c>
      <c r="D33" s="145" t="s">
        <v>498</v>
      </c>
      <c r="E33" s="145" t="s">
        <v>500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644</v>
      </c>
      <c r="C34" s="145" t="s">
        <v>1139</v>
      </c>
      <c r="D34" s="145" t="s">
        <v>498</v>
      </c>
      <c r="E34" s="145" t="s">
        <v>500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734</v>
      </c>
      <c r="C35" s="145" t="s">
        <v>1139</v>
      </c>
      <c r="D35" s="145" t="s">
        <v>498</v>
      </c>
      <c r="E35" s="145" t="s">
        <v>500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821</v>
      </c>
      <c r="C36" s="145" t="s">
        <v>1139</v>
      </c>
      <c r="D36" s="145" t="s">
        <v>498</v>
      </c>
      <c r="E36" s="145" t="s">
        <v>500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848</v>
      </c>
      <c r="C37" s="145" t="s">
        <v>1139</v>
      </c>
      <c r="D37" s="145" t="s">
        <v>498</v>
      </c>
      <c r="E37" s="145" t="s">
        <v>607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850</v>
      </c>
      <c r="C38" s="145" t="s">
        <v>1140</v>
      </c>
      <c r="D38" s="145" t="s">
        <v>498</v>
      </c>
      <c r="E38" s="145" t="s">
        <v>616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854</v>
      </c>
      <c r="C39" s="145" t="s">
        <v>1140</v>
      </c>
      <c r="D39" s="145" t="s">
        <v>498</v>
      </c>
      <c r="E39" s="145" t="s">
        <v>500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870</v>
      </c>
      <c r="C40" s="145" t="s">
        <v>1139</v>
      </c>
      <c r="D40" s="145" t="s">
        <v>678</v>
      </c>
      <c r="E40" s="145" t="s">
        <v>338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885</v>
      </c>
      <c r="C41" s="145" t="s">
        <v>1139</v>
      </c>
      <c r="D41" s="145" t="s">
        <v>498</v>
      </c>
      <c r="E41" s="145" t="s">
        <v>607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905</v>
      </c>
      <c r="C42" s="145" t="s">
        <v>1141</v>
      </c>
      <c r="D42" s="145" t="s">
        <v>728</v>
      </c>
      <c r="E42" s="145" t="s">
        <v>338</v>
      </c>
      <c r="F42" s="146">
        <v>1125</v>
      </c>
      <c r="G42" s="146">
        <v>1125</v>
      </c>
      <c r="H42" s="146">
        <v>1125</v>
      </c>
      <c r="I42" s="145" t="s">
        <v>338</v>
      </c>
    </row>
    <row r="43" spans="1:9">
      <c r="A43" s="145" t="s">
        <v>242</v>
      </c>
      <c r="B43" s="145" t="s">
        <v>917</v>
      </c>
      <c r="C43" s="145" t="s">
        <v>1140</v>
      </c>
      <c r="D43" s="145" t="s">
        <v>678</v>
      </c>
      <c r="E43" s="145" t="s">
        <v>338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918</v>
      </c>
      <c r="C44" s="145" t="s">
        <v>1140</v>
      </c>
      <c r="D44" s="145" t="s">
        <v>678</v>
      </c>
      <c r="E44" s="145" t="s">
        <v>338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605</v>
      </c>
      <c r="C45" s="145" t="s">
        <v>1139</v>
      </c>
      <c r="D45" s="145" t="s">
        <v>498</v>
      </c>
      <c r="E45" s="145" t="s">
        <v>500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670</v>
      </c>
      <c r="C46" s="145" t="s">
        <v>1139</v>
      </c>
      <c r="D46" s="145" t="s">
        <v>498</v>
      </c>
      <c r="E46" s="145" t="s">
        <v>616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674</v>
      </c>
      <c r="C47" s="145" t="s">
        <v>1139</v>
      </c>
      <c r="D47" s="145" t="s">
        <v>498</v>
      </c>
      <c r="E47" s="145" t="s">
        <v>500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832</v>
      </c>
      <c r="C48" s="145" t="s">
        <v>1140</v>
      </c>
      <c r="D48" s="145" t="s">
        <v>498</v>
      </c>
      <c r="E48" s="145" t="s">
        <v>616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843</v>
      </c>
      <c r="C49" s="145" t="s">
        <v>1139</v>
      </c>
      <c r="D49" s="145" t="s">
        <v>498</v>
      </c>
      <c r="E49" s="145" t="s">
        <v>616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856</v>
      </c>
      <c r="C50" s="145" t="s">
        <v>1139</v>
      </c>
      <c r="D50" s="145" t="s">
        <v>498</v>
      </c>
      <c r="E50" s="145" t="s">
        <v>616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858</v>
      </c>
      <c r="C51" s="145" t="s">
        <v>1139</v>
      </c>
      <c r="D51" s="145" t="s">
        <v>678</v>
      </c>
      <c r="E51" s="145" t="s">
        <v>338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899</v>
      </c>
      <c r="C52" s="145" t="s">
        <v>1140</v>
      </c>
      <c r="D52" s="145" t="s">
        <v>678</v>
      </c>
      <c r="E52" s="145" t="s">
        <v>338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911</v>
      </c>
      <c r="C53" s="145" t="s">
        <v>1142</v>
      </c>
      <c r="D53" s="145" t="s">
        <v>678</v>
      </c>
      <c r="E53" s="145" t="s">
        <v>338</v>
      </c>
      <c r="F53" s="146">
        <v>975</v>
      </c>
      <c r="G53" s="146">
        <v>975</v>
      </c>
      <c r="H53" s="146">
        <v>975</v>
      </c>
      <c r="I53" s="145" t="s">
        <v>338</v>
      </c>
    </row>
    <row r="54" spans="1:9">
      <c r="A54" s="145" t="s">
        <v>243</v>
      </c>
      <c r="B54" s="145" t="s">
        <v>912</v>
      </c>
      <c r="C54" s="145" t="s">
        <v>1141</v>
      </c>
      <c r="D54" s="145" t="s">
        <v>728</v>
      </c>
      <c r="E54" s="145" t="s">
        <v>338</v>
      </c>
      <c r="F54" s="146">
        <v>975</v>
      </c>
      <c r="G54" s="146">
        <v>975</v>
      </c>
      <c r="H54" s="146">
        <v>975</v>
      </c>
      <c r="I54" s="145" t="s">
        <v>338</v>
      </c>
    </row>
    <row r="55" spans="1:9">
      <c r="A55" s="145" t="s">
        <v>243</v>
      </c>
      <c r="B55" s="145" t="s">
        <v>923</v>
      </c>
      <c r="C55" s="145" t="s">
        <v>1141</v>
      </c>
      <c r="D55" s="145" t="s">
        <v>728</v>
      </c>
      <c r="E55" s="145" t="s">
        <v>338</v>
      </c>
      <c r="F55" s="146">
        <v>650</v>
      </c>
      <c r="G55" s="146">
        <v>650</v>
      </c>
      <c r="H55" s="146">
        <v>650</v>
      </c>
      <c r="I55" s="145" t="s">
        <v>338</v>
      </c>
    </row>
    <row r="56" spans="1:9">
      <c r="A56" s="145" t="s">
        <v>244</v>
      </c>
      <c r="B56" s="145" t="s">
        <v>650</v>
      </c>
      <c r="C56" s="145" t="s">
        <v>1142</v>
      </c>
      <c r="D56" s="145" t="s">
        <v>498</v>
      </c>
      <c r="E56" s="145" t="s">
        <v>616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663</v>
      </c>
      <c r="C57" s="145" t="s">
        <v>1139</v>
      </c>
      <c r="D57" s="145" t="s">
        <v>498</v>
      </c>
      <c r="E57" s="145" t="s">
        <v>500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771</v>
      </c>
      <c r="C58" s="145" t="s">
        <v>1139</v>
      </c>
      <c r="D58" s="145" t="s">
        <v>498</v>
      </c>
      <c r="E58" s="145" t="s">
        <v>500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825</v>
      </c>
      <c r="C59" s="145" t="s">
        <v>1139</v>
      </c>
      <c r="D59" s="145" t="s">
        <v>498</v>
      </c>
      <c r="E59" s="145" t="s">
        <v>616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863</v>
      </c>
      <c r="C60" s="145" t="s">
        <v>1140</v>
      </c>
      <c r="D60" s="145" t="s">
        <v>498</v>
      </c>
      <c r="E60" s="145" t="s">
        <v>500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894</v>
      </c>
      <c r="C61" s="145" t="s">
        <v>1139</v>
      </c>
      <c r="D61" s="145" t="s">
        <v>678</v>
      </c>
      <c r="E61" s="145" t="s">
        <v>338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896</v>
      </c>
      <c r="C62" s="145" t="s">
        <v>1139</v>
      </c>
      <c r="D62" s="145" t="s">
        <v>498</v>
      </c>
      <c r="E62" s="145" t="s">
        <v>500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647</v>
      </c>
      <c r="C63" s="145" t="s">
        <v>1139</v>
      </c>
      <c r="D63" s="145" t="s">
        <v>498</v>
      </c>
      <c r="E63" s="145" t="s">
        <v>500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701</v>
      </c>
      <c r="C64" s="145" t="s">
        <v>1139</v>
      </c>
      <c r="D64" s="145" t="s">
        <v>498</v>
      </c>
      <c r="E64" s="145" t="s">
        <v>500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714</v>
      </c>
      <c r="C65" s="145" t="s">
        <v>1142</v>
      </c>
      <c r="D65" s="145" t="s">
        <v>498</v>
      </c>
      <c r="E65" s="145" t="s">
        <v>607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745</v>
      </c>
      <c r="C66" s="145" t="s">
        <v>1142</v>
      </c>
      <c r="D66" s="145" t="s">
        <v>498</v>
      </c>
      <c r="E66" s="145" t="s">
        <v>616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750</v>
      </c>
      <c r="C67" s="145" t="s">
        <v>1141</v>
      </c>
      <c r="D67" s="145" t="s">
        <v>657</v>
      </c>
      <c r="E67" s="145" t="s">
        <v>338</v>
      </c>
      <c r="F67" s="146">
        <v>1500</v>
      </c>
      <c r="G67" s="146">
        <v>1500</v>
      </c>
      <c r="H67" s="146">
        <v>6000</v>
      </c>
      <c r="I67" s="145" t="s">
        <v>338</v>
      </c>
    </row>
    <row r="68" spans="1:9">
      <c r="A68" s="145" t="s">
        <v>245</v>
      </c>
      <c r="B68" s="145" t="s">
        <v>780</v>
      </c>
      <c r="C68" s="145" t="s">
        <v>1139</v>
      </c>
      <c r="D68" s="145" t="s">
        <v>498</v>
      </c>
      <c r="E68" s="145" t="s">
        <v>500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834</v>
      </c>
      <c r="C69" s="145" t="s">
        <v>1139</v>
      </c>
      <c r="D69" s="145" t="s">
        <v>498</v>
      </c>
      <c r="E69" s="145" t="s">
        <v>607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860</v>
      </c>
      <c r="C70" s="145" t="s">
        <v>1139</v>
      </c>
      <c r="D70" s="145" t="s">
        <v>498</v>
      </c>
      <c r="E70" s="145" t="s">
        <v>500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883</v>
      </c>
      <c r="C71" s="145" t="s">
        <v>1140</v>
      </c>
      <c r="D71" s="145" t="s">
        <v>498</v>
      </c>
      <c r="E71" s="145" t="s">
        <v>500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900</v>
      </c>
      <c r="C72" s="145" t="s">
        <v>1139</v>
      </c>
      <c r="D72" s="145" t="s">
        <v>678</v>
      </c>
      <c r="E72" s="145" t="s">
        <v>338</v>
      </c>
      <c r="F72" s="146">
        <v>310</v>
      </c>
      <c r="G72" s="146">
        <v>310</v>
      </c>
      <c r="H72" s="146">
        <v>1240</v>
      </c>
      <c r="I72" s="145" t="s">
        <v>338</v>
      </c>
    </row>
    <row r="73" spans="1:9">
      <c r="A73" s="145" t="s">
        <v>245</v>
      </c>
      <c r="B73" s="145" t="s">
        <v>908</v>
      </c>
      <c r="C73" s="145" t="s">
        <v>1139</v>
      </c>
      <c r="D73" s="145" t="s">
        <v>678</v>
      </c>
      <c r="E73" s="145" t="s">
        <v>338</v>
      </c>
      <c r="F73" s="146">
        <v>260</v>
      </c>
      <c r="G73" s="146">
        <v>260</v>
      </c>
      <c r="H73" s="146">
        <v>1040</v>
      </c>
      <c r="I73" s="145" t="s">
        <v>338</v>
      </c>
    </row>
    <row r="74" spans="1:9">
      <c r="A74" s="145" t="s">
        <v>246</v>
      </c>
      <c r="B74" s="145" t="s">
        <v>628</v>
      </c>
      <c r="C74" s="145" t="s">
        <v>1139</v>
      </c>
      <c r="D74" s="145" t="s">
        <v>498</v>
      </c>
      <c r="E74" s="145" t="s">
        <v>338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717</v>
      </c>
      <c r="C75" s="145" t="s">
        <v>1139</v>
      </c>
      <c r="D75" s="145" t="s">
        <v>498</v>
      </c>
      <c r="E75" s="145" t="s">
        <v>338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747</v>
      </c>
      <c r="C76" s="145" t="s">
        <v>1139</v>
      </c>
      <c r="D76" s="145" t="s">
        <v>498</v>
      </c>
      <c r="E76" s="145" t="s">
        <v>607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800</v>
      </c>
      <c r="C77" s="145" t="s">
        <v>1139</v>
      </c>
      <c r="D77" s="145" t="s">
        <v>498</v>
      </c>
      <c r="E77" s="145" t="s">
        <v>616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830</v>
      </c>
      <c r="C78" s="145" t="s">
        <v>1139</v>
      </c>
      <c r="D78" s="145" t="s">
        <v>498</v>
      </c>
      <c r="E78" s="145" t="s">
        <v>616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879</v>
      </c>
      <c r="C79" s="145" t="s">
        <v>1139</v>
      </c>
      <c r="D79" s="145" t="s">
        <v>498</v>
      </c>
      <c r="E79" s="145" t="s">
        <v>500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826</v>
      </c>
      <c r="C80" s="145" t="s">
        <v>1142</v>
      </c>
      <c r="D80" s="145" t="s">
        <v>498</v>
      </c>
      <c r="E80" s="145" t="s">
        <v>338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841</v>
      </c>
      <c r="C81" s="145" t="s">
        <v>1142</v>
      </c>
      <c r="D81" s="145" t="s">
        <v>498</v>
      </c>
      <c r="E81" s="145" t="s">
        <v>338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868</v>
      </c>
      <c r="C82" s="145" t="s">
        <v>1140</v>
      </c>
      <c r="D82" s="145" t="s">
        <v>498</v>
      </c>
      <c r="E82" s="145" t="s">
        <v>338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901</v>
      </c>
      <c r="C83" s="145" t="s">
        <v>1139</v>
      </c>
      <c r="D83" s="145" t="s">
        <v>498</v>
      </c>
      <c r="E83" s="145" t="s">
        <v>338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904</v>
      </c>
      <c r="C84" s="145" t="s">
        <v>1139</v>
      </c>
      <c r="D84" s="145" t="s">
        <v>498</v>
      </c>
      <c r="E84" s="145" t="s">
        <v>338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746</v>
      </c>
      <c r="C85" s="145" t="s">
        <v>1142</v>
      </c>
      <c r="D85" s="145" t="s">
        <v>498</v>
      </c>
      <c r="E85" s="145" t="s">
        <v>338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861</v>
      </c>
      <c r="C86" s="145" t="s">
        <v>1142</v>
      </c>
      <c r="D86" s="145" t="s">
        <v>498</v>
      </c>
      <c r="E86" s="145" t="s">
        <v>338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867</v>
      </c>
      <c r="C87" s="145" t="s">
        <v>1142</v>
      </c>
      <c r="D87" s="145" t="s">
        <v>498</v>
      </c>
      <c r="E87" s="145" t="s">
        <v>338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906</v>
      </c>
      <c r="C88" s="145" t="s">
        <v>1142</v>
      </c>
      <c r="D88" s="145" t="s">
        <v>498</v>
      </c>
      <c r="E88" s="145" t="s">
        <v>338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926</v>
      </c>
      <c r="C89" s="145" t="s">
        <v>1142</v>
      </c>
      <c r="D89" s="145" t="s">
        <v>678</v>
      </c>
      <c r="E89" s="145" t="s">
        <v>338</v>
      </c>
      <c r="F89" s="146">
        <v>418</v>
      </c>
      <c r="G89" s="146">
        <v>418</v>
      </c>
      <c r="H89" s="146">
        <v>418</v>
      </c>
      <c r="I89" s="145" t="s">
        <v>338</v>
      </c>
    </row>
    <row r="91" spans="1:9">
      <c r="A91" s="145" t="s">
        <v>1143</v>
      </c>
    </row>
    <row r="92" spans="1:9">
      <c r="A92" s="145" t="s">
        <v>1105</v>
      </c>
      <c r="B92" s="145" t="s">
        <v>466</v>
      </c>
      <c r="C92" s="145" t="s">
        <v>116</v>
      </c>
      <c r="D92" s="145" t="s">
        <v>467</v>
      </c>
      <c r="E92" s="145" t="s">
        <v>469</v>
      </c>
      <c r="F92" s="145" t="s">
        <v>1144</v>
      </c>
      <c r="G92" s="145" t="s">
        <v>1131</v>
      </c>
      <c r="H92" s="145" t="s">
        <v>1145</v>
      </c>
      <c r="I92" s="145" t="s">
        <v>1106</v>
      </c>
    </row>
    <row r="93" spans="1:9">
      <c r="A93" s="145" t="s">
        <v>242</v>
      </c>
      <c r="B93" s="145" t="s">
        <v>656</v>
      </c>
      <c r="C93" s="145" t="s">
        <v>1141</v>
      </c>
      <c r="D93" s="145" t="s">
        <v>657</v>
      </c>
      <c r="E93" s="145" t="s">
        <v>338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707</v>
      </c>
      <c r="C94" s="145" t="s">
        <v>1140</v>
      </c>
      <c r="D94" s="145" t="s">
        <v>498</v>
      </c>
      <c r="E94" s="145" t="s">
        <v>616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874</v>
      </c>
      <c r="C95" s="145" t="s">
        <v>1141</v>
      </c>
      <c r="D95" s="145" t="s">
        <v>872</v>
      </c>
      <c r="E95" s="145" t="s">
        <v>338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866</v>
      </c>
      <c r="C96" s="145" t="s">
        <v>1141</v>
      </c>
      <c r="D96" s="145" t="s">
        <v>657</v>
      </c>
      <c r="E96" s="145" t="s">
        <v>338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875</v>
      </c>
      <c r="C97" s="145" t="s">
        <v>1140</v>
      </c>
      <c r="D97" s="145" t="s">
        <v>498</v>
      </c>
      <c r="E97" s="145" t="s">
        <v>500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898</v>
      </c>
      <c r="C98" s="145" t="s">
        <v>1141</v>
      </c>
      <c r="D98" s="145" t="s">
        <v>657</v>
      </c>
      <c r="E98" s="145" t="s">
        <v>338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905</v>
      </c>
      <c r="C99" s="145" t="s">
        <v>1141</v>
      </c>
      <c r="D99" s="145" t="s">
        <v>728</v>
      </c>
      <c r="E99" s="145" t="s">
        <v>338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820</v>
      </c>
      <c r="C100" s="145" t="s">
        <v>1141</v>
      </c>
      <c r="D100" s="145" t="s">
        <v>657</v>
      </c>
      <c r="E100" s="145" t="s">
        <v>338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931</v>
      </c>
      <c r="C101" s="145" t="s">
        <v>1141</v>
      </c>
      <c r="D101" s="145" t="s">
        <v>657</v>
      </c>
      <c r="E101" s="145" t="s">
        <v>338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855</v>
      </c>
      <c r="C102" s="145" t="s">
        <v>1140</v>
      </c>
      <c r="D102" s="145" t="s">
        <v>498</v>
      </c>
      <c r="E102" s="145" t="s">
        <v>338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886</v>
      </c>
      <c r="C103" s="145" t="s">
        <v>1141</v>
      </c>
      <c r="D103" s="145" t="s">
        <v>657</v>
      </c>
      <c r="E103" s="145" t="s">
        <v>338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871</v>
      </c>
      <c r="C104" s="145" t="s">
        <v>1141</v>
      </c>
      <c r="D104" s="145" t="s">
        <v>872</v>
      </c>
      <c r="E104" s="145" t="s">
        <v>338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869</v>
      </c>
      <c r="C105" s="145" t="s">
        <v>1141</v>
      </c>
      <c r="D105" s="145" t="s">
        <v>657</v>
      </c>
      <c r="E105" s="145" t="s">
        <v>338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909</v>
      </c>
      <c r="C106" s="145" t="s">
        <v>1140</v>
      </c>
      <c r="D106" s="145" t="s">
        <v>632</v>
      </c>
      <c r="E106" s="145" t="s">
        <v>338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911</v>
      </c>
      <c r="C107" s="145" t="s">
        <v>1142</v>
      </c>
      <c r="D107" s="145" t="s">
        <v>678</v>
      </c>
      <c r="E107" s="145" t="s">
        <v>338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912</v>
      </c>
      <c r="C108" s="145" t="s">
        <v>1141</v>
      </c>
      <c r="D108" s="145" t="s">
        <v>728</v>
      </c>
      <c r="E108" s="145" t="s">
        <v>338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923</v>
      </c>
      <c r="C109" s="145" t="s">
        <v>1141</v>
      </c>
      <c r="D109" s="145" t="s">
        <v>728</v>
      </c>
      <c r="E109" s="145" t="s">
        <v>338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686</v>
      </c>
      <c r="C110" s="145" t="s">
        <v>1141</v>
      </c>
      <c r="D110" s="145" t="s">
        <v>657</v>
      </c>
      <c r="E110" s="145" t="s">
        <v>338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683</v>
      </c>
      <c r="C111" s="145" t="s">
        <v>1140</v>
      </c>
      <c r="D111" s="145" t="s">
        <v>498</v>
      </c>
      <c r="E111" s="145" t="s">
        <v>500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784</v>
      </c>
      <c r="C112" s="145" t="s">
        <v>1140</v>
      </c>
      <c r="D112" s="145" t="s">
        <v>498</v>
      </c>
      <c r="E112" s="145" t="s">
        <v>338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799</v>
      </c>
      <c r="C113" s="145" t="s">
        <v>1140</v>
      </c>
      <c r="D113" s="145" t="s">
        <v>678</v>
      </c>
      <c r="E113" s="145" t="s">
        <v>338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838</v>
      </c>
      <c r="C114" s="145" t="s">
        <v>1140</v>
      </c>
      <c r="D114" s="145" t="s">
        <v>498</v>
      </c>
      <c r="E114" s="145" t="s">
        <v>500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853</v>
      </c>
      <c r="C115" s="145" t="s">
        <v>1141</v>
      </c>
      <c r="D115" s="145" t="s">
        <v>657</v>
      </c>
      <c r="E115" s="145" t="s">
        <v>338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828</v>
      </c>
      <c r="C116" s="145" t="s">
        <v>1140</v>
      </c>
      <c r="D116" s="145" t="s">
        <v>498</v>
      </c>
      <c r="E116" s="145" t="s">
        <v>500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865</v>
      </c>
      <c r="C117" s="145" t="s">
        <v>1140</v>
      </c>
      <c r="D117" s="145" t="s">
        <v>632</v>
      </c>
      <c r="E117" s="145" t="s">
        <v>338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913</v>
      </c>
      <c r="C118" s="145" t="s">
        <v>1140</v>
      </c>
      <c r="D118" s="145" t="s">
        <v>632</v>
      </c>
      <c r="E118" s="145" t="s">
        <v>338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887</v>
      </c>
      <c r="C119" s="145" t="s">
        <v>1141</v>
      </c>
      <c r="D119" s="145" t="s">
        <v>728</v>
      </c>
      <c r="E119" s="145" t="s">
        <v>338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888</v>
      </c>
      <c r="C120" s="145" t="s">
        <v>1141</v>
      </c>
      <c r="D120" s="145" t="s">
        <v>728</v>
      </c>
      <c r="E120" s="145" t="s">
        <v>338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889</v>
      </c>
      <c r="C121" s="145" t="s">
        <v>1141</v>
      </c>
      <c r="D121" s="145" t="s">
        <v>728</v>
      </c>
      <c r="E121" s="145" t="s">
        <v>338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890</v>
      </c>
      <c r="C122" s="145" t="s">
        <v>1141</v>
      </c>
      <c r="D122" s="145" t="s">
        <v>728</v>
      </c>
      <c r="E122" s="145" t="s">
        <v>338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891</v>
      </c>
      <c r="C123" s="145" t="s">
        <v>1141</v>
      </c>
      <c r="D123" s="145" t="s">
        <v>728</v>
      </c>
      <c r="E123" s="145" t="s">
        <v>338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892</v>
      </c>
      <c r="C124" s="145" t="s">
        <v>1141</v>
      </c>
      <c r="D124" s="145" t="s">
        <v>678</v>
      </c>
      <c r="E124" s="145" t="s">
        <v>338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601</v>
      </c>
      <c r="C125" s="145" t="s">
        <v>1140</v>
      </c>
      <c r="D125" s="145" t="s">
        <v>498</v>
      </c>
      <c r="E125" s="145" t="s">
        <v>500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561</v>
      </c>
      <c r="C126" s="145" t="s">
        <v>1140</v>
      </c>
      <c r="D126" s="145" t="s">
        <v>498</v>
      </c>
      <c r="E126" s="145" t="s">
        <v>500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727</v>
      </c>
      <c r="C127" s="145" t="s">
        <v>1141</v>
      </c>
      <c r="D127" s="145" t="s">
        <v>728</v>
      </c>
      <c r="E127" s="145" t="s">
        <v>338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809</v>
      </c>
      <c r="C128" s="145" t="s">
        <v>1140</v>
      </c>
      <c r="D128" s="145" t="s">
        <v>498</v>
      </c>
      <c r="E128" s="145" t="s">
        <v>500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827</v>
      </c>
      <c r="C129" s="145" t="s">
        <v>1140</v>
      </c>
      <c r="D129" s="145" t="s">
        <v>678</v>
      </c>
      <c r="E129" s="145" t="s">
        <v>338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850</v>
      </c>
      <c r="C130" s="145" t="s">
        <v>1140</v>
      </c>
      <c r="D130" s="145" t="s">
        <v>498</v>
      </c>
      <c r="E130" s="145" t="s">
        <v>616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603</v>
      </c>
      <c r="C131" s="145" t="s">
        <v>1141</v>
      </c>
      <c r="D131" s="145" t="s">
        <v>498</v>
      </c>
      <c r="E131" s="145" t="s">
        <v>338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723</v>
      </c>
      <c r="C132" s="145" t="s">
        <v>1140</v>
      </c>
      <c r="D132" s="145" t="s">
        <v>498</v>
      </c>
      <c r="E132" s="145" t="s">
        <v>500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763</v>
      </c>
      <c r="C133" s="145" t="s">
        <v>1140</v>
      </c>
      <c r="D133" s="145" t="s">
        <v>498</v>
      </c>
      <c r="E133" s="145" t="s">
        <v>500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770</v>
      </c>
      <c r="C134" s="145" t="s">
        <v>1140</v>
      </c>
      <c r="D134" s="145" t="s">
        <v>678</v>
      </c>
      <c r="E134" s="145" t="s">
        <v>338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819</v>
      </c>
      <c r="C135" s="145" t="s">
        <v>1139</v>
      </c>
      <c r="D135" s="145" t="s">
        <v>632</v>
      </c>
      <c r="E135" s="145" t="s">
        <v>338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880</v>
      </c>
      <c r="C136" s="145" t="s">
        <v>1140</v>
      </c>
      <c r="D136" s="145" t="s">
        <v>678</v>
      </c>
      <c r="E136" s="145" t="s">
        <v>338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881</v>
      </c>
      <c r="C137" s="145" t="s">
        <v>1141</v>
      </c>
      <c r="D137" s="145" t="s">
        <v>657</v>
      </c>
      <c r="E137" s="145" t="s">
        <v>338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840</v>
      </c>
      <c r="C138" s="145" t="s">
        <v>1140</v>
      </c>
      <c r="D138" s="145" t="s">
        <v>678</v>
      </c>
      <c r="E138" s="145" t="s">
        <v>338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849</v>
      </c>
      <c r="C139" s="145" t="s">
        <v>1140</v>
      </c>
      <c r="D139" s="145" t="s">
        <v>498</v>
      </c>
      <c r="E139" s="145" t="s">
        <v>616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854</v>
      </c>
      <c r="C140" s="145" t="s">
        <v>1140</v>
      </c>
      <c r="D140" s="145" t="s">
        <v>498</v>
      </c>
      <c r="E140" s="145" t="s">
        <v>500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863</v>
      </c>
      <c r="C141" s="145" t="s">
        <v>1140</v>
      </c>
      <c r="D141" s="145" t="s">
        <v>498</v>
      </c>
      <c r="E141" s="145" t="s">
        <v>500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883</v>
      </c>
      <c r="C142" s="145" t="s">
        <v>1140</v>
      </c>
      <c r="D142" s="145" t="s">
        <v>498</v>
      </c>
      <c r="E142" s="145" t="s">
        <v>500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917</v>
      </c>
      <c r="C143" s="145" t="s">
        <v>1140</v>
      </c>
      <c r="D143" s="145" t="s">
        <v>678</v>
      </c>
      <c r="E143" s="145" t="s">
        <v>338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918</v>
      </c>
      <c r="C144" s="145" t="s">
        <v>1140</v>
      </c>
      <c r="D144" s="145" t="s">
        <v>678</v>
      </c>
      <c r="E144" s="145" t="s">
        <v>338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810</v>
      </c>
      <c r="C145" s="145" t="s">
        <v>1140</v>
      </c>
      <c r="D145" s="145" t="s">
        <v>498</v>
      </c>
      <c r="E145" s="145" t="s">
        <v>500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817</v>
      </c>
      <c r="C146" s="145" t="s">
        <v>1140</v>
      </c>
      <c r="D146" s="145" t="s">
        <v>678</v>
      </c>
      <c r="E146" s="145" t="s">
        <v>338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816</v>
      </c>
      <c r="C147" s="145" t="s">
        <v>1139</v>
      </c>
      <c r="D147" s="145" t="s">
        <v>678</v>
      </c>
      <c r="E147" s="145" t="s">
        <v>338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818</v>
      </c>
      <c r="C148" s="145" t="s">
        <v>1140</v>
      </c>
      <c r="D148" s="145" t="s">
        <v>498</v>
      </c>
      <c r="E148" s="145" t="s">
        <v>500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832</v>
      </c>
      <c r="C149" s="145" t="s">
        <v>1140</v>
      </c>
      <c r="D149" s="145" t="s">
        <v>498</v>
      </c>
      <c r="E149" s="145" t="s">
        <v>616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899</v>
      </c>
      <c r="C150" s="145" t="s">
        <v>1140</v>
      </c>
      <c r="D150" s="145" t="s">
        <v>678</v>
      </c>
      <c r="E150" s="145" t="s">
        <v>338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1146</v>
      </c>
    </row>
    <row r="2" spans="1:6">
      <c r="A2" s="145" t="s">
        <v>1147</v>
      </c>
    </row>
    <row r="3" spans="1:6">
      <c r="A3" s="145" t="s">
        <v>1148</v>
      </c>
    </row>
    <row r="4" spans="1:6">
      <c r="A4" s="145" t="s">
        <v>1149</v>
      </c>
    </row>
    <row r="5" spans="1:6">
      <c r="A5" s="145" t="s">
        <v>1150</v>
      </c>
    </row>
    <row r="6" spans="1:6">
      <c r="A6" s="145" t="s">
        <v>1151</v>
      </c>
    </row>
    <row r="8" spans="1:6">
      <c r="A8" s="145" t="s">
        <v>1111</v>
      </c>
      <c r="B8" s="145" t="s">
        <v>1152</v>
      </c>
      <c r="C8" s="145" t="s">
        <v>1153</v>
      </c>
      <c r="D8" s="145" t="s">
        <v>1154</v>
      </c>
      <c r="E8" s="145" t="s">
        <v>1155</v>
      </c>
      <c r="F8" s="145" t="s">
        <v>1107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1156</v>
      </c>
    </row>
    <row r="14" spans="1:6">
      <c r="A14" s="145" t="s">
        <v>1157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1158</v>
      </c>
    </row>
    <row r="3" spans="1:5">
      <c r="A3" s="145" t="s">
        <v>1159</v>
      </c>
    </row>
    <row r="4" spans="1:5">
      <c r="A4" s="145" t="s">
        <v>1160</v>
      </c>
      <c r="B4" s="145" t="s">
        <v>1161</v>
      </c>
      <c r="C4" s="145" t="s">
        <v>1162</v>
      </c>
      <c r="D4" s="145" t="s">
        <v>1163</v>
      </c>
      <c r="E4" s="145" t="s">
        <v>1164</v>
      </c>
    </row>
    <row r="5" spans="1:5">
      <c r="A5" s="145" t="s">
        <v>1165</v>
      </c>
      <c r="B5" s="145" t="s">
        <v>1166</v>
      </c>
      <c r="C5" s="145" t="s">
        <v>1167</v>
      </c>
      <c r="D5" s="145" t="s">
        <v>1168</v>
      </c>
      <c r="E5" s="145" t="s">
        <v>1169</v>
      </c>
    </row>
    <row r="6" spans="1:5">
      <c r="A6" s="145" t="s">
        <v>1170</v>
      </c>
      <c r="B6" s="145" t="s">
        <v>1166</v>
      </c>
      <c r="C6" s="145" t="s">
        <v>1171</v>
      </c>
      <c r="D6" s="145" t="s">
        <v>1172</v>
      </c>
      <c r="E6" s="145" t="s">
        <v>1173</v>
      </c>
    </row>
    <row r="7" spans="1:5">
      <c r="A7" s="145" t="s">
        <v>594</v>
      </c>
      <c r="B7" s="145" t="s">
        <v>1174</v>
      </c>
      <c r="C7" s="145" t="s">
        <v>1175</v>
      </c>
      <c r="D7" s="145" t="s">
        <v>1176</v>
      </c>
      <c r="E7" s="145" t="s">
        <v>1177</v>
      </c>
    </row>
    <row r="8" spans="1:5">
      <c r="A8" s="145" t="s">
        <v>1178</v>
      </c>
      <c r="B8" s="145" t="s">
        <v>1166</v>
      </c>
      <c r="C8" s="145" t="s">
        <v>1179</v>
      </c>
      <c r="D8" s="145" t="s">
        <v>1180</v>
      </c>
      <c r="E8" s="145" t="s">
        <v>1177</v>
      </c>
    </row>
    <row r="10" spans="1:5">
      <c r="A10" s="145" t="s">
        <v>1181</v>
      </c>
    </row>
    <row r="11" spans="1:5">
      <c r="A11" s="145" t="s">
        <v>1182</v>
      </c>
    </row>
    <row r="12" spans="1:5">
      <c r="A12" s="145" t="s">
        <v>1183</v>
      </c>
    </row>
    <row r="14" spans="1:5">
      <c r="A14" s="145" t="s">
        <v>1184</v>
      </c>
    </row>
    <row r="15" spans="1:5">
      <c r="A15" s="145" t="s">
        <v>1185</v>
      </c>
      <c r="B15" s="145" t="s">
        <v>1186</v>
      </c>
      <c r="C15" s="145" t="s">
        <v>1187</v>
      </c>
      <c r="D15" s="145" t="s">
        <v>1188</v>
      </c>
      <c r="E15" s="145" t="s">
        <v>1189</v>
      </c>
    </row>
    <row r="16" spans="1:5">
      <c r="A16" s="145" t="s">
        <v>1083</v>
      </c>
      <c r="B16" s="145" t="s">
        <v>1190</v>
      </c>
      <c r="C16" s="145" t="s">
        <v>1191</v>
      </c>
      <c r="D16" s="146">
        <v>142</v>
      </c>
      <c r="E16" s="146">
        <v>1588.6130985915488</v>
      </c>
    </row>
    <row r="17" spans="1:5">
      <c r="A17" s="145" t="s">
        <v>1084</v>
      </c>
      <c r="B17" s="145" t="s">
        <v>1192</v>
      </c>
      <c r="C17" s="145" t="s">
        <v>1193</v>
      </c>
      <c r="D17" s="146">
        <v>30</v>
      </c>
      <c r="E17" s="146">
        <v>443.24444444444441</v>
      </c>
    </row>
    <row r="18" spans="1:5">
      <c r="A18" s="145" t="s">
        <v>1086</v>
      </c>
      <c r="B18" s="145" t="s">
        <v>1194</v>
      </c>
      <c r="C18" s="145" t="s">
        <v>1195</v>
      </c>
      <c r="D18" s="146">
        <v>2</v>
      </c>
      <c r="E18" s="146">
        <v>675</v>
      </c>
    </row>
    <row r="20" spans="1:5">
      <c r="A20" s="145" t="s">
        <v>1196</v>
      </c>
    </row>
    <row r="21" spans="1:5">
      <c r="A21" s="145" t="s">
        <v>1197</v>
      </c>
      <c r="B21" s="145" t="s">
        <v>1198</v>
      </c>
    </row>
    <row r="22" spans="1:5">
      <c r="A22" s="145" t="s">
        <v>497</v>
      </c>
      <c r="B22" s="145" t="s">
        <v>1199</v>
      </c>
    </row>
    <row r="23" spans="1:5">
      <c r="A23" s="145" t="s">
        <v>19</v>
      </c>
      <c r="B23" s="145" t="s">
        <v>1200</v>
      </c>
    </row>
    <row r="24" spans="1:5">
      <c r="A24" s="145" t="s">
        <v>562</v>
      </c>
      <c r="B24" s="145" t="s">
        <v>1201</v>
      </c>
    </row>
    <row r="25" spans="1:5">
      <c r="A25" s="145" t="s">
        <v>338</v>
      </c>
      <c r="B25" s="145" t="s">
        <v>1202</v>
      </c>
    </row>
    <row r="27" spans="1:5">
      <c r="A27" s="145" t="s">
        <v>1203</v>
      </c>
    </row>
    <row r="28" spans="1:5">
      <c r="A28" s="145" t="s">
        <v>471</v>
      </c>
      <c r="B28" s="145" t="s">
        <v>1204</v>
      </c>
    </row>
    <row r="29" spans="1:5">
      <c r="A29" s="145" t="s">
        <v>338</v>
      </c>
      <c r="B29" s="145" t="s">
        <v>1205</v>
      </c>
    </row>
    <row r="30" spans="1:5">
      <c r="A30" s="145" t="s">
        <v>338</v>
      </c>
      <c r="B30" s="145" t="s">
        <v>1206</v>
      </c>
    </row>
    <row r="31" spans="1:5">
      <c r="A31" s="145" t="s">
        <v>1207</v>
      </c>
      <c r="B31" s="145" t="s">
        <v>1208</v>
      </c>
    </row>
    <row r="32" spans="1:5">
      <c r="A32" s="145" t="s">
        <v>338</v>
      </c>
      <c r="B32" s="145" t="s">
        <v>1209</v>
      </c>
    </row>
    <row r="33" spans="1:2">
      <c r="A33" s="145" t="s">
        <v>472</v>
      </c>
      <c r="B33" s="145" t="s">
        <v>1210</v>
      </c>
    </row>
    <row r="35" spans="1:2">
      <c r="A35" s="145" t="s">
        <v>1211</v>
      </c>
    </row>
    <row r="36" spans="1:2">
      <c r="A36" s="145" t="s">
        <v>1212</v>
      </c>
    </row>
    <row r="37" spans="1:2">
      <c r="A37" s="145" t="s">
        <v>563</v>
      </c>
      <c r="B37" s="145" t="s">
        <v>1213</v>
      </c>
    </row>
    <row r="38" spans="1:2">
      <c r="A38" s="145" t="s">
        <v>338</v>
      </c>
      <c r="B38" s="145" t="s">
        <v>1214</v>
      </c>
    </row>
    <row r="39" spans="1:2">
      <c r="A39" s="145" t="s">
        <v>502</v>
      </c>
      <c r="B39" s="145" t="s">
        <v>1215</v>
      </c>
    </row>
    <row r="40" spans="1:2">
      <c r="A40" s="145" t="s">
        <v>555</v>
      </c>
      <c r="B40" s="145" t="s">
        <v>1216</v>
      </c>
    </row>
    <row r="41" spans="1:2">
      <c r="A41" s="145" t="s">
        <v>338</v>
      </c>
      <c r="B41" s="145" t="s">
        <v>1217</v>
      </c>
    </row>
    <row r="43" spans="1:2">
      <c r="A43" s="145" t="s">
        <v>1218</v>
      </c>
    </row>
    <row r="44" spans="1:2">
      <c r="A44" s="145" t="s">
        <v>1219</v>
      </c>
      <c r="B44" s="145" t="s">
        <v>1220</v>
      </c>
    </row>
    <row r="45" spans="1:2">
      <c r="A45" s="145" t="s">
        <v>1221</v>
      </c>
      <c r="B45" s="145" t="s">
        <v>1222</v>
      </c>
    </row>
    <row r="46" spans="1:2">
      <c r="A46" s="145" t="s">
        <v>562</v>
      </c>
      <c r="B46" s="145" t="s">
        <v>1223</v>
      </c>
    </row>
    <row r="47" spans="1:2">
      <c r="A47" s="145" t="s">
        <v>1224</v>
      </c>
      <c r="B47" s="145" t="s">
        <v>1225</v>
      </c>
    </row>
    <row r="48" spans="1:2">
      <c r="A48" s="145" t="s">
        <v>338</v>
      </c>
      <c r="B48" s="145" t="s">
        <v>1226</v>
      </c>
    </row>
    <row r="50" spans="1:2">
      <c r="A50" s="145" t="s">
        <v>1052</v>
      </c>
    </row>
    <row r="51" spans="1:2">
      <c r="A51" s="145" t="s">
        <v>1227</v>
      </c>
      <c r="B51" s="145" t="s">
        <v>1228</v>
      </c>
    </row>
    <row r="52" spans="1:2">
      <c r="A52" s="145" t="s">
        <v>1229</v>
      </c>
      <c r="B52" s="145" t="s">
        <v>1230</v>
      </c>
    </row>
    <row r="53" spans="1:2">
      <c r="A53" s="145" t="s">
        <v>338</v>
      </c>
      <c r="B53" s="145" t="s">
        <v>1231</v>
      </c>
    </row>
    <row r="54" spans="1:2">
      <c r="A54" s="145" t="s">
        <v>338</v>
      </c>
      <c r="B54" s="145" t="s">
        <v>1232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A1:AR166"/>
  <sheetViews>
    <sheetView showGridLines="0" zoomScale="130" zoomScaleNormal="130" workbookViewId="0">
      <pane ySplit="5" topLeftCell="A81" activePane="bottomLeft" state="frozen"/>
      <selection pane="bottomLeft" activeCell="AR114" sqref="AR114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1" spans="1:44">
      <c r="A1" s="6" t="s">
        <v>37</v>
      </c>
    </row>
    <row r="2" spans="1:44" ht="16.5">
      <c r="B2" s="5" t="s">
        <v>0</v>
      </c>
      <c r="C2" s="5"/>
      <c r="D2" s="5"/>
    </row>
    <row r="3" spans="1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1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1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1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1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1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1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1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1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1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1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1325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315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782" t="s">
        <v>116</v>
      </c>
    </row>
    <row r="157" spans="3:6">
      <c r="D157" s="782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325</v>
      </c>
    </row>
    <row r="2" spans="1:9">
      <c r="A2" s="131" t="s">
        <v>326</v>
      </c>
    </row>
    <row r="3" spans="1:9">
      <c r="A3" s="131" t="s">
        <v>327</v>
      </c>
    </row>
    <row r="5" spans="1:9" ht="30" customHeight="1">
      <c r="A5" s="132" t="s">
        <v>328</v>
      </c>
      <c r="B5" s="132" t="s">
        <v>329</v>
      </c>
      <c r="C5" s="132" t="s">
        <v>330</v>
      </c>
      <c r="D5" s="132" t="s">
        <v>992</v>
      </c>
      <c r="E5" s="132" t="s">
        <v>331</v>
      </c>
      <c r="F5" s="132" t="s">
        <v>332</v>
      </c>
      <c r="G5" s="132" t="s">
        <v>333</v>
      </c>
      <c r="H5" s="132" t="s">
        <v>334</v>
      </c>
      <c r="I5" s="132" t="s">
        <v>335</v>
      </c>
    </row>
    <row r="6" spans="1:9" ht="45">
      <c r="A6" s="133" t="s">
        <v>999</v>
      </c>
      <c r="B6" s="134" t="s">
        <v>336</v>
      </c>
      <c r="C6" s="134" t="s">
        <v>337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339</v>
      </c>
      <c r="B7" s="134" t="s">
        <v>340</v>
      </c>
      <c r="C7" s="134" t="s">
        <v>341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338</v>
      </c>
    </row>
    <row r="8" spans="1:9">
      <c r="A8" s="133" t="s">
        <v>342</v>
      </c>
      <c r="B8" s="134" t="s">
        <v>336</v>
      </c>
      <c r="C8" s="134" t="s">
        <v>343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338</v>
      </c>
    </row>
    <row r="9" spans="1:9">
      <c r="A9" s="133" t="s">
        <v>344</v>
      </c>
      <c r="B9" s="134" t="s">
        <v>340</v>
      </c>
      <c r="C9" s="134" t="s">
        <v>345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338</v>
      </c>
    </row>
    <row r="10" spans="1:9" ht="30">
      <c r="A10" s="133" t="s">
        <v>346</v>
      </c>
      <c r="B10" s="134" t="s">
        <v>336</v>
      </c>
      <c r="C10" s="134" t="s">
        <v>347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338</v>
      </c>
    </row>
    <row r="11" spans="1:9">
      <c r="A11" s="133" t="s">
        <v>997</v>
      </c>
      <c r="B11" s="134" t="s">
        <v>336</v>
      </c>
      <c r="C11" s="134" t="s">
        <v>348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338</v>
      </c>
    </row>
    <row r="12" spans="1:9" ht="30">
      <c r="A12" s="133" t="s">
        <v>349</v>
      </c>
      <c r="B12" s="134" t="s">
        <v>336</v>
      </c>
      <c r="C12" s="134" t="s">
        <v>350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338</v>
      </c>
    </row>
    <row r="13" spans="1:9">
      <c r="A13" s="133" t="s">
        <v>351</v>
      </c>
      <c r="B13" s="134" t="s">
        <v>352</v>
      </c>
      <c r="C13" s="134" t="s">
        <v>353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338</v>
      </c>
    </row>
    <row r="14" spans="1:9">
      <c r="A14" s="133" t="s">
        <v>354</v>
      </c>
      <c r="B14" s="134" t="s">
        <v>336</v>
      </c>
      <c r="C14" s="134" t="s">
        <v>355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338</v>
      </c>
    </row>
    <row r="15" spans="1:9">
      <c r="A15" s="133" t="s">
        <v>356</v>
      </c>
      <c r="B15" s="134" t="s">
        <v>352</v>
      </c>
      <c r="C15" s="134" t="s">
        <v>357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338</v>
      </c>
    </row>
    <row r="16" spans="1:9">
      <c r="A16" s="133" t="s">
        <v>358</v>
      </c>
      <c r="B16" s="134" t="s">
        <v>352</v>
      </c>
      <c r="C16" s="134" t="s">
        <v>359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338</v>
      </c>
    </row>
    <row r="17" spans="1:9">
      <c r="A17" s="133" t="s">
        <v>360</v>
      </c>
      <c r="B17" s="134" t="s">
        <v>352</v>
      </c>
      <c r="C17" s="134" t="s">
        <v>361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338</v>
      </c>
    </row>
    <row r="18" spans="1:9">
      <c r="A18" s="133" t="s">
        <v>362</v>
      </c>
      <c r="B18" s="134" t="s">
        <v>363</v>
      </c>
      <c r="C18" s="134" t="s">
        <v>364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338</v>
      </c>
    </row>
    <row r="19" spans="1:9">
      <c r="A19" s="133" t="s">
        <v>365</v>
      </c>
      <c r="B19" s="134" t="s">
        <v>352</v>
      </c>
      <c r="C19" s="134" t="s">
        <v>366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338</v>
      </c>
    </row>
    <row r="20" spans="1:9" ht="30">
      <c r="A20" s="133" t="s">
        <v>367</v>
      </c>
      <c r="B20" s="134" t="s">
        <v>336</v>
      </c>
      <c r="C20" s="134" t="s">
        <v>368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338</v>
      </c>
    </row>
    <row r="21" spans="1:9">
      <c r="A21" s="133" t="s">
        <v>369</v>
      </c>
      <c r="B21" s="134" t="s">
        <v>370</v>
      </c>
      <c r="C21" s="134" t="s">
        <v>371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338</v>
      </c>
    </row>
    <row r="22" spans="1:9">
      <c r="A22" s="133" t="s">
        <v>372</v>
      </c>
      <c r="B22" s="134" t="s">
        <v>352</v>
      </c>
      <c r="C22" s="134" t="s">
        <v>373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338</v>
      </c>
    </row>
    <row r="23" spans="1:9">
      <c r="A23" s="133" t="s">
        <v>374</v>
      </c>
      <c r="B23" s="134" t="s">
        <v>336</v>
      </c>
      <c r="C23" s="134" t="s">
        <v>375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338</v>
      </c>
    </row>
    <row r="24" spans="1:9">
      <c r="A24" s="133" t="s">
        <v>376</v>
      </c>
      <c r="B24" s="134" t="s">
        <v>336</v>
      </c>
      <c r="C24" s="134" t="s">
        <v>377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338</v>
      </c>
    </row>
    <row r="25" spans="1:9">
      <c r="A25" s="133" t="s">
        <v>378</v>
      </c>
      <c r="B25" s="134" t="s">
        <v>379</v>
      </c>
      <c r="C25" s="134" t="s">
        <v>380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338</v>
      </c>
    </row>
    <row r="26" spans="1:9">
      <c r="A26" s="133" t="s">
        <v>381</v>
      </c>
      <c r="B26" s="134" t="s">
        <v>340</v>
      </c>
      <c r="C26" s="134" t="s">
        <v>382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383</v>
      </c>
      <c r="B27" s="134" t="s">
        <v>363</v>
      </c>
      <c r="C27" s="134" t="s">
        <v>384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338</v>
      </c>
    </row>
    <row r="28" spans="1:9">
      <c r="A28" s="133" t="s">
        <v>385</v>
      </c>
      <c r="B28" s="134" t="s">
        <v>340</v>
      </c>
      <c r="C28" s="134" t="s">
        <v>386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338</v>
      </c>
    </row>
    <row r="29" spans="1:9">
      <c r="A29" s="133" t="s">
        <v>387</v>
      </c>
      <c r="B29" s="134" t="s">
        <v>363</v>
      </c>
      <c r="C29" s="134" t="s">
        <v>388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338</v>
      </c>
    </row>
    <row r="30" spans="1:9">
      <c r="A30" s="133" t="s">
        <v>389</v>
      </c>
      <c r="B30" s="134" t="s">
        <v>370</v>
      </c>
      <c r="C30" s="134" t="s">
        <v>390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338</v>
      </c>
    </row>
    <row r="31" spans="1:9" ht="30">
      <c r="A31" s="133" t="s">
        <v>391</v>
      </c>
      <c r="B31" s="134" t="s">
        <v>363</v>
      </c>
      <c r="C31" s="134" t="s">
        <v>392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393</v>
      </c>
      <c r="B32" s="134" t="s">
        <v>340</v>
      </c>
      <c r="C32" s="134" t="s">
        <v>394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395</v>
      </c>
      <c r="B33" s="134" t="s">
        <v>363</v>
      </c>
      <c r="C33" s="134" t="s">
        <v>396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397</v>
      </c>
      <c r="B34" s="134" t="s">
        <v>352</v>
      </c>
      <c r="C34" s="134" t="s">
        <v>398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399</v>
      </c>
      <c r="B35" s="134" t="s">
        <v>370</v>
      </c>
      <c r="C35" s="134" t="s">
        <v>400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401</v>
      </c>
      <c r="B36" s="134" t="s">
        <v>352</v>
      </c>
      <c r="C36" s="134" t="s">
        <v>402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403</v>
      </c>
      <c r="B37" s="134" t="s">
        <v>370</v>
      </c>
      <c r="C37" s="134" t="s">
        <v>404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338</v>
      </c>
    </row>
    <row r="38" spans="1:9">
      <c r="A38" s="133" t="s">
        <v>405</v>
      </c>
      <c r="B38" s="134" t="s">
        <v>340</v>
      </c>
      <c r="C38" s="134" t="s">
        <v>406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338</v>
      </c>
    </row>
    <row r="39" spans="1:9">
      <c r="A39" s="133" t="s">
        <v>407</v>
      </c>
      <c r="B39" s="134" t="s">
        <v>336</v>
      </c>
      <c r="C39" s="134" t="s">
        <v>408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338</v>
      </c>
    </row>
    <row r="40" spans="1:9">
      <c r="A40" s="133" t="s">
        <v>409</v>
      </c>
      <c r="B40" s="134" t="s">
        <v>363</v>
      </c>
      <c r="C40" s="134" t="s">
        <v>410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338</v>
      </c>
    </row>
    <row r="41" spans="1:9">
      <c r="A41" s="133" t="s">
        <v>411</v>
      </c>
      <c r="B41" s="134" t="s">
        <v>340</v>
      </c>
      <c r="C41" s="134" t="s">
        <v>382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412</v>
      </c>
      <c r="B42" s="134" t="s">
        <v>340</v>
      </c>
      <c r="C42" s="134" t="s">
        <v>413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338</v>
      </c>
    </row>
    <row r="43" spans="1:9">
      <c r="A43" s="133" t="s">
        <v>414</v>
      </c>
      <c r="B43" s="134" t="s">
        <v>379</v>
      </c>
      <c r="C43" s="134" t="s">
        <v>415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338</v>
      </c>
    </row>
    <row r="44" spans="1:9">
      <c r="A44" s="133" t="s">
        <v>416</v>
      </c>
      <c r="B44" s="134" t="s">
        <v>370</v>
      </c>
      <c r="C44" s="134" t="s">
        <v>404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338</v>
      </c>
    </row>
    <row r="45" spans="1:9">
      <c r="A45" s="133" t="s">
        <v>417</v>
      </c>
      <c r="B45" s="134" t="s">
        <v>352</v>
      </c>
      <c r="C45" s="134" t="s">
        <v>418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338</v>
      </c>
    </row>
    <row r="46" spans="1:9">
      <c r="A46" s="133" t="s">
        <v>419</v>
      </c>
      <c r="B46" s="134" t="s">
        <v>336</v>
      </c>
      <c r="C46" s="134" t="s">
        <v>420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338</v>
      </c>
    </row>
    <row r="47" spans="1:9">
      <c r="A47" s="133" t="s">
        <v>421</v>
      </c>
      <c r="B47" s="134" t="s">
        <v>370</v>
      </c>
      <c r="C47" s="134" t="s">
        <v>422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338</v>
      </c>
    </row>
    <row r="48" spans="1:9">
      <c r="A48" s="133" t="s">
        <v>423</v>
      </c>
      <c r="B48" s="134" t="s">
        <v>352</v>
      </c>
      <c r="C48" s="134" t="s">
        <v>424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338</v>
      </c>
    </row>
    <row r="49" spans="1:9">
      <c r="A49" s="133" t="s">
        <v>425</v>
      </c>
      <c r="B49" s="134" t="s">
        <v>340</v>
      </c>
      <c r="C49" s="134" t="s">
        <v>426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427</v>
      </c>
      <c r="B50" s="134" t="s">
        <v>340</v>
      </c>
      <c r="C50" s="134" t="s">
        <v>428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338</v>
      </c>
    </row>
    <row r="51" spans="1:9">
      <c r="A51" s="133" t="s">
        <v>429</v>
      </c>
      <c r="B51" s="134" t="s">
        <v>363</v>
      </c>
      <c r="C51" s="134" t="s">
        <v>430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338</v>
      </c>
    </row>
    <row r="52" spans="1:9">
      <c r="A52" s="133" t="s">
        <v>431</v>
      </c>
      <c r="B52" s="134" t="s">
        <v>352</v>
      </c>
      <c r="C52" s="134" t="s">
        <v>432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338</v>
      </c>
    </row>
    <row r="53" spans="1:9">
      <c r="A53" s="133" t="s">
        <v>433</v>
      </c>
      <c r="B53" s="134" t="s">
        <v>379</v>
      </c>
      <c r="C53" s="134" t="s">
        <v>434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338</v>
      </c>
    </row>
    <row r="54" spans="1:9">
      <c r="A54" s="133" t="s">
        <v>435</v>
      </c>
      <c r="B54" s="134" t="s">
        <v>336</v>
      </c>
      <c r="C54" s="134" t="s">
        <v>436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338</v>
      </c>
    </row>
    <row r="55" spans="1:9">
      <c r="A55" s="133" t="s">
        <v>437</v>
      </c>
      <c r="B55" s="134" t="s">
        <v>379</v>
      </c>
      <c r="C55" s="134" t="s">
        <v>438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338</v>
      </c>
    </row>
    <row r="56" spans="1:9">
      <c r="A56" s="133" t="s">
        <v>439</v>
      </c>
      <c r="B56" s="134" t="s">
        <v>379</v>
      </c>
      <c r="C56" s="134" t="s">
        <v>440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338</v>
      </c>
    </row>
    <row r="57" spans="1:9">
      <c r="A57" s="133" t="s">
        <v>441</v>
      </c>
      <c r="B57" s="134" t="s">
        <v>370</v>
      </c>
      <c r="C57" s="134" t="s">
        <v>442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338</v>
      </c>
    </row>
    <row r="58" spans="1:9">
      <c r="A58" s="133" t="s">
        <v>443</v>
      </c>
      <c r="B58" s="134" t="s">
        <v>352</v>
      </c>
      <c r="C58" s="134" t="s">
        <v>444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338</v>
      </c>
    </row>
    <row r="59" spans="1:9">
      <c r="A59" s="133" t="s">
        <v>445</v>
      </c>
      <c r="B59" s="134" t="s">
        <v>352</v>
      </c>
      <c r="C59" s="134" t="s">
        <v>446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338</v>
      </c>
    </row>
    <row r="60" spans="1:9">
      <c r="A60" s="133" t="s">
        <v>447</v>
      </c>
      <c r="B60" s="134" t="s">
        <v>370</v>
      </c>
      <c r="C60" s="134" t="s">
        <v>448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338</v>
      </c>
    </row>
    <row r="61" spans="1:9">
      <c r="A61" s="138" t="s">
        <v>449</v>
      </c>
      <c r="B61" s="138" t="s">
        <v>338</v>
      </c>
      <c r="C61" s="138" t="s">
        <v>338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338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56</vt:i4>
      </vt:variant>
      <vt:variant>
        <vt:lpstr>Named Ranges</vt:lpstr>
      </vt:variant>
      <vt:variant>
        <vt:i4>44</vt:i4>
      </vt:variant>
    </vt:vector>
  </HeadingPairs>
  <TitlesOfParts>
    <vt:vector size="100" baseType="lpstr">
      <vt:lpstr>Cover</vt:lpstr>
      <vt:lpstr>Offer Overview</vt:lpstr>
      <vt:lpstr>Offer Comparison</vt:lpstr>
      <vt:lpstr>Partnership Sensitivity Tables</vt:lpstr>
      <vt:lpstr>100% Buyout Analysis</vt:lpstr>
      <vt:lpstr>Partnership Analysis</vt:lpstr>
      <vt:lpstr>P&amp;L Overview</vt:lpstr>
      <vt:lpstr>Software Overview</vt:lpstr>
      <vt:lpstr>Earnings Sensitivity Table</vt:lpstr>
      <vt:lpstr>P&amp;L Overview (Target Version)</vt:lpstr>
      <vt:lpstr>P&amp;L Forecast</vt:lpstr>
      <vt:lpstr>Expense Charts</vt:lpstr>
      <vt:lpstr>Tech Stack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Client Concentration</vt:lpstr>
      <vt:lpstr>Employee Overview</vt:lpstr>
      <vt:lpstr>Employee Retention</vt:lpstr>
      <vt:lpstr>Adj. Employee Retention</vt:lpstr>
      <vt:lpstr>Steady-State Staffing</vt:lpstr>
      <vt:lpstr>Tenure Charts</vt:lpstr>
      <vt:lpstr>Employee Retention Charts</vt:lpstr>
      <vt:lpstr>Yearly Employee Wins &amp; Losses</vt:lpstr>
      <vt:lpstr>Raw Data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 w Software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Combined P&amp;L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'100% Buyout Analysis'!Print_Area</vt:lpstr>
      <vt:lpstr>'Adj. Employee Retention'!Print_Area</vt:lpstr>
      <vt:lpstr>'Client Concentration'!Print_Area</vt:lpstr>
      <vt:lpstr>'Client Overview'!Print_Area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'Offer Comparison'!Print_Area</vt:lpstr>
      <vt:lpstr>'Offer Overview'!Print_Area</vt:lpstr>
      <vt:lpstr>'P&amp;L Overview'!Print_Area</vt:lpstr>
      <vt:lpstr>'P&amp;L Overview (Target Version)'!Print_Area</vt:lpstr>
      <vt:lpstr>'Partnership Analysis'!Print_Area</vt:lpstr>
      <vt:lpstr>'Partnership Sensitivity Tables'!Print_Area</vt:lpstr>
      <vt:lpstr>'Revenue Analysis'!Print_Area</vt:lpstr>
      <vt:lpstr>'Revenue Charts'!Print_Area</vt:lpstr>
      <vt:lpstr>'Software Overview'!Print_Area</vt:lpstr>
      <vt:lpstr>'Steady-State Staffing'!Print_Area</vt:lpstr>
      <vt:lpstr>'Tech Stack'!Print_Area</vt:lpstr>
      <vt:lpstr>'Tenure Charts'!Print_Area</vt:lpstr>
      <vt:lpstr>'Yearly Employee Wins &amp; Losses'!Print_Area</vt:lpstr>
      <vt:lpstr>'100% Buyout Analysis'!Print_Titles</vt:lpstr>
      <vt:lpstr>'Adj. Employee Retention'!Print_Titles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  <vt:lpstr>'Offer Comparison'!Print_Titles</vt:lpstr>
      <vt:lpstr>'Partnership Analysis'!Print_Titles</vt:lpstr>
      <vt:lpstr>'Partnership Sensitivity Tables'!Print_Titles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2026-09-24T19:36:09Z</cp:lastPrinted>
  <dcterms:created xsi:type="dcterms:W3CDTF">2015-06-05T18:17:20Z</dcterms:created>
  <dcterms:modified xsi:type="dcterms:W3CDTF">2026-09-24T19:36:37Z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