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9AEE04DF-BF2E-4EE2-BA8E-C8F3732F1EC2}" xr6:coauthVersionLast="47" xr6:coauthVersionMax="47" xr10:uidLastSave="{00000000-0000-0000-0000-000000000000}"/>
  <bookViews>
    <workbookView xWindow="-120" yWindow="-120" windowWidth="51840" windowHeight="21840" firstSheet="4" activeTab="6" xr2:uid="{00000000-000D-0000-FFFF-FFFF00000000}"/>
  </bookViews>
  <sheets>
    <sheet name="Cover" sheetId="1" r:id="rId1"/>
    <sheet name="Offer Overview" sheetId="60" r:id="rId2"/>
    <sheet name="Offer Comparison" sheetId="64" r:id="rId3"/>
    <sheet name="Partnership Sensitivity Tables" sheetId="65" r:id="rId4"/>
    <sheet name="100% Buyout Analysis" sheetId="61" r:id="rId5"/>
    <sheet name="Partnership Analysis" sheetId="63" r:id="rId6"/>
    <sheet name="P&amp;L Overview" sheetId="8" r:id="rId7"/>
    <sheet name="Software Overview" sheetId="55" r:id="rId8"/>
    <sheet name="Earnings Sensitivity Table" sheetId="56" r:id="rId9"/>
    <sheet name="P&amp;L Overview (Target Version)" sheetId="18" r:id="rId10"/>
    <sheet name="P&amp;L Forecast" sheetId="11" r:id="rId11"/>
    <sheet name="Expense Charts" sheetId="16" r:id="rId12"/>
    <sheet name="Tech Stack" sheetId="19" r:id="rId13"/>
    <sheet name="Revenue Analysis" sheetId="9" r:id="rId14"/>
    <sheet name="Revenue Charts" sheetId="10" r:id="rId15"/>
    <sheet name="Expense Analysis" sheetId="17" r:id="rId16"/>
    <sheet name="Client Overview" sheetId="31" r:id="rId17"/>
    <sheet name="Client Retention" sheetId="33" r:id="rId18"/>
    <sheet name="Customer Retention Charts" sheetId="37" r:id="rId19"/>
    <sheet name="Client Retention $" sheetId="38" r:id="rId20"/>
    <sheet name="Client Retention Charts $" sheetId="39" r:id="rId21"/>
    <sheet name="Client Concentration" sheetId="51" r:id="rId22"/>
    <sheet name="Employee Overview" sheetId="35" r:id="rId23"/>
    <sheet name="Employee Retention" sheetId="46" r:id="rId24"/>
    <sheet name="Adj. Employee Retention" sheetId="59" r:id="rId25"/>
    <sheet name="Steady-State Staffing" sheetId="52" r:id="rId26"/>
    <sheet name="Tenure Charts" sheetId="47" r:id="rId27"/>
    <sheet name="Employee Retention Charts" sheetId="48" r:id="rId28"/>
    <sheet name="Yearly Employee Wins &amp; Losses" sheetId="49" r:id="rId29"/>
    <sheet name="Raw Data" sheetId="57" r:id="rId30"/>
    <sheet name="Employee Data --&gt;" sheetId="41" r:id="rId31"/>
    <sheet name="Combined Employee Worksheet" sheetId="45" r:id="rId32"/>
    <sheet name="Headcount &amp; Compensation" sheetId="34" r:id="rId33"/>
    <sheet name="Inactive Employees" sheetId="42" r:id="rId34"/>
    <sheet name="Employee Mapping" sheetId="44" r:id="rId35"/>
    <sheet name="Employee Summary" sheetId="43" r:id="rId36"/>
    <sheet name="Owner Mapped P&amp;L" sheetId="40" r:id="rId37"/>
    <sheet name="Customer Data --&gt;" sheetId="20" r:id="rId38"/>
    <sheet name="Full Customer List" sheetId="30" r:id="rId39"/>
    <sheet name="Missing End Dates" sheetId="36" r:id="rId40"/>
    <sheet name="Client Departures" sheetId="29" r:id="rId41"/>
    <sheet name="Revenue by Customer" sheetId="23" r:id="rId42"/>
    <sheet name="Customer List w Software" sheetId="27" r:id="rId43"/>
    <sheet name="Customer List Mapping" sheetId="32" r:id="rId44"/>
    <sheet name="README" sheetId="21" r:id="rId45"/>
    <sheet name="Summary" sheetId="22" r:id="rId46"/>
    <sheet name="Monthly Trend" sheetId="24" r:id="rId47"/>
    <sheet name="New &amp; Lost Revenue" sheetId="25" r:id="rId48"/>
    <sheet name="Recurring vs Total" sheetId="26" r:id="rId49"/>
    <sheet name="Definitions" sheetId="28" r:id="rId50"/>
    <sheet name="Financial Data --&gt;" sheetId="6" r:id="rId51"/>
    <sheet name="Combined P&amp;L" sheetId="2" r:id="rId52"/>
    <sheet name="Software" sheetId="12" r:id="rId53"/>
    <sheet name="Raw - 2024 PL" sheetId="3" r:id="rId54"/>
    <sheet name="Raw - 2025 PL" sheetId="4" r:id="rId55"/>
    <sheet name="Raw - 2026 PL" sheetId="5" r:id="rId56"/>
  </sheets>
  <definedNames>
    <definedName name="_xlnm._FilterDatabase" localSheetId="32">'Headcount &amp; Compensation'!A1:L91</definedName>
    <definedName name="_xlnm._FilterDatabase" localSheetId="33" hidden="1">'Inactive Employees'!$A$1:$T$57</definedName>
    <definedName name="_xlnm._FilterDatabase" localSheetId="39" hidden="1">'Missing End Dates'!$B$6:$AA$320</definedName>
    <definedName name="_xlnm._FilterDatabase" localSheetId="52">Software!A5:H67</definedName>
    <definedName name="_xlnm.Print_Area" localSheetId="4">'100% Buyout Analysis'!$B$2:$D$89,'100% Buyout Analysis'!$B$91:$D$162</definedName>
    <definedName name="_xlnm.Print_Area" localSheetId="24">'Adj. Employee Retention'!$B$2:$AB$60,'Adj. Employee Retention'!$B$62:$AB$105</definedName>
    <definedName name="_xlnm.Print_Area" localSheetId="21">'Client Concentration'!$B$2:$J$29</definedName>
    <definedName name="_xlnm.Print_Area" localSheetId="16">'Client Overview'!$B$2:$J$46</definedName>
    <definedName name="_xlnm.Print_Area" localSheetId="17">'Client Retention'!$B$2:$AD$48,'Client Retention'!$B$50:$AD$93</definedName>
    <definedName name="_xlnm.Print_Area" localSheetId="19">'Client Retention $'!$B$2:$AD$51,'Client Retention $'!$B$53:$AD$99</definedName>
    <definedName name="_xlnm.Print_Area" localSheetId="20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8">'Customer Retention Charts'!$B$32:$L$56,'Customer Retention Charts'!$B$2:$L$30,'Customer Retention Charts'!$B$58:$L$83,'Customer Retention Charts'!$B$85:$L$109</definedName>
    <definedName name="_xlnm.Print_Area" localSheetId="22">'Employee Overview'!$B$2:$T$40</definedName>
    <definedName name="_xlnm.Print_Area" localSheetId="23">'Employee Retention'!$B$2:$AB$60,'Employee Retention'!$B$62:$AB$105</definedName>
    <definedName name="_xlnm.Print_Area" localSheetId="27">'Employee Retention Charts'!$B$32:$L$56,'Employee Retention Charts'!$B$2:$L$30,'Employee Retention Charts'!$B$58:$L$83,'Employee Retention Charts'!$B$85:$L$109</definedName>
    <definedName name="_xlnm.Print_Area" localSheetId="15">'Expense Analysis'!$B$2:$S$40,'Expense Analysis'!$B$42:$S$83</definedName>
    <definedName name="_xlnm.Print_Area" localSheetId="11">'Expense Charts'!$B$2:$L$84</definedName>
    <definedName name="_xlnm.Print_Area" localSheetId="39">'Missing End Dates'!$B$2:$AA$280</definedName>
    <definedName name="_xlnm.Print_Area" localSheetId="2">'Offer Comparison'!$B$2:$E$65,'Offer Comparison'!$B$67:$E$111,'Offer Comparison'!$B$114:$E$150</definedName>
    <definedName name="_xlnm.Print_Area" localSheetId="1">'Offer Overview'!$B$2:$E$54</definedName>
    <definedName name="_xlnm.Print_Area" localSheetId="6">'P&amp;L Overview'!$B$2:$N$73</definedName>
    <definedName name="_xlnm.Print_Area" localSheetId="9">'P&amp;L Overview (Target Version)'!$B$2:$N$48</definedName>
    <definedName name="_xlnm.Print_Area" localSheetId="5">'Partnership Analysis'!$B$2:$D$43,'Partnership Analysis'!$B$45:$D$111,'Partnership Analysis'!$B$113:$D$171</definedName>
    <definedName name="_xlnm.Print_Area" localSheetId="3">'Partnership Sensitivity Tables'!$B$2:$L$82,'Partnership Sensitivity Tables'!$B$85:$L$162,'Partnership Sensitivity Tables'!$B$165:$L$242,'Partnership Sensitivity Tables'!$B$245:$L$322,'Partnership Sensitivity Tables'!$B$325:$L$402</definedName>
    <definedName name="_xlnm.Print_Area" localSheetId="13">'Revenue Analysis'!$B$2:$R$46</definedName>
    <definedName name="_xlnm.Print_Area" localSheetId="14">'Revenue Charts'!$B$2:$L$44</definedName>
    <definedName name="_xlnm.Print_Area" localSheetId="7">'Software Overview'!$B$2:$M$36</definedName>
    <definedName name="_xlnm.Print_Area" localSheetId="25">'Steady-State Staffing'!$B$2:$AB$35</definedName>
    <definedName name="_xlnm.Print_Area" localSheetId="12">'Tech Stack'!$B$2:$H$48</definedName>
    <definedName name="_xlnm.Print_Area" localSheetId="26">'Tenure Charts'!$B$2:$G$42</definedName>
    <definedName name="_xlnm.Print_Area" localSheetId="28">'Yearly Employee Wins &amp; Losses'!$B$2:$G$78</definedName>
    <definedName name="_xlnm.Print_Titles" localSheetId="4">'100% Buyout Analysis'!$1:$4</definedName>
    <definedName name="_xlnm.Print_Titles" localSheetId="24">'Adj. Employee Retention'!$2:$4</definedName>
    <definedName name="_xlnm.Print_Titles" localSheetId="17">'Client Retention'!$2:$4</definedName>
    <definedName name="_xlnm.Print_Titles" localSheetId="19">'Client Retention $'!$2:$4</definedName>
    <definedName name="_xlnm.Print_Titles" localSheetId="20">'Client Retention Charts $'!$2:$4</definedName>
    <definedName name="_xlnm.Print_Titles" localSheetId="51">'Combined P&amp;L'!$5:$5</definedName>
    <definedName name="_xlnm.Print_Titles" localSheetId="18">'Customer Retention Charts'!$2:$4</definedName>
    <definedName name="_xlnm.Print_Titles" localSheetId="23">'Employee Retention'!$2:$4</definedName>
    <definedName name="_xlnm.Print_Titles" localSheetId="27">'Employee Retention Charts'!$2:$4</definedName>
    <definedName name="_xlnm.Print_Titles" localSheetId="15">'Expense Analysis'!$2:$6</definedName>
    <definedName name="_xlnm.Print_Titles" localSheetId="11">'Expense Charts'!$2:$4</definedName>
    <definedName name="_xlnm.Print_Titles" localSheetId="2">'Offer Comparison'!$2:$4</definedName>
    <definedName name="_xlnm.Print_Titles" localSheetId="5">'Partnership Analysis'!$1:$4</definedName>
    <definedName name="_xlnm.Print_Titles" localSheetId="3">'Partnership Sensitivity Tables'!$2:$4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55" i="65" l="1"/>
  <c r="BJ355" i="65"/>
  <c r="BP355" i="65"/>
  <c r="BV355" i="65"/>
  <c r="CB355" i="65"/>
  <c r="CH355" i="65"/>
  <c r="CN355" i="65"/>
  <c r="CT355" i="65"/>
  <c r="CZ355" i="65"/>
  <c r="BD275" i="65"/>
  <c r="BJ275" i="65"/>
  <c r="BP275" i="65"/>
  <c r="BV275" i="65"/>
  <c r="CB275" i="65"/>
  <c r="CH275" i="65"/>
  <c r="CN275" i="65"/>
  <c r="CT275" i="65"/>
  <c r="CZ275" i="65"/>
  <c r="BD195" i="65"/>
  <c r="BJ195" i="65"/>
  <c r="BP195" i="65"/>
  <c r="BV195" i="65"/>
  <c r="CB195" i="65"/>
  <c r="CH195" i="65"/>
  <c r="CN195" i="65"/>
  <c r="CT195" i="65"/>
  <c r="CZ195" i="65"/>
  <c r="BD115" i="65"/>
  <c r="BJ115" i="65"/>
  <c r="BP115" i="65"/>
  <c r="BV115" i="65"/>
  <c r="CB115" i="65"/>
  <c r="CH115" i="65"/>
  <c r="CN115" i="65"/>
  <c r="CT115" i="65"/>
  <c r="CZ115" i="65"/>
  <c r="BD35" i="65"/>
  <c r="BJ35" i="65"/>
  <c r="BP35" i="65"/>
  <c r="BV35" i="65"/>
  <c r="CB35" i="65"/>
  <c r="CH35" i="65"/>
  <c r="CN35" i="65"/>
  <c r="CT35" i="65"/>
  <c r="CZ35" i="65"/>
  <c r="D13" i="64"/>
  <c r="D14" i="64"/>
  <c r="D15" i="64"/>
  <c r="C96" i="61"/>
  <c r="C39" i="63"/>
  <c r="C35" i="63"/>
  <c r="C32" i="63"/>
  <c r="C25" i="63"/>
  <c r="C16" i="63"/>
  <c r="C14" i="63"/>
  <c r="C10" i="63"/>
  <c r="C7" i="63"/>
  <c r="C38" i="61"/>
  <c r="C34" i="61"/>
  <c r="C31" i="61"/>
  <c r="C24" i="61"/>
  <c r="C15" i="61"/>
  <c r="C31" i="64"/>
  <c r="D31" i="64"/>
  <c r="D27" i="64"/>
  <c r="E27" i="64"/>
  <c r="D26" i="64"/>
  <c r="E26" i="64" s="1"/>
  <c r="D25" i="64"/>
  <c r="E25" i="64"/>
  <c r="D23" i="64"/>
  <c r="E23" i="64"/>
  <c r="D20" i="64"/>
  <c r="E20" i="64" s="1"/>
  <c r="D19" i="64"/>
  <c r="C13" i="61" s="1"/>
  <c r="E19" i="64"/>
  <c r="D18" i="64"/>
  <c r="E18" i="64" s="1"/>
  <c r="E17" i="64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1" i="12" s="1"/>
  <c r="D6" i="12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05" i="2" s="1"/>
  <c r="E117" i="2"/>
  <c r="E105" i="2" s="1"/>
  <c r="AN113" i="2"/>
  <c r="AB112" i="2"/>
  <c r="AA112" i="2"/>
  <c r="AR111" i="2"/>
  <c r="AQ111" i="2"/>
  <c r="AP111" i="2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N112" i="2" s="1"/>
  <c r="I111" i="2"/>
  <c r="H111" i="2"/>
  <c r="AR110" i="2"/>
  <c r="AR112" i="2" s="1"/>
  <c r="AQ110" i="2"/>
  <c r="AQ112" i="2" s="1"/>
  <c r="AP110" i="2"/>
  <c r="AP112" i="2" s="1"/>
  <c r="AO110" i="2"/>
  <c r="AN110" i="2"/>
  <c r="AN112" i="2" s="1"/>
  <c r="AM110" i="2"/>
  <c r="AM112" i="2" s="1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H110" i="2" s="1"/>
  <c r="Z110" i="2"/>
  <c r="Y110" i="2"/>
  <c r="X110" i="2"/>
  <c r="W110" i="2"/>
  <c r="V110" i="2"/>
  <c r="U110" i="2"/>
  <c r="T110" i="2"/>
  <c r="S110" i="2"/>
  <c r="R110" i="2"/>
  <c r="Q110" i="2"/>
  <c r="P110" i="2"/>
  <c r="O110" i="2"/>
  <c r="E110" i="2" s="1"/>
  <c r="N110" i="2"/>
  <c r="AK109" i="2"/>
  <c r="AJ109" i="2"/>
  <c r="AI109" i="2"/>
  <c r="AH109" i="2"/>
  <c r="AG109" i="2"/>
  <c r="AF109" i="2"/>
  <c r="AE109" i="2"/>
  <c r="AD109" i="2"/>
  <c r="AD112" i="2" s="1"/>
  <c r="AC109" i="2"/>
  <c r="H109" i="2" s="1"/>
  <c r="AB109" i="2"/>
  <c r="AA109" i="2"/>
  <c r="Z109" i="2"/>
  <c r="I109" i="2"/>
  <c r="E109" i="2"/>
  <c r="AK108" i="2"/>
  <c r="AJ108" i="2"/>
  <c r="AJ112" i="2" s="1"/>
  <c r="AI108" i="2"/>
  <c r="AI112" i="2" s="1"/>
  <c r="AH108" i="2"/>
  <c r="AH112" i="2" s="1"/>
  <c r="AG108" i="2"/>
  <c r="AG112" i="2" s="1"/>
  <c r="AF108" i="2"/>
  <c r="AF112" i="2" s="1"/>
  <c r="AE108" i="2"/>
  <c r="AE112" i="2" s="1"/>
  <c r="AD108" i="2"/>
  <c r="AC108" i="2"/>
  <c r="AB108" i="2"/>
  <c r="AA108" i="2"/>
  <c r="H108" i="2" s="1"/>
  <c r="Z108" i="2"/>
  <c r="Z112" i="2" s="1"/>
  <c r="Y108" i="2"/>
  <c r="Y112" i="2" s="1"/>
  <c r="X108" i="2"/>
  <c r="X112" i="2" s="1"/>
  <c r="W108" i="2"/>
  <c r="W112" i="2" s="1"/>
  <c r="V108" i="2"/>
  <c r="V112" i="2" s="1"/>
  <c r="U108" i="2"/>
  <c r="U112" i="2" s="1"/>
  <c r="T108" i="2"/>
  <c r="T112" i="2" s="1"/>
  <c r="S108" i="2"/>
  <c r="S112" i="2" s="1"/>
  <c r="R108" i="2"/>
  <c r="R112" i="2" s="1"/>
  <c r="Q108" i="2"/>
  <c r="Q112" i="2" s="1"/>
  <c r="P108" i="2"/>
  <c r="P112" i="2" s="1"/>
  <c r="O108" i="2"/>
  <c r="E108" i="2" s="1"/>
  <c r="N108" i="2"/>
  <c r="I108" i="2"/>
  <c r="AN106" i="2"/>
  <c r="AM106" i="2"/>
  <c r="AM113" i="2" s="1"/>
  <c r="AL106" i="2"/>
  <c r="I106" i="2" s="1"/>
  <c r="D151" i="2" s="1"/>
  <c r="F151" i="2" s="1"/>
  <c r="AK106" i="2"/>
  <c r="AJ106" i="2"/>
  <c r="Y106" i="2"/>
  <c r="W106" i="2"/>
  <c r="W113" i="2" s="1"/>
  <c r="V106" i="2"/>
  <c r="V113" i="2" s="1"/>
  <c r="U106" i="2"/>
  <c r="T106" i="2"/>
  <c r="AR105" i="2"/>
  <c r="AR106" i="2" s="1"/>
  <c r="AR113" i="2" s="1"/>
  <c r="AQ105" i="2"/>
  <c r="AQ106" i="2" s="1"/>
  <c r="AQ113" i="2" s="1"/>
  <c r="AP105" i="2"/>
  <c r="AP106" i="2" s="1"/>
  <c r="AP113" i="2" s="1"/>
  <c r="AO105" i="2"/>
  <c r="AO106" i="2" s="1"/>
  <c r="AO113" i="2" s="1"/>
  <c r="AN105" i="2"/>
  <c r="AM105" i="2"/>
  <c r="AL105" i="2"/>
  <c r="AK105" i="2"/>
  <c r="AJ105" i="2"/>
  <c r="AI105" i="2"/>
  <c r="AI106" i="2" s="1"/>
  <c r="AI113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B113" i="2" s="1"/>
  <c r="AA105" i="2"/>
  <c r="AA106" i="2" s="1"/>
  <c r="AA113" i="2" s="1"/>
  <c r="Z105" i="2"/>
  <c r="H105" i="2" s="1"/>
  <c r="Y104" i="2"/>
  <c r="X104" i="2"/>
  <c r="X106" i="2" s="1"/>
  <c r="X113" i="2" s="1"/>
  <c r="W104" i="2"/>
  <c r="V104" i="2"/>
  <c r="U104" i="2"/>
  <c r="T104" i="2"/>
  <c r="S104" i="2"/>
  <c r="S106" i="2" s="1"/>
  <c r="S113" i="2" s="1"/>
  <c r="R104" i="2"/>
  <c r="R106" i="2" s="1"/>
  <c r="Q104" i="2"/>
  <c r="Q106" i="2" s="1"/>
  <c r="P104" i="2"/>
  <c r="P106" i="2" s="1"/>
  <c r="O104" i="2"/>
  <c r="O106" i="2" s="1"/>
  <c r="N104" i="2"/>
  <c r="N106" i="2" s="1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E99" i="2" s="1"/>
  <c r="N99" i="2"/>
  <c r="H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E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H97" i="2" s="1"/>
  <c r="AB97" i="2"/>
  <c r="AA97" i="2"/>
  <c r="Z97" i="2"/>
  <c r="E97" i="2"/>
  <c r="AK96" i="2"/>
  <c r="AJ96" i="2"/>
  <c r="AI96" i="2"/>
  <c r="AH96" i="2"/>
  <c r="AG96" i="2"/>
  <c r="AF96" i="2"/>
  <c r="AE96" i="2"/>
  <c r="H96" i="2" s="1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H95" i="2" s="1"/>
  <c r="I95" i="2"/>
  <c r="E95" i="2"/>
  <c r="AR94" i="2"/>
  <c r="AQ94" i="2"/>
  <c r="AP94" i="2"/>
  <c r="I94" i="2" s="1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H94" i="2" s="1"/>
  <c r="E94" i="2"/>
  <c r="AR93" i="2"/>
  <c r="AQ93" i="2"/>
  <c r="AP93" i="2"/>
  <c r="AO93" i="2"/>
  <c r="AN93" i="2"/>
  <c r="AM93" i="2"/>
  <c r="AL93" i="2"/>
  <c r="I93" i="2"/>
  <c r="H93" i="2"/>
  <c r="E93" i="2"/>
  <c r="AR92" i="2"/>
  <c r="AQ92" i="2"/>
  <c r="AP92" i="2"/>
  <c r="AO92" i="2"/>
  <c r="AN92" i="2"/>
  <c r="AM92" i="2"/>
  <c r="AM98" i="2" s="1"/>
  <c r="AL92" i="2"/>
  <c r="AK92" i="2"/>
  <c r="AJ92" i="2"/>
  <c r="AJ98" i="2" s="1"/>
  <c r="AI92" i="2"/>
  <c r="AH92" i="2"/>
  <c r="AG92" i="2"/>
  <c r="AF92" i="2"/>
  <c r="AE92" i="2"/>
  <c r="AD92" i="2"/>
  <c r="AC92" i="2"/>
  <c r="AB92" i="2"/>
  <c r="AA92" i="2"/>
  <c r="Z92" i="2"/>
  <c r="I92" i="2"/>
  <c r="E92" i="2"/>
  <c r="AR91" i="2"/>
  <c r="AR98" i="2" s="1"/>
  <c r="AQ91" i="2"/>
  <c r="AQ98" i="2" s="1"/>
  <c r="AP91" i="2"/>
  <c r="AP98" i="2" s="1"/>
  <c r="AO91" i="2"/>
  <c r="AO98" i="2" s="1"/>
  <c r="AN91" i="2"/>
  <c r="AM91" i="2"/>
  <c r="AL91" i="2"/>
  <c r="AL98" i="2" s="1"/>
  <c r="I98" i="2" s="1"/>
  <c r="AK91" i="2"/>
  <c r="AK98" i="2" s="1"/>
  <c r="AJ91" i="2"/>
  <c r="AI91" i="2"/>
  <c r="AI98" i="2" s="1"/>
  <c r="AH91" i="2"/>
  <c r="AH98" i="2" s="1"/>
  <c r="AG91" i="2"/>
  <c r="AF91" i="2"/>
  <c r="AE91" i="2"/>
  <c r="AD91" i="2"/>
  <c r="AD98" i="2" s="1"/>
  <c r="AC91" i="2"/>
  <c r="AC98" i="2" s="1"/>
  <c r="AB91" i="2"/>
  <c r="AB98" i="2" s="1"/>
  <c r="AA91" i="2"/>
  <c r="AA98" i="2" s="1"/>
  <c r="Z91" i="2"/>
  <c r="H91" i="2" s="1"/>
  <c r="E91" i="2"/>
  <c r="AR89" i="2"/>
  <c r="AQ89" i="2"/>
  <c r="AP89" i="2"/>
  <c r="AO89" i="2"/>
  <c r="I89" i="2" s="1"/>
  <c r="AN89" i="2"/>
  <c r="AM89" i="2"/>
  <c r="AL89" i="2"/>
  <c r="AK89" i="2"/>
  <c r="AJ89" i="2"/>
  <c r="AI89" i="2"/>
  <c r="AH89" i="2"/>
  <c r="AG89" i="2"/>
  <c r="AF89" i="2"/>
  <c r="AE89" i="2"/>
  <c r="H89" i="2" s="1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E89" i="2" s="1"/>
  <c r="N89" i="2"/>
  <c r="AR88" i="2"/>
  <c r="AQ88" i="2"/>
  <c r="AP88" i="2"/>
  <c r="AO88" i="2"/>
  <c r="AN88" i="2"/>
  <c r="AM88" i="2"/>
  <c r="I88" i="2" s="1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E88" i="2" s="1"/>
  <c r="V88" i="2"/>
  <c r="U88" i="2"/>
  <c r="T88" i="2"/>
  <c r="S88" i="2"/>
  <c r="R88" i="2"/>
  <c r="Q88" i="2"/>
  <c r="P88" i="2"/>
  <c r="O88" i="2"/>
  <c r="N88" i="2"/>
  <c r="H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H87" i="2" s="1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E86" i="2" s="1"/>
  <c r="I86" i="2"/>
  <c r="AL85" i="2"/>
  <c r="AJ85" i="2"/>
  <c r="AJ100" i="2" s="1"/>
  <c r="AI85" i="2"/>
  <c r="AI100" i="2" s="1"/>
  <c r="Y85" i="2"/>
  <c r="Y100" i="2" s="1"/>
  <c r="X85" i="2"/>
  <c r="X100" i="2" s="1"/>
  <c r="V85" i="2"/>
  <c r="V100" i="2" s="1"/>
  <c r="U85" i="2"/>
  <c r="U100" i="2" s="1"/>
  <c r="T85" i="2"/>
  <c r="T100" i="2" s="1"/>
  <c r="S85" i="2"/>
  <c r="S100" i="2" s="1"/>
  <c r="P85" i="2"/>
  <c r="P100" i="2" s="1"/>
  <c r="AR84" i="2"/>
  <c r="AQ84" i="2"/>
  <c r="AP84" i="2"/>
  <c r="AO84" i="2"/>
  <c r="AN84" i="2"/>
  <c r="I84" i="2" s="1"/>
  <c r="AM84" i="2"/>
  <c r="AL84" i="2"/>
  <c r="AK84" i="2"/>
  <c r="AK85" i="2" s="1"/>
  <c r="AK100" i="2" s="1"/>
  <c r="AJ84" i="2"/>
  <c r="AI84" i="2"/>
  <c r="AH84" i="2"/>
  <c r="AG84" i="2"/>
  <c r="AF84" i="2"/>
  <c r="AF85" i="2" s="1"/>
  <c r="AE84" i="2"/>
  <c r="AD84" i="2"/>
  <c r="AC84" i="2"/>
  <c r="AB84" i="2"/>
  <c r="AA84" i="2"/>
  <c r="Z84" i="2"/>
  <c r="H84" i="2" s="1"/>
  <c r="K84" i="2"/>
  <c r="E84" i="2"/>
  <c r="AR83" i="2"/>
  <c r="AQ83" i="2"/>
  <c r="AP83" i="2"/>
  <c r="AO83" i="2"/>
  <c r="AO85" i="2" s="1"/>
  <c r="AO100" i="2" s="1"/>
  <c r="AN83" i="2"/>
  <c r="I83" i="2" s="1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H83" i="2" s="1"/>
  <c r="E83" i="2"/>
  <c r="AR82" i="2"/>
  <c r="AR85" i="2" s="1"/>
  <c r="AR100" i="2" s="1"/>
  <c r="AQ82" i="2"/>
  <c r="AQ85" i="2" s="1"/>
  <c r="AQ100" i="2" s="1"/>
  <c r="AP82" i="2"/>
  <c r="AO82" i="2"/>
  <c r="AN82" i="2"/>
  <c r="AM82" i="2"/>
  <c r="AM85" i="2" s="1"/>
  <c r="AL82" i="2"/>
  <c r="AK82" i="2"/>
  <c r="AJ82" i="2"/>
  <c r="AI82" i="2"/>
  <c r="AH82" i="2"/>
  <c r="AH85" i="2" s="1"/>
  <c r="AG82" i="2"/>
  <c r="AG85" i="2" s="1"/>
  <c r="AF82" i="2"/>
  <c r="AE82" i="2"/>
  <c r="AE85" i="2" s="1"/>
  <c r="AD82" i="2"/>
  <c r="AD85" i="2" s="1"/>
  <c r="AD100" i="2" s="1"/>
  <c r="AC82" i="2"/>
  <c r="AC85" i="2" s="1"/>
  <c r="AC100" i="2" s="1"/>
  <c r="AB82" i="2"/>
  <c r="AB85" i="2" s="1"/>
  <c r="AB100" i="2" s="1"/>
  <c r="AA82" i="2"/>
  <c r="AA85" i="2" s="1"/>
  <c r="AA100" i="2" s="1"/>
  <c r="Z82" i="2"/>
  <c r="Z85" i="2" s="1"/>
  <c r="Y82" i="2"/>
  <c r="X82" i="2"/>
  <c r="W82" i="2"/>
  <c r="W85" i="2" s="1"/>
  <c r="W100" i="2" s="1"/>
  <c r="V82" i="2"/>
  <c r="U82" i="2"/>
  <c r="T82" i="2"/>
  <c r="S82" i="2"/>
  <c r="R82" i="2"/>
  <c r="R85" i="2" s="1"/>
  <c r="Q82" i="2"/>
  <c r="Q85" i="2" s="1"/>
  <c r="Q100" i="2" s="1"/>
  <c r="P82" i="2"/>
  <c r="O82" i="2"/>
  <c r="O85" i="2" s="1"/>
  <c r="O100" i="2" s="1"/>
  <c r="N82" i="2"/>
  <c r="E82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H80" i="2" s="1"/>
  <c r="AD80" i="2"/>
  <c r="AC80" i="2"/>
  <c r="AB80" i="2"/>
  <c r="AA80" i="2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H78" i="2" s="1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E78" i="2" s="1"/>
  <c r="AR77" i="2"/>
  <c r="AQ77" i="2"/>
  <c r="AP77" i="2"/>
  <c r="AO77" i="2"/>
  <c r="I77" i="2" s="1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I76" i="2" s="1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H76" i="2"/>
  <c r="AR75" i="2"/>
  <c r="I75" i="2" s="1"/>
  <c r="AQ75" i="2"/>
  <c r="AP75" i="2"/>
  <c r="AO75" i="2"/>
  <c r="AN75" i="2"/>
  <c r="AM75" i="2"/>
  <c r="AL75" i="2"/>
  <c r="K75" i="2"/>
  <c r="H75" i="2"/>
  <c r="E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K74" i="2" s="1"/>
  <c r="X74" i="2"/>
  <c r="W74" i="2"/>
  <c r="V74" i="2"/>
  <c r="U74" i="2"/>
  <c r="T74" i="2"/>
  <c r="S74" i="2"/>
  <c r="R74" i="2"/>
  <c r="Q74" i="2"/>
  <c r="P74" i="2"/>
  <c r="O74" i="2"/>
  <c r="N74" i="2"/>
  <c r="E74" i="2" s="1"/>
  <c r="H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E73" i="2" s="1"/>
  <c r="Y72" i="2"/>
  <c r="X72" i="2"/>
  <c r="W72" i="2"/>
  <c r="V72" i="2"/>
  <c r="U72" i="2"/>
  <c r="T72" i="2"/>
  <c r="S72" i="2"/>
  <c r="R72" i="2"/>
  <c r="Q72" i="2"/>
  <c r="P72" i="2"/>
  <c r="E72" i="2" s="1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E71" i="2" s="1"/>
  <c r="I71" i="2"/>
  <c r="H71" i="2"/>
  <c r="AR70" i="2"/>
  <c r="AQ70" i="2"/>
  <c r="AP70" i="2"/>
  <c r="AO70" i="2"/>
  <c r="AN70" i="2"/>
  <c r="AM70" i="2"/>
  <c r="I70" i="2" s="1"/>
  <c r="AL70" i="2"/>
  <c r="AK70" i="2"/>
  <c r="AJ70" i="2"/>
  <c r="AI70" i="2"/>
  <c r="AH70" i="2"/>
  <c r="AG70" i="2"/>
  <c r="AF70" i="2"/>
  <c r="AE70" i="2"/>
  <c r="H70" i="2" s="1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E70" i="2" s="1"/>
  <c r="N70" i="2"/>
  <c r="AR69" i="2"/>
  <c r="AJ69" i="2"/>
  <c r="AF69" i="2"/>
  <c r="AE69" i="2"/>
  <c r="AC69" i="2"/>
  <c r="AB69" i="2"/>
  <c r="U69" i="2"/>
  <c r="T69" i="2"/>
  <c r="P69" i="2"/>
  <c r="O69" i="2"/>
  <c r="AR68" i="2"/>
  <c r="AQ68" i="2"/>
  <c r="AP68" i="2"/>
  <c r="AO68" i="2"/>
  <c r="AN68" i="2"/>
  <c r="AM68" i="2"/>
  <c r="AL68" i="2"/>
  <c r="I68" i="2" s="1"/>
  <c r="AK68" i="2"/>
  <c r="AK69" i="2" s="1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E68" i="2" s="1"/>
  <c r="P68" i="2"/>
  <c r="O68" i="2"/>
  <c r="N68" i="2"/>
  <c r="H68" i="2"/>
  <c r="AR67" i="2"/>
  <c r="AQ67" i="2"/>
  <c r="AP67" i="2"/>
  <c r="AO67" i="2"/>
  <c r="AO69" i="2" s="1"/>
  <c r="AN67" i="2"/>
  <c r="AM67" i="2"/>
  <c r="AL67" i="2"/>
  <c r="I67" i="2" s="1"/>
  <c r="AK67" i="2"/>
  <c r="AJ67" i="2"/>
  <c r="AI67" i="2"/>
  <c r="AH67" i="2"/>
  <c r="AG67" i="2"/>
  <c r="AF67" i="2"/>
  <c r="AE67" i="2"/>
  <c r="AD67" i="2"/>
  <c r="AC67" i="2"/>
  <c r="H67" i="2" s="1"/>
  <c r="AB67" i="2"/>
  <c r="AA67" i="2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AR66" i="2"/>
  <c r="AQ66" i="2"/>
  <c r="AQ69" i="2" s="1"/>
  <c r="AP66" i="2"/>
  <c r="AP69" i="2" s="1"/>
  <c r="AO66" i="2"/>
  <c r="AN66" i="2"/>
  <c r="AN69" i="2" s="1"/>
  <c r="AM66" i="2"/>
  <c r="AM69" i="2" s="1"/>
  <c r="AL66" i="2"/>
  <c r="AK66" i="2"/>
  <c r="AJ66" i="2"/>
  <c r="AI66" i="2"/>
  <c r="AI69" i="2" s="1"/>
  <c r="AH66" i="2"/>
  <c r="AH69" i="2" s="1"/>
  <c r="AG66" i="2"/>
  <c r="AG69" i="2" s="1"/>
  <c r="AF66" i="2"/>
  <c r="AE66" i="2"/>
  <c r="AD66" i="2"/>
  <c r="AD69" i="2" s="1"/>
  <c r="AC66" i="2"/>
  <c r="AB66" i="2"/>
  <c r="AA66" i="2"/>
  <c r="Z66" i="2"/>
  <c r="Z69" i="2" s="1"/>
  <c r="Y66" i="2"/>
  <c r="X66" i="2"/>
  <c r="X69" i="2" s="1"/>
  <c r="W66" i="2"/>
  <c r="W69" i="2" s="1"/>
  <c r="V66" i="2"/>
  <c r="U66" i="2"/>
  <c r="T66" i="2"/>
  <c r="S66" i="2"/>
  <c r="S69" i="2" s="1"/>
  <c r="R66" i="2"/>
  <c r="R69" i="2" s="1"/>
  <c r="Q66" i="2"/>
  <c r="Q69" i="2" s="1"/>
  <c r="P66" i="2"/>
  <c r="O66" i="2"/>
  <c r="N66" i="2"/>
  <c r="E66" i="2" s="1"/>
  <c r="AR64" i="2"/>
  <c r="AQ64" i="2"/>
  <c r="AP64" i="2"/>
  <c r="AO64" i="2"/>
  <c r="AN64" i="2"/>
  <c r="AM64" i="2"/>
  <c r="AL64" i="2"/>
  <c r="I64" i="2" s="1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E64" i="2" s="1"/>
  <c r="O64" i="2"/>
  <c r="N64" i="2"/>
  <c r="AR63" i="2"/>
  <c r="AQ63" i="2"/>
  <c r="AP63" i="2"/>
  <c r="AO63" i="2"/>
  <c r="AN63" i="2"/>
  <c r="AM63" i="2"/>
  <c r="AL63" i="2"/>
  <c r="I63" i="2" s="1"/>
  <c r="AK63" i="2"/>
  <c r="AJ63" i="2"/>
  <c r="AI63" i="2"/>
  <c r="AH63" i="2"/>
  <c r="AG63" i="2"/>
  <c r="AF63" i="2"/>
  <c r="AE63" i="2"/>
  <c r="AD63" i="2"/>
  <c r="AC63" i="2"/>
  <c r="AB63" i="2"/>
  <c r="H63" i="2" s="1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Q62" i="2"/>
  <c r="AP62" i="2"/>
  <c r="AA62" i="2"/>
  <c r="Z62" i="2"/>
  <c r="R62" i="2"/>
  <c r="AR61" i="2"/>
  <c r="AQ61" i="2"/>
  <c r="AP61" i="2"/>
  <c r="AO61" i="2"/>
  <c r="AN61" i="2"/>
  <c r="AM61" i="2"/>
  <c r="AL61" i="2"/>
  <c r="I61" i="2" s="1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K61" i="2" s="1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I60" i="2" s="1"/>
  <c r="AL60" i="2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K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K59" i="2" s="1"/>
  <c r="X59" i="2"/>
  <c r="W59" i="2"/>
  <c r="V59" i="2"/>
  <c r="V62" i="2" s="1"/>
  <c r="U59" i="2"/>
  <c r="T59" i="2"/>
  <c r="S59" i="2"/>
  <c r="R59" i="2"/>
  <c r="Q59" i="2"/>
  <c r="Q62" i="2" s="1"/>
  <c r="P59" i="2"/>
  <c r="O59" i="2"/>
  <c r="N59" i="2"/>
  <c r="H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AC58" i="2"/>
  <c r="AB58" i="2"/>
  <c r="AA58" i="2"/>
  <c r="Z58" i="2"/>
  <c r="H58" i="2"/>
  <c r="E58" i="2"/>
  <c r="AR57" i="2"/>
  <c r="AQ57" i="2"/>
  <c r="AP57" i="2"/>
  <c r="AO57" i="2"/>
  <c r="AN57" i="2"/>
  <c r="AM57" i="2"/>
  <c r="I57" i="2" s="1"/>
  <c r="AL57" i="2"/>
  <c r="AK57" i="2"/>
  <c r="AJ57" i="2"/>
  <c r="AI57" i="2"/>
  <c r="AH57" i="2"/>
  <c r="AG57" i="2"/>
  <c r="AF57" i="2"/>
  <c r="AE57" i="2"/>
  <c r="H57" i="2" s="1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E57" i="2" s="1"/>
  <c r="N57" i="2"/>
  <c r="AR56" i="2"/>
  <c r="AR62" i="2" s="1"/>
  <c r="AQ56" i="2"/>
  <c r="AP56" i="2"/>
  <c r="AO56" i="2"/>
  <c r="AN56" i="2"/>
  <c r="AM56" i="2"/>
  <c r="AL56" i="2"/>
  <c r="AK56" i="2"/>
  <c r="AJ56" i="2"/>
  <c r="AI56" i="2"/>
  <c r="AI62" i="2" s="1"/>
  <c r="AH56" i="2"/>
  <c r="AG56" i="2"/>
  <c r="AF56" i="2"/>
  <c r="AF62" i="2" s="1"/>
  <c r="AE56" i="2"/>
  <c r="AE62" i="2" s="1"/>
  <c r="AD56" i="2"/>
  <c r="AC56" i="2"/>
  <c r="AC62" i="2" s="1"/>
  <c r="AB56" i="2"/>
  <c r="AA56" i="2"/>
  <c r="Z56" i="2"/>
  <c r="Y56" i="2"/>
  <c r="Y62" i="2" s="1"/>
  <c r="X56" i="2"/>
  <c r="X62" i="2" s="1"/>
  <c r="W56" i="2"/>
  <c r="V56" i="2"/>
  <c r="U56" i="2"/>
  <c r="U62" i="2" s="1"/>
  <c r="T56" i="2"/>
  <c r="T62" i="2" s="1"/>
  <c r="S56" i="2"/>
  <c r="S62" i="2" s="1"/>
  <c r="R56" i="2"/>
  <c r="Q56" i="2"/>
  <c r="P56" i="2"/>
  <c r="P62" i="2" s="1"/>
  <c r="O56" i="2"/>
  <c r="N56" i="2"/>
  <c r="N62" i="2" s="1"/>
  <c r="AR55" i="2"/>
  <c r="AQ55" i="2"/>
  <c r="AP55" i="2"/>
  <c r="AO55" i="2"/>
  <c r="AN55" i="2"/>
  <c r="AN62" i="2" s="1"/>
  <c r="AM55" i="2"/>
  <c r="AL55" i="2"/>
  <c r="AK55" i="2"/>
  <c r="AK62" i="2" s="1"/>
  <c r="AJ55" i="2"/>
  <c r="AI55" i="2"/>
  <c r="AH55" i="2"/>
  <c r="AH62" i="2" s="1"/>
  <c r="AG55" i="2"/>
  <c r="AG62" i="2" s="1"/>
  <c r="AF55" i="2"/>
  <c r="AE55" i="2"/>
  <c r="AD55" i="2"/>
  <c r="AD62" i="2" s="1"/>
  <c r="AC55" i="2"/>
  <c r="AB55" i="2"/>
  <c r="AA55" i="2"/>
  <c r="Z55" i="2"/>
  <c r="K55" i="2" s="1"/>
  <c r="E55" i="2"/>
  <c r="AR53" i="2"/>
  <c r="AQ53" i="2"/>
  <c r="AP53" i="2"/>
  <c r="I53" i="2" s="1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H53" i="2" s="1"/>
  <c r="E53" i="2"/>
  <c r="AR52" i="2"/>
  <c r="AQ52" i="2"/>
  <c r="AQ79" i="2" s="1"/>
  <c r="AQ101" i="2" s="1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N79" i="2" s="1"/>
  <c r="AM51" i="2"/>
  <c r="AL51" i="2"/>
  <c r="AK51" i="2"/>
  <c r="AK79" i="2" s="1"/>
  <c r="AK101" i="2" s="1"/>
  <c r="AJ51" i="2"/>
  <c r="AI51" i="2"/>
  <c r="AI79" i="2" s="1"/>
  <c r="AI101" i="2" s="1"/>
  <c r="AH51" i="2"/>
  <c r="AG51" i="2"/>
  <c r="AG79" i="2" s="1"/>
  <c r="AF51" i="2"/>
  <c r="AF79" i="2" s="1"/>
  <c r="AE51" i="2"/>
  <c r="AD51" i="2"/>
  <c r="AD79" i="2" s="1"/>
  <c r="AD101" i="2" s="1"/>
  <c r="AC51" i="2"/>
  <c r="AB51" i="2"/>
  <c r="AA51" i="2"/>
  <c r="Z51" i="2"/>
  <c r="Y51" i="2"/>
  <c r="Y79" i="2" s="1"/>
  <c r="Y101" i="2" s="1"/>
  <c r="X51" i="2"/>
  <c r="W51" i="2"/>
  <c r="V51" i="2"/>
  <c r="U51" i="2"/>
  <c r="U79" i="2" s="1"/>
  <c r="U101" i="2" s="1"/>
  <c r="T51" i="2"/>
  <c r="T79" i="2" s="1"/>
  <c r="T101" i="2" s="1"/>
  <c r="S51" i="2"/>
  <c r="S79" i="2" s="1"/>
  <c r="S101" i="2" s="1"/>
  <c r="R51" i="2"/>
  <c r="Q51" i="2"/>
  <c r="Q79" i="2" s="1"/>
  <c r="Q101" i="2" s="1"/>
  <c r="P51" i="2"/>
  <c r="P79" i="2" s="1"/>
  <c r="P101" i="2" s="1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I46" i="2"/>
  <c r="E46" i="2"/>
  <c r="AR45" i="2"/>
  <c r="AQ45" i="2"/>
  <c r="AP45" i="2"/>
  <c r="AO45" i="2"/>
  <c r="AN45" i="2"/>
  <c r="I45" i="2" s="1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K45" i="2"/>
  <c r="E45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H44" i="2" s="1"/>
  <c r="Y44" i="2"/>
  <c r="X44" i="2"/>
  <c r="W44" i="2"/>
  <c r="V44" i="2"/>
  <c r="U44" i="2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AO42" i="2"/>
  <c r="I42" i="2" s="1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E42" i="2" s="1"/>
  <c r="N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H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I40" i="2"/>
  <c r="E40" i="2"/>
  <c r="AR39" i="2"/>
  <c r="AA39" i="2"/>
  <c r="W39" i="2"/>
  <c r="T39" i="2"/>
  <c r="R39" i="2"/>
  <c r="P39" i="2"/>
  <c r="AR38" i="2"/>
  <c r="AQ38" i="2"/>
  <c r="AP38" i="2"/>
  <c r="AO38" i="2"/>
  <c r="AN38" i="2"/>
  <c r="AM38" i="2"/>
  <c r="I38" i="2" s="1"/>
  <c r="AL38" i="2"/>
  <c r="K38" i="2"/>
  <c r="H38" i="2"/>
  <c r="E38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H37" i="2" s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AO36" i="2"/>
  <c r="AN36" i="2"/>
  <c r="AM36" i="2"/>
  <c r="AL36" i="2"/>
  <c r="I36" i="2" s="1"/>
  <c r="AK36" i="2"/>
  <c r="AJ36" i="2"/>
  <c r="AJ39" i="2" s="1"/>
  <c r="AI36" i="2"/>
  <c r="AH36" i="2"/>
  <c r="AG36" i="2"/>
  <c r="AF36" i="2"/>
  <c r="AE36" i="2"/>
  <c r="AD36" i="2"/>
  <c r="H36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Q39" i="2" s="1"/>
  <c r="AQ47" i="2" s="1"/>
  <c r="AP35" i="2"/>
  <c r="AO35" i="2"/>
  <c r="AN35" i="2"/>
  <c r="I35" i="2" s="1"/>
  <c r="AM35" i="2"/>
  <c r="AM39" i="2" s="1"/>
  <c r="AL35" i="2"/>
  <c r="AK35" i="2"/>
  <c r="AJ35" i="2"/>
  <c r="AI35" i="2"/>
  <c r="AH35" i="2"/>
  <c r="AG35" i="2"/>
  <c r="AF35" i="2"/>
  <c r="AE35" i="2"/>
  <c r="AD35" i="2"/>
  <c r="AD39" i="2" s="1"/>
  <c r="AC35" i="2"/>
  <c r="AB35" i="2"/>
  <c r="AA35" i="2"/>
  <c r="H35" i="2" s="1"/>
  <c r="Z35" i="2"/>
  <c r="Y35" i="2"/>
  <c r="X35" i="2"/>
  <c r="W35" i="2"/>
  <c r="K35" i="2" s="1"/>
  <c r="V35" i="2"/>
  <c r="U35" i="2"/>
  <c r="T35" i="2"/>
  <c r="S35" i="2"/>
  <c r="R35" i="2"/>
  <c r="Q35" i="2"/>
  <c r="P35" i="2"/>
  <c r="E35" i="2" s="1"/>
  <c r="O35" i="2"/>
  <c r="N35" i="2"/>
  <c r="N39" i="2" s="1"/>
  <c r="AR34" i="2"/>
  <c r="AQ34" i="2"/>
  <c r="AP34" i="2"/>
  <c r="AP39" i="2" s="1"/>
  <c r="AO34" i="2"/>
  <c r="AN34" i="2"/>
  <c r="I34" i="2" s="1"/>
  <c r="AM34" i="2"/>
  <c r="AL34" i="2"/>
  <c r="AK34" i="2"/>
  <c r="AK39" i="2" s="1"/>
  <c r="AJ34" i="2"/>
  <c r="AI34" i="2"/>
  <c r="AI39" i="2" s="1"/>
  <c r="AH34" i="2"/>
  <c r="AH39" i="2" s="1"/>
  <c r="AG34" i="2"/>
  <c r="AF34" i="2"/>
  <c r="AF39" i="2" s="1"/>
  <c r="AE34" i="2"/>
  <c r="AD34" i="2"/>
  <c r="AC34" i="2"/>
  <c r="AC39" i="2" s="1"/>
  <c r="AB34" i="2"/>
  <c r="AA34" i="2"/>
  <c r="Z34" i="2"/>
  <c r="Z39" i="2" s="1"/>
  <c r="Y34" i="2"/>
  <c r="X34" i="2"/>
  <c r="X39" i="2" s="1"/>
  <c r="W34" i="2"/>
  <c r="V34" i="2"/>
  <c r="U34" i="2"/>
  <c r="U39" i="2" s="1"/>
  <c r="T34" i="2"/>
  <c r="S34" i="2"/>
  <c r="S39" i="2" s="1"/>
  <c r="R34" i="2"/>
  <c r="Q34" i="2"/>
  <c r="P34" i="2"/>
  <c r="O34" i="2"/>
  <c r="N34" i="2"/>
  <c r="E34" i="2"/>
  <c r="AR32" i="2"/>
  <c r="AQ32" i="2"/>
  <c r="AP32" i="2"/>
  <c r="AP47" i="2" s="1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C47" i="2" s="1"/>
  <c r="AB32" i="2"/>
  <c r="AA32" i="2"/>
  <c r="Z32" i="2"/>
  <c r="H32" i="2" s="1"/>
  <c r="E32" i="2"/>
  <c r="AR31" i="2"/>
  <c r="AQ31" i="2"/>
  <c r="AP31" i="2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H31" i="2" s="1"/>
  <c r="Z31" i="2"/>
  <c r="Y31" i="2"/>
  <c r="X31" i="2"/>
  <c r="W31" i="2"/>
  <c r="W47" i="2" s="1"/>
  <c r="V31" i="2"/>
  <c r="U31" i="2"/>
  <c r="T31" i="2"/>
  <c r="S31" i="2"/>
  <c r="R31" i="2"/>
  <c r="R47" i="2" s="1"/>
  <c r="Q31" i="2"/>
  <c r="P31" i="2"/>
  <c r="O31" i="2"/>
  <c r="N31" i="2"/>
  <c r="AP28" i="2"/>
  <c r="AM28" i="2"/>
  <c r="AJ28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H27" i="2" s="1"/>
  <c r="E27" i="2"/>
  <c r="AR26" i="2"/>
  <c r="AQ26" i="2"/>
  <c r="AP26" i="2"/>
  <c r="AO26" i="2"/>
  <c r="AN26" i="2"/>
  <c r="AM26" i="2"/>
  <c r="AL26" i="2"/>
  <c r="I26" i="2" s="1"/>
  <c r="AK26" i="2"/>
  <c r="AJ26" i="2"/>
  <c r="AI26" i="2"/>
  <c r="AH26" i="2"/>
  <c r="AG26" i="2"/>
  <c r="AF26" i="2"/>
  <c r="AE26" i="2"/>
  <c r="AD26" i="2"/>
  <c r="AC26" i="2"/>
  <c r="AB26" i="2"/>
  <c r="AA26" i="2"/>
  <c r="Z26" i="2"/>
  <c r="H26" i="2" s="1"/>
  <c r="Y26" i="2"/>
  <c r="X26" i="2"/>
  <c r="W26" i="2"/>
  <c r="V26" i="2"/>
  <c r="U26" i="2"/>
  <c r="T26" i="2"/>
  <c r="S26" i="2"/>
  <c r="R26" i="2"/>
  <c r="Q26" i="2"/>
  <c r="P26" i="2"/>
  <c r="O26" i="2"/>
  <c r="N26" i="2"/>
  <c r="E26" i="2" s="1"/>
  <c r="AR25" i="2"/>
  <c r="AQ25" i="2"/>
  <c r="AQ28" i="2" s="1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H25" i="2" s="1"/>
  <c r="Z25" i="2"/>
  <c r="Y25" i="2"/>
  <c r="X25" i="2"/>
  <c r="K25" i="2" s="1"/>
  <c r="W25" i="2"/>
  <c r="W28" i="2" s="1"/>
  <c r="V25" i="2"/>
  <c r="U25" i="2"/>
  <c r="T25" i="2"/>
  <c r="S25" i="2"/>
  <c r="R25" i="2"/>
  <c r="Q25" i="2"/>
  <c r="P25" i="2"/>
  <c r="O25" i="2"/>
  <c r="N25" i="2"/>
  <c r="I25" i="2"/>
  <c r="E25" i="2"/>
  <c r="AR24" i="2"/>
  <c r="AR28" i="2" s="1"/>
  <c r="AQ24" i="2"/>
  <c r="AP24" i="2"/>
  <c r="AO24" i="2"/>
  <c r="AN24" i="2"/>
  <c r="AM24" i="2"/>
  <c r="AL24" i="2"/>
  <c r="AK24" i="2"/>
  <c r="AJ24" i="2"/>
  <c r="AI24" i="2"/>
  <c r="AH24" i="2"/>
  <c r="AG24" i="2"/>
  <c r="AF24" i="2"/>
  <c r="AF28" i="2" s="1"/>
  <c r="AE24" i="2"/>
  <c r="AD24" i="2"/>
  <c r="AC24" i="2"/>
  <c r="AC28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P28" i="2" s="1"/>
  <c r="O24" i="2"/>
  <c r="N24" i="2"/>
  <c r="E24" i="2" s="1"/>
  <c r="AR23" i="2"/>
  <c r="AQ23" i="2"/>
  <c r="AP23" i="2"/>
  <c r="AO23" i="2"/>
  <c r="AO28" i="2" s="1"/>
  <c r="AN23" i="2"/>
  <c r="AN28" i="2" s="1"/>
  <c r="AM23" i="2"/>
  <c r="AL23" i="2"/>
  <c r="I23" i="2" s="1"/>
  <c r="AK23" i="2"/>
  <c r="AK28" i="2" s="1"/>
  <c r="AJ23" i="2"/>
  <c r="AI23" i="2"/>
  <c r="AI28" i="2" s="1"/>
  <c r="AH23" i="2"/>
  <c r="AG23" i="2"/>
  <c r="AG28" i="2" s="1"/>
  <c r="AF23" i="2"/>
  <c r="AE23" i="2"/>
  <c r="AD23" i="2"/>
  <c r="AD28" i="2" s="1"/>
  <c r="AC23" i="2"/>
  <c r="AB23" i="2"/>
  <c r="AA23" i="2"/>
  <c r="Z23" i="2"/>
  <c r="Z28" i="2" s="1"/>
  <c r="Y23" i="2"/>
  <c r="Y28" i="2" s="1"/>
  <c r="X23" i="2"/>
  <c r="X28" i="2" s="1"/>
  <c r="W23" i="2"/>
  <c r="V23" i="2"/>
  <c r="V28" i="2" s="1"/>
  <c r="U23" i="2"/>
  <c r="T23" i="2"/>
  <c r="T28" i="2" s="1"/>
  <c r="S23" i="2"/>
  <c r="S28" i="2" s="1"/>
  <c r="R23" i="2"/>
  <c r="Q23" i="2"/>
  <c r="Q28" i="2" s="1"/>
  <c r="P23" i="2"/>
  <c r="O23" i="2"/>
  <c r="O28" i="2" s="1"/>
  <c r="N23" i="2"/>
  <c r="N28" i="2" s="1"/>
  <c r="AR21" i="2"/>
  <c r="AQ21" i="2"/>
  <c r="AP21" i="2"/>
  <c r="AO21" i="2"/>
  <c r="AN21" i="2"/>
  <c r="AM21" i="2"/>
  <c r="AL21" i="2"/>
  <c r="I21" i="2" s="1"/>
  <c r="AK21" i="2"/>
  <c r="AJ21" i="2"/>
  <c r="AI21" i="2"/>
  <c r="AH21" i="2"/>
  <c r="AG21" i="2"/>
  <c r="AF21" i="2"/>
  <c r="AE21" i="2"/>
  <c r="AD21" i="2"/>
  <c r="AC21" i="2"/>
  <c r="AB21" i="2"/>
  <c r="AA21" i="2"/>
  <c r="H21" i="2" s="1"/>
  <c r="Z21" i="2"/>
  <c r="Y21" i="2"/>
  <c r="X21" i="2"/>
  <c r="W21" i="2"/>
  <c r="V21" i="2"/>
  <c r="K21" i="2" s="1"/>
  <c r="U21" i="2"/>
  <c r="T21" i="2"/>
  <c r="S21" i="2"/>
  <c r="E21" i="2" s="1"/>
  <c r="R21" i="2"/>
  <c r="Q21" i="2"/>
  <c r="P21" i="2"/>
  <c r="O21" i="2"/>
  <c r="N21" i="2"/>
  <c r="AR20" i="2"/>
  <c r="AQ20" i="2"/>
  <c r="AP20" i="2"/>
  <c r="AN20" i="2"/>
  <c r="AA20" i="2"/>
  <c r="X20" i="2"/>
  <c r="Q20" i="2"/>
  <c r="O20" i="2"/>
  <c r="AR19" i="2"/>
  <c r="AQ19" i="2"/>
  <c r="AP19" i="2"/>
  <c r="AO19" i="2"/>
  <c r="AO20" i="2" s="1"/>
  <c r="AN19" i="2"/>
  <c r="AM19" i="2"/>
  <c r="AM20" i="2" s="1"/>
  <c r="AL19" i="2"/>
  <c r="AK19" i="2"/>
  <c r="AJ19" i="2"/>
  <c r="AI19" i="2"/>
  <c r="AH19" i="2"/>
  <c r="AG19" i="2"/>
  <c r="AF19" i="2"/>
  <c r="AE19" i="2"/>
  <c r="AD19" i="2"/>
  <c r="AC19" i="2"/>
  <c r="AC20" i="2" s="1"/>
  <c r="AB19" i="2"/>
  <c r="AB20" i="2" s="1"/>
  <c r="AA19" i="2"/>
  <c r="Z19" i="2"/>
  <c r="Y19" i="2"/>
  <c r="X19" i="2"/>
  <c r="W19" i="2"/>
  <c r="W20" i="2" s="1"/>
  <c r="V19" i="2"/>
  <c r="U19" i="2"/>
  <c r="K19" i="2" s="1"/>
  <c r="T19" i="2"/>
  <c r="T20" i="2" s="1"/>
  <c r="S19" i="2"/>
  <c r="R19" i="2"/>
  <c r="E19" i="2" s="1"/>
  <c r="Q19" i="2"/>
  <c r="P19" i="2"/>
  <c r="O19" i="2"/>
  <c r="N19" i="2"/>
  <c r="AK18" i="2"/>
  <c r="AJ18" i="2"/>
  <c r="AJ20" i="2" s="1"/>
  <c r="AI18" i="2"/>
  <c r="AI20" i="2" s="1"/>
  <c r="AH18" i="2"/>
  <c r="AH20" i="2" s="1"/>
  <c r="AG18" i="2"/>
  <c r="AG20" i="2" s="1"/>
  <c r="AF18" i="2"/>
  <c r="AF20" i="2" s="1"/>
  <c r="AE18" i="2"/>
  <c r="AE20" i="2" s="1"/>
  <c r="AD18" i="2"/>
  <c r="AD20" i="2" s="1"/>
  <c r="AC18" i="2"/>
  <c r="AB18" i="2"/>
  <c r="AA18" i="2"/>
  <c r="Z18" i="2"/>
  <c r="Z20" i="2" s="1"/>
  <c r="Y18" i="2"/>
  <c r="Y20" i="2" s="1"/>
  <c r="X18" i="2"/>
  <c r="W18" i="2"/>
  <c r="V18" i="2"/>
  <c r="V20" i="2" s="1"/>
  <c r="U18" i="2"/>
  <c r="T18" i="2"/>
  <c r="S18" i="2"/>
  <c r="S20" i="2" s="1"/>
  <c r="R18" i="2"/>
  <c r="Q18" i="2"/>
  <c r="P18" i="2"/>
  <c r="P20" i="2" s="1"/>
  <c r="O18" i="2"/>
  <c r="N18" i="2"/>
  <c r="I18" i="2"/>
  <c r="AQ16" i="2"/>
  <c r="Y16" i="2"/>
  <c r="S16" i="2"/>
  <c r="P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H15" i="2" s="1"/>
  <c r="AB15" i="2"/>
  <c r="AA15" i="2"/>
  <c r="Z15" i="2"/>
  <c r="Y15" i="2"/>
  <c r="X15" i="2"/>
  <c r="W15" i="2"/>
  <c r="V15" i="2"/>
  <c r="U15" i="2"/>
  <c r="K15" i="2" s="1"/>
  <c r="T15" i="2"/>
  <c r="S15" i="2"/>
  <c r="R15" i="2"/>
  <c r="Q15" i="2"/>
  <c r="P15" i="2"/>
  <c r="E15" i="2" s="1"/>
  <c r="O15" i="2"/>
  <c r="N15" i="2"/>
  <c r="AK14" i="2"/>
  <c r="AK16" i="2" s="1"/>
  <c r="AJ14" i="2"/>
  <c r="AI14" i="2"/>
  <c r="AH14" i="2"/>
  <c r="AH16" i="2" s="1"/>
  <c r="AG14" i="2"/>
  <c r="AF14" i="2"/>
  <c r="AE14" i="2"/>
  <c r="AD14" i="2"/>
  <c r="AC14" i="2"/>
  <c r="AB14" i="2"/>
  <c r="AA14" i="2"/>
  <c r="H14" i="2" s="1"/>
  <c r="Z14" i="2"/>
  <c r="Y14" i="2"/>
  <c r="X14" i="2"/>
  <c r="W14" i="2"/>
  <c r="V14" i="2"/>
  <c r="V16" i="2" s="1"/>
  <c r="U14" i="2"/>
  <c r="K14" i="2" s="1"/>
  <c r="T14" i="2"/>
  <c r="S14" i="2"/>
  <c r="R14" i="2"/>
  <c r="Q14" i="2"/>
  <c r="P14" i="2"/>
  <c r="E14" i="2" s="1"/>
  <c r="O14" i="2"/>
  <c r="N14" i="2"/>
  <c r="I14" i="2"/>
  <c r="AR13" i="2"/>
  <c r="AQ13" i="2"/>
  <c r="AP13" i="2"/>
  <c r="AO13" i="2"/>
  <c r="AN13" i="2"/>
  <c r="AM13" i="2"/>
  <c r="AM16" i="2" s="1"/>
  <c r="AL13" i="2"/>
  <c r="AL16" i="2" s="1"/>
  <c r="AK13" i="2"/>
  <c r="AJ13" i="2"/>
  <c r="AI13" i="2"/>
  <c r="AI16" i="2" s="1"/>
  <c r="AH13" i="2"/>
  <c r="AG13" i="2"/>
  <c r="AF13" i="2"/>
  <c r="AF16" i="2" s="1"/>
  <c r="AE13" i="2"/>
  <c r="AD13" i="2"/>
  <c r="AC13" i="2"/>
  <c r="AB13" i="2"/>
  <c r="AA13" i="2"/>
  <c r="Z13" i="2"/>
  <c r="Y13" i="2"/>
  <c r="X13" i="2"/>
  <c r="W13" i="2"/>
  <c r="V13" i="2"/>
  <c r="U13" i="2"/>
  <c r="K13" i="2" s="1"/>
  <c r="T13" i="2"/>
  <c r="S13" i="2"/>
  <c r="R13" i="2"/>
  <c r="Q13" i="2"/>
  <c r="P13" i="2"/>
  <c r="O13" i="2"/>
  <c r="E13" i="2" s="1"/>
  <c r="N13" i="2"/>
  <c r="H13" i="2"/>
  <c r="AR12" i="2"/>
  <c r="AR16" i="2" s="1"/>
  <c r="AQ12" i="2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H12" i="2"/>
  <c r="AG12" i="2"/>
  <c r="AG16" i="2" s="1"/>
  <c r="AF12" i="2"/>
  <c r="AE12" i="2"/>
  <c r="AE16" i="2" s="1"/>
  <c r="AD12" i="2"/>
  <c r="AC12" i="2"/>
  <c r="AB12" i="2"/>
  <c r="AB16" i="2" s="1"/>
  <c r="AA12" i="2"/>
  <c r="AA16" i="2" s="1"/>
  <c r="Z12" i="2"/>
  <c r="Z16" i="2" s="1"/>
  <c r="Y12" i="2"/>
  <c r="X12" i="2"/>
  <c r="X16" i="2" s="1"/>
  <c r="X29" i="2" s="1"/>
  <c r="W12" i="2"/>
  <c r="W16" i="2" s="1"/>
  <c r="V12" i="2"/>
  <c r="U12" i="2"/>
  <c r="U16" i="2" s="1"/>
  <c r="T12" i="2"/>
  <c r="T16" i="2" s="1"/>
  <c r="S12" i="2"/>
  <c r="R12" i="2"/>
  <c r="R16" i="2" s="1"/>
  <c r="Q12" i="2"/>
  <c r="Q16" i="2" s="1"/>
  <c r="P12" i="2"/>
  <c r="O12" i="2"/>
  <c r="E12" i="2" s="1"/>
  <c r="N12" i="2"/>
  <c r="K12" i="2"/>
  <c r="AP10" i="2"/>
  <c r="AK10" i="2"/>
  <c r="AJ10" i="2"/>
  <c r="AJ29" i="2" s="1"/>
  <c r="AG10" i="2"/>
  <c r="AG29" i="2" s="1"/>
  <c r="Z10" i="2"/>
  <c r="Y10" i="2"/>
  <c r="X10" i="2"/>
  <c r="W10" i="2"/>
  <c r="V10" i="2"/>
  <c r="U10" i="2"/>
  <c r="T10" i="2"/>
  <c r="S10" i="2"/>
  <c r="R10" i="2"/>
  <c r="Q10" i="2"/>
  <c r="Q29" i="2" s="1"/>
  <c r="P10" i="2"/>
  <c r="O10" i="2"/>
  <c r="N10" i="2"/>
  <c r="E10" i="2" s="1"/>
  <c r="AR9" i="2"/>
  <c r="AR10" i="2" s="1"/>
  <c r="AR29" i="2" s="1"/>
  <c r="AQ9" i="2"/>
  <c r="AP9" i="2"/>
  <c r="AO9" i="2"/>
  <c r="AO10" i="2" s="1"/>
  <c r="AN9" i="2"/>
  <c r="AM9" i="2"/>
  <c r="AL9" i="2"/>
  <c r="AL10" i="2" s="1"/>
  <c r="AK9" i="2"/>
  <c r="AJ9" i="2"/>
  <c r="AI9" i="2"/>
  <c r="AH9" i="2"/>
  <c r="AG9" i="2"/>
  <c r="AF9" i="2"/>
  <c r="AE9" i="2"/>
  <c r="AD9" i="2"/>
  <c r="AC9" i="2"/>
  <c r="AB9" i="2"/>
  <c r="AB10" i="2" s="1"/>
  <c r="AA9" i="2"/>
  <c r="Z9" i="2"/>
  <c r="K9" i="2" s="1"/>
  <c r="H9" i="2"/>
  <c r="E9" i="2"/>
  <c r="AR8" i="2"/>
  <c r="AQ8" i="2"/>
  <c r="AQ10" i="2" s="1"/>
  <c r="AQ29" i="2" s="1"/>
  <c r="AP8" i="2"/>
  <c r="AO8" i="2"/>
  <c r="AN8" i="2"/>
  <c r="I8" i="2" s="1"/>
  <c r="AM8" i="2"/>
  <c r="AM10" i="2" s="1"/>
  <c r="AL8" i="2"/>
  <c r="AK8" i="2"/>
  <c r="AJ8" i="2"/>
  <c r="AI8" i="2"/>
  <c r="AI10" i="2" s="1"/>
  <c r="AI29" i="2" s="1"/>
  <c r="AH8" i="2"/>
  <c r="AH10" i="2" s="1"/>
  <c r="AG8" i="2"/>
  <c r="AF8" i="2"/>
  <c r="AF10" i="2" s="1"/>
  <c r="AF29" i="2" s="1"/>
  <c r="AE8" i="2"/>
  <c r="K8" i="2" s="1"/>
  <c r="AD8" i="2"/>
  <c r="AD10" i="2" s="1"/>
  <c r="AC8" i="2"/>
  <c r="AC10" i="2" s="1"/>
  <c r="AB8" i="2"/>
  <c r="AA8" i="2"/>
  <c r="AA10" i="2" s="1"/>
  <c r="Z8" i="2"/>
  <c r="H8" i="2" s="1"/>
  <c r="E8" i="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H311" i="30"/>
  <c r="G311" i="30"/>
  <c r="F311" i="30"/>
  <c r="D311" i="30"/>
  <c r="C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H299" i="30"/>
  <c r="G299" i="30"/>
  <c r="F299" i="30"/>
  <c r="D299" i="30"/>
  <c r="C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H297" i="30"/>
  <c r="G297" i="30"/>
  <c r="F297" i="30"/>
  <c r="D297" i="30"/>
  <c r="C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H295" i="30"/>
  <c r="G295" i="30"/>
  <c r="F295" i="30"/>
  <c r="D295" i="30"/>
  <c r="C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G291" i="30"/>
  <c r="F291" i="30"/>
  <c r="D291" i="30"/>
  <c r="C291" i="30"/>
  <c r="H291" i="30" s="1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H283" i="30"/>
  <c r="G283" i="30"/>
  <c r="F283" i="30"/>
  <c r="D283" i="30"/>
  <c r="C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G282" i="30"/>
  <c r="F282" i="30"/>
  <c r="D282" i="30"/>
  <c r="C282" i="30"/>
  <c r="H282" i="30" s="1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H281" i="30"/>
  <c r="G281" i="30"/>
  <c r="F281" i="30"/>
  <c r="D281" i="30"/>
  <c r="C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H267" i="30"/>
  <c r="G267" i="30"/>
  <c r="F267" i="30"/>
  <c r="D267" i="30"/>
  <c r="C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H256" i="30"/>
  <c r="G256" i="30"/>
  <c r="F256" i="30"/>
  <c r="D256" i="30"/>
  <c r="C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H252" i="30"/>
  <c r="G252" i="30"/>
  <c r="F252" i="30"/>
  <c r="D252" i="30"/>
  <c r="C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H248" i="30"/>
  <c r="G248" i="30"/>
  <c r="F248" i="30"/>
  <c r="D248" i="30"/>
  <c r="C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H228" i="30"/>
  <c r="G228" i="30"/>
  <c r="F228" i="30"/>
  <c r="D228" i="30"/>
  <c r="C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H226" i="30"/>
  <c r="G226" i="30"/>
  <c r="F226" i="30"/>
  <c r="D226" i="30"/>
  <c r="C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H221" i="30"/>
  <c r="G221" i="30"/>
  <c r="F221" i="30"/>
  <c r="D221" i="30"/>
  <c r="C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G218" i="30"/>
  <c r="F218" i="30"/>
  <c r="D218" i="30"/>
  <c r="C218" i="30"/>
  <c r="H218" i="30" s="1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H212" i="30"/>
  <c r="G212" i="30"/>
  <c r="F212" i="30"/>
  <c r="D212" i="30"/>
  <c r="C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G211" i="30"/>
  <c r="F211" i="30"/>
  <c r="D211" i="30"/>
  <c r="C211" i="30"/>
  <c r="H211" i="30" s="1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H210" i="30"/>
  <c r="G210" i="30"/>
  <c r="F210" i="30"/>
  <c r="D210" i="30"/>
  <c r="C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H208" i="30"/>
  <c r="G208" i="30"/>
  <c r="F208" i="30"/>
  <c r="D208" i="30"/>
  <c r="C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H203" i="30"/>
  <c r="G203" i="30"/>
  <c r="F203" i="30"/>
  <c r="D203" i="30"/>
  <c r="C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H201" i="30"/>
  <c r="G201" i="30"/>
  <c r="F201" i="30"/>
  <c r="D201" i="30"/>
  <c r="C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G184" i="30"/>
  <c r="F184" i="30"/>
  <c r="D184" i="30"/>
  <c r="C184" i="30"/>
  <c r="H184" i="30" s="1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H178" i="30"/>
  <c r="G178" i="30"/>
  <c r="F178" i="30"/>
  <c r="D178" i="30"/>
  <c r="C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G177" i="30"/>
  <c r="F177" i="30"/>
  <c r="D177" i="30"/>
  <c r="C177" i="30"/>
  <c r="H177" i="30" s="1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H176" i="30"/>
  <c r="G176" i="30"/>
  <c r="F176" i="30"/>
  <c r="D176" i="30"/>
  <c r="C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H174" i="30"/>
  <c r="G174" i="30"/>
  <c r="F174" i="30"/>
  <c r="D174" i="30"/>
  <c r="C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G170" i="30"/>
  <c r="F170" i="30"/>
  <c r="D170" i="30"/>
  <c r="C170" i="30"/>
  <c r="H170" i="30" s="1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G165" i="30"/>
  <c r="F165" i="30"/>
  <c r="D165" i="30"/>
  <c r="C165" i="30"/>
  <c r="H165" i="30" s="1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H162" i="30"/>
  <c r="G162" i="30"/>
  <c r="F162" i="30"/>
  <c r="D162" i="30"/>
  <c r="C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H160" i="30"/>
  <c r="G160" i="30"/>
  <c r="F160" i="30"/>
  <c r="D160" i="30"/>
  <c r="C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H158" i="30"/>
  <c r="G158" i="30"/>
  <c r="F158" i="30"/>
  <c r="D158" i="30"/>
  <c r="C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G154" i="30"/>
  <c r="F154" i="30"/>
  <c r="D154" i="30"/>
  <c r="C154" i="30"/>
  <c r="H154" i="30" s="1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G152" i="30"/>
  <c r="F152" i="30"/>
  <c r="D152" i="30"/>
  <c r="C152" i="30"/>
  <c r="H152" i="30" s="1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H146" i="30"/>
  <c r="G146" i="30"/>
  <c r="F146" i="30"/>
  <c r="D146" i="30"/>
  <c r="C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H144" i="30"/>
  <c r="G144" i="30"/>
  <c r="F144" i="30"/>
  <c r="D144" i="30"/>
  <c r="C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H142" i="30"/>
  <c r="G142" i="30"/>
  <c r="F142" i="30"/>
  <c r="D142" i="30"/>
  <c r="C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G136" i="30"/>
  <c r="F136" i="30"/>
  <c r="D136" i="30"/>
  <c r="C136" i="30"/>
  <c r="H136" i="30" s="1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G133" i="30"/>
  <c r="F133" i="30"/>
  <c r="D133" i="30"/>
  <c r="C133" i="30"/>
  <c r="H133" i="30" s="1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H130" i="30"/>
  <c r="G130" i="30"/>
  <c r="F130" i="30"/>
  <c r="D130" i="30"/>
  <c r="C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H126" i="30"/>
  <c r="G126" i="30"/>
  <c r="F126" i="30"/>
  <c r="D126" i="30"/>
  <c r="C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H124" i="30"/>
  <c r="G124" i="30"/>
  <c r="F124" i="30"/>
  <c r="D124" i="30"/>
  <c r="C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G120" i="30"/>
  <c r="F120" i="30"/>
  <c r="D120" i="30"/>
  <c r="C120" i="30"/>
  <c r="H120" i="30" s="1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G118" i="30"/>
  <c r="F118" i="30"/>
  <c r="D118" i="30"/>
  <c r="C118" i="30"/>
  <c r="H118" i="30" s="1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H116" i="30"/>
  <c r="G116" i="30"/>
  <c r="F116" i="30"/>
  <c r="D116" i="30"/>
  <c r="C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G109" i="30"/>
  <c r="F109" i="30"/>
  <c r="D109" i="30"/>
  <c r="C109" i="30"/>
  <c r="H109" i="30" s="1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H105" i="30"/>
  <c r="G105" i="30"/>
  <c r="F105" i="30"/>
  <c r="D105" i="30"/>
  <c r="C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H101" i="30"/>
  <c r="G101" i="30"/>
  <c r="F101" i="30"/>
  <c r="D101" i="30"/>
  <c r="C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H99" i="30"/>
  <c r="G99" i="30"/>
  <c r="F99" i="30"/>
  <c r="D99" i="30"/>
  <c r="C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H89" i="30"/>
  <c r="G89" i="30"/>
  <c r="F89" i="30"/>
  <c r="D89" i="30"/>
  <c r="C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G88" i="30"/>
  <c r="F88" i="30"/>
  <c r="D88" i="30"/>
  <c r="C88" i="30"/>
  <c r="H88" i="30" s="1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G86" i="30"/>
  <c r="F86" i="30"/>
  <c r="D86" i="30"/>
  <c r="C86" i="30"/>
  <c r="H86" i="30" s="1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H85" i="30"/>
  <c r="G85" i="30"/>
  <c r="F85" i="30"/>
  <c r="D85" i="30"/>
  <c r="C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H83" i="30"/>
  <c r="G83" i="30"/>
  <c r="F83" i="30"/>
  <c r="D83" i="30"/>
  <c r="C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H81" i="30"/>
  <c r="G81" i="30"/>
  <c r="F81" i="30"/>
  <c r="D81" i="30"/>
  <c r="C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H72" i="30"/>
  <c r="G72" i="30"/>
  <c r="F72" i="30"/>
  <c r="D72" i="30"/>
  <c r="C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H55" i="30"/>
  <c r="G55" i="30"/>
  <c r="F55" i="30"/>
  <c r="D55" i="30"/>
  <c r="C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G54" i="30"/>
  <c r="F54" i="30"/>
  <c r="D54" i="30"/>
  <c r="C54" i="30"/>
  <c r="H54" i="30" s="1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G52" i="30"/>
  <c r="F52" i="30"/>
  <c r="D52" i="30"/>
  <c r="C52" i="30"/>
  <c r="H52" i="30" s="1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H39" i="30"/>
  <c r="G39" i="30"/>
  <c r="F39" i="30"/>
  <c r="D39" i="30"/>
  <c r="C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H35" i="30"/>
  <c r="G35" i="30"/>
  <c r="F35" i="30"/>
  <c r="D35" i="30"/>
  <c r="C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H24" i="30"/>
  <c r="G24" i="30"/>
  <c r="F24" i="30"/>
  <c r="D24" i="30"/>
  <c r="C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H23" i="30"/>
  <c r="G23" i="30"/>
  <c r="F23" i="30"/>
  <c r="D23" i="30"/>
  <c r="C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G20" i="30"/>
  <c r="F20" i="30"/>
  <c r="D20" i="30"/>
  <c r="C20" i="30"/>
  <c r="H20" i="30" s="1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H19" i="30"/>
  <c r="G19" i="30"/>
  <c r="F19" i="30"/>
  <c r="D19" i="30"/>
  <c r="C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H8" i="30"/>
  <c r="G8" i="30"/>
  <c r="F8" i="30"/>
  <c r="D8" i="30"/>
  <c r="C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L143" i="45" s="1"/>
  <c r="O51" i="42"/>
  <c r="O50" i="42"/>
  <c r="O49" i="42"/>
  <c r="L140" i="45" s="1"/>
  <c r="O48" i="42"/>
  <c r="O47" i="42"/>
  <c r="L138" i="45" s="1"/>
  <c r="O45" i="42"/>
  <c r="L136" i="45" s="1"/>
  <c r="O44" i="42"/>
  <c r="O43" i="42"/>
  <c r="O42" i="42"/>
  <c r="O41" i="42"/>
  <c r="L132" i="45" s="1"/>
  <c r="O40" i="42"/>
  <c r="O39" i="42"/>
  <c r="L130" i="45" s="1"/>
  <c r="O38" i="42"/>
  <c r="O37" i="42"/>
  <c r="L128" i="45" s="1"/>
  <c r="O36" i="42"/>
  <c r="L127" i="45" s="1"/>
  <c r="O35" i="42"/>
  <c r="L126" i="45" s="1"/>
  <c r="O34" i="42"/>
  <c r="O32" i="42"/>
  <c r="O30" i="42"/>
  <c r="L121" i="45" s="1"/>
  <c r="O29" i="42"/>
  <c r="L120" i="45" s="1"/>
  <c r="O28" i="42"/>
  <c r="O27" i="42"/>
  <c r="L118" i="45" s="1"/>
  <c r="O26" i="42"/>
  <c r="O25" i="42"/>
  <c r="O24" i="42"/>
  <c r="O23" i="42"/>
  <c r="L114" i="45" s="1"/>
  <c r="O22" i="42"/>
  <c r="O21" i="42"/>
  <c r="O20" i="42"/>
  <c r="O19" i="42"/>
  <c r="L110" i="45" s="1"/>
  <c r="O18" i="42"/>
  <c r="O17" i="42"/>
  <c r="L108" i="45" s="1"/>
  <c r="O16" i="42"/>
  <c r="O15" i="42"/>
  <c r="L106" i="45" s="1"/>
  <c r="O14" i="42"/>
  <c r="O13" i="42"/>
  <c r="L104" i="45" s="1"/>
  <c r="O12" i="42"/>
  <c r="O11" i="42"/>
  <c r="L102" i="45" s="1"/>
  <c r="O10" i="42"/>
  <c r="O9" i="42"/>
  <c r="O8" i="42"/>
  <c r="O7" i="42"/>
  <c r="L98" i="45" s="1"/>
  <c r="O6" i="42"/>
  <c r="O5" i="42"/>
  <c r="O4" i="42"/>
  <c r="L95" i="45" s="1"/>
  <c r="O3" i="42"/>
  <c r="L94" i="45" s="1"/>
  <c r="O2" i="42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K143" i="45"/>
  <c r="L142" i="45"/>
  <c r="K142" i="45"/>
  <c r="L141" i="45"/>
  <c r="K141" i="45"/>
  <c r="K140" i="45"/>
  <c r="L139" i="45"/>
  <c r="K139" i="45"/>
  <c r="K138" i="45"/>
  <c r="L137" i="45"/>
  <c r="K137" i="45"/>
  <c r="K136" i="45"/>
  <c r="L135" i="45"/>
  <c r="K135" i="45"/>
  <c r="L134" i="45"/>
  <c r="K134" i="45"/>
  <c r="L133" i="45"/>
  <c r="K133" i="45"/>
  <c r="K132" i="45"/>
  <c r="L131" i="45"/>
  <c r="K131" i="45"/>
  <c r="K130" i="45"/>
  <c r="L129" i="45"/>
  <c r="K129" i="45"/>
  <c r="K128" i="45"/>
  <c r="K127" i="45"/>
  <c r="K126" i="45"/>
  <c r="L125" i="45"/>
  <c r="K125" i="45"/>
  <c r="L124" i="45"/>
  <c r="K124" i="45"/>
  <c r="L123" i="45"/>
  <c r="K123" i="45"/>
  <c r="L122" i="45"/>
  <c r="K122" i="45"/>
  <c r="K121" i="45"/>
  <c r="K120" i="45"/>
  <c r="L119" i="45"/>
  <c r="K119" i="45"/>
  <c r="K118" i="45"/>
  <c r="L117" i="45"/>
  <c r="K117" i="45"/>
  <c r="L116" i="45"/>
  <c r="K116" i="45"/>
  <c r="L115" i="45"/>
  <c r="K115" i="45"/>
  <c r="K114" i="45"/>
  <c r="L113" i="45"/>
  <c r="K113" i="45"/>
  <c r="L112" i="45"/>
  <c r="K112" i="45"/>
  <c r="L111" i="45"/>
  <c r="K111" i="45"/>
  <c r="K110" i="45"/>
  <c r="L109" i="45"/>
  <c r="K109" i="45"/>
  <c r="K108" i="45"/>
  <c r="L107" i="45"/>
  <c r="K107" i="45"/>
  <c r="K106" i="45"/>
  <c r="L105" i="45"/>
  <c r="K105" i="45"/>
  <c r="K104" i="45"/>
  <c r="L103" i="45"/>
  <c r="K103" i="45"/>
  <c r="K102" i="45"/>
  <c r="L101" i="45"/>
  <c r="K101" i="45"/>
  <c r="L100" i="45"/>
  <c r="K100" i="45"/>
  <c r="L99" i="45"/>
  <c r="K99" i="45"/>
  <c r="K98" i="45"/>
  <c r="L97" i="45"/>
  <c r="K97" i="45"/>
  <c r="L96" i="45"/>
  <c r="K96" i="45"/>
  <c r="K95" i="45"/>
  <c r="K94" i="45"/>
  <c r="L93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S126" i="48"/>
  <c r="T126" i="48" s="1"/>
  <c r="U126" i="48" s="1"/>
  <c r="V126" i="48" s="1"/>
  <c r="W126" i="48" s="1"/>
  <c r="M126" i="48"/>
  <c r="N126" i="48" s="1"/>
  <c r="O126" i="48" s="1"/>
  <c r="P126" i="48" s="1"/>
  <c r="Q126" i="48" s="1"/>
  <c r="R126" i="48" s="1"/>
  <c r="K126" i="48"/>
  <c r="L126" i="48" s="1"/>
  <c r="G126" i="48"/>
  <c r="H126" i="48" s="1"/>
  <c r="I126" i="48" s="1"/>
  <c r="E126" i="48"/>
  <c r="F126" i="48" s="1"/>
  <c r="D126" i="48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H122" i="48"/>
  <c r="I122" i="48" s="1"/>
  <c r="D122" i="48"/>
  <c r="E122" i="48" s="1"/>
  <c r="F122" i="48" s="1"/>
  <c r="G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E118" i="48"/>
  <c r="F118" i="48" s="1"/>
  <c r="G118" i="48" s="1"/>
  <c r="H118" i="48" s="1"/>
  <c r="I118" i="48" s="1"/>
  <c r="D118" i="48"/>
  <c r="B118" i="48"/>
  <c r="O112" i="48"/>
  <c r="P112" i="48" s="1"/>
  <c r="Q112" i="48" s="1"/>
  <c r="R112" i="48" s="1"/>
  <c r="S112" i="48" s="1"/>
  <c r="T112" i="48" s="1"/>
  <c r="U112" i="48" s="1"/>
  <c r="V112" i="48" s="1"/>
  <c r="W112" i="48" s="1"/>
  <c r="M112" i="48"/>
  <c r="N112" i="48" s="1"/>
  <c r="L112" i="48"/>
  <c r="K112" i="48"/>
  <c r="E112" i="48"/>
  <c r="F112" i="48" s="1"/>
  <c r="G112" i="48" s="1"/>
  <c r="H112" i="48" s="1"/>
  <c r="I112" i="48" s="1"/>
  <c r="D112" i="48"/>
  <c r="C56" i="47"/>
  <c r="C64" i="47" s="1"/>
  <c r="F54" i="47"/>
  <c r="E55" i="47" s="1"/>
  <c r="E54" i="47"/>
  <c r="E53" i="47"/>
  <c r="F52" i="47"/>
  <c r="E52" i="47"/>
  <c r="O5" i="52"/>
  <c r="H5" i="52"/>
  <c r="F5" i="52"/>
  <c r="D5" i="52"/>
  <c r="C5" i="52"/>
  <c r="B2" i="52"/>
  <c r="T122" i="59"/>
  <c r="U122" i="59" s="1"/>
  <c r="V122" i="59" s="1"/>
  <c r="W122" i="59" s="1"/>
  <c r="X122" i="59" s="1"/>
  <c r="Y122" i="59" s="1"/>
  <c r="Z122" i="59" s="1"/>
  <c r="AA122" i="59" s="1"/>
  <c r="AB122" i="59" s="1"/>
  <c r="P122" i="59"/>
  <c r="Q122" i="59" s="1"/>
  <c r="R122" i="59" s="1"/>
  <c r="S122" i="59" s="1"/>
  <c r="I122" i="59"/>
  <c r="J122" i="59" s="1"/>
  <c r="K122" i="59" s="1"/>
  <c r="L122" i="59" s="1"/>
  <c r="M122" i="59" s="1"/>
  <c r="N122" i="59" s="1"/>
  <c r="S107" i="59"/>
  <c r="T107" i="59" s="1"/>
  <c r="U107" i="59" s="1"/>
  <c r="V107" i="59" s="1"/>
  <c r="W107" i="59" s="1"/>
  <c r="X107" i="59" s="1"/>
  <c r="Y107" i="59" s="1"/>
  <c r="Z107" i="59" s="1"/>
  <c r="AA107" i="59" s="1"/>
  <c r="AB107" i="59" s="1"/>
  <c r="R107" i="59"/>
  <c r="Q107" i="59"/>
  <c r="P107" i="59"/>
  <c r="M107" i="59"/>
  <c r="N107" i="59" s="1"/>
  <c r="I107" i="59"/>
  <c r="J107" i="59" s="1"/>
  <c r="K107" i="59" s="1"/>
  <c r="L107" i="59" s="1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J92" i="59"/>
  <c r="K92" i="59" s="1"/>
  <c r="L92" i="59" s="1"/>
  <c r="M92" i="59" s="1"/>
  <c r="N92" i="59" s="1"/>
  <c r="I92" i="59"/>
  <c r="X77" i="59"/>
  <c r="Y77" i="59" s="1"/>
  <c r="Z77" i="59" s="1"/>
  <c r="AA77" i="59" s="1"/>
  <c r="AB77" i="59" s="1"/>
  <c r="W77" i="59"/>
  <c r="V77" i="59"/>
  <c r="P77" i="59"/>
  <c r="Q77" i="59" s="1"/>
  <c r="R77" i="59" s="1"/>
  <c r="S77" i="59" s="1"/>
  <c r="T77" i="59" s="1"/>
  <c r="U77" i="59" s="1"/>
  <c r="L77" i="59"/>
  <c r="M77" i="59" s="1"/>
  <c r="N77" i="59" s="1"/>
  <c r="I77" i="59"/>
  <c r="J77" i="59" s="1"/>
  <c r="K77" i="59" s="1"/>
  <c r="Q62" i="59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P62" i="59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I47" i="59"/>
  <c r="J47" i="59" s="1"/>
  <c r="K47" i="59" s="1"/>
  <c r="L47" i="59" s="1"/>
  <c r="M47" i="59" s="1"/>
  <c r="N47" i="59" s="1"/>
  <c r="Q32" i="59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P32" i="59"/>
  <c r="I32" i="59"/>
  <c r="J32" i="59" s="1"/>
  <c r="K32" i="59" s="1"/>
  <c r="L32" i="59" s="1"/>
  <c r="M32" i="59" s="1"/>
  <c r="N32" i="59" s="1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J17" i="59"/>
  <c r="K17" i="59" s="1"/>
  <c r="L17" i="59" s="1"/>
  <c r="M17" i="59" s="1"/>
  <c r="N17" i="59" s="1"/>
  <c r="I17" i="59"/>
  <c r="AB10" i="59"/>
  <c r="F10" i="59"/>
  <c r="D10" i="59"/>
  <c r="P5" i="59"/>
  <c r="K5" i="59"/>
  <c r="J5" i="59"/>
  <c r="I5" i="59"/>
  <c r="B2" i="59"/>
  <c r="P1" i="59"/>
  <c r="O1" i="59"/>
  <c r="J1" i="59"/>
  <c r="H1" i="59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J122" i="46"/>
  <c r="K122" i="46" s="1"/>
  <c r="L122" i="46" s="1"/>
  <c r="M122" i="46" s="1"/>
  <c r="N122" i="46" s="1"/>
  <c r="I122" i="46"/>
  <c r="T107" i="46"/>
  <c r="U107" i="46" s="1"/>
  <c r="V107" i="46" s="1"/>
  <c r="W107" i="46" s="1"/>
  <c r="X107" i="46" s="1"/>
  <c r="Y107" i="46" s="1"/>
  <c r="Z107" i="46" s="1"/>
  <c r="AA107" i="46" s="1"/>
  <c r="AB107" i="46" s="1"/>
  <c r="S107" i="46"/>
  <c r="P107" i="46"/>
  <c r="Q107" i="46" s="1"/>
  <c r="R107" i="46" s="1"/>
  <c r="K107" i="46"/>
  <c r="L107" i="46" s="1"/>
  <c r="M107" i="46" s="1"/>
  <c r="N107" i="46" s="1"/>
  <c r="J107" i="46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L92" i="46"/>
  <c r="M92" i="46" s="1"/>
  <c r="N92" i="46" s="1"/>
  <c r="J92" i="46"/>
  <c r="K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K77" i="46"/>
  <c r="J77" i="46"/>
  <c r="I77" i="46"/>
  <c r="Q62" i="46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P62" i="46"/>
  <c r="I62" i="46"/>
  <c r="J62" i="46" s="1"/>
  <c r="K62" i="46" s="1"/>
  <c r="L62" i="46" s="1"/>
  <c r="M62" i="46" s="1"/>
  <c r="N62" i="46" s="1"/>
  <c r="S47" i="46"/>
  <c r="T47" i="46" s="1"/>
  <c r="U47" i="46" s="1"/>
  <c r="V47" i="46" s="1"/>
  <c r="W47" i="46" s="1"/>
  <c r="X47" i="46" s="1"/>
  <c r="Y47" i="46" s="1"/>
  <c r="Z47" i="46" s="1"/>
  <c r="AA47" i="46" s="1"/>
  <c r="AB47" i="46" s="1"/>
  <c r="R47" i="46"/>
  <c r="Q47" i="46"/>
  <c r="P47" i="46"/>
  <c r="J47" i="46"/>
  <c r="K47" i="46" s="1"/>
  <c r="L47" i="46" s="1"/>
  <c r="M47" i="46" s="1"/>
  <c r="N47" i="46" s="1"/>
  <c r="I47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T17" i="46"/>
  <c r="U17" i="46" s="1"/>
  <c r="V17" i="46" s="1"/>
  <c r="W17" i="46" s="1"/>
  <c r="X17" i="46" s="1"/>
  <c r="Y17" i="46" s="1"/>
  <c r="Z17" i="46" s="1"/>
  <c r="AA17" i="46" s="1"/>
  <c r="AB17" i="46" s="1"/>
  <c r="S17" i="46"/>
  <c r="R17" i="46"/>
  <c r="Q17" i="46"/>
  <c r="P17" i="46"/>
  <c r="K17" i="46"/>
  <c r="L17" i="46" s="1"/>
  <c r="M17" i="46" s="1"/>
  <c r="N17" i="46" s="1"/>
  <c r="I17" i="46"/>
  <c r="J17" i="46" s="1"/>
  <c r="AB10" i="46"/>
  <c r="D10" i="46"/>
  <c r="P9" i="46"/>
  <c r="P8" i="46"/>
  <c r="R5" i="46"/>
  <c r="Q5" i="46"/>
  <c r="P5" i="46"/>
  <c r="K5" i="46"/>
  <c r="J5" i="46"/>
  <c r="I5" i="46"/>
  <c r="B2" i="46"/>
  <c r="B2" i="47" s="1"/>
  <c r="P1" i="46"/>
  <c r="O1" i="46"/>
  <c r="O9" i="46" s="1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D27" i="35" s="1"/>
  <c r="T27" i="35" s="1"/>
  <c r="C27" i="35"/>
  <c r="Q26" i="35"/>
  <c r="Q28" i="35" s="1"/>
  <c r="K26" i="35"/>
  <c r="C26" i="35"/>
  <c r="Q25" i="35"/>
  <c r="K25" i="35"/>
  <c r="C25" i="35"/>
  <c r="D25" i="35" s="1"/>
  <c r="C21" i="35"/>
  <c r="Q20" i="35"/>
  <c r="K20" i="35"/>
  <c r="C20" i="35"/>
  <c r="C22" i="35" s="1"/>
  <c r="Q19" i="35"/>
  <c r="K19" i="35"/>
  <c r="C19" i="35"/>
  <c r="Q14" i="35"/>
  <c r="K14" i="35"/>
  <c r="D14" i="35" s="1"/>
  <c r="T14" i="35" s="1"/>
  <c r="C14" i="35"/>
  <c r="C15" i="35" s="1"/>
  <c r="Q13" i="35"/>
  <c r="Q15" i="35" s="1"/>
  <c r="K13" i="35"/>
  <c r="D13" i="35"/>
  <c r="T13" i="35" s="1"/>
  <c r="C13" i="35"/>
  <c r="Q9" i="35"/>
  <c r="C9" i="35"/>
  <c r="Q8" i="35"/>
  <c r="K8" i="35"/>
  <c r="D8" i="35" s="1"/>
  <c r="C8" i="35"/>
  <c r="Q7" i="35"/>
  <c r="K7" i="35"/>
  <c r="C7" i="35"/>
  <c r="C34" i="51"/>
  <c r="C33" i="51"/>
  <c r="E29" i="51"/>
  <c r="D29" i="51"/>
  <c r="C29" i="51"/>
  <c r="L26" i="51" a="1"/>
  <c r="L26" i="51" s="1"/>
  <c r="L25" i="51" a="1"/>
  <c r="L25" i="51" s="1"/>
  <c r="L24" i="51" a="1"/>
  <c r="L24" i="51" s="1"/>
  <c r="C24" i="51" s="1"/>
  <c r="D24" i="51" s="1"/>
  <c r="L23" i="51" a="1"/>
  <c r="L23" i="51" s="1"/>
  <c r="L22" i="51" a="1"/>
  <c r="L22" i="51" s="1"/>
  <c r="L21" i="51" a="1"/>
  <c r="L21" i="51" s="1"/>
  <c r="C21" i="51" s="1"/>
  <c r="D21" i="51" s="1"/>
  <c r="L20" i="51" a="1"/>
  <c r="L20" i="51" s="1"/>
  <c r="C20" i="51" s="1"/>
  <c r="D20" i="51" s="1"/>
  <c r="L19" i="51" a="1"/>
  <c r="L19" i="51" s="1"/>
  <c r="C19" i="51" s="1"/>
  <c r="D19" i="51" s="1"/>
  <c r="L18" i="51" a="1"/>
  <c r="L18" i="51" s="1"/>
  <c r="M17" i="51" a="1"/>
  <c r="M17" i="51" s="1"/>
  <c r="L17" i="51" a="1"/>
  <c r="L17" i="51" s="1"/>
  <c r="C17" i="51" s="1"/>
  <c r="D17" i="51" s="1"/>
  <c r="L16" i="51" a="1"/>
  <c r="L16" i="51" s="1"/>
  <c r="M16" i="51" s="1" a="1"/>
  <c r="M16" i="51" s="1"/>
  <c r="C16" i="51"/>
  <c r="D16" i="51" s="1"/>
  <c r="L15" i="51" a="1"/>
  <c r="L15" i="51" s="1"/>
  <c r="L14" i="51" a="1"/>
  <c r="L14" i="51" s="1"/>
  <c r="D14" i="51"/>
  <c r="C14" i="51"/>
  <c r="L13" i="51" a="1"/>
  <c r="L13" i="51" s="1"/>
  <c r="D13" i="51"/>
  <c r="C13" i="51"/>
  <c r="L12" i="51" a="1"/>
  <c r="L12" i="51" s="1"/>
  <c r="M11" i="51" a="1"/>
  <c r="M11" i="51" s="1"/>
  <c r="L11" i="51" a="1"/>
  <c r="L11" i="51" s="1"/>
  <c r="F11" i="51" a="1"/>
  <c r="F11" i="51" s="1"/>
  <c r="G11" i="51" s="1"/>
  <c r="C11" i="51"/>
  <c r="D11" i="51" s="1"/>
  <c r="M10" i="51" a="1"/>
  <c r="M10" i="51" s="1"/>
  <c r="B10" i="51" s="1" a="1"/>
  <c r="B10" i="51" s="1"/>
  <c r="L10" i="51" a="1"/>
  <c r="L10" i="51" s="1"/>
  <c r="I10" i="51"/>
  <c r="F10" i="51" a="1"/>
  <c r="F10" i="51" s="1"/>
  <c r="G10" i="51" s="1"/>
  <c r="E10" i="51" a="1"/>
  <c r="E10" i="51" s="1"/>
  <c r="C10" i="51"/>
  <c r="D10" i="51" s="1"/>
  <c r="M9" i="51" a="1"/>
  <c r="M9" i="51" s="1"/>
  <c r="L9" i="51" a="1"/>
  <c r="L9" i="51" s="1"/>
  <c r="F9" i="51" a="1"/>
  <c r="F9" i="51" s="1"/>
  <c r="C9" i="51"/>
  <c r="D9" i="51" s="1"/>
  <c r="M8" i="51" a="1"/>
  <c r="M8" i="51" s="1"/>
  <c r="L8" i="51" a="1"/>
  <c r="L8" i="51" s="1"/>
  <c r="C8" i="51"/>
  <c r="D8" i="51" s="1"/>
  <c r="M7" i="51"/>
  <c r="M7" i="51" a="1"/>
  <c r="L7" i="51" a="1"/>
  <c r="L7" i="51" s="1"/>
  <c r="E7" i="51" a="1"/>
  <c r="E7" i="51" s="1"/>
  <c r="D7" i="51"/>
  <c r="C7" i="51"/>
  <c r="B2" i="51"/>
  <c r="L99" i="39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K99" i="39"/>
  <c r="E99" i="39"/>
  <c r="F99" i="39" s="1"/>
  <c r="G99" i="39" s="1"/>
  <c r="H99" i="39" s="1"/>
  <c r="I99" i="39" s="1"/>
  <c r="D99" i="39"/>
  <c r="S95" i="39"/>
  <c r="T95" i="39" s="1"/>
  <c r="U95" i="39" s="1"/>
  <c r="V95" i="39" s="1"/>
  <c r="W95" i="39" s="1"/>
  <c r="R95" i="39"/>
  <c r="M95" i="39"/>
  <c r="N95" i="39" s="1"/>
  <c r="O95" i="39" s="1"/>
  <c r="P95" i="39" s="1"/>
  <c r="Q95" i="39" s="1"/>
  <c r="K95" i="39"/>
  <c r="L95" i="39" s="1"/>
  <c r="E95" i="39"/>
  <c r="F95" i="39" s="1"/>
  <c r="G95" i="39" s="1"/>
  <c r="H95" i="39" s="1"/>
  <c r="I95" i="39" s="1"/>
  <c r="D95" i="39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K91" i="39"/>
  <c r="L91" i="39" s="1"/>
  <c r="D91" i="39"/>
  <c r="E91" i="39" s="1"/>
  <c r="F91" i="39" s="1"/>
  <c r="G91" i="39" s="1"/>
  <c r="H91" i="39" s="1"/>
  <c r="I91" i="39" s="1"/>
  <c r="B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H85" i="39"/>
  <c r="I85" i="39" s="1"/>
  <c r="F85" i="39"/>
  <c r="G85" i="39" s="1"/>
  <c r="E85" i="39"/>
  <c r="D85" i="39"/>
  <c r="B85" i="39"/>
  <c r="C156" i="38"/>
  <c r="D155" i="38"/>
  <c r="B102" i="38"/>
  <c r="X101" i="38"/>
  <c r="Y101" i="38" s="1"/>
  <c r="Z101" i="38" s="1"/>
  <c r="AA101" i="38" s="1"/>
  <c r="AB101" i="38" s="1"/>
  <c r="AC101" i="38" s="1"/>
  <c r="AD101" i="38" s="1"/>
  <c r="V101" i="38"/>
  <c r="W101" i="38" s="1"/>
  <c r="S101" i="38"/>
  <c r="T101" i="38" s="1"/>
  <c r="U101" i="38" s="1"/>
  <c r="R101" i="38"/>
  <c r="L101" i="38"/>
  <c r="M101" i="38" s="1"/>
  <c r="N101" i="38" s="1"/>
  <c r="O101" i="38" s="1"/>
  <c r="P101" i="38" s="1"/>
  <c r="K101" i="38"/>
  <c r="B86" i="38"/>
  <c r="R85" i="38"/>
  <c r="S85" i="38" s="1"/>
  <c r="T85" i="38" s="1"/>
  <c r="U85" i="38" s="1"/>
  <c r="V85" i="38" s="1"/>
  <c r="W85" i="38" s="1"/>
  <c r="X85" i="38" s="1"/>
  <c r="Y85" i="38" s="1"/>
  <c r="Z85" i="38" s="1"/>
  <c r="AA85" i="38" s="1"/>
  <c r="AB85" i="38" s="1"/>
  <c r="AC85" i="38" s="1"/>
  <c r="AD85" i="38" s="1"/>
  <c r="N85" i="38"/>
  <c r="O85" i="38" s="1"/>
  <c r="P85" i="38" s="1"/>
  <c r="L85" i="38"/>
  <c r="M85" i="38" s="1"/>
  <c r="K85" i="38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S53" i="38"/>
  <c r="T53" i="38" s="1"/>
  <c r="U53" i="38" s="1"/>
  <c r="V53" i="38" s="1"/>
  <c r="W53" i="38" s="1"/>
  <c r="X53" i="38" s="1"/>
  <c r="Y53" i="38" s="1"/>
  <c r="Z53" i="38" s="1"/>
  <c r="AA53" i="38" s="1"/>
  <c r="AB53" i="38" s="1"/>
  <c r="AC53" i="38" s="1"/>
  <c r="AD53" i="38" s="1"/>
  <c r="R53" i="38"/>
  <c r="N53" i="38"/>
  <c r="O53" i="38" s="1"/>
  <c r="P53" i="38" s="1"/>
  <c r="L53" i="38"/>
  <c r="M53" i="38" s="1"/>
  <c r="K53" i="38"/>
  <c r="B38" i="38"/>
  <c r="B95" i="39" s="1"/>
  <c r="Z37" i="38"/>
  <c r="AA37" i="38" s="1"/>
  <c r="AB37" i="38" s="1"/>
  <c r="AC37" i="38" s="1"/>
  <c r="AD37" i="38" s="1"/>
  <c r="T37" i="38"/>
  <c r="U37" i="38" s="1"/>
  <c r="V37" i="38" s="1"/>
  <c r="W37" i="38" s="1"/>
  <c r="X37" i="38" s="1"/>
  <c r="Y37" i="38" s="1"/>
  <c r="R37" i="38"/>
  <c r="S37" i="38" s="1"/>
  <c r="K37" i="38"/>
  <c r="L37" i="38" s="1"/>
  <c r="M37" i="38" s="1"/>
  <c r="N37" i="38" s="1"/>
  <c r="O37" i="38" s="1"/>
  <c r="P37" i="38" s="1"/>
  <c r="S21" i="38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R21" i="38"/>
  <c r="K21" i="38"/>
  <c r="L21" i="38" s="1"/>
  <c r="M21" i="38" s="1"/>
  <c r="N21" i="38" s="1"/>
  <c r="O21" i="38" s="1"/>
  <c r="P21" i="38" s="1"/>
  <c r="AD13" i="38"/>
  <c r="K12" i="38"/>
  <c r="D12" i="38"/>
  <c r="C12" i="38"/>
  <c r="Q10" i="38"/>
  <c r="Q8" i="38"/>
  <c r="J8" i="38"/>
  <c r="C8" i="38"/>
  <c r="R5" i="38"/>
  <c r="K5" i="38"/>
  <c r="B2" i="38"/>
  <c r="B2" i="39" s="1"/>
  <c r="Q1" i="38"/>
  <c r="K1" i="38"/>
  <c r="J1" i="38"/>
  <c r="L125" i="37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K125" i="37"/>
  <c r="G125" i="37"/>
  <c r="H125" i="37" s="1"/>
  <c r="I125" i="37" s="1"/>
  <c r="D125" i="37"/>
  <c r="E125" i="37" s="1"/>
  <c r="F125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E121" i="37"/>
  <c r="F121" i="37" s="1"/>
  <c r="G121" i="37" s="1"/>
  <c r="H121" i="37" s="1"/>
  <c r="I121" i="37" s="1"/>
  <c r="D121" i="37"/>
  <c r="T117" i="37"/>
  <c r="U117" i="37" s="1"/>
  <c r="V117" i="37" s="1"/>
  <c r="W117" i="37" s="1"/>
  <c r="N117" i="37"/>
  <c r="O117" i="37" s="1"/>
  <c r="P117" i="37" s="1"/>
  <c r="Q117" i="37" s="1"/>
  <c r="R117" i="37" s="1"/>
  <c r="S117" i="37" s="1"/>
  <c r="M117" i="37"/>
  <c r="K117" i="37"/>
  <c r="L117" i="37" s="1"/>
  <c r="D117" i="37"/>
  <c r="E117" i="37" s="1"/>
  <c r="F117" i="37" s="1"/>
  <c r="G117" i="37" s="1"/>
  <c r="H117" i="37" s="1"/>
  <c r="I117" i="37" s="1"/>
  <c r="B117" i="37"/>
  <c r="S111" i="37"/>
  <c r="T111" i="37" s="1"/>
  <c r="U111" i="37" s="1"/>
  <c r="V111" i="37" s="1"/>
  <c r="W111" i="37" s="1"/>
  <c r="P111" i="37"/>
  <c r="Q111" i="37" s="1"/>
  <c r="R111" i="37" s="1"/>
  <c r="N111" i="37"/>
  <c r="O111" i="37" s="1"/>
  <c r="M111" i="37"/>
  <c r="K111" i="37"/>
  <c r="L111" i="37" s="1"/>
  <c r="D111" i="37"/>
  <c r="E111" i="37" s="1"/>
  <c r="F111" i="37" s="1"/>
  <c r="G111" i="37" s="1"/>
  <c r="H111" i="37" s="1"/>
  <c r="I111" i="37" s="1"/>
  <c r="B111" i="37"/>
  <c r="C149" i="33"/>
  <c r="D148" i="33"/>
  <c r="D149" i="33" s="1"/>
  <c r="B96" i="33"/>
  <c r="U95" i="33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S95" i="33" s="1"/>
  <c r="T95" i="33" s="1"/>
  <c r="M95" i="33"/>
  <c r="N95" i="33" s="1"/>
  <c r="O95" i="33" s="1"/>
  <c r="P95" i="33" s="1"/>
  <c r="L95" i="33"/>
  <c r="K95" i="33"/>
  <c r="B81" i="33"/>
  <c r="Y80" i="33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W80" i="33" s="1"/>
  <c r="X80" i="33" s="1"/>
  <c r="L80" i="33"/>
  <c r="M80" i="33" s="1"/>
  <c r="N80" i="33" s="1"/>
  <c r="O80" i="33" s="1"/>
  <c r="P80" i="33" s="1"/>
  <c r="K80" i="33"/>
  <c r="B66" i="33"/>
  <c r="W65" i="33"/>
  <c r="X65" i="33" s="1"/>
  <c r="Y65" i="33" s="1"/>
  <c r="Z65" i="33" s="1"/>
  <c r="AA65" i="33" s="1"/>
  <c r="AB65" i="33" s="1"/>
  <c r="AC65" i="33" s="1"/>
  <c r="AD65" i="33" s="1"/>
  <c r="R65" i="33"/>
  <c r="S65" i="33" s="1"/>
  <c r="T65" i="33" s="1"/>
  <c r="U65" i="33" s="1"/>
  <c r="V65" i="33" s="1"/>
  <c r="K65" i="33"/>
  <c r="L65" i="33" s="1"/>
  <c r="M65" i="33" s="1"/>
  <c r="N65" i="33" s="1"/>
  <c r="O65" i="33" s="1"/>
  <c r="P65" i="33" s="1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T35" i="33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R35" i="33"/>
  <c r="K35" i="33"/>
  <c r="L35" i="33" s="1"/>
  <c r="M35" i="33" s="1"/>
  <c r="N35" i="33" s="1"/>
  <c r="O35" i="33" s="1"/>
  <c r="P35" i="33" s="1"/>
  <c r="R20" i="33"/>
  <c r="S20" i="33" s="1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K20" i="33"/>
  <c r="L20" i="33" s="1"/>
  <c r="M20" i="33" s="1"/>
  <c r="N20" i="33" s="1"/>
  <c r="O20" i="33" s="1"/>
  <c r="P20" i="33" s="1"/>
  <c r="AD13" i="33"/>
  <c r="H13" i="33" s="1"/>
  <c r="D12" i="33"/>
  <c r="C12" i="33"/>
  <c r="Q8" i="33"/>
  <c r="K8" i="33"/>
  <c r="J8" i="33"/>
  <c r="C8" i="33"/>
  <c r="R5" i="33"/>
  <c r="R8" i="33" s="1"/>
  <c r="L5" i="33"/>
  <c r="K5" i="33"/>
  <c r="B2" i="33"/>
  <c r="R1" i="33"/>
  <c r="Q1" i="33"/>
  <c r="Q11" i="33" s="1"/>
  <c r="K1" i="33"/>
  <c r="J1" i="33"/>
  <c r="C43" i="31"/>
  <c r="C42" i="31"/>
  <c r="C41" i="31"/>
  <c r="C36" i="31"/>
  <c r="C20" i="31" s="1"/>
  <c r="O30" i="31"/>
  <c r="E30" i="31" s="1"/>
  <c r="H30" i="31" s="1"/>
  <c r="G30" i="31"/>
  <c r="C30" i="31"/>
  <c r="G29" i="31"/>
  <c r="E29" i="31"/>
  <c r="H29" i="31" s="1"/>
  <c r="C29" i="31"/>
  <c r="G28" i="31"/>
  <c r="E28" i="31"/>
  <c r="H28" i="31" s="1"/>
  <c r="C28" i="31"/>
  <c r="G27" i="31"/>
  <c r="E27" i="31"/>
  <c r="C27" i="31"/>
  <c r="G26" i="31"/>
  <c r="E26" i="31"/>
  <c r="C26" i="31"/>
  <c r="H25" i="31"/>
  <c r="G25" i="31"/>
  <c r="E25" i="31"/>
  <c r="C25" i="31"/>
  <c r="G24" i="31"/>
  <c r="G31" i="31" s="1"/>
  <c r="E24" i="31"/>
  <c r="H24" i="31" s="1"/>
  <c r="C24" i="31"/>
  <c r="C16" i="31" a="1"/>
  <c r="C16" i="31" s="1"/>
  <c r="B2" i="31"/>
  <c r="B83" i="17"/>
  <c r="B71" i="17"/>
  <c r="C60" i="17"/>
  <c r="B53" i="17"/>
  <c r="B46" i="17"/>
  <c r="B59" i="17" s="1"/>
  <c r="B45" i="17"/>
  <c r="B44" i="17"/>
  <c r="B51" i="17" s="1"/>
  <c r="B43" i="17"/>
  <c r="C40" i="17"/>
  <c r="B39" i="17"/>
  <c r="B37" i="17"/>
  <c r="B34" i="17"/>
  <c r="B31" i="17"/>
  <c r="B26" i="17"/>
  <c r="B23" i="17"/>
  <c r="B22" i="17"/>
  <c r="B21" i="17"/>
  <c r="B20" i="17"/>
  <c r="B16" i="17"/>
  <c r="B28" i="17" s="1"/>
  <c r="B15" i="17"/>
  <c r="B27" i="17" s="1"/>
  <c r="B14" i="17"/>
  <c r="B13" i="17"/>
  <c r="B12" i="17"/>
  <c r="B11" i="17"/>
  <c r="B10" i="17"/>
  <c r="B33" i="17" s="1"/>
  <c r="B9" i="17"/>
  <c r="B32" i="17" s="1"/>
  <c r="B8" i="17"/>
  <c r="B2" i="17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I52" i="10" s="1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C57" i="10" s="1"/>
  <c r="H50" i="10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G50" i="10"/>
  <c r="E50" i="10"/>
  <c r="F50" i="10" s="1"/>
  <c r="D50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E47" i="10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D47" i="10"/>
  <c r="B2" i="10"/>
  <c r="C53" i="9"/>
  <c r="D52" i="9"/>
  <c r="D53" i="9" s="1"/>
  <c r="C46" i="9"/>
  <c r="B43" i="9"/>
  <c r="B42" i="9"/>
  <c r="B38" i="9"/>
  <c r="B35" i="9"/>
  <c r="B34" i="9"/>
  <c r="B33" i="9"/>
  <c r="B32" i="9"/>
  <c r="B31" i="9"/>
  <c r="B30" i="9"/>
  <c r="B29" i="9"/>
  <c r="B28" i="9"/>
  <c r="B22" i="9"/>
  <c r="B21" i="9"/>
  <c r="B20" i="9"/>
  <c r="B19" i="9"/>
  <c r="B18" i="9"/>
  <c r="B15" i="9"/>
  <c r="B45" i="9" s="1"/>
  <c r="B14" i="9"/>
  <c r="B44" i="9" s="1"/>
  <c r="B13" i="9"/>
  <c r="B12" i="9"/>
  <c r="B11" i="9"/>
  <c r="B41" i="9" s="1"/>
  <c r="B10" i="9"/>
  <c r="B40" i="9" s="1"/>
  <c r="B9" i="9"/>
  <c r="B39" i="9" s="1"/>
  <c r="B8" i="9"/>
  <c r="B2" i="9"/>
  <c r="B2" i="35" s="1"/>
  <c r="K27" i="19"/>
  <c r="D27" i="19" s="1"/>
  <c r="K24" i="19"/>
  <c r="C24" i="19" s="1"/>
  <c r="B24" i="19"/>
  <c r="K23" i="19"/>
  <c r="C23" i="19"/>
  <c r="B23" i="19"/>
  <c r="K22" i="19"/>
  <c r="C22" i="19" s="1"/>
  <c r="B22" i="19"/>
  <c r="C21" i="19"/>
  <c r="B21" i="19"/>
  <c r="K20" i="19"/>
  <c r="C20" i="19"/>
  <c r="B20" i="19"/>
  <c r="C19" i="19"/>
  <c r="B19" i="19"/>
  <c r="B9" i="19" s="1"/>
  <c r="K18" i="19"/>
  <c r="C18" i="19" s="1"/>
  <c r="B18" i="19"/>
  <c r="K17" i="19"/>
  <c r="C17" i="19"/>
  <c r="B17" i="19"/>
  <c r="C16" i="19"/>
  <c r="B16" i="19"/>
  <c r="B8" i="19" s="1"/>
  <c r="K15" i="19"/>
  <c r="B15" i="19"/>
  <c r="C10" i="19"/>
  <c r="B10" i="19"/>
  <c r="D9" i="19"/>
  <c r="F9" i="19" s="1"/>
  <c r="C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G200" i="11"/>
  <c r="D200" i="11"/>
  <c r="C200" i="11"/>
  <c r="D199" i="11" s="1"/>
  <c r="J199" i="11"/>
  <c r="J200" i="11" s="1"/>
  <c r="C179" i="11"/>
  <c r="K103" i="11" s="1"/>
  <c r="C168" i="11"/>
  <c r="AG88" i="11" s="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C134" i="11"/>
  <c r="C130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J104" i="11"/>
  <c r="I104" i="11"/>
  <c r="G104" i="11"/>
  <c r="F104" i="11"/>
  <c r="D104" i="11"/>
  <c r="C104" i="11"/>
  <c r="AE77" i="11"/>
  <c r="B74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P77" i="11" s="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K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R64" i="17" s="1"/>
  <c r="AR49" i="11"/>
  <c r="Q64" i="17" s="1"/>
  <c r="AQ49" i="11"/>
  <c r="P64" i="17" s="1"/>
  <c r="AP49" i="11"/>
  <c r="O64" i="17" s="1"/>
  <c r="AO49" i="11"/>
  <c r="N64" i="17" s="1"/>
  <c r="AN49" i="11"/>
  <c r="M64" i="17" s="1"/>
  <c r="AM49" i="11"/>
  <c r="L64" i="17" s="1"/>
  <c r="AL49" i="11"/>
  <c r="K64" i="17" s="1"/>
  <c r="AK49" i="11"/>
  <c r="J64" i="17" s="1"/>
  <c r="AJ49" i="11"/>
  <c r="I64" i="17" s="1"/>
  <c r="AI49" i="11"/>
  <c r="H64" i="17" s="1"/>
  <c r="AH49" i="11"/>
  <c r="G64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3" i="17" s="1"/>
  <c r="AS48" i="11"/>
  <c r="R63" i="17" s="1"/>
  <c r="AR48" i="11"/>
  <c r="AQ48" i="11"/>
  <c r="AP48" i="11"/>
  <c r="AO48" i="11"/>
  <c r="N63" i="17" s="1"/>
  <c r="AN48" i="11"/>
  <c r="M63" i="17" s="1"/>
  <c r="AM48" i="11"/>
  <c r="L63" i="17" s="1"/>
  <c r="AL48" i="11"/>
  <c r="K63" i="17" s="1"/>
  <c r="AK48" i="11"/>
  <c r="J63" i="17" s="1"/>
  <c r="AJ48" i="11"/>
  <c r="I63" i="17" s="1"/>
  <c r="AI48" i="11"/>
  <c r="H63" i="17" s="1"/>
  <c r="AH48" i="11"/>
  <c r="G63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S66" i="11" s="1"/>
  <c r="R48" i="11"/>
  <c r="R66" i="11" s="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M59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S45" i="17" s="1"/>
  <c r="AS44" i="11"/>
  <c r="R45" i="17" s="1"/>
  <c r="AR44" i="11"/>
  <c r="Q45" i="17" s="1"/>
  <c r="AQ44" i="11"/>
  <c r="P45" i="17" s="1"/>
  <c r="P58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M57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P43" i="17" s="1"/>
  <c r="AP42" i="11"/>
  <c r="O43" i="17" s="1"/>
  <c r="AO42" i="11"/>
  <c r="AN42" i="11"/>
  <c r="AM42" i="11"/>
  <c r="AL42" i="11"/>
  <c r="AK42" i="11"/>
  <c r="J43" i="17" s="1"/>
  <c r="J47" i="17" s="1"/>
  <c r="AJ42" i="11"/>
  <c r="AI42" i="11"/>
  <c r="AH42" i="11"/>
  <c r="AG42" i="11"/>
  <c r="AF42" i="11"/>
  <c r="S107" i="16" s="1"/>
  <c r="AE42" i="11"/>
  <c r="R107" i="16" s="1"/>
  <c r="AD42" i="11"/>
  <c r="Q107" i="16" s="1"/>
  <c r="AC42" i="11"/>
  <c r="P107" i="16" s="1"/>
  <c r="AB42" i="11"/>
  <c r="AA42" i="11"/>
  <c r="AA46" i="11" s="1"/>
  <c r="Z42" i="11"/>
  <c r="Z46" i="11" s="1"/>
  <c r="Y42" i="11"/>
  <c r="L107" i="16" s="1"/>
  <c r="X42" i="11"/>
  <c r="W42" i="11"/>
  <c r="V42" i="11"/>
  <c r="U42" i="11"/>
  <c r="U46" i="11" s="1"/>
  <c r="T42" i="11"/>
  <c r="G107" i="16" s="1"/>
  <c r="S42" i="11"/>
  <c r="F107" i="16" s="1"/>
  <c r="R42" i="11"/>
  <c r="Q42" i="11"/>
  <c r="P42" i="11"/>
  <c r="C107" i="16" s="1"/>
  <c r="AT39" i="11"/>
  <c r="AS39" i="11"/>
  <c r="R16" i="17" s="1"/>
  <c r="AR39" i="11"/>
  <c r="Q16" i="17" s="1"/>
  <c r="Q39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S15" i="17" s="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K37" i="11"/>
  <c r="E14" i="17" s="1"/>
  <c r="AT36" i="11"/>
  <c r="AS36" i="11"/>
  <c r="AR36" i="11"/>
  <c r="AQ36" i="11"/>
  <c r="AP36" i="11"/>
  <c r="O13" i="17" s="1"/>
  <c r="AO36" i="11"/>
  <c r="N13" i="17" s="1"/>
  <c r="AN36" i="11"/>
  <c r="M13" i="17" s="1"/>
  <c r="AM36" i="11"/>
  <c r="L13" i="17" s="1"/>
  <c r="AL36" i="11"/>
  <c r="AK36" i="11"/>
  <c r="J13" i="17" s="1"/>
  <c r="AJ36" i="11"/>
  <c r="AI36" i="11"/>
  <c r="AH36" i="1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AS35" i="11"/>
  <c r="R12" i="17" s="1"/>
  <c r="AR35" i="11"/>
  <c r="Q12" i="17" s="1"/>
  <c r="AQ35" i="11"/>
  <c r="P12" i="17" s="1"/>
  <c r="P35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C88" i="11" s="1"/>
  <c r="AB35" i="11"/>
  <c r="AA35" i="11"/>
  <c r="Z35" i="11"/>
  <c r="Y35" i="11"/>
  <c r="X35" i="11"/>
  <c r="W35" i="11"/>
  <c r="V35" i="11"/>
  <c r="U35" i="11"/>
  <c r="T35" i="11"/>
  <c r="S35" i="11"/>
  <c r="S88" i="11" s="1"/>
  <c r="R35" i="11"/>
  <c r="R88" i="11" s="1"/>
  <c r="Q35" i="11"/>
  <c r="P35" i="11"/>
  <c r="AT34" i="11"/>
  <c r="AS34" i="11"/>
  <c r="AR34" i="11"/>
  <c r="AQ34" i="11"/>
  <c r="AP34" i="11"/>
  <c r="AO34" i="11"/>
  <c r="N11" i="17" s="1"/>
  <c r="AN34" i="11"/>
  <c r="M11" i="17" s="1"/>
  <c r="AM34" i="11"/>
  <c r="AL34" i="11"/>
  <c r="AK34" i="11"/>
  <c r="AJ34" i="11"/>
  <c r="I11" i="17" s="1"/>
  <c r="AI34" i="11"/>
  <c r="H11" i="17" s="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AT33" i="1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AQ32" i="1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R40" i="11" s="1"/>
  <c r="Q32" i="11"/>
  <c r="P32" i="11"/>
  <c r="K32" i="11"/>
  <c r="AT31" i="11"/>
  <c r="AS31" i="11"/>
  <c r="AR31" i="11"/>
  <c r="Q8" i="17" s="1"/>
  <c r="AQ31" i="11"/>
  <c r="P8" i="17" s="1"/>
  <c r="AP31" i="11"/>
  <c r="AO31" i="11"/>
  <c r="AN31" i="11"/>
  <c r="M8" i="17" s="1"/>
  <c r="AM31" i="11"/>
  <c r="L8" i="17" s="1"/>
  <c r="AL31" i="11"/>
  <c r="AK31" i="11"/>
  <c r="AJ31" i="11"/>
  <c r="AI31" i="11"/>
  <c r="AH31" i="11"/>
  <c r="G8" i="17" s="1"/>
  <c r="AG31" i="11"/>
  <c r="AF31" i="11"/>
  <c r="AF40" i="11" s="1"/>
  <c r="AE31" i="11"/>
  <c r="AE40" i="11" s="1"/>
  <c r="AD31" i="11"/>
  <c r="AC31" i="11"/>
  <c r="AB31" i="11"/>
  <c r="AA31" i="11"/>
  <c r="Z31" i="11"/>
  <c r="Z40" i="11" s="1"/>
  <c r="Y31" i="11"/>
  <c r="Y40" i="11" s="1"/>
  <c r="X31" i="11"/>
  <c r="X40" i="11" s="1"/>
  <c r="W31" i="11"/>
  <c r="W40" i="11" s="1"/>
  <c r="V31" i="11"/>
  <c r="V40" i="11" s="1"/>
  <c r="U31" i="11"/>
  <c r="T31" i="11"/>
  <c r="S31" i="11"/>
  <c r="R31" i="11"/>
  <c r="Q31" i="11"/>
  <c r="P31" i="11"/>
  <c r="P40" i="11" s="1"/>
  <c r="AT28" i="11"/>
  <c r="AS28" i="11"/>
  <c r="AR28" i="11"/>
  <c r="AQ28" i="11"/>
  <c r="AP28" i="11"/>
  <c r="AK28" i="11"/>
  <c r="AH28" i="11"/>
  <c r="AG28" i="11"/>
  <c r="AD28" i="11"/>
  <c r="AA28" i="11"/>
  <c r="Z28" i="11"/>
  <c r="U28" i="11"/>
  <c r="R28" i="11"/>
  <c r="Q28" i="11"/>
  <c r="AJ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G22" i="11" s="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AN19" i="11"/>
  <c r="AM19" i="11"/>
  <c r="AL19" i="11"/>
  <c r="J20" i="9" s="1"/>
  <c r="AK19" i="11"/>
  <c r="I20" i="9" s="1"/>
  <c r="AJ19" i="11"/>
  <c r="H20" i="9" s="1"/>
  <c r="AI19" i="11"/>
  <c r="AI28" i="11" s="1"/>
  <c r="AH19" i="11"/>
  <c r="AG19" i="11"/>
  <c r="AF19" i="11"/>
  <c r="AF28" i="11" s="1"/>
  <c r="AE19" i="11"/>
  <c r="AE28" i="11" s="1"/>
  <c r="AD19" i="11"/>
  <c r="AC19" i="11"/>
  <c r="AC28" i="11" s="1"/>
  <c r="AB19" i="11"/>
  <c r="AB28" i="11" s="1"/>
  <c r="AA19" i="11"/>
  <c r="Z19" i="11"/>
  <c r="Y19" i="11"/>
  <c r="Y28" i="11" s="1"/>
  <c r="X19" i="11"/>
  <c r="X28" i="11" s="1"/>
  <c r="W19" i="11"/>
  <c r="W28" i="11" s="1"/>
  <c r="V19" i="11"/>
  <c r="V28" i="11" s="1"/>
  <c r="U19" i="11"/>
  <c r="T19" i="11"/>
  <c r="T28" i="11" s="1"/>
  <c r="S19" i="11"/>
  <c r="S28" i="11" s="1"/>
  <c r="R19" i="11"/>
  <c r="Q19" i="11"/>
  <c r="P19" i="11"/>
  <c r="P28" i="11" s="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I19" i="9" s="1"/>
  <c r="AJ18" i="11"/>
  <c r="H19" i="9" s="1"/>
  <c r="AI18" i="11"/>
  <c r="G19" i="9" s="1"/>
  <c r="AH18" i="11"/>
  <c r="AG18" i="11"/>
  <c r="AF18" i="11"/>
  <c r="AE18" i="11"/>
  <c r="AE22" i="11" s="1"/>
  <c r="AD18" i="11"/>
  <c r="AD22" i="11" s="1"/>
  <c r="AC18" i="11"/>
  <c r="AB18" i="11"/>
  <c r="AA18" i="11"/>
  <c r="Z18" i="11"/>
  <c r="Y18" i="11"/>
  <c r="Y22" i="11" s="1"/>
  <c r="Y24" i="11" s="1"/>
  <c r="X18" i="11"/>
  <c r="W18" i="11"/>
  <c r="V18" i="11"/>
  <c r="U18" i="11"/>
  <c r="U22" i="11" s="1"/>
  <c r="T18" i="11"/>
  <c r="T22" i="11" s="1"/>
  <c r="S18" i="11"/>
  <c r="R18" i="11"/>
  <c r="Q18" i="11"/>
  <c r="P18" i="11"/>
  <c r="AT17" i="11"/>
  <c r="R18" i="9" s="1"/>
  <c r="AS17" i="11"/>
  <c r="AR17" i="11"/>
  <c r="AQ17" i="11"/>
  <c r="O18" i="9" s="1"/>
  <c r="AP17" i="11"/>
  <c r="N18" i="9" s="1"/>
  <c r="N23" i="9" s="1"/>
  <c r="AO17" i="11"/>
  <c r="M18" i="9" s="1"/>
  <c r="AN17" i="11"/>
  <c r="L18" i="9" s="1"/>
  <c r="AM17" i="11"/>
  <c r="AL17" i="11"/>
  <c r="AK17" i="11"/>
  <c r="I18" i="9" s="1"/>
  <c r="AJ17" i="11"/>
  <c r="H18" i="9" s="1"/>
  <c r="AI17" i="11"/>
  <c r="AI22" i="11" s="1"/>
  <c r="AH17" i="11"/>
  <c r="AH22" i="11" s="1"/>
  <c r="AG17" i="11"/>
  <c r="AF17" i="11"/>
  <c r="AF22" i="11" s="1"/>
  <c r="AE17" i="11"/>
  <c r="AD17" i="11"/>
  <c r="AC17" i="11"/>
  <c r="AB17" i="11"/>
  <c r="AB22" i="11" s="1"/>
  <c r="AB24" i="11" s="1"/>
  <c r="AA17" i="11"/>
  <c r="AA22" i="11" s="1"/>
  <c r="Z17" i="11"/>
  <c r="Z22" i="11" s="1"/>
  <c r="Y17" i="11"/>
  <c r="X17" i="11"/>
  <c r="X22" i="11" s="1"/>
  <c r="X24" i="11" s="1"/>
  <c r="W17" i="11"/>
  <c r="W22" i="11" s="1"/>
  <c r="V17" i="11"/>
  <c r="V22" i="11" s="1"/>
  <c r="U17" i="11"/>
  <c r="T17" i="11"/>
  <c r="S17" i="11"/>
  <c r="S22" i="11" s="1"/>
  <c r="R17" i="11"/>
  <c r="R22" i="11" s="1"/>
  <c r="Q17" i="11"/>
  <c r="Q22" i="11" s="1"/>
  <c r="P17" i="11"/>
  <c r="P22" i="11" s="1"/>
  <c r="AT14" i="11"/>
  <c r="AS14" i="11"/>
  <c r="Q15" i="9" s="1"/>
  <c r="AR14" i="11"/>
  <c r="P15" i="9" s="1"/>
  <c r="AQ14" i="11"/>
  <c r="O15" i="9" s="1"/>
  <c r="O4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G15" i="9" s="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O11" i="9" s="1"/>
  <c r="AP10" i="11"/>
  <c r="N11" i="9" s="1"/>
  <c r="AO10" i="11"/>
  <c r="AN10" i="11"/>
  <c r="AM10" i="11"/>
  <c r="AL10" i="11"/>
  <c r="AK10" i="11"/>
  <c r="AJ10" i="11"/>
  <c r="AI10" i="11"/>
  <c r="AH10" i="11"/>
  <c r="AH99" i="11" s="1"/>
  <c r="AG10" i="11"/>
  <c r="AG99" i="11" s="1"/>
  <c r="AG104" i="11" s="1"/>
  <c r="AF10" i="11"/>
  <c r="AF99" i="11" s="1"/>
  <c r="AF104" i="11" s="1"/>
  <c r="AE10" i="11"/>
  <c r="AE99" i="11" s="1"/>
  <c r="AE104" i="11" s="1"/>
  <c r="AD10" i="11"/>
  <c r="AD99" i="11" s="1"/>
  <c r="AD104" i="11" s="1"/>
  <c r="AC10" i="11"/>
  <c r="AC99" i="11" s="1"/>
  <c r="AC104" i="11" s="1"/>
  <c r="AB10" i="11"/>
  <c r="AB99" i="11" s="1"/>
  <c r="AB104" i="11" s="1"/>
  <c r="AA10" i="11"/>
  <c r="AA99" i="11" s="1"/>
  <c r="AA104" i="11" s="1"/>
  <c r="Z10" i="11"/>
  <c r="Z99" i="11" s="1"/>
  <c r="Z104" i="11" s="1"/>
  <c r="Y10" i="11"/>
  <c r="Y99" i="11" s="1"/>
  <c r="Y104" i="11" s="1"/>
  <c r="X10" i="11"/>
  <c r="X99" i="11" s="1"/>
  <c r="X104" i="11" s="1"/>
  <c r="W10" i="11"/>
  <c r="W99" i="11" s="1"/>
  <c r="W104" i="11" s="1"/>
  <c r="V10" i="11"/>
  <c r="V99" i="11" s="1"/>
  <c r="V104" i="11" s="1"/>
  <c r="U10" i="11"/>
  <c r="U99" i="11" s="1"/>
  <c r="U104" i="11" s="1"/>
  <c r="T10" i="11"/>
  <c r="T99" i="11" s="1"/>
  <c r="T104" i="11" s="1"/>
  <c r="S10" i="11"/>
  <c r="S99" i="11" s="1"/>
  <c r="S104" i="11" s="1"/>
  <c r="R10" i="11"/>
  <c r="R99" i="11" s="1"/>
  <c r="R104" i="11" s="1"/>
  <c r="Q10" i="11"/>
  <c r="Q99" i="11" s="1"/>
  <c r="Q104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P15" i="11" s="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T15" i="11" s="1"/>
  <c r="AS7" i="11"/>
  <c r="AR7" i="11"/>
  <c r="AQ7" i="11"/>
  <c r="AP7" i="11"/>
  <c r="AO7" i="11"/>
  <c r="M8" i="9" s="1"/>
  <c r="AN7" i="11"/>
  <c r="L8" i="9" s="1"/>
  <c r="AM7" i="11"/>
  <c r="AL7" i="11"/>
  <c r="AK7" i="11"/>
  <c r="I8" i="9" s="1"/>
  <c r="AJ7" i="11"/>
  <c r="H8" i="9" s="1"/>
  <c r="AI7" i="11"/>
  <c r="AH7" i="11"/>
  <c r="AH15" i="11" s="1"/>
  <c r="G85" i="17" s="1"/>
  <c r="AG7" i="11"/>
  <c r="AG15" i="11" s="1"/>
  <c r="AF7" i="11"/>
  <c r="AF15" i="11" s="1"/>
  <c r="AE7" i="11"/>
  <c r="AE15" i="11" s="1"/>
  <c r="R100" i="16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X15" i="11" s="1"/>
  <c r="K104" i="16" s="1"/>
  <c r="W7" i="11"/>
  <c r="V7" i="11"/>
  <c r="U7" i="11"/>
  <c r="U15" i="11" s="1"/>
  <c r="T7" i="11"/>
  <c r="T15" i="11" s="1"/>
  <c r="S7" i="11"/>
  <c r="R7" i="11"/>
  <c r="R15" i="11" s="1"/>
  <c r="Q7" i="11"/>
  <c r="Q15" i="11" s="1"/>
  <c r="P7" i="11"/>
  <c r="T5" i="1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S5" i="11"/>
  <c r="R5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K20" i="18"/>
  <c r="B20" i="18"/>
  <c r="B19" i="18"/>
  <c r="B14" i="18"/>
  <c r="B13" i="18"/>
  <c r="B12" i="18"/>
  <c r="B11" i="18"/>
  <c r="B10" i="18"/>
  <c r="B9" i="18"/>
  <c r="B8" i="18"/>
  <c r="B2" i="18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L36" i="55" s="1"/>
  <c r="G36" i="55"/>
  <c r="E36" i="55"/>
  <c r="D36" i="55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K34" i="55"/>
  <c r="M34" i="55" s="1"/>
  <c r="I34" i="55"/>
  <c r="H34" i="55"/>
  <c r="L34" i="55" s="1"/>
  <c r="G34" i="55"/>
  <c r="E34" i="55"/>
  <c r="D34" i="55"/>
  <c r="C34" i="55"/>
  <c r="I33" i="55"/>
  <c r="H33" i="55"/>
  <c r="G33" i="55"/>
  <c r="E33" i="55"/>
  <c r="D33" i="55"/>
  <c r="L33" i="55" s="1"/>
  <c r="C33" i="55"/>
  <c r="K33" i="55" s="1"/>
  <c r="M33" i="55" s="1"/>
  <c r="L32" i="55"/>
  <c r="K32" i="55"/>
  <c r="M32" i="55" s="1"/>
  <c r="I32" i="55"/>
  <c r="H32" i="55"/>
  <c r="G32" i="55"/>
  <c r="E32" i="55"/>
  <c r="D32" i="55"/>
  <c r="C32" i="55"/>
  <c r="K29" i="55"/>
  <c r="M29" i="55" s="1"/>
  <c r="I29" i="55"/>
  <c r="H29" i="55"/>
  <c r="G29" i="55"/>
  <c r="E29" i="55"/>
  <c r="D29" i="55"/>
  <c r="L29" i="55" s="1"/>
  <c r="C29" i="55"/>
  <c r="I28" i="55"/>
  <c r="H28" i="55"/>
  <c r="L28" i="55" s="1"/>
  <c r="G28" i="55"/>
  <c r="K28" i="55" s="1"/>
  <c r="M28" i="55" s="1"/>
  <c r="E28" i="55"/>
  <c r="D28" i="55"/>
  <c r="C28" i="55"/>
  <c r="L27" i="55"/>
  <c r="I27" i="55"/>
  <c r="H27" i="55"/>
  <c r="G27" i="55"/>
  <c r="E27" i="55"/>
  <c r="D27" i="55"/>
  <c r="C27" i="55"/>
  <c r="K27" i="55" s="1"/>
  <c r="M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K25" i="55" s="1"/>
  <c r="M25" i="55" s="1"/>
  <c r="E25" i="55"/>
  <c r="D25" i="55"/>
  <c r="L25" i="55" s="1"/>
  <c r="C25" i="55"/>
  <c r="I24" i="55"/>
  <c r="H24" i="55"/>
  <c r="G24" i="55"/>
  <c r="K24" i="55" s="1"/>
  <c r="M24" i="55" s="1"/>
  <c r="E24" i="55"/>
  <c r="D24" i="55"/>
  <c r="L24" i="55" s="1"/>
  <c r="C24" i="55"/>
  <c r="K23" i="55"/>
  <c r="M23" i="55" s="1"/>
  <c r="I23" i="55"/>
  <c r="H23" i="55"/>
  <c r="L23" i="55" s="1"/>
  <c r="G23" i="55"/>
  <c r="E23" i="55"/>
  <c r="D23" i="55"/>
  <c r="C23" i="55"/>
  <c r="I22" i="55"/>
  <c r="H22" i="55"/>
  <c r="G22" i="55"/>
  <c r="E22" i="55"/>
  <c r="D22" i="55"/>
  <c r="L22" i="55" s="1"/>
  <c r="C22" i="55"/>
  <c r="K22" i="55" s="1"/>
  <c r="M22" i="55" s="1"/>
  <c r="M21" i="55"/>
  <c r="L21" i="55"/>
  <c r="K21" i="55"/>
  <c r="I21" i="55"/>
  <c r="H21" i="55"/>
  <c r="G21" i="55"/>
  <c r="E21" i="55"/>
  <c r="D21" i="55"/>
  <c r="C21" i="55"/>
  <c r="K18" i="55"/>
  <c r="M18" i="55" s="1"/>
  <c r="I18" i="55"/>
  <c r="H18" i="55"/>
  <c r="G18" i="55"/>
  <c r="E18" i="55"/>
  <c r="D18" i="55"/>
  <c r="L18" i="55" s="1"/>
  <c r="C18" i="55"/>
  <c r="I17" i="55"/>
  <c r="H17" i="55"/>
  <c r="L17" i="55" s="1"/>
  <c r="G17" i="55"/>
  <c r="E17" i="55"/>
  <c r="D17" i="55"/>
  <c r="C17" i="55"/>
  <c r="K17" i="55" s="1"/>
  <c r="M17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M15" i="55" s="1"/>
  <c r="I14" i="55"/>
  <c r="H14" i="55"/>
  <c r="L14" i="55" s="1"/>
  <c r="G14" i="55"/>
  <c r="K14" i="55" s="1"/>
  <c r="M14" i="55" s="1"/>
  <c r="E14" i="55"/>
  <c r="D14" i="55"/>
  <c r="C14" i="55"/>
  <c r="I13" i="55"/>
  <c r="H13" i="55"/>
  <c r="L13" i="55" s="1"/>
  <c r="G13" i="55"/>
  <c r="E13" i="55"/>
  <c r="D13" i="55"/>
  <c r="C13" i="55"/>
  <c r="K13" i="55" s="1"/>
  <c r="M13" i="55" s="1"/>
  <c r="L10" i="55"/>
  <c r="K10" i="55"/>
  <c r="M10" i="55" s="1"/>
  <c r="I10" i="55"/>
  <c r="H10" i="55"/>
  <c r="G10" i="55"/>
  <c r="E10" i="55"/>
  <c r="C45" i="55" s="1"/>
  <c r="D10" i="55"/>
  <c r="C10" i="55"/>
  <c r="C51" i="55" s="1"/>
  <c r="I9" i="55"/>
  <c r="H9" i="55"/>
  <c r="G9" i="55"/>
  <c r="E9" i="55"/>
  <c r="D9" i="55"/>
  <c r="L9" i="55" s="1"/>
  <c r="C9" i="55"/>
  <c r="K9" i="55" s="1"/>
  <c r="M9" i="55" s="1"/>
  <c r="L8" i="55"/>
  <c r="I8" i="55"/>
  <c r="H8" i="55"/>
  <c r="G8" i="55"/>
  <c r="K8" i="55" s="1"/>
  <c r="M8" i="55" s="1"/>
  <c r="E8" i="55"/>
  <c r="D8" i="55"/>
  <c r="C8" i="55"/>
  <c r="I7" i="55"/>
  <c r="H7" i="55"/>
  <c r="G7" i="55"/>
  <c r="E7" i="55"/>
  <c r="D7" i="55"/>
  <c r="L7" i="55" s="1"/>
  <c r="C7" i="55"/>
  <c r="K7" i="55" s="1"/>
  <c r="M7" i="55" s="1"/>
  <c r="B2" i="55"/>
  <c r="B72" i="8"/>
  <c r="J69" i="8"/>
  <c r="I69" i="8"/>
  <c r="G69" i="8"/>
  <c r="F69" i="8"/>
  <c r="D69" i="8"/>
  <c r="C69" i="8"/>
  <c r="K68" i="8"/>
  <c r="N68" i="8" s="1"/>
  <c r="J68" i="8"/>
  <c r="I68" i="8"/>
  <c r="G68" i="8"/>
  <c r="F68" i="8"/>
  <c r="D68" i="8"/>
  <c r="C68" i="8"/>
  <c r="J67" i="8"/>
  <c r="I67" i="8"/>
  <c r="G67" i="8"/>
  <c r="F67" i="8"/>
  <c r="D67" i="8"/>
  <c r="C67" i="8"/>
  <c r="J66" i="8"/>
  <c r="I66" i="8"/>
  <c r="I70" i="8" s="1"/>
  <c r="G66" i="8"/>
  <c r="G70" i="8" s="1"/>
  <c r="F66" i="8"/>
  <c r="F70" i="8" s="1"/>
  <c r="D66" i="8"/>
  <c r="C66" i="8"/>
  <c r="J65" i="8"/>
  <c r="J70" i="8" s="1"/>
  <c r="I65" i="8"/>
  <c r="G65" i="8"/>
  <c r="F65" i="8"/>
  <c r="D65" i="8"/>
  <c r="D70" i="8" s="1"/>
  <c r="C65" i="8"/>
  <c r="C70" i="8" s="1"/>
  <c r="B62" i="8"/>
  <c r="I58" i="8"/>
  <c r="G58" i="8"/>
  <c r="F58" i="8"/>
  <c r="D58" i="8"/>
  <c r="C58" i="8"/>
  <c r="I53" i="8"/>
  <c r="G53" i="8"/>
  <c r="F53" i="8"/>
  <c r="D53" i="8"/>
  <c r="C53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K27" i="8"/>
  <c r="B27" i="8"/>
  <c r="B26" i="8"/>
  <c r="B25" i="8"/>
  <c r="B24" i="8"/>
  <c r="B23" i="8"/>
  <c r="K22" i="8"/>
  <c r="B22" i="8"/>
  <c r="B21" i="8"/>
  <c r="J17" i="8"/>
  <c r="I17" i="8"/>
  <c r="G17" i="8"/>
  <c r="F17" i="8"/>
  <c r="D17" i="8"/>
  <c r="C17" i="8"/>
  <c r="B14" i="8"/>
  <c r="B13" i="8"/>
  <c r="B12" i="8"/>
  <c r="B11" i="8"/>
  <c r="B10" i="8"/>
  <c r="B9" i="8"/>
  <c r="B8" i="8"/>
  <c r="B2" i="8"/>
  <c r="C228" i="63"/>
  <c r="C229" i="63" s="1"/>
  <c r="B228" i="63"/>
  <c r="B227" i="63"/>
  <c r="C220" i="63"/>
  <c r="C221" i="63" s="1"/>
  <c r="B219" i="63"/>
  <c r="C191" i="63"/>
  <c r="G432" i="65" s="1"/>
  <c r="C189" i="63"/>
  <c r="G433" i="65" s="1"/>
  <c r="C186" i="63"/>
  <c r="C187" i="63" s="1"/>
  <c r="C166" i="63"/>
  <c r="D139" i="63"/>
  <c r="C127" i="63"/>
  <c r="C94" i="63"/>
  <c r="C76" i="63"/>
  <c r="D73" i="63"/>
  <c r="C73" i="63"/>
  <c r="C71" i="63"/>
  <c r="C63" i="63"/>
  <c r="C56" i="63"/>
  <c r="C55" i="63"/>
  <c r="C58" i="63" s="1"/>
  <c r="B38" i="63"/>
  <c r="B34" i="63"/>
  <c r="C31" i="63"/>
  <c r="G455" i="65" s="1"/>
  <c r="G465" i="65" s="1"/>
  <c r="C26" i="63"/>
  <c r="C38" i="63" s="1"/>
  <c r="C40" i="63" s="1"/>
  <c r="G456" i="65" s="1"/>
  <c r="C23" i="63"/>
  <c r="C22" i="63"/>
  <c r="C11" i="63"/>
  <c r="C15" i="63" s="1"/>
  <c r="C9" i="63"/>
  <c r="D183" i="63" s="1"/>
  <c r="C8" i="63"/>
  <c r="B2" i="63"/>
  <c r="C200" i="61"/>
  <c r="C201" i="61" s="1"/>
  <c r="B199" i="61"/>
  <c r="C192" i="61"/>
  <c r="C193" i="61" s="1"/>
  <c r="B191" i="61"/>
  <c r="C158" i="61"/>
  <c r="C157" i="61"/>
  <c r="D135" i="61"/>
  <c r="C124" i="61"/>
  <c r="C92" i="61"/>
  <c r="C83" i="61"/>
  <c r="D79" i="61"/>
  <c r="C79" i="61"/>
  <c r="C74" i="61"/>
  <c r="C71" i="61"/>
  <c r="D71" i="61" s="1"/>
  <c r="C69" i="61"/>
  <c r="C63" i="61"/>
  <c r="C62" i="61"/>
  <c r="C57" i="61"/>
  <c r="D158" i="61" s="1"/>
  <c r="C55" i="61"/>
  <c r="C54" i="61"/>
  <c r="B37" i="61"/>
  <c r="B33" i="61"/>
  <c r="C25" i="61"/>
  <c r="C37" i="61" s="1"/>
  <c r="C39" i="61" s="1"/>
  <c r="B2" i="61"/>
  <c r="G462" i="65"/>
  <c r="G461" i="65"/>
  <c r="G459" i="65"/>
  <c r="G444" i="65"/>
  <c r="G436" i="65"/>
  <c r="T9" i="65"/>
  <c r="B2" i="65"/>
  <c r="E123" i="64"/>
  <c r="E115" i="64"/>
  <c r="D84" i="64"/>
  <c r="L52" i="64"/>
  <c r="D50" i="64"/>
  <c r="D34" i="64"/>
  <c r="D32" i="64"/>
  <c r="D69" i="64" s="1"/>
  <c r="E31" i="64"/>
  <c r="E15" i="64"/>
  <c r="C30" i="61"/>
  <c r="C22" i="61"/>
  <c r="D9" i="64"/>
  <c r="C176" i="61" s="1"/>
  <c r="D8" i="64"/>
  <c r="C8" i="61" s="1"/>
  <c r="D136" i="61" s="1"/>
  <c r="E7" i="64"/>
  <c r="D7" i="64"/>
  <c r="C7" i="61" s="1"/>
  <c r="B2" i="64"/>
  <c r="C67" i="60"/>
  <c r="C66" i="60"/>
  <c r="C65" i="60"/>
  <c r="C64" i="60"/>
  <c r="C63" i="60"/>
  <c r="C62" i="60"/>
  <c r="C61" i="60"/>
  <c r="C60" i="60"/>
  <c r="E49" i="60"/>
  <c r="D49" i="60"/>
  <c r="E47" i="60"/>
  <c r="D47" i="60"/>
  <c r="B45" i="60"/>
  <c r="B44" i="60"/>
  <c r="B43" i="60"/>
  <c r="E42" i="60"/>
  <c r="D42" i="60"/>
  <c r="B40" i="60"/>
  <c r="B39" i="60"/>
  <c r="B38" i="60"/>
  <c r="E37" i="60"/>
  <c r="D37" i="60"/>
  <c r="E32" i="60"/>
  <c r="D32" i="60"/>
  <c r="E28" i="60"/>
  <c r="E48" i="60" s="1"/>
  <c r="E50" i="60" s="1"/>
  <c r="D28" i="60"/>
  <c r="E27" i="60"/>
  <c r="D27" i="60"/>
  <c r="E26" i="60"/>
  <c r="D26" i="60"/>
  <c r="C17" i="60"/>
  <c r="E52" i="60" s="1"/>
  <c r="C14" i="60"/>
  <c r="C21" i="60" s="1"/>
  <c r="C13" i="60"/>
  <c r="C12" i="60"/>
  <c r="C15" i="60" s="1"/>
  <c r="C69" i="60" s="1"/>
  <c r="C10" i="60"/>
  <c r="C16" i="60" s="1"/>
  <c r="B2" i="60"/>
  <c r="B26" i="1"/>
  <c r="B221" i="63" l="1"/>
  <c r="C222" i="63"/>
  <c r="G6" i="17"/>
  <c r="AI5" i="11"/>
  <c r="C230" i="63"/>
  <c r="B229" i="63"/>
  <c r="B193" i="61"/>
  <c r="C194" i="61"/>
  <c r="AD24" i="11"/>
  <c r="AE24" i="11"/>
  <c r="G435" i="65"/>
  <c r="C36" i="64"/>
  <c r="C68" i="63"/>
  <c r="D91" i="63"/>
  <c r="C110" i="64" s="1"/>
  <c r="C83" i="64" s="1"/>
  <c r="C105" i="63"/>
  <c r="C61" i="63"/>
  <c r="P24" i="11"/>
  <c r="AF24" i="11"/>
  <c r="AG24" i="11"/>
  <c r="Q24" i="11"/>
  <c r="T24" i="11"/>
  <c r="B201" i="61"/>
  <c r="C202" i="61"/>
  <c r="U24" i="11"/>
  <c r="B192" i="61"/>
  <c r="C90" i="63"/>
  <c r="V15" i="11"/>
  <c r="V24" i="11" s="1"/>
  <c r="V68" i="11" s="1"/>
  <c r="J8" i="9"/>
  <c r="AL15" i="11"/>
  <c r="L40" i="9"/>
  <c r="I43" i="9"/>
  <c r="H23" i="9"/>
  <c r="R108" i="16"/>
  <c r="W15" i="11"/>
  <c r="J104" i="16" s="1"/>
  <c r="K8" i="9"/>
  <c r="AM15" i="11"/>
  <c r="Z104" i="16" s="1"/>
  <c r="M40" i="9"/>
  <c r="O42" i="9"/>
  <c r="J43" i="9"/>
  <c r="P45" i="9"/>
  <c r="S40" i="11"/>
  <c r="H8" i="17"/>
  <c r="AI40" i="11"/>
  <c r="R33" i="17"/>
  <c r="K13" i="17"/>
  <c r="AL103" i="11"/>
  <c r="H37" i="17"/>
  <c r="C108" i="16"/>
  <c r="S108" i="16"/>
  <c r="L100" i="16"/>
  <c r="L38" i="9"/>
  <c r="G11" i="9"/>
  <c r="AI99" i="11"/>
  <c r="G41" i="9"/>
  <c r="P42" i="9"/>
  <c r="K43" i="9"/>
  <c r="Q45" i="9"/>
  <c r="AJ15" i="11"/>
  <c r="J18" i="9"/>
  <c r="J23" i="9" s="1"/>
  <c r="AL22" i="11"/>
  <c r="AL24" i="11" s="1"/>
  <c r="E20" i="9"/>
  <c r="T40" i="11"/>
  <c r="I8" i="17"/>
  <c r="AJ40" i="11"/>
  <c r="Q40" i="11"/>
  <c r="AG40" i="11"/>
  <c r="P8" i="35"/>
  <c r="S8" i="35" s="1"/>
  <c r="T8" i="35" s="1"/>
  <c r="C132" i="11"/>
  <c r="K33" i="11" s="1"/>
  <c r="S10" i="17"/>
  <c r="P11" i="17"/>
  <c r="AQ100" i="11"/>
  <c r="I37" i="17"/>
  <c r="H58" i="17"/>
  <c r="O18" i="65"/>
  <c r="O90" i="65"/>
  <c r="O91" i="65"/>
  <c r="O92" i="65"/>
  <c r="O93" i="65"/>
  <c r="O94" i="65"/>
  <c r="O95" i="65"/>
  <c r="O96" i="65"/>
  <c r="O10" i="65"/>
  <c r="O11" i="65"/>
  <c r="O12" i="65"/>
  <c r="O13" i="65"/>
  <c r="O14" i="65"/>
  <c r="O15" i="65"/>
  <c r="O16" i="65"/>
  <c r="C194" i="63"/>
  <c r="C81" i="63" s="1"/>
  <c r="M38" i="9"/>
  <c r="O40" i="9"/>
  <c r="H11" i="9"/>
  <c r="AJ99" i="11"/>
  <c r="Q42" i="9"/>
  <c r="L43" i="9"/>
  <c r="AK15" i="11"/>
  <c r="K18" i="9"/>
  <c r="AM22" i="11"/>
  <c r="U40" i="11"/>
  <c r="J8" i="17"/>
  <c r="AK40" i="11"/>
  <c r="G9" i="17"/>
  <c r="AH40" i="11"/>
  <c r="Q11" i="17"/>
  <c r="AR100" i="11"/>
  <c r="N35" i="17"/>
  <c r="C103" i="63"/>
  <c r="N8" i="9"/>
  <c r="AP15" i="11"/>
  <c r="G9" i="9"/>
  <c r="G39" i="9"/>
  <c r="P40" i="9"/>
  <c r="I11" i="9"/>
  <c r="AK99" i="11"/>
  <c r="R12" i="9"/>
  <c r="C116" i="11"/>
  <c r="K11" i="11" s="1"/>
  <c r="M43" i="9"/>
  <c r="AN15" i="11"/>
  <c r="AA104" i="16" s="1"/>
  <c r="AL28" i="11"/>
  <c r="K8" i="17"/>
  <c r="AL40" i="11"/>
  <c r="R11" i="17"/>
  <c r="AS100" i="11"/>
  <c r="O35" i="17"/>
  <c r="C94" i="61"/>
  <c r="AA15" i="11"/>
  <c r="AA24" i="11" s="1"/>
  <c r="AA68" i="11" s="1"/>
  <c r="O8" i="9"/>
  <c r="AQ15" i="11"/>
  <c r="H39" i="9"/>
  <c r="Q40" i="9"/>
  <c r="J11" i="9"/>
  <c r="AL99" i="11"/>
  <c r="AO15" i="11"/>
  <c r="AB100" i="16" s="1"/>
  <c r="P15" i="35"/>
  <c r="S11" i="17"/>
  <c r="AT100" i="11"/>
  <c r="C136" i="11"/>
  <c r="K34" i="11" s="1"/>
  <c r="K38" i="17"/>
  <c r="O104" i="16"/>
  <c r="D80" i="61"/>
  <c r="C120" i="61" s="1"/>
  <c r="D110" i="64" s="1"/>
  <c r="D83" i="64" s="1"/>
  <c r="P8" i="9"/>
  <c r="AR15" i="11"/>
  <c r="AE104" i="16" s="1"/>
  <c r="I39" i="9"/>
  <c r="R40" i="9"/>
  <c r="AM99" i="11"/>
  <c r="C114" i="11"/>
  <c r="K10" i="11" s="1"/>
  <c r="K11" i="9"/>
  <c r="I44" i="9"/>
  <c r="Z24" i="11"/>
  <c r="J32" i="17"/>
  <c r="P13" i="17"/>
  <c r="AQ103" i="11"/>
  <c r="Q8" i="9"/>
  <c r="AS15" i="11"/>
  <c r="J39" i="9"/>
  <c r="AN99" i="11"/>
  <c r="L11" i="9"/>
  <c r="L16" i="9" s="1"/>
  <c r="P43" i="9"/>
  <c r="N8" i="17"/>
  <c r="AO40" i="11"/>
  <c r="K32" i="17"/>
  <c r="H33" i="17"/>
  <c r="R35" i="17"/>
  <c r="Q13" i="17"/>
  <c r="AR103" i="11"/>
  <c r="N37" i="17"/>
  <c r="D90" i="63"/>
  <c r="C34" i="64"/>
  <c r="R8" i="9"/>
  <c r="C111" i="11"/>
  <c r="K39" i="9"/>
  <c r="M11" i="9"/>
  <c r="M16" i="9" s="1"/>
  <c r="AO99" i="11"/>
  <c r="Q43" i="9"/>
  <c r="K44" i="9"/>
  <c r="P18" i="9"/>
  <c r="P23" i="9" s="1"/>
  <c r="AR22" i="11"/>
  <c r="AR24" i="11" s="1"/>
  <c r="AJ24" i="11"/>
  <c r="O8" i="17"/>
  <c r="AP40" i="11"/>
  <c r="L32" i="17"/>
  <c r="I33" i="17"/>
  <c r="AT88" i="11"/>
  <c r="S12" i="17"/>
  <c r="O37" i="17"/>
  <c r="N38" i="17"/>
  <c r="C100" i="16"/>
  <c r="S100" i="16"/>
  <c r="D48" i="60"/>
  <c r="D50" i="60" s="1"/>
  <c r="C66" i="61"/>
  <c r="C15" i="56"/>
  <c r="C24" i="56" s="1"/>
  <c r="L39" i="9"/>
  <c r="L44" i="9"/>
  <c r="AC22" i="11"/>
  <c r="AC24" i="11" s="1"/>
  <c r="Q18" i="9"/>
  <c r="Q23" i="9" s="1"/>
  <c r="AS22" i="11"/>
  <c r="AS24" i="11" s="1"/>
  <c r="AK22" i="11"/>
  <c r="AK24" i="11" s="1"/>
  <c r="J33" i="17"/>
  <c r="AH100" i="11"/>
  <c r="AH104" i="11" s="1"/>
  <c r="G11" i="17"/>
  <c r="C169" i="61"/>
  <c r="C20" i="60"/>
  <c r="C22" i="60" s="1"/>
  <c r="M68" i="8"/>
  <c r="D156" i="63"/>
  <c r="D45" i="55"/>
  <c r="D15" i="56"/>
  <c r="D24" i="56" s="1"/>
  <c r="M39" i="9"/>
  <c r="O41" i="9"/>
  <c r="M44" i="9"/>
  <c r="R23" i="9"/>
  <c r="K20" i="9"/>
  <c r="AM28" i="11"/>
  <c r="E22" i="9"/>
  <c r="AN22" i="11"/>
  <c r="AN24" i="11" s="1"/>
  <c r="K33" i="17"/>
  <c r="P38" i="17"/>
  <c r="C60" i="61"/>
  <c r="D136" i="63"/>
  <c r="C26" i="60"/>
  <c r="C28" i="60" s="1"/>
  <c r="U9" i="65"/>
  <c r="CI355" i="65"/>
  <c r="BW275" i="65"/>
  <c r="BK195" i="65"/>
  <c r="CC35" i="65"/>
  <c r="BE115" i="65"/>
  <c r="DA115" i="65"/>
  <c r="BE355" i="65"/>
  <c r="DA355" i="65"/>
  <c r="CO275" i="65"/>
  <c r="CC195" i="65"/>
  <c r="CU35" i="65"/>
  <c r="BW115" i="65"/>
  <c r="BW355" i="65"/>
  <c r="BK275" i="65"/>
  <c r="CU195" i="65"/>
  <c r="BQ35" i="65"/>
  <c r="CO115" i="65"/>
  <c r="CO355" i="65"/>
  <c r="CC275" i="65"/>
  <c r="BQ195" i="65"/>
  <c r="CI35" i="65"/>
  <c r="BK115" i="65"/>
  <c r="BK355" i="65"/>
  <c r="CU275" i="65"/>
  <c r="CI195" i="65"/>
  <c r="BE35" i="65"/>
  <c r="DA35" i="65"/>
  <c r="CC115" i="65"/>
  <c r="CC355" i="65"/>
  <c r="BQ275" i="65"/>
  <c r="BE195" i="65"/>
  <c r="DA195" i="65"/>
  <c r="BW35" i="65"/>
  <c r="CU115" i="65"/>
  <c r="BE275" i="65"/>
  <c r="DA275" i="65"/>
  <c r="BW195" i="65"/>
  <c r="BQ115" i="65"/>
  <c r="BQ355" i="65"/>
  <c r="CO195" i="65"/>
  <c r="CI275" i="65"/>
  <c r="CO35" i="65"/>
  <c r="CI115" i="65"/>
  <c r="CU355" i="65"/>
  <c r="BK35" i="65"/>
  <c r="B200" i="61"/>
  <c r="B220" i="63"/>
  <c r="E15" i="56"/>
  <c r="E24" i="56" s="1"/>
  <c r="G10" i="9"/>
  <c r="G40" i="9"/>
  <c r="AR99" i="11"/>
  <c r="AR104" i="11" s="1"/>
  <c r="P11" i="9"/>
  <c r="I42" i="9"/>
  <c r="J45" i="9"/>
  <c r="AN28" i="11"/>
  <c r="L20" i="9"/>
  <c r="L23" i="9" s="1"/>
  <c r="AO22" i="11"/>
  <c r="AO24" i="11" s="1"/>
  <c r="AC40" i="11"/>
  <c r="R8" i="17"/>
  <c r="AS40" i="11"/>
  <c r="O39" i="17"/>
  <c r="E104" i="16"/>
  <c r="U104" i="16"/>
  <c r="C64" i="63"/>
  <c r="N18" i="65"/>
  <c r="B350" i="65"/>
  <c r="B337" i="65"/>
  <c r="Z328" i="65"/>
  <c r="B325" i="65"/>
  <c r="G438" i="65"/>
  <c r="B285" i="65"/>
  <c r="B270" i="65"/>
  <c r="B257" i="65"/>
  <c r="Z248" i="65"/>
  <c r="B245" i="65"/>
  <c r="B205" i="65"/>
  <c r="B418" i="65"/>
  <c r="B365" i="65"/>
  <c r="B190" i="65"/>
  <c r="B177" i="65"/>
  <c r="Z168" i="65"/>
  <c r="B165" i="65"/>
  <c r="B76" i="63"/>
  <c r="F15" i="56"/>
  <c r="F24" i="56" s="1"/>
  <c r="O39" i="9"/>
  <c r="H40" i="9"/>
  <c r="AS99" i="11"/>
  <c r="Q11" i="9"/>
  <c r="J42" i="9"/>
  <c r="O44" i="9"/>
  <c r="K45" i="9"/>
  <c r="AO28" i="11"/>
  <c r="M20" i="9"/>
  <c r="M23" i="9" s="1"/>
  <c r="AT22" i="11"/>
  <c r="AT24" i="11" s="1"/>
  <c r="AD40" i="11"/>
  <c r="P28" i="35"/>
  <c r="S8" i="17"/>
  <c r="AT40" i="11"/>
  <c r="AA40" i="11"/>
  <c r="P9" i="17"/>
  <c r="AQ40" i="11"/>
  <c r="AK100" i="11"/>
  <c r="J11" i="17"/>
  <c r="P19" i="35"/>
  <c r="S14" i="17"/>
  <c r="R58" i="17"/>
  <c r="G100" i="16"/>
  <c r="W100" i="16"/>
  <c r="C119" i="61"/>
  <c r="D109" i="64" s="1"/>
  <c r="D82" i="64" s="1"/>
  <c r="AJ330" i="65"/>
  <c r="G457" i="65"/>
  <c r="C167" i="63"/>
  <c r="G15" i="56"/>
  <c r="G24" i="56" s="1"/>
  <c r="S15" i="11"/>
  <c r="F104" i="16" s="1"/>
  <c r="G8" i="9"/>
  <c r="G38" i="9"/>
  <c r="AI15" i="11"/>
  <c r="G46" i="9" s="1"/>
  <c r="P39" i="9"/>
  <c r="I40" i="9"/>
  <c r="AT99" i="11"/>
  <c r="R11" i="9"/>
  <c r="K42" i="9"/>
  <c r="P44" i="9"/>
  <c r="L45" i="9"/>
  <c r="AB40" i="11"/>
  <c r="AB68" i="11" s="1"/>
  <c r="Q9" i="17"/>
  <c r="AR40" i="11"/>
  <c r="N33" i="17"/>
  <c r="AL100" i="11"/>
  <c r="K11" i="17"/>
  <c r="H35" i="17"/>
  <c r="AH103" i="11"/>
  <c r="G13" i="17"/>
  <c r="H100" i="16"/>
  <c r="X100" i="16"/>
  <c r="D36" i="64"/>
  <c r="D52" i="64" s="1"/>
  <c r="D52" i="60"/>
  <c r="B283" i="65"/>
  <c r="B203" i="65"/>
  <c r="B363" i="65"/>
  <c r="H302" i="65"/>
  <c r="G302" i="65" s="1"/>
  <c r="F302" i="65" s="1"/>
  <c r="E302" i="65" s="1"/>
  <c r="D302" i="65" s="1"/>
  <c r="H289" i="65"/>
  <c r="G289" i="65" s="1"/>
  <c r="H275" i="65"/>
  <c r="H395" i="65"/>
  <c r="H262" i="65"/>
  <c r="G262" i="65" s="1"/>
  <c r="F262" i="65" s="1"/>
  <c r="E262" i="65" s="1"/>
  <c r="D262" i="65" s="1"/>
  <c r="H249" i="65"/>
  <c r="H382" i="65"/>
  <c r="G382" i="65" s="1"/>
  <c r="F382" i="65" s="1"/>
  <c r="E382" i="65" s="1"/>
  <c r="D382" i="65" s="1"/>
  <c r="H369" i="65"/>
  <c r="H355" i="65"/>
  <c r="G355" i="65" s="1"/>
  <c r="F355" i="65" s="1"/>
  <c r="E355" i="65" s="1"/>
  <c r="D355" i="65" s="1"/>
  <c r="H342" i="65"/>
  <c r="G342" i="65" s="1"/>
  <c r="F342" i="65" s="1"/>
  <c r="E342" i="65" s="1"/>
  <c r="D342" i="65" s="1"/>
  <c r="H329" i="65"/>
  <c r="H315" i="65"/>
  <c r="I315" i="65" s="1"/>
  <c r="J315" i="65" s="1"/>
  <c r="K315" i="65" s="1"/>
  <c r="L315" i="65" s="1"/>
  <c r="D167" i="63"/>
  <c r="E8" i="64"/>
  <c r="G445" i="65"/>
  <c r="C142" i="61"/>
  <c r="H15" i="56"/>
  <c r="H24" i="56" s="1"/>
  <c r="H16" i="9"/>
  <c r="H28" i="9" s="1"/>
  <c r="H38" i="9"/>
  <c r="Q39" i="9"/>
  <c r="J40" i="9"/>
  <c r="L42" i="9"/>
  <c r="G43" i="9"/>
  <c r="G13" i="9"/>
  <c r="Q44" i="9"/>
  <c r="M45" i="9"/>
  <c r="R24" i="11"/>
  <c r="AH24" i="11"/>
  <c r="R32" i="17"/>
  <c r="O33" i="17"/>
  <c r="I35" i="17"/>
  <c r="D78" i="63"/>
  <c r="I16" i="9"/>
  <c r="I29" i="9" s="1"/>
  <c r="I38" i="9"/>
  <c r="I28" i="9"/>
  <c r="R9" i="9"/>
  <c r="C113" i="11"/>
  <c r="K8" i="11" s="1"/>
  <c r="K40" i="9"/>
  <c r="P104" i="11"/>
  <c r="M42" i="9"/>
  <c r="H43" i="9"/>
  <c r="C117" i="11"/>
  <c r="K13" i="11" s="1"/>
  <c r="R14" i="9"/>
  <c r="AI24" i="11"/>
  <c r="E9" i="17"/>
  <c r="P7" i="35"/>
  <c r="P9" i="35" s="1"/>
  <c r="S9" i="17"/>
  <c r="P33" i="17"/>
  <c r="J35" i="17"/>
  <c r="S16" i="17"/>
  <c r="C137" i="11"/>
  <c r="K39" i="11" s="1"/>
  <c r="AJ28" i="11"/>
  <c r="Q17" i="17"/>
  <c r="Q31" i="17"/>
  <c r="I32" i="17"/>
  <c r="Q33" i="17"/>
  <c r="I34" i="17"/>
  <c r="Q35" i="17"/>
  <c r="AJ103" i="11"/>
  <c r="I13" i="17"/>
  <c r="I38" i="17"/>
  <c r="O107" i="16"/>
  <c r="O108" i="16" s="1"/>
  <c r="Q43" i="17"/>
  <c r="AE107" i="16"/>
  <c r="AE108" i="16" s="1"/>
  <c r="I57" i="17"/>
  <c r="Q58" i="17"/>
  <c r="I59" i="17"/>
  <c r="AB46" i="11"/>
  <c r="AR46" i="11"/>
  <c r="T66" i="11"/>
  <c r="AJ66" i="11"/>
  <c r="I72" i="17" s="1"/>
  <c r="I71" i="17" s="1"/>
  <c r="X88" i="11"/>
  <c r="AN100" i="11"/>
  <c r="C135" i="11"/>
  <c r="K38" i="11" s="1"/>
  <c r="E100" i="16"/>
  <c r="U100" i="16"/>
  <c r="R104" i="16"/>
  <c r="R37" i="17"/>
  <c r="J38" i="17"/>
  <c r="R39" i="17"/>
  <c r="P108" i="16"/>
  <c r="R43" i="17"/>
  <c r="AF107" i="16"/>
  <c r="AF108" i="16" s="1"/>
  <c r="J57" i="17"/>
  <c r="J59" i="17"/>
  <c r="AC46" i="11"/>
  <c r="AS46" i="11"/>
  <c r="U66" i="11"/>
  <c r="AK66" i="11"/>
  <c r="J72" i="17" s="1"/>
  <c r="J71" i="17" s="1"/>
  <c r="Y88" i="11"/>
  <c r="P100" i="11"/>
  <c r="AO100" i="11"/>
  <c r="F100" i="16"/>
  <c r="V100" i="16"/>
  <c r="C104" i="16"/>
  <c r="S104" i="16"/>
  <c r="Q108" i="16"/>
  <c r="AG107" i="16"/>
  <c r="AG108" i="16" s="1"/>
  <c r="C141" i="11"/>
  <c r="K57" i="17"/>
  <c r="S58" i="17"/>
  <c r="K59" i="17"/>
  <c r="AD46" i="11"/>
  <c r="AT46" i="11"/>
  <c r="V66" i="11"/>
  <c r="AL66" i="11"/>
  <c r="K72" i="17" s="1"/>
  <c r="K71" i="17" s="1"/>
  <c r="D104" i="16"/>
  <c r="T104" i="16"/>
  <c r="G20" i="9"/>
  <c r="G45" i="9"/>
  <c r="N40" i="9"/>
  <c r="N44" i="9"/>
  <c r="AP22" i="11"/>
  <c r="AP24" i="11" s="1"/>
  <c r="L11" i="17"/>
  <c r="AM100" i="11"/>
  <c r="L36" i="17"/>
  <c r="L38" i="17"/>
  <c r="AM40" i="11"/>
  <c r="L57" i="17"/>
  <c r="L59" i="17"/>
  <c r="AE46" i="11"/>
  <c r="W66" i="11"/>
  <c r="AM66" i="11"/>
  <c r="L72" i="17" s="1"/>
  <c r="L71" i="17" s="1"/>
  <c r="AD88" i="11"/>
  <c r="AQ22" i="11"/>
  <c r="AQ24" i="11" s="1"/>
  <c r="M32" i="17"/>
  <c r="M36" i="17"/>
  <c r="M38" i="17"/>
  <c r="AN40" i="11"/>
  <c r="P46" i="11"/>
  <c r="AF46" i="11"/>
  <c r="X66" i="11"/>
  <c r="AN66" i="11"/>
  <c r="M72" i="17" s="1"/>
  <c r="M71" i="17" s="1"/>
  <c r="AE88" i="11"/>
  <c r="I100" i="16"/>
  <c r="Y100" i="16"/>
  <c r="H107" i="16"/>
  <c r="H108" i="16" s="1"/>
  <c r="Q37" i="17"/>
  <c r="H45" i="9"/>
  <c r="H35" i="9"/>
  <c r="N32" i="17"/>
  <c r="N34" i="17"/>
  <c r="N36" i="17"/>
  <c r="D107" i="16"/>
  <c r="D108" i="16" s="1"/>
  <c r="T107" i="16"/>
  <c r="T108" i="16" s="1"/>
  <c r="N57" i="17"/>
  <c r="N59" i="17"/>
  <c r="Q46" i="11"/>
  <c r="AG46" i="11"/>
  <c r="Y66" i="11"/>
  <c r="AO66" i="11"/>
  <c r="N72" i="17" s="1"/>
  <c r="N71" i="17" s="1"/>
  <c r="AF88" i="11"/>
  <c r="J100" i="16"/>
  <c r="Z100" i="16"/>
  <c r="G104" i="16"/>
  <c r="W104" i="16"/>
  <c r="M107" i="16"/>
  <c r="M108" i="16" s="1"/>
  <c r="C172" i="11"/>
  <c r="D8" i="19"/>
  <c r="F8" i="19" s="1"/>
  <c r="I45" i="9"/>
  <c r="I23" i="9"/>
  <c r="I25" i="9" s="1"/>
  <c r="J86" i="17" s="1"/>
  <c r="J27" i="17" s="1"/>
  <c r="G17" i="17"/>
  <c r="O32" i="17"/>
  <c r="AP100" i="11"/>
  <c r="O11" i="17"/>
  <c r="O36" i="17"/>
  <c r="O38" i="17"/>
  <c r="E107" i="16"/>
  <c r="E108" i="16" s="1"/>
  <c r="G43" i="17"/>
  <c r="U107" i="16"/>
  <c r="U108" i="16" s="1"/>
  <c r="O57" i="17"/>
  <c r="O59" i="17"/>
  <c r="R46" i="11"/>
  <c r="AH46" i="11"/>
  <c r="O63" i="17"/>
  <c r="Z66" i="11"/>
  <c r="AP66" i="11"/>
  <c r="O72" i="17" s="1"/>
  <c r="O71" i="17" s="1"/>
  <c r="AK103" i="11"/>
  <c r="K100" i="16"/>
  <c r="AA100" i="16"/>
  <c r="H104" i="16"/>
  <c r="X104" i="16"/>
  <c r="N107" i="16"/>
  <c r="N108" i="16" s="1"/>
  <c r="E9" i="19"/>
  <c r="H39" i="17"/>
  <c r="F108" i="16"/>
  <c r="H43" i="17"/>
  <c r="V107" i="16"/>
  <c r="V108" i="16" s="1"/>
  <c r="P57" i="17"/>
  <c r="P59" i="17"/>
  <c r="S46" i="11"/>
  <c r="AI46" i="11"/>
  <c r="P63" i="17"/>
  <c r="AA66" i="11"/>
  <c r="AQ66" i="11"/>
  <c r="P72" i="17" s="1"/>
  <c r="P71" i="17" s="1"/>
  <c r="AH88" i="11"/>
  <c r="AR88" i="11"/>
  <c r="AB88" i="11"/>
  <c r="AQ88" i="11"/>
  <c r="AA88" i="11"/>
  <c r="AP88" i="11"/>
  <c r="Z88" i="11"/>
  <c r="AM88" i="11"/>
  <c r="W88" i="11"/>
  <c r="AL88" i="11"/>
  <c r="V88" i="11"/>
  <c r="AK88" i="11"/>
  <c r="U88" i="11"/>
  <c r="I104" i="16"/>
  <c r="Y104" i="16"/>
  <c r="B2" i="44"/>
  <c r="B2" i="45"/>
  <c r="Q38" i="17"/>
  <c r="I39" i="17"/>
  <c r="G108" i="16"/>
  <c r="I43" i="17"/>
  <c r="W107" i="16"/>
  <c r="W108" i="16" s="1"/>
  <c r="Q57" i="17"/>
  <c r="I58" i="17"/>
  <c r="Q59" i="17"/>
  <c r="T46" i="11"/>
  <c r="AJ46" i="11"/>
  <c r="Q63" i="17"/>
  <c r="AB66" i="11"/>
  <c r="AR66" i="11"/>
  <c r="Q72" i="17" s="1"/>
  <c r="AI88" i="11"/>
  <c r="AM103" i="11"/>
  <c r="M100" i="16"/>
  <c r="AC100" i="16"/>
  <c r="X107" i="16"/>
  <c r="X108" i="16" s="1"/>
  <c r="G18" i="9"/>
  <c r="G23" i="9" s="1"/>
  <c r="N42" i="9"/>
  <c r="R13" i="17"/>
  <c r="AS103" i="11"/>
  <c r="J37" i="17"/>
  <c r="R38" i="17"/>
  <c r="J39" i="17"/>
  <c r="R57" i="17"/>
  <c r="J58" i="17"/>
  <c r="J52" i="17"/>
  <c r="R59" i="17"/>
  <c r="AK46" i="11"/>
  <c r="J78" i="17"/>
  <c r="AC66" i="11"/>
  <c r="AS66" i="11"/>
  <c r="R72" i="17" s="1"/>
  <c r="R71" i="17" s="1"/>
  <c r="AJ88" i="11"/>
  <c r="AN103" i="11"/>
  <c r="C123" i="11"/>
  <c r="K17" i="11" s="1"/>
  <c r="C143" i="11"/>
  <c r="K44" i="11" s="1"/>
  <c r="N100" i="16"/>
  <c r="AD100" i="16"/>
  <c r="AC107" i="16"/>
  <c r="AC108" i="16" s="1"/>
  <c r="D10" i="19"/>
  <c r="F10" i="19" s="1"/>
  <c r="K35" i="17"/>
  <c r="C133" i="11"/>
  <c r="K36" i="11" s="1"/>
  <c r="S13" i="17"/>
  <c r="AT103" i="11"/>
  <c r="K37" i="17"/>
  <c r="S38" i="17"/>
  <c r="K39" i="17"/>
  <c r="I107" i="16"/>
  <c r="I108" i="16" s="1"/>
  <c r="K43" i="17"/>
  <c r="Y107" i="16"/>
  <c r="Y108" i="16" s="1"/>
  <c r="C142" i="11"/>
  <c r="K43" i="11" s="1"/>
  <c r="S44" i="17"/>
  <c r="K58" i="17"/>
  <c r="S46" i="17"/>
  <c r="C144" i="11"/>
  <c r="K45" i="11" s="1"/>
  <c r="V46" i="11"/>
  <c r="AL46" i="11"/>
  <c r="AD66" i="11"/>
  <c r="AT66" i="11"/>
  <c r="S72" i="17" s="1"/>
  <c r="S71" i="17" s="1"/>
  <c r="AN88" i="11"/>
  <c r="AO103" i="11"/>
  <c r="N103" i="11"/>
  <c r="M103" i="11"/>
  <c r="O100" i="16"/>
  <c r="AE100" i="16"/>
  <c r="L104" i="16"/>
  <c r="AB104" i="16"/>
  <c r="AD107" i="16"/>
  <c r="AD108" i="16" s="1"/>
  <c r="K25" i="18"/>
  <c r="N39" i="9"/>
  <c r="N41" i="9"/>
  <c r="N43" i="9"/>
  <c r="N45" i="9"/>
  <c r="L33" i="17"/>
  <c r="L35" i="17"/>
  <c r="L37" i="17"/>
  <c r="L39" i="17"/>
  <c r="J107" i="16"/>
  <c r="J108" i="16" s="1"/>
  <c r="L43" i="17"/>
  <c r="Z107" i="16"/>
  <c r="Z108" i="16" s="1"/>
  <c r="L58" i="17"/>
  <c r="W46" i="11"/>
  <c r="AM46" i="11"/>
  <c r="AE66" i="11"/>
  <c r="P88" i="11"/>
  <c r="AO88" i="11"/>
  <c r="AP103" i="11"/>
  <c r="P100" i="16"/>
  <c r="AF100" i="16"/>
  <c r="M104" i="16"/>
  <c r="AC104" i="16"/>
  <c r="S43" i="17"/>
  <c r="G42" i="9"/>
  <c r="G12" i="9"/>
  <c r="H42" i="9" s="1"/>
  <c r="G44" i="9"/>
  <c r="G14" i="9"/>
  <c r="O23" i="9"/>
  <c r="M31" i="17"/>
  <c r="M33" i="17"/>
  <c r="M35" i="17"/>
  <c r="M37" i="17"/>
  <c r="M39" i="17"/>
  <c r="K107" i="16"/>
  <c r="K108" i="16" s="1"/>
  <c r="M43" i="17"/>
  <c r="AA107" i="16"/>
  <c r="AA108" i="16" s="1"/>
  <c r="M58" i="17"/>
  <c r="X46" i="11"/>
  <c r="X68" i="11" s="1"/>
  <c r="AN46" i="11"/>
  <c r="P66" i="11"/>
  <c r="AF66" i="11"/>
  <c r="Q88" i="11"/>
  <c r="AS88" i="11"/>
  <c r="AP99" i="11"/>
  <c r="Q100" i="16"/>
  <c r="AG100" i="16"/>
  <c r="N104" i="16"/>
  <c r="AD104" i="16"/>
  <c r="K25" i="19"/>
  <c r="C15" i="19"/>
  <c r="O43" i="9"/>
  <c r="M17" i="17"/>
  <c r="N39" i="17"/>
  <c r="L108" i="16"/>
  <c r="N43" i="17"/>
  <c r="AB107" i="16"/>
  <c r="AB108" i="16" s="1"/>
  <c r="N58" i="17"/>
  <c r="Y46" i="11"/>
  <c r="Y68" i="11" s="1"/>
  <c r="AO46" i="11"/>
  <c r="Q66" i="11"/>
  <c r="AG66" i="11"/>
  <c r="AQ99" i="11"/>
  <c r="AQ104" i="11" s="1"/>
  <c r="L31" i="17"/>
  <c r="O47" i="17"/>
  <c r="O58" i="17"/>
  <c r="AP46" i="11"/>
  <c r="AH66" i="11"/>
  <c r="G72" i="17" s="1"/>
  <c r="G71" i="17" s="1"/>
  <c r="AI100" i="11"/>
  <c r="P104" i="16"/>
  <c r="AF104" i="16"/>
  <c r="C115" i="11"/>
  <c r="K12" i="11" s="1"/>
  <c r="R13" i="9"/>
  <c r="C118" i="11"/>
  <c r="K14" i="11" s="1"/>
  <c r="R15" i="9"/>
  <c r="P31" i="17"/>
  <c r="P17" i="17"/>
  <c r="H32" i="17"/>
  <c r="H34" i="17"/>
  <c r="AI103" i="11"/>
  <c r="H13" i="17"/>
  <c r="P37" i="17"/>
  <c r="H38" i="17"/>
  <c r="P39" i="17"/>
  <c r="P56" i="17"/>
  <c r="P47" i="17"/>
  <c r="P60" i="17" s="1"/>
  <c r="H57" i="17"/>
  <c r="H59" i="17"/>
  <c r="AQ46" i="11"/>
  <c r="AI66" i="11"/>
  <c r="H72" i="17" s="1"/>
  <c r="H71" i="17" s="1"/>
  <c r="T88" i="11"/>
  <c r="AJ100" i="11"/>
  <c r="D100" i="16"/>
  <c r="T100" i="16"/>
  <c r="Q104" i="16"/>
  <c r="AG104" i="16"/>
  <c r="J44" i="9"/>
  <c r="B25" i="17"/>
  <c r="B36" i="17"/>
  <c r="K26" i="19"/>
  <c r="C26" i="19" s="1"/>
  <c r="C27" i="19"/>
  <c r="D17" i="19" s="1"/>
  <c r="B38" i="17"/>
  <c r="AG57" i="10"/>
  <c r="AH56" i="10" s="1"/>
  <c r="B57" i="17"/>
  <c r="D26" i="31"/>
  <c r="E148" i="33"/>
  <c r="E149" i="33" s="1"/>
  <c r="D8" i="33"/>
  <c r="H26" i="31"/>
  <c r="B35" i="17"/>
  <c r="B24" i="17"/>
  <c r="B56" i="17"/>
  <c r="B50" i="17"/>
  <c r="B58" i="17"/>
  <c r="B52" i="17"/>
  <c r="D24" i="31"/>
  <c r="B2" i="32"/>
  <c r="B2" i="36"/>
  <c r="B2" i="30"/>
  <c r="D30" i="31"/>
  <c r="R10" i="33"/>
  <c r="L1" i="33"/>
  <c r="L8" i="33"/>
  <c r="H27" i="31"/>
  <c r="B2" i="48"/>
  <c r="B2" i="49" s="1"/>
  <c r="B2" i="37"/>
  <c r="J9" i="33"/>
  <c r="C31" i="31"/>
  <c r="D28" i="31" s="1"/>
  <c r="K9" i="33"/>
  <c r="M5" i="33"/>
  <c r="R11" i="33"/>
  <c r="J12" i="33"/>
  <c r="E31" i="31"/>
  <c r="K12" i="33"/>
  <c r="H13" i="38"/>
  <c r="F13" i="38"/>
  <c r="S5" i="33"/>
  <c r="J10" i="33"/>
  <c r="F13" i="33"/>
  <c r="Q9" i="33"/>
  <c r="K10" i="33"/>
  <c r="Q12" i="33"/>
  <c r="R9" i="33"/>
  <c r="R12" i="33"/>
  <c r="F29" i="31"/>
  <c r="J11" i="33"/>
  <c r="Q10" i="33"/>
  <c r="K11" i="33"/>
  <c r="C18" i="51"/>
  <c r="D18" i="51" s="1"/>
  <c r="M18" i="51" a="1"/>
  <c r="M18" i="51" s="1"/>
  <c r="J12" i="38"/>
  <c r="J9" i="38"/>
  <c r="J11" i="38"/>
  <c r="J10" i="38"/>
  <c r="F8" i="51" a="1"/>
  <c r="F8" i="51" s="1"/>
  <c r="G8" i="51" s="1"/>
  <c r="E8" i="51" a="1"/>
  <c r="E8" i="51" s="1"/>
  <c r="B8" i="51" a="1"/>
  <c r="B8" i="51" s="1"/>
  <c r="B17" i="51" a="1"/>
  <c r="B17" i="51" s="1"/>
  <c r="E17" i="51" a="1"/>
  <c r="E17" i="51" s="1"/>
  <c r="F17" i="51" a="1"/>
  <c r="F17" i="51" s="1"/>
  <c r="G17" i="51" s="1"/>
  <c r="K9" i="38"/>
  <c r="L5" i="38"/>
  <c r="Q12" i="38"/>
  <c r="D27" i="51"/>
  <c r="D28" i="51" s="1"/>
  <c r="E9" i="51" a="1"/>
  <c r="E9" i="51" s="1"/>
  <c r="B9" i="51" a="1"/>
  <c r="B9" i="51" s="1"/>
  <c r="Q11" i="38"/>
  <c r="R1" i="38"/>
  <c r="S5" i="38"/>
  <c r="K8" i="38"/>
  <c r="F7" i="51" a="1"/>
  <c r="F7" i="51" s="1"/>
  <c r="G7" i="51" s="1"/>
  <c r="B7" i="51" a="1"/>
  <c r="B7" i="51" s="1"/>
  <c r="H10" i="51"/>
  <c r="J10" i="51"/>
  <c r="K10" i="38"/>
  <c r="K11" i="38"/>
  <c r="B16" i="51" a="1"/>
  <c r="B16" i="51" s="1"/>
  <c r="F16" i="51" a="1"/>
  <c r="F16" i="51" s="1"/>
  <c r="G16" i="51" s="1"/>
  <c r="E16" i="51" a="1"/>
  <c r="E16" i="51" s="1"/>
  <c r="R8" i="38"/>
  <c r="Q9" i="38"/>
  <c r="B11" i="51" a="1"/>
  <c r="B11" i="51" s="1"/>
  <c r="E11" i="51" a="1"/>
  <c r="E11" i="51" s="1"/>
  <c r="M23" i="51" a="1"/>
  <c r="M23" i="51" s="1"/>
  <c r="M15" i="51" a="1"/>
  <c r="M15" i="51" s="1"/>
  <c r="C15" i="51"/>
  <c r="D15" i="51" s="1"/>
  <c r="M21" i="51" a="1"/>
  <c r="M21" i="51" s="1"/>
  <c r="M13" i="51" a="1"/>
  <c r="M13" i="51" s="1"/>
  <c r="C25" i="51"/>
  <c r="D25" i="51" s="1"/>
  <c r="M25" i="51" a="1"/>
  <c r="M25" i="51" s="1"/>
  <c r="S9" i="35"/>
  <c r="M26" i="51" a="1"/>
  <c r="M26" i="51" s="1"/>
  <c r="D156" i="38"/>
  <c r="E155" i="38" s="1"/>
  <c r="E156" i="38" s="1"/>
  <c r="Q16" i="35"/>
  <c r="M12" i="51" a="1"/>
  <c r="M12" i="51" s="1"/>
  <c r="C12" i="51"/>
  <c r="D12" i="51" s="1"/>
  <c r="M22" i="51" a="1"/>
  <c r="M22" i="51" s="1"/>
  <c r="C22" i="51"/>
  <c r="D22" i="51" s="1"/>
  <c r="M14" i="51" a="1"/>
  <c r="M14" i="51" s="1"/>
  <c r="K34" i="35"/>
  <c r="T25" i="35"/>
  <c r="S7" i="35"/>
  <c r="T7" i="35" s="1"/>
  <c r="D20" i="35"/>
  <c r="C26" i="51"/>
  <c r="D26" i="51" s="1"/>
  <c r="D26" i="35"/>
  <c r="T26" i="35" s="1"/>
  <c r="K28" i="35"/>
  <c r="C23" i="51"/>
  <c r="D23" i="51" s="1"/>
  <c r="G29" i="51"/>
  <c r="G9" i="51"/>
  <c r="M24" i="51" a="1"/>
  <c r="M24" i="51" s="1"/>
  <c r="M20" i="51" a="1"/>
  <c r="M20" i="51" s="1"/>
  <c r="D7" i="35"/>
  <c r="C184" i="11" s="1"/>
  <c r="C10" i="56" s="1"/>
  <c r="D19" i="35"/>
  <c r="S28" i="35"/>
  <c r="K9" i="35"/>
  <c r="M19" i="51" a="1"/>
  <c r="M19" i="51" s="1"/>
  <c r="S19" i="35"/>
  <c r="K119" i="48"/>
  <c r="J120" i="48"/>
  <c r="C28" i="35"/>
  <c r="C30" i="35" s="1"/>
  <c r="C39" i="35" s="1"/>
  <c r="K15" i="35"/>
  <c r="K126" i="46"/>
  <c r="K5" i="52"/>
  <c r="K83" i="46"/>
  <c r="K98" i="46"/>
  <c r="K53" i="46"/>
  <c r="K1" i="46"/>
  <c r="K8" i="46" s="1"/>
  <c r="L5" i="46"/>
  <c r="K38" i="46"/>
  <c r="O8" i="46"/>
  <c r="K120" i="48"/>
  <c r="P68" i="46"/>
  <c r="Q5" i="52"/>
  <c r="Q83" i="46"/>
  <c r="Q53" i="46"/>
  <c r="Q38" i="46"/>
  <c r="Q98" i="46"/>
  <c r="Q68" i="46"/>
  <c r="R5" i="52"/>
  <c r="R1" i="46"/>
  <c r="Q1" i="46"/>
  <c r="S5" i="46"/>
  <c r="P23" i="46"/>
  <c r="Q23" i="46"/>
  <c r="P23" i="59"/>
  <c r="P98" i="59"/>
  <c r="K68" i="46"/>
  <c r="H9" i="46"/>
  <c r="F10" i="46"/>
  <c r="I5" i="52"/>
  <c r="I1" i="46"/>
  <c r="H8" i="46"/>
  <c r="Q126" i="46"/>
  <c r="J5" i="52"/>
  <c r="J1" i="46"/>
  <c r="J9" i="46"/>
  <c r="P126" i="46"/>
  <c r="P5" i="52"/>
  <c r="P113" i="46"/>
  <c r="K126" i="59"/>
  <c r="K68" i="59"/>
  <c r="K1" i="59"/>
  <c r="L5" i="59"/>
  <c r="P98" i="46"/>
  <c r="P38" i="46"/>
  <c r="P53" i="46"/>
  <c r="P83" i="46"/>
  <c r="P38" i="59"/>
  <c r="I1" i="59"/>
  <c r="P113" i="59"/>
  <c r="P68" i="59"/>
  <c r="P83" i="59"/>
  <c r="P9" i="59"/>
  <c r="P53" i="59"/>
  <c r="Q5" i="59"/>
  <c r="P126" i="59"/>
  <c r="C140" i="59"/>
  <c r="E8" i="30"/>
  <c r="E21" i="30"/>
  <c r="F11" i="49"/>
  <c r="F25" i="49"/>
  <c r="E17" i="30"/>
  <c r="E28" i="30"/>
  <c r="E11" i="30"/>
  <c r="F6" i="49"/>
  <c r="E16" i="30"/>
  <c r="E44" i="30"/>
  <c r="J9" i="59"/>
  <c r="F24" i="49"/>
  <c r="F17" i="49"/>
  <c r="E12" i="30"/>
  <c r="F19" i="49"/>
  <c r="F18" i="49"/>
  <c r="E49" i="30"/>
  <c r="E53" i="30"/>
  <c r="E77" i="30"/>
  <c r="E107" i="30"/>
  <c r="E122" i="30"/>
  <c r="E180" i="30"/>
  <c r="E193" i="30"/>
  <c r="E240" i="30"/>
  <c r="E249" i="30"/>
  <c r="E251" i="30"/>
  <c r="AO29" i="2"/>
  <c r="E28" i="2"/>
  <c r="E120" i="30"/>
  <c r="E135" i="30"/>
  <c r="E204" i="30"/>
  <c r="E223" i="30"/>
  <c r="E238" i="30"/>
  <c r="E305" i="30"/>
  <c r="AG48" i="2"/>
  <c r="E43" i="30"/>
  <c r="E45" i="30"/>
  <c r="E148" i="30"/>
  <c r="E163" i="30"/>
  <c r="E176" i="30"/>
  <c r="E245" i="30"/>
  <c r="E262" i="30"/>
  <c r="E275" i="30"/>
  <c r="E288" i="30"/>
  <c r="AF48" i="2"/>
  <c r="AJ48" i="2"/>
  <c r="H16" i="2"/>
  <c r="E13" i="30"/>
  <c r="E73" i="30"/>
  <c r="E103" i="30"/>
  <c r="E159" i="30"/>
  <c r="E200" i="30"/>
  <c r="E202" i="30"/>
  <c r="E236" i="30"/>
  <c r="E260" i="30"/>
  <c r="AR48" i="2"/>
  <c r="E29" i="30"/>
  <c r="E33" i="30"/>
  <c r="E37" i="30"/>
  <c r="E41" i="30"/>
  <c r="E60" i="30"/>
  <c r="E86" i="30"/>
  <c r="E131" i="30"/>
  <c r="E144" i="30"/>
  <c r="E172" i="30"/>
  <c r="E217" i="30"/>
  <c r="E243" i="30"/>
  <c r="E286" i="30"/>
  <c r="E301" i="30"/>
  <c r="E312" i="30"/>
  <c r="F10" i="49"/>
  <c r="F27" i="49"/>
  <c r="F9" i="49"/>
  <c r="F7" i="49"/>
  <c r="E25" i="30"/>
  <c r="E69" i="30"/>
  <c r="E82" i="30"/>
  <c r="E99" i="30"/>
  <c r="E155" i="30"/>
  <c r="E170" i="30"/>
  <c r="E232" i="30"/>
  <c r="E258" i="30"/>
  <c r="E284" i="30"/>
  <c r="E297" i="30"/>
  <c r="F23" i="49"/>
  <c r="E95" i="30"/>
  <c r="E183" i="30"/>
  <c r="E213" i="30"/>
  <c r="E228" i="30"/>
  <c r="E241" i="30"/>
  <c r="E269" i="30"/>
  <c r="E280" i="30"/>
  <c r="E282" i="30"/>
  <c r="E308" i="30"/>
  <c r="P29" i="2"/>
  <c r="P48" i="2" s="1"/>
  <c r="P102" i="2" s="1"/>
  <c r="P114" i="2" s="1"/>
  <c r="F14" i="49"/>
  <c r="F16" i="49"/>
  <c r="E78" i="30"/>
  <c r="E93" i="30"/>
  <c r="E125" i="30"/>
  <c r="E138" i="30"/>
  <c r="E168" i="30"/>
  <c r="E209" i="30"/>
  <c r="E211" i="30"/>
  <c r="E254" i="30"/>
  <c r="E265" i="30"/>
  <c r="F12" i="49"/>
  <c r="F28" i="49"/>
  <c r="F20" i="49"/>
  <c r="E48" i="30"/>
  <c r="E108" i="30"/>
  <c r="E151" i="30"/>
  <c r="E192" i="30"/>
  <c r="E250" i="30"/>
  <c r="E291" i="30"/>
  <c r="E39" i="2"/>
  <c r="E52" i="30"/>
  <c r="E164" i="30"/>
  <c r="E179" i="30"/>
  <c r="E220" i="30"/>
  <c r="E222" i="30"/>
  <c r="E304" i="30"/>
  <c r="AM29" i="2"/>
  <c r="F29" i="49"/>
  <c r="E175" i="30"/>
  <c r="E263" i="30"/>
  <c r="E289" i="30"/>
  <c r="T29" i="2"/>
  <c r="T48" i="2" s="1"/>
  <c r="T102" i="2" s="1"/>
  <c r="AN101" i="2"/>
  <c r="F13" i="49"/>
  <c r="F8" i="49"/>
  <c r="F15" i="49"/>
  <c r="E10" i="30"/>
  <c r="E87" i="30"/>
  <c r="E132" i="30"/>
  <c r="E147" i="30"/>
  <c r="E160" i="30"/>
  <c r="E188" i="30"/>
  <c r="E201" i="30"/>
  <c r="E235" i="30"/>
  <c r="E259" i="30"/>
  <c r="E302" i="30"/>
  <c r="E313" i="30"/>
  <c r="K10" i="2"/>
  <c r="F21" i="49"/>
  <c r="E61" i="30"/>
  <c r="E102" i="30"/>
  <c r="E143" i="30"/>
  <c r="E186" i="30"/>
  <c r="E218" i="30"/>
  <c r="E272" i="30"/>
  <c r="E300" i="30"/>
  <c r="V29" i="2"/>
  <c r="F26" i="49"/>
  <c r="E20" i="30"/>
  <c r="E36" i="30"/>
  <c r="E59" i="30"/>
  <c r="E70" i="30"/>
  <c r="E83" i="30"/>
  <c r="E98" i="30"/>
  <c r="E113" i="30"/>
  <c r="E156" i="30"/>
  <c r="E197" i="30"/>
  <c r="E231" i="30"/>
  <c r="E242" i="30"/>
  <c r="E257" i="30"/>
  <c r="E285" i="30"/>
  <c r="E298" i="30"/>
  <c r="H10" i="2"/>
  <c r="AQ48" i="2"/>
  <c r="AQ102" i="2" s="1"/>
  <c r="AQ114" i="2" s="1"/>
  <c r="I10" i="2"/>
  <c r="AL29" i="2"/>
  <c r="W29" i="2"/>
  <c r="W48" i="2" s="1"/>
  <c r="K16" i="2"/>
  <c r="F31" i="49"/>
  <c r="E68" i="30"/>
  <c r="E94" i="30"/>
  <c r="E154" i="30"/>
  <c r="E184" i="30"/>
  <c r="E195" i="30"/>
  <c r="E214" i="30"/>
  <c r="E227" i="30"/>
  <c r="E229" i="30"/>
  <c r="E255" i="30"/>
  <c r="E268" i="30"/>
  <c r="E281" i="30"/>
  <c r="E296" i="30"/>
  <c r="I16" i="2"/>
  <c r="S29" i="2"/>
  <c r="F22" i="49"/>
  <c r="E79" i="30"/>
  <c r="E111" i="30"/>
  <c r="E126" i="30"/>
  <c r="E167" i="30"/>
  <c r="E210" i="30"/>
  <c r="E253" i="30"/>
  <c r="E266" i="30"/>
  <c r="E279" i="30"/>
  <c r="E292" i="30"/>
  <c r="E307" i="30"/>
  <c r="AC29" i="2"/>
  <c r="AC48" i="2" s="1"/>
  <c r="AC102" i="2" s="1"/>
  <c r="AC114" i="2" s="1"/>
  <c r="AE10" i="2"/>
  <c r="H12" i="2"/>
  <c r="E18" i="2"/>
  <c r="AA28" i="2"/>
  <c r="AA29" i="2" s="1"/>
  <c r="Q47" i="2"/>
  <c r="Q48" i="2" s="1"/>
  <c r="Q102" i="2" s="1"/>
  <c r="Q114" i="2" s="1"/>
  <c r="AG47" i="2"/>
  <c r="K32" i="2"/>
  <c r="E36" i="2"/>
  <c r="AN39" i="2"/>
  <c r="Z47" i="2"/>
  <c r="AE79" i="2"/>
  <c r="I12" i="2"/>
  <c r="O16" i="2"/>
  <c r="O29" i="2" s="1"/>
  <c r="O48" i="2" s="1"/>
  <c r="O102" i="2" s="1"/>
  <c r="AE28" i="2"/>
  <c r="K24" i="2"/>
  <c r="H24" i="2"/>
  <c r="AB28" i="2"/>
  <c r="AB29" i="2" s="1"/>
  <c r="V39" i="2"/>
  <c r="K39" i="2" s="1"/>
  <c r="AL39" i="2"/>
  <c r="I39" i="2" s="1"/>
  <c r="E44" i="2"/>
  <c r="AA47" i="2"/>
  <c r="H85" i="2"/>
  <c r="AP85" i="2"/>
  <c r="AP100" i="2" s="1"/>
  <c r="I82" i="2"/>
  <c r="H112" i="2"/>
  <c r="K26" i="2"/>
  <c r="S47" i="2"/>
  <c r="AI47" i="2"/>
  <c r="AI48" i="2" s="1"/>
  <c r="AI102" i="2" s="1"/>
  <c r="AI114" i="2" s="1"/>
  <c r="I9" i="2"/>
  <c r="AC16" i="2"/>
  <c r="R20" i="2"/>
  <c r="T47" i="2"/>
  <c r="AJ47" i="2"/>
  <c r="H43" i="2"/>
  <c r="AG101" i="2"/>
  <c r="K56" i="2"/>
  <c r="H56" i="2"/>
  <c r="AB62" i="2"/>
  <c r="H62" i="2" s="1"/>
  <c r="N16" i="2"/>
  <c r="AD16" i="2"/>
  <c r="AD29" i="2" s="1"/>
  <c r="AD48" i="2" s="1"/>
  <c r="AD102" i="2" s="1"/>
  <c r="AD114" i="2" s="1"/>
  <c r="AL20" i="2"/>
  <c r="I20" i="2" s="1"/>
  <c r="I19" i="2"/>
  <c r="R28" i="2"/>
  <c r="R29" i="2" s="1"/>
  <c r="R48" i="2" s="1"/>
  <c r="R102" i="2" s="1"/>
  <c r="R114" i="2" s="1"/>
  <c r="AH28" i="2"/>
  <c r="AH29" i="2" s="1"/>
  <c r="AH48" i="2" s="1"/>
  <c r="U47" i="2"/>
  <c r="AK47" i="2"/>
  <c r="Y39" i="2"/>
  <c r="AO39" i="2"/>
  <c r="AO47" i="2" s="1"/>
  <c r="H45" i="2"/>
  <c r="R79" i="2"/>
  <c r="R101" i="2" s="1"/>
  <c r="AH79" i="2"/>
  <c r="H82" i="2"/>
  <c r="V47" i="2"/>
  <c r="E62" i="2"/>
  <c r="I13" i="2"/>
  <c r="AM47" i="2"/>
  <c r="E56" i="2"/>
  <c r="O62" i="2"/>
  <c r="O79" i="2" s="1"/>
  <c r="O101" i="2" s="1"/>
  <c r="K63" i="2"/>
  <c r="E63" i="2"/>
  <c r="V69" i="2"/>
  <c r="K69" i="2" s="1"/>
  <c r="AL69" i="2"/>
  <c r="I69" i="2" s="1"/>
  <c r="AE100" i="2"/>
  <c r="AL100" i="2"/>
  <c r="I100" i="2" s="1"/>
  <c r="K18" i="2"/>
  <c r="U20" i="2"/>
  <c r="K20" i="2" s="1"/>
  <c r="AK20" i="2"/>
  <c r="AK29" i="2" s="1"/>
  <c r="AK48" i="2" s="1"/>
  <c r="AK102" i="2" s="1"/>
  <c r="AK114" i="2" s="1"/>
  <c r="K23" i="2"/>
  <c r="AL28" i="2"/>
  <c r="I28" i="2" s="1"/>
  <c r="U29" i="2"/>
  <c r="X47" i="2"/>
  <c r="X48" i="2" s="1"/>
  <c r="X102" i="2" s="1"/>
  <c r="X114" i="2" s="1"/>
  <c r="AN47" i="2"/>
  <c r="K34" i="2"/>
  <c r="H34" i="2"/>
  <c r="K36" i="2"/>
  <c r="K40" i="2"/>
  <c r="H40" i="2"/>
  <c r="K42" i="2"/>
  <c r="I112" i="2"/>
  <c r="D152" i="2" s="1"/>
  <c r="F152" i="2" s="1"/>
  <c r="Y47" i="2"/>
  <c r="V79" i="2"/>
  <c r="AN10" i="2"/>
  <c r="AN29" i="2" s="1"/>
  <c r="AN48" i="2" s="1"/>
  <c r="AB39" i="2"/>
  <c r="AB47" i="2" s="1"/>
  <c r="I44" i="2"/>
  <c r="W79" i="2"/>
  <c r="W101" i="2" s="1"/>
  <c r="AM79" i="2"/>
  <c r="AM101" i="2" s="1"/>
  <c r="R100" i="2"/>
  <c r="AH100" i="2"/>
  <c r="Y29" i="2"/>
  <c r="H19" i="2"/>
  <c r="I27" i="2"/>
  <c r="U28" i="2"/>
  <c r="I31" i="2"/>
  <c r="O39" i="2"/>
  <c r="O47" i="2" s="1"/>
  <c r="AE39" i="2"/>
  <c r="I37" i="2"/>
  <c r="K51" i="2"/>
  <c r="AJ62" i="2"/>
  <c r="AJ79" i="2" s="1"/>
  <c r="AJ101" i="2" s="1"/>
  <c r="H69" i="2"/>
  <c r="AC113" i="2"/>
  <c r="T113" i="2"/>
  <c r="Z29" i="2"/>
  <c r="AP29" i="2"/>
  <c r="AP48" i="2" s="1"/>
  <c r="K31" i="2"/>
  <c r="AR47" i="2"/>
  <c r="K46" i="2"/>
  <c r="H46" i="2"/>
  <c r="AO79" i="2"/>
  <c r="AO101" i="2" s="1"/>
  <c r="E59" i="2"/>
  <c r="E61" i="2"/>
  <c r="AA69" i="2"/>
  <c r="H66" i="2"/>
  <c r="K66" i="2"/>
  <c r="AF98" i="2"/>
  <c r="AF100" i="2" s="1"/>
  <c r="AF101" i="2" s="1"/>
  <c r="N113" i="2"/>
  <c r="E106" i="2"/>
  <c r="D127" i="2" s="1"/>
  <c r="F127" i="2" s="1"/>
  <c r="AD113" i="2"/>
  <c r="U113" i="2"/>
  <c r="H20" i="2"/>
  <c r="E23" i="2"/>
  <c r="Q39" i="2"/>
  <c r="AG39" i="2"/>
  <c r="Z79" i="2"/>
  <c r="AP79" i="2"/>
  <c r="AP101" i="2" s="1"/>
  <c r="AA79" i="2"/>
  <c r="AA101" i="2" s="1"/>
  <c r="AL62" i="2"/>
  <c r="AL79" i="2" s="1"/>
  <c r="H64" i="2"/>
  <c r="AG98" i="2"/>
  <c r="AG100" i="2" s="1"/>
  <c r="H92" i="2"/>
  <c r="AE113" i="2"/>
  <c r="H18" i="2"/>
  <c r="I24" i="2"/>
  <c r="E31" i="2"/>
  <c r="N47" i="2"/>
  <c r="AD47" i="2"/>
  <c r="E41" i="2"/>
  <c r="H42" i="2"/>
  <c r="AM62" i="2"/>
  <c r="I56" i="2"/>
  <c r="I66" i="2"/>
  <c r="E67" i="2"/>
  <c r="E77" i="2"/>
  <c r="X79" i="2"/>
  <c r="X101" i="2" s="1"/>
  <c r="AE98" i="2"/>
  <c r="P113" i="2"/>
  <c r="AF113" i="2"/>
  <c r="H23" i="2"/>
  <c r="K27" i="2"/>
  <c r="AE47" i="2"/>
  <c r="H51" i="2"/>
  <c r="AR79" i="2"/>
  <c r="AR101" i="2" s="1"/>
  <c r="W62" i="2"/>
  <c r="K57" i="2"/>
  <c r="E60" i="2"/>
  <c r="E76" i="2"/>
  <c r="AM100" i="2"/>
  <c r="Q113" i="2"/>
  <c r="AG113" i="2"/>
  <c r="Y113" i="2"/>
  <c r="N20" i="2"/>
  <c r="P47" i="2"/>
  <c r="AF47" i="2"/>
  <c r="E51" i="2"/>
  <c r="AC79" i="2"/>
  <c r="AC101" i="2" s="1"/>
  <c r="AO62" i="2"/>
  <c r="H73" i="2"/>
  <c r="I87" i="2"/>
  <c r="R113" i="2"/>
  <c r="AH113" i="2"/>
  <c r="AJ113" i="2"/>
  <c r="L116" i="2"/>
  <c r="K111" i="2"/>
  <c r="K93" i="2"/>
  <c r="AL113" i="2"/>
  <c r="I113" i="2" s="1"/>
  <c r="D153" i="2" s="1"/>
  <c r="F153" i="2" s="1"/>
  <c r="K62" i="2"/>
  <c r="N69" i="2"/>
  <c r="K82" i="2"/>
  <c r="Z98" i="2"/>
  <c r="Z100" i="2" s="1"/>
  <c r="AC112" i="2"/>
  <c r="AB79" i="2"/>
  <c r="AB101" i="2" s="1"/>
  <c r="K98" i="2"/>
  <c r="K112" i="2"/>
  <c r="H55" i="2"/>
  <c r="K70" i="2"/>
  <c r="K76" i="2"/>
  <c r="AN85" i="2"/>
  <c r="AN100" i="2" s="1"/>
  <c r="K88" i="2"/>
  <c r="I55" i="2"/>
  <c r="K67" i="2"/>
  <c r="Z106" i="2"/>
  <c r="AK112" i="2"/>
  <c r="AK113" i="2" s="1"/>
  <c r="K83" i="2"/>
  <c r="K95" i="2"/>
  <c r="O112" i="2"/>
  <c r="E112" i="2" s="1"/>
  <c r="D128" i="2" s="1"/>
  <c r="F128" i="2" s="1"/>
  <c r="K92" i="2"/>
  <c r="K106" i="2"/>
  <c r="K80" i="2"/>
  <c r="K85" i="2"/>
  <c r="K96" i="2"/>
  <c r="K99" i="2"/>
  <c r="E104" i="2"/>
  <c r="K58" i="2"/>
  <c r="K71" i="2"/>
  <c r="K77" i="2"/>
  <c r="K89" i="2"/>
  <c r="K44" i="2"/>
  <c r="I51" i="2"/>
  <c r="K68" i="2"/>
  <c r="N85" i="2"/>
  <c r="K97" i="2"/>
  <c r="K109" i="2"/>
  <c r="K64" i="2"/>
  <c r="K72" i="2"/>
  <c r="K87" i="2"/>
  <c r="I110" i="2"/>
  <c r="K104" i="2"/>
  <c r="K108" i="2"/>
  <c r="K110" i="2"/>
  <c r="F116" i="2"/>
  <c r="K53" i="2"/>
  <c r="K73" i="2"/>
  <c r="K86" i="2"/>
  <c r="I91" i="2"/>
  <c r="K94" i="2"/>
  <c r="E111" i="2"/>
  <c r="K37" i="2"/>
  <c r="K41" i="2"/>
  <c r="K78" i="2"/>
  <c r="K91" i="2"/>
  <c r="K105" i="2"/>
  <c r="C9" i="61"/>
  <c r="C10" i="61" s="1"/>
  <c r="I355" i="65"/>
  <c r="J355" i="65" s="1"/>
  <c r="K355" i="65" s="1"/>
  <c r="L355" i="65" s="1"/>
  <c r="I302" i="65"/>
  <c r="J302" i="65" s="1"/>
  <c r="K302" i="65" s="1"/>
  <c r="L302" i="65" s="1"/>
  <c r="F289" i="65"/>
  <c r="E289" i="65" s="1"/>
  <c r="D289" i="65" s="1"/>
  <c r="AC289" i="65"/>
  <c r="G315" i="65"/>
  <c r="F315" i="65" s="1"/>
  <c r="E315" i="65" s="1"/>
  <c r="D315" i="65" s="1"/>
  <c r="I289" i="65"/>
  <c r="J289" i="65" s="1"/>
  <c r="K289" i="65" s="1"/>
  <c r="I382" i="65"/>
  <c r="J382" i="65" s="1"/>
  <c r="K382" i="65" s="1"/>
  <c r="L382" i="65" s="1"/>
  <c r="I342" i="65"/>
  <c r="J342" i="65" s="1"/>
  <c r="K342" i="65" s="1"/>
  <c r="L342" i="65" s="1"/>
  <c r="I262" i="65"/>
  <c r="J262" i="65" s="1"/>
  <c r="K262" i="65" s="1"/>
  <c r="L262" i="65" s="1"/>
  <c r="AJ336" i="65"/>
  <c r="AJ335" i="65"/>
  <c r="AJ334" i="65"/>
  <c r="AJ333" i="65"/>
  <c r="AJ332" i="65"/>
  <c r="AJ331" i="65"/>
  <c r="AD369" i="65"/>
  <c r="AD249" i="65"/>
  <c r="P8" i="59"/>
  <c r="C12" i="63"/>
  <c r="C13" i="63" s="1"/>
  <c r="D138" i="63" s="1"/>
  <c r="C32" i="64"/>
  <c r="C107" i="63"/>
  <c r="C78" i="63"/>
  <c r="C169" i="63"/>
  <c r="D34" i="60"/>
  <c r="D39" i="60" s="1"/>
  <c r="D44" i="60" s="1"/>
  <c r="E35" i="60"/>
  <c r="C68" i="60"/>
  <c r="E34" i="60"/>
  <c r="E39" i="60" s="1"/>
  <c r="E44" i="60" s="1"/>
  <c r="E33" i="60"/>
  <c r="E38" i="60" s="1"/>
  <c r="E43" i="60" s="1"/>
  <c r="D33" i="60"/>
  <c r="D35" i="60"/>
  <c r="D40" i="60" s="1"/>
  <c r="D45" i="60" s="1"/>
  <c r="E83" i="64"/>
  <c r="D51" i="60"/>
  <c r="D53" i="60" s="1"/>
  <c r="D54" i="60" s="1"/>
  <c r="C179" i="61"/>
  <c r="C75" i="61" s="1"/>
  <c r="D38" i="60"/>
  <c r="D43" i="60" s="1"/>
  <c r="E9" i="64"/>
  <c r="C18" i="60"/>
  <c r="E40" i="60"/>
  <c r="E45" i="60" s="1"/>
  <c r="E51" i="60"/>
  <c r="E53" i="60" s="1"/>
  <c r="E54" i="60" s="1"/>
  <c r="C21" i="61"/>
  <c r="E13" i="64"/>
  <c r="E14" i="64"/>
  <c r="E34" i="64"/>
  <c r="C52" i="64"/>
  <c r="E52" i="64" s="1"/>
  <c r="E110" i="64"/>
  <c r="D171" i="61"/>
  <c r="C116" i="61"/>
  <c r="D202" i="61"/>
  <c r="D194" i="61"/>
  <c r="D150" i="61"/>
  <c r="D201" i="61"/>
  <c r="D192" i="61"/>
  <c r="D200" i="61"/>
  <c r="D69" i="61"/>
  <c r="B139" i="61"/>
  <c r="C40" i="61"/>
  <c r="C26" i="61"/>
  <c r="D193" i="61"/>
  <c r="C16" i="61"/>
  <c r="B18" i="61"/>
  <c r="D221" i="63"/>
  <c r="C41" i="63"/>
  <c r="D222" i="63"/>
  <c r="D71" i="63"/>
  <c r="C27" i="63"/>
  <c r="D230" i="63"/>
  <c r="C17" i="63"/>
  <c r="C18" i="63" s="1"/>
  <c r="D81" i="63" s="1"/>
  <c r="D220" i="63"/>
  <c r="D228" i="63"/>
  <c r="B145" i="63"/>
  <c r="D229" i="63"/>
  <c r="B19" i="63"/>
  <c r="G434" i="65"/>
  <c r="D141" i="63"/>
  <c r="H8" i="59"/>
  <c r="J8" i="59"/>
  <c r="K8" i="59"/>
  <c r="O9" i="59"/>
  <c r="O8" i="59"/>
  <c r="C55" i="47"/>
  <c r="C63" i="47" s="1"/>
  <c r="F30" i="49"/>
  <c r="F32" i="49"/>
  <c r="H9" i="59"/>
  <c r="C51" i="47"/>
  <c r="C59" i="47" s="1"/>
  <c r="C52" i="47"/>
  <c r="C60" i="47" s="1"/>
  <c r="C53" i="47"/>
  <c r="C61" i="47" s="1"/>
  <c r="C54" i="47"/>
  <c r="C62" i="47" s="1"/>
  <c r="AL101" i="2" l="1"/>
  <c r="I101" i="2" s="1"/>
  <c r="D149" i="2" s="1"/>
  <c r="F149" i="2" s="1"/>
  <c r="I79" i="2"/>
  <c r="AM48" i="2"/>
  <c r="AM102" i="2" s="1"/>
  <c r="AM114" i="2" s="1"/>
  <c r="K43" i="38"/>
  <c r="K44" i="38"/>
  <c r="K41" i="33"/>
  <c r="K73" i="38"/>
  <c r="K54" i="33"/>
  <c r="K87" i="33"/>
  <c r="K101" i="33"/>
  <c r="K100" i="33"/>
  <c r="K57" i="33"/>
  <c r="K60" i="38"/>
  <c r="K58" i="38"/>
  <c r="K76" i="38"/>
  <c r="K86" i="33"/>
  <c r="K39" i="33"/>
  <c r="K55" i="33"/>
  <c r="K71" i="33"/>
  <c r="K56" i="33"/>
  <c r="K107" i="38"/>
  <c r="K42" i="38"/>
  <c r="K26" i="38" s="1"/>
  <c r="D88" i="39" s="1"/>
  <c r="K69" i="33"/>
  <c r="K70" i="33"/>
  <c r="K108" i="38"/>
  <c r="K105" i="38"/>
  <c r="K74" i="38"/>
  <c r="K42" i="33"/>
  <c r="K40" i="33"/>
  <c r="K91" i="38"/>
  <c r="K102" i="33"/>
  <c r="K92" i="38"/>
  <c r="K59" i="38"/>
  <c r="K57" i="38"/>
  <c r="K85" i="33"/>
  <c r="K72" i="33"/>
  <c r="K41" i="38"/>
  <c r="K84" i="33"/>
  <c r="K99" i="33"/>
  <c r="K89" i="38"/>
  <c r="K90" i="38"/>
  <c r="K106" i="38"/>
  <c r="K75" i="38"/>
  <c r="E47" i="2"/>
  <c r="D123" i="2" s="1"/>
  <c r="F123" i="2" s="1"/>
  <c r="H29" i="2"/>
  <c r="Z48" i="2"/>
  <c r="AG102" i="2"/>
  <c r="AG114" i="2" s="1"/>
  <c r="E85" i="2"/>
  <c r="N100" i="2"/>
  <c r="E100" i="2" s="1"/>
  <c r="C14" i="61"/>
  <c r="C11" i="61"/>
  <c r="AH101" i="2"/>
  <c r="AH102" i="2" s="1"/>
  <c r="AH114" i="2" s="1"/>
  <c r="AA48" i="2"/>
  <c r="AA102" i="2" s="1"/>
  <c r="AA114" i="2" s="1"/>
  <c r="S48" i="2"/>
  <c r="S102" i="2" s="1"/>
  <c r="S114" i="2" s="1"/>
  <c r="I8" i="59"/>
  <c r="I9" i="59"/>
  <c r="H100" i="2"/>
  <c r="K100" i="2"/>
  <c r="E69" i="2"/>
  <c r="N79" i="2"/>
  <c r="E20" i="2"/>
  <c r="N29" i="2"/>
  <c r="AB48" i="2"/>
  <c r="AB102" i="2" s="1"/>
  <c r="AB114" i="2" s="1"/>
  <c r="I29" i="2"/>
  <c r="D146" i="2" s="1"/>
  <c r="F146" i="2" s="1"/>
  <c r="AL48" i="2"/>
  <c r="M5" i="59"/>
  <c r="L1" i="59"/>
  <c r="L22" i="59" s="1"/>
  <c r="J8" i="46"/>
  <c r="F24" i="51" a="1"/>
  <c r="F24" i="51" s="1"/>
  <c r="G24" i="51" s="1"/>
  <c r="B24" i="51" a="1"/>
  <c r="B24" i="51" s="1"/>
  <c r="E24" i="51" a="1"/>
  <c r="E24" i="51" s="1"/>
  <c r="R76" i="38"/>
  <c r="R11" i="38"/>
  <c r="R12" i="38"/>
  <c r="R10" i="38"/>
  <c r="R9" i="38"/>
  <c r="O113" i="2"/>
  <c r="E113" i="2" s="1"/>
  <c r="D129" i="2" s="1"/>
  <c r="F129" i="2" s="1"/>
  <c r="U48" i="2"/>
  <c r="K29" i="2"/>
  <c r="AJ102" i="2"/>
  <c r="AJ114" i="2" s="1"/>
  <c r="AN102" i="2"/>
  <c r="AN114" i="2" s="1"/>
  <c r="AE101" i="2"/>
  <c r="T114" i="2"/>
  <c r="AF102" i="2"/>
  <c r="AF114" i="2" s="1"/>
  <c r="K23" i="59"/>
  <c r="K38" i="59"/>
  <c r="K113" i="59"/>
  <c r="R8" i="46"/>
  <c r="J119" i="48"/>
  <c r="AA69" i="11"/>
  <c r="AA74" i="11"/>
  <c r="AA78" i="11" s="1"/>
  <c r="AL47" i="2"/>
  <c r="I47" i="2" s="1"/>
  <c r="D147" i="2" s="1"/>
  <c r="F147" i="2" s="1"/>
  <c r="H47" i="2"/>
  <c r="K53" i="59"/>
  <c r="L5" i="52"/>
  <c r="M5" i="46"/>
  <c r="L1" i="46"/>
  <c r="L83" i="46" s="1"/>
  <c r="M85" i="17"/>
  <c r="L33" i="9"/>
  <c r="L29" i="9"/>
  <c r="L30" i="9"/>
  <c r="L34" i="9"/>
  <c r="L35" i="9"/>
  <c r="L28" i="9"/>
  <c r="L32" i="9"/>
  <c r="Z113" i="2"/>
  <c r="H106" i="2"/>
  <c r="L100" i="2"/>
  <c r="L108" i="2"/>
  <c r="L29" i="2"/>
  <c r="L87" i="2"/>
  <c r="L72" i="2"/>
  <c r="L68" i="2"/>
  <c r="L26" i="2"/>
  <c r="L85" i="2"/>
  <c r="L80" i="2"/>
  <c r="L46" i="2"/>
  <c r="L75" i="2"/>
  <c r="L88" i="2"/>
  <c r="L57" i="2"/>
  <c r="L112" i="2"/>
  <c r="L98" i="2"/>
  <c r="L82" i="2"/>
  <c r="L39" i="2"/>
  <c r="L117" i="2"/>
  <c r="L94" i="2" s="1"/>
  <c r="L69" i="2"/>
  <c r="L105" i="2"/>
  <c r="L55" i="2"/>
  <c r="L20" i="2"/>
  <c r="L41" i="2"/>
  <c r="L31" i="2"/>
  <c r="L8" i="2"/>
  <c r="L19" i="2"/>
  <c r="L15" i="2"/>
  <c r="L40" i="2"/>
  <c r="L45" i="2"/>
  <c r="L12" i="2"/>
  <c r="L37" i="2"/>
  <c r="L32" i="2"/>
  <c r="L44" i="2"/>
  <c r="I85" i="2"/>
  <c r="I62" i="2"/>
  <c r="V101" i="2"/>
  <c r="K101" i="2" s="1"/>
  <c r="K79" i="2"/>
  <c r="H28" i="2"/>
  <c r="AR102" i="2"/>
  <c r="AR114" i="2" s="1"/>
  <c r="F119" i="48"/>
  <c r="F26" i="51" a="1"/>
  <c r="F26" i="51" s="1"/>
  <c r="G26" i="51" s="1"/>
  <c r="E26" i="51" a="1"/>
  <c r="E26" i="51" s="1"/>
  <c r="B26" i="51" a="1"/>
  <c r="B26" i="51" s="1"/>
  <c r="Y69" i="11"/>
  <c r="Y74" i="11"/>
  <c r="Y78" i="11" s="1"/>
  <c r="N85" i="17"/>
  <c r="M46" i="9"/>
  <c r="M32" i="9"/>
  <c r="M33" i="9"/>
  <c r="M35" i="9"/>
  <c r="M28" i="9"/>
  <c r="M34" i="9"/>
  <c r="M30" i="9"/>
  <c r="M29" i="9"/>
  <c r="H39" i="2"/>
  <c r="E16" i="2"/>
  <c r="K9" i="59"/>
  <c r="R9" i="46"/>
  <c r="C120" i="48"/>
  <c r="V48" i="2"/>
  <c r="V74" i="11"/>
  <c r="V78" i="11" s="1"/>
  <c r="V71" i="11"/>
  <c r="V69" i="11"/>
  <c r="B25" i="51" a="1"/>
  <c r="B25" i="51" s="1"/>
  <c r="F25" i="51" a="1"/>
  <c r="F25" i="51" s="1"/>
  <c r="G25" i="51" s="1"/>
  <c r="E25" i="51" a="1"/>
  <c r="E25" i="51" s="1"/>
  <c r="H79" i="2"/>
  <c r="Z101" i="2"/>
  <c r="F128" i="48"/>
  <c r="AB69" i="11"/>
  <c r="AB74" i="11"/>
  <c r="AB78" i="11" s="1"/>
  <c r="M25" i="9"/>
  <c r="N86" i="17" s="1"/>
  <c r="N50" i="17" s="1"/>
  <c r="K28" i="2"/>
  <c r="C17" i="61"/>
  <c r="R100" i="33"/>
  <c r="R86" i="33"/>
  <c r="AO48" i="2"/>
  <c r="AO102" i="2" s="1"/>
  <c r="AO114" i="2" s="1"/>
  <c r="F13" i="51" a="1"/>
  <c r="F13" i="51" s="1"/>
  <c r="G13" i="51" s="1"/>
  <c r="E13" i="51" a="1"/>
  <c r="E13" i="51" s="1"/>
  <c r="B13" i="51" a="1"/>
  <c r="B13" i="51" s="1"/>
  <c r="L104" i="38"/>
  <c r="L8" i="38"/>
  <c r="M5" i="38"/>
  <c r="L1" i="38"/>
  <c r="X69" i="11"/>
  <c r="X74" i="11"/>
  <c r="X78" i="11" s="1"/>
  <c r="K83" i="59"/>
  <c r="K98" i="59"/>
  <c r="H98" i="2"/>
  <c r="Y48" i="2"/>
  <c r="Y102" i="2" s="1"/>
  <c r="Y114" i="2" s="1"/>
  <c r="AA71" i="11" s="1"/>
  <c r="C27" i="51"/>
  <c r="E120" i="48"/>
  <c r="L124" i="48"/>
  <c r="D9" i="35"/>
  <c r="T9" i="35" s="1"/>
  <c r="M34" i="35"/>
  <c r="Q34" i="35"/>
  <c r="C170" i="11"/>
  <c r="K89" i="11" s="1"/>
  <c r="L128" i="48"/>
  <c r="B15" i="51" a="1"/>
  <c r="B15" i="51" s="1"/>
  <c r="F15" i="51" a="1"/>
  <c r="F15" i="51" s="1"/>
  <c r="G15" i="51" s="1"/>
  <c r="E15" i="51" a="1"/>
  <c r="E15" i="51" s="1"/>
  <c r="L25" i="9"/>
  <c r="M86" i="17" s="1"/>
  <c r="I8" i="46"/>
  <c r="I9" i="46"/>
  <c r="I68" i="46"/>
  <c r="K124" i="48"/>
  <c r="W102" i="2"/>
  <c r="W114" i="2" s="1"/>
  <c r="Y71" i="11" s="1"/>
  <c r="Q125" i="46"/>
  <c r="F20" i="51" a="1"/>
  <c r="F20" i="51" s="1"/>
  <c r="G20" i="51" s="1"/>
  <c r="E20" i="51" a="1"/>
  <c r="E20" i="51" s="1"/>
  <c r="B20" i="51" a="1"/>
  <c r="B20" i="51" s="1"/>
  <c r="E22" i="51" a="1"/>
  <c r="E22" i="51" s="1"/>
  <c r="F22" i="51" a="1"/>
  <c r="F22" i="51" s="1"/>
  <c r="G22" i="51" s="1"/>
  <c r="B22" i="51" a="1"/>
  <c r="B22" i="51" s="1"/>
  <c r="F14" i="51" a="1"/>
  <c r="F14" i="51" s="1"/>
  <c r="G14" i="51" s="1"/>
  <c r="E14" i="51" a="1"/>
  <c r="E14" i="51" s="1"/>
  <c r="B14" i="51" a="1"/>
  <c r="B14" i="51" s="1"/>
  <c r="F21" i="51" a="1"/>
  <c r="F21" i="51" s="1"/>
  <c r="G21" i="51" s="1"/>
  <c r="E21" i="51" a="1"/>
  <c r="E21" i="51" s="1"/>
  <c r="B21" i="51" a="1"/>
  <c r="B21" i="51" s="1"/>
  <c r="T5" i="38"/>
  <c r="S8" i="38"/>
  <c r="S1" i="38"/>
  <c r="I8" i="51"/>
  <c r="J8" i="51"/>
  <c r="H8" i="51"/>
  <c r="C145" i="11"/>
  <c r="K42" i="11"/>
  <c r="S32" i="17"/>
  <c r="Q32" i="17"/>
  <c r="AO68" i="11"/>
  <c r="V9" i="65"/>
  <c r="CJ115" i="65"/>
  <c r="CJ355" i="65"/>
  <c r="BX275" i="65"/>
  <c r="BL195" i="65"/>
  <c r="CD35" i="65"/>
  <c r="BF115" i="65"/>
  <c r="DB115" i="65"/>
  <c r="BF355" i="65"/>
  <c r="DB355" i="65"/>
  <c r="CP275" i="65"/>
  <c r="CD195" i="65"/>
  <c r="CV35" i="65"/>
  <c r="BX115" i="65"/>
  <c r="BX355" i="65"/>
  <c r="BL275" i="65"/>
  <c r="CV195" i="65"/>
  <c r="BR35" i="65"/>
  <c r="CP115" i="65"/>
  <c r="CP355" i="65"/>
  <c r="CD275" i="65"/>
  <c r="BR195" i="65"/>
  <c r="CJ35" i="65"/>
  <c r="BL115" i="65"/>
  <c r="BL355" i="65"/>
  <c r="CV275" i="65"/>
  <c r="CJ195" i="65"/>
  <c r="BF35" i="65"/>
  <c r="DB35" i="65"/>
  <c r="CD115" i="65"/>
  <c r="CD355" i="65"/>
  <c r="BR275" i="65"/>
  <c r="BF195" i="65"/>
  <c r="DB195" i="65"/>
  <c r="BX35" i="65"/>
  <c r="CV355" i="65"/>
  <c r="CJ275" i="65"/>
  <c r="BX195" i="65"/>
  <c r="BL35" i="65"/>
  <c r="BF275" i="65"/>
  <c r="DB275" i="65"/>
  <c r="BR115" i="65"/>
  <c r="BR355" i="65"/>
  <c r="CP195" i="65"/>
  <c r="CP35" i="65"/>
  <c r="CV115" i="65"/>
  <c r="AS68" i="11"/>
  <c r="R42" i="9"/>
  <c r="AL68" i="11"/>
  <c r="K25" i="17"/>
  <c r="K36" i="17"/>
  <c r="AD68" i="11"/>
  <c r="AH55" i="10"/>
  <c r="G83" i="17"/>
  <c r="O60" i="17"/>
  <c r="N47" i="17"/>
  <c r="N56" i="17"/>
  <c r="S57" i="17"/>
  <c r="D18" i="19"/>
  <c r="J77" i="17"/>
  <c r="G329" i="65"/>
  <c r="I329" i="65"/>
  <c r="J329" i="65" s="1"/>
  <c r="K329" i="65" s="1"/>
  <c r="C29" i="60"/>
  <c r="C30" i="60" s="1"/>
  <c r="E29" i="60"/>
  <c r="E30" i="60" s="1"/>
  <c r="D29" i="60"/>
  <c r="D30" i="60" s="1"/>
  <c r="O17" i="17"/>
  <c r="O31" i="17"/>
  <c r="K7" i="11"/>
  <c r="H29" i="9"/>
  <c r="AK104" i="11"/>
  <c r="J25" i="9"/>
  <c r="K86" i="17" s="1"/>
  <c r="Q68" i="11"/>
  <c r="C195" i="61"/>
  <c r="B194" i="61"/>
  <c r="K113" i="46"/>
  <c r="K9" i="46"/>
  <c r="I9" i="51"/>
  <c r="H9" i="51"/>
  <c r="J9" i="51"/>
  <c r="E44" i="17"/>
  <c r="K33" i="8"/>
  <c r="K31" i="18"/>
  <c r="E10" i="19"/>
  <c r="J76" i="17"/>
  <c r="J26" i="17"/>
  <c r="I56" i="17"/>
  <c r="I47" i="17"/>
  <c r="Q56" i="17"/>
  <c r="Q47" i="17"/>
  <c r="Q60" i="17" s="1"/>
  <c r="G28" i="9"/>
  <c r="G16" i="9"/>
  <c r="G34" i="9" s="1"/>
  <c r="S37" i="17"/>
  <c r="AC68" i="11"/>
  <c r="AJ68" i="11"/>
  <c r="R28" i="9"/>
  <c r="R38" i="9"/>
  <c r="R16" i="9"/>
  <c r="Q38" i="9"/>
  <c r="Q16" i="9"/>
  <c r="K41" i="9"/>
  <c r="I41" i="9"/>
  <c r="I31" i="9"/>
  <c r="Q34" i="17"/>
  <c r="AJ104" i="11"/>
  <c r="I33" i="9"/>
  <c r="L47" i="17"/>
  <c r="L50" i="17"/>
  <c r="L56" i="17"/>
  <c r="H56" i="17"/>
  <c r="H47" i="17"/>
  <c r="H60" i="17" s="1"/>
  <c r="J75" i="17"/>
  <c r="Q40" i="17"/>
  <c r="C50" i="64"/>
  <c r="E50" i="64" s="1"/>
  <c r="K99" i="11"/>
  <c r="E11" i="9"/>
  <c r="K11" i="18"/>
  <c r="K11" i="8"/>
  <c r="O16" i="9"/>
  <c r="O28" i="9" s="1"/>
  <c r="O38" i="9"/>
  <c r="H31" i="9"/>
  <c r="H41" i="9"/>
  <c r="P34" i="17"/>
  <c r="B202" i="61"/>
  <c r="C203" i="61"/>
  <c r="K56" i="17"/>
  <c r="K50" i="17"/>
  <c r="K47" i="17"/>
  <c r="K60" i="17" s="1"/>
  <c r="R36" i="17"/>
  <c r="E9" i="9"/>
  <c r="K9" i="18"/>
  <c r="K9" i="8"/>
  <c r="G369" i="65"/>
  <c r="I369" i="65"/>
  <c r="R25" i="9"/>
  <c r="S86" i="17" s="1"/>
  <c r="S51" i="17" s="1"/>
  <c r="AR68" i="11"/>
  <c r="N20" i="17"/>
  <c r="N17" i="17"/>
  <c r="N40" i="17" s="1"/>
  <c r="N31" i="17"/>
  <c r="AM104" i="11"/>
  <c r="E11" i="17"/>
  <c r="K100" i="11"/>
  <c r="K22" i="18"/>
  <c r="K24" i="8"/>
  <c r="S33" i="17"/>
  <c r="AG68" i="11"/>
  <c r="C231" i="63"/>
  <c r="B230" i="63"/>
  <c r="F82" i="2"/>
  <c r="F62" i="2"/>
  <c r="F47" i="2"/>
  <c r="D135" i="2" s="1"/>
  <c r="F135" i="2" s="1"/>
  <c r="F31" i="2"/>
  <c r="F117" i="2"/>
  <c r="F52" i="2" s="1"/>
  <c r="F93" i="2"/>
  <c r="F66" i="2"/>
  <c r="F39" i="2"/>
  <c r="F20" i="2"/>
  <c r="F69" i="2"/>
  <c r="F56" i="2"/>
  <c r="F105" i="2"/>
  <c r="F78" i="2"/>
  <c r="F100" i="2"/>
  <c r="F94" i="2"/>
  <c r="F86" i="2"/>
  <c r="F73" i="2"/>
  <c r="F18" i="2"/>
  <c r="F110" i="2"/>
  <c r="F104" i="2"/>
  <c r="F61" i="2"/>
  <c r="F87" i="2"/>
  <c r="F72" i="2"/>
  <c r="F64" i="2"/>
  <c r="F109" i="2"/>
  <c r="F97" i="2"/>
  <c r="F68" i="2"/>
  <c r="F89" i="2"/>
  <c r="F77" i="2"/>
  <c r="F58" i="2"/>
  <c r="F99" i="2"/>
  <c r="F85" i="2"/>
  <c r="F80" i="2"/>
  <c r="F43" i="2"/>
  <c r="F106" i="2"/>
  <c r="D139" i="2" s="1"/>
  <c r="F139" i="2" s="1"/>
  <c r="D163" i="2" s="1"/>
  <c r="F75" i="2"/>
  <c r="F60" i="2"/>
  <c r="F95" i="2"/>
  <c r="F83" i="2"/>
  <c r="F63" i="2"/>
  <c r="F48" i="2"/>
  <c r="D136" i="2" s="1"/>
  <c r="F136" i="2" s="1"/>
  <c r="F67" i="2"/>
  <c r="F76" i="2"/>
  <c r="F70" i="2"/>
  <c r="F112" i="2"/>
  <c r="D140" i="2" s="1"/>
  <c r="F140" i="2" s="1"/>
  <c r="D164" i="2" s="1"/>
  <c r="F98" i="2"/>
  <c r="F79" i="2"/>
  <c r="F37" i="2"/>
  <c r="F12" i="2"/>
  <c r="F44" i="2"/>
  <c r="F42" i="2"/>
  <c r="F36" i="2"/>
  <c r="F23" i="2"/>
  <c r="F16" i="2"/>
  <c r="F41" i="2"/>
  <c r="F10" i="2"/>
  <c r="F35" i="2"/>
  <c r="F19" i="2"/>
  <c r="F14" i="2"/>
  <c r="F21" i="2"/>
  <c r="F8" i="2"/>
  <c r="F15" i="2"/>
  <c r="F34" i="2"/>
  <c r="F40" i="2"/>
  <c r="F25" i="2"/>
  <c r="F38" i="2"/>
  <c r="F74" i="2"/>
  <c r="F45" i="2"/>
  <c r="F24" i="2"/>
  <c r="AP102" i="2"/>
  <c r="AP114" i="2" s="1"/>
  <c r="K47" i="2"/>
  <c r="AE29" i="2"/>
  <c r="AE48" i="2" s="1"/>
  <c r="AE102" i="2" s="1"/>
  <c r="AE114" i="2" s="1"/>
  <c r="Q68" i="59"/>
  <c r="Q83" i="59"/>
  <c r="Q98" i="59"/>
  <c r="R5" i="59"/>
  <c r="Q53" i="59"/>
  <c r="Q9" i="59"/>
  <c r="Q112" i="59"/>
  <c r="Q97" i="59"/>
  <c r="Q113" i="59"/>
  <c r="Q1" i="59"/>
  <c r="Q23" i="59" s="1"/>
  <c r="S5" i="52"/>
  <c r="T5" i="46"/>
  <c r="S1" i="46"/>
  <c r="S38" i="46" s="1"/>
  <c r="F23" i="51" a="1"/>
  <c r="F23" i="51" s="1"/>
  <c r="G23" i="51" s="1"/>
  <c r="B23" i="51" a="1"/>
  <c r="B23" i="51" s="1"/>
  <c r="E23" i="51" a="1"/>
  <c r="E23" i="51" s="1"/>
  <c r="AH54" i="10"/>
  <c r="AH53" i="10"/>
  <c r="B57" i="10"/>
  <c r="AH52" i="10"/>
  <c r="AH51" i="10"/>
  <c r="P40" i="17"/>
  <c r="G50" i="17"/>
  <c r="G47" i="17"/>
  <c r="D23" i="19"/>
  <c r="R29" i="9"/>
  <c r="R39" i="9"/>
  <c r="J34" i="17"/>
  <c r="J23" i="17"/>
  <c r="P25" i="9"/>
  <c r="Q86" i="17" s="1"/>
  <c r="Q25" i="17" s="1"/>
  <c r="C131" i="63"/>
  <c r="C109" i="64"/>
  <c r="G21" i="17"/>
  <c r="E10" i="17"/>
  <c r="K23" i="8"/>
  <c r="K21" i="18"/>
  <c r="T68" i="11"/>
  <c r="AF68" i="11"/>
  <c r="C119" i="48"/>
  <c r="Q9" i="46"/>
  <c r="Q8" i="46"/>
  <c r="Q97" i="46"/>
  <c r="F12" i="51" a="1"/>
  <c r="F12" i="51" s="1"/>
  <c r="G12" i="51" s="1"/>
  <c r="G27" i="51" s="1"/>
  <c r="E12" i="51" a="1"/>
  <c r="E12" i="51" s="1"/>
  <c r="E27" i="51" s="1"/>
  <c r="E28" i="51" s="1"/>
  <c r="B12" i="51" a="1"/>
  <c r="B12" i="51" s="1"/>
  <c r="I7" i="51"/>
  <c r="H7" i="51"/>
  <c r="J7" i="51"/>
  <c r="C46" i="31"/>
  <c r="H31" i="31"/>
  <c r="F30" i="31"/>
  <c r="E45" i="17"/>
  <c r="K32" i="18"/>
  <c r="K34" i="8"/>
  <c r="G25" i="9"/>
  <c r="H86" i="17" s="1"/>
  <c r="H83" i="17" s="1"/>
  <c r="Q75" i="17"/>
  <c r="L34" i="17"/>
  <c r="G249" i="65"/>
  <c r="I249" i="65"/>
  <c r="J249" i="65" s="1"/>
  <c r="K249" i="65" s="1"/>
  <c r="I35" i="9"/>
  <c r="S34" i="17"/>
  <c r="S23" i="17"/>
  <c r="R34" i="17"/>
  <c r="H17" i="17"/>
  <c r="H40" i="17" s="1"/>
  <c r="H31" i="17"/>
  <c r="P68" i="11"/>
  <c r="Q113" i="46"/>
  <c r="K23" i="46"/>
  <c r="T19" i="35"/>
  <c r="T22" i="35" s="1"/>
  <c r="I11" i="51"/>
  <c r="J11" i="51"/>
  <c r="H11" i="51"/>
  <c r="F28" i="31"/>
  <c r="D16" i="19"/>
  <c r="D19" i="19"/>
  <c r="D21" i="19"/>
  <c r="D24" i="19"/>
  <c r="C25" i="19"/>
  <c r="D25" i="19" s="1"/>
  <c r="D15" i="19"/>
  <c r="C7" i="19"/>
  <c r="C187" i="11"/>
  <c r="E18" i="9"/>
  <c r="AP68" i="11"/>
  <c r="J53" i="17"/>
  <c r="I36" i="17"/>
  <c r="AI68" i="11"/>
  <c r="C319" i="65"/>
  <c r="C306" i="65"/>
  <c r="C293" i="65"/>
  <c r="C279" i="65"/>
  <c r="C266" i="65"/>
  <c r="C253" i="65"/>
  <c r="C186" i="65"/>
  <c r="H102" i="65"/>
  <c r="H115" i="65"/>
  <c r="C173" i="65"/>
  <c r="H89" i="65"/>
  <c r="C199" i="65"/>
  <c r="H142" i="65"/>
  <c r="H155" i="65"/>
  <c r="C239" i="65"/>
  <c r="C213" i="65"/>
  <c r="C226" i="65"/>
  <c r="H129" i="65"/>
  <c r="J82" i="17"/>
  <c r="P36" i="17"/>
  <c r="P16" i="35"/>
  <c r="S15" i="35"/>
  <c r="T15" i="35" s="1"/>
  <c r="G29" i="9"/>
  <c r="J20" i="17"/>
  <c r="J31" i="17"/>
  <c r="J17" i="17"/>
  <c r="J40" i="17" s="1"/>
  <c r="K16" i="9"/>
  <c r="K28" i="9"/>
  <c r="K38" i="9"/>
  <c r="K128" i="48"/>
  <c r="E19" i="51" a="1"/>
  <c r="E19" i="51" s="1"/>
  <c r="B19" i="51" a="1"/>
  <c r="B19" i="51" s="1"/>
  <c r="F19" i="51" a="1"/>
  <c r="F19" i="51" s="1"/>
  <c r="G19" i="51" s="1"/>
  <c r="D8" i="38"/>
  <c r="F25" i="31"/>
  <c r="R35" i="9"/>
  <c r="R45" i="9"/>
  <c r="C174" i="11"/>
  <c r="K91" i="11" s="1"/>
  <c r="C188" i="11"/>
  <c r="C189" i="11" s="1"/>
  <c r="K102" i="11" s="1"/>
  <c r="J51" i="17"/>
  <c r="K35" i="35"/>
  <c r="E16" i="17"/>
  <c r="K27" i="18"/>
  <c r="K29" i="8"/>
  <c r="S24" i="11"/>
  <c r="S68" i="11" s="1"/>
  <c r="J85" i="17"/>
  <c r="I46" i="9"/>
  <c r="G395" i="65"/>
  <c r="F395" i="65" s="1"/>
  <c r="E395" i="65" s="1"/>
  <c r="D395" i="65" s="1"/>
  <c r="I395" i="65"/>
  <c r="J395" i="65" s="1"/>
  <c r="K395" i="65" s="1"/>
  <c r="L395" i="65" s="1"/>
  <c r="P32" i="17"/>
  <c r="I32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D28" i="35"/>
  <c r="T28" i="35" s="1"/>
  <c r="C129" i="11"/>
  <c r="B18" i="51" a="1"/>
  <c r="B18" i="51" s="1"/>
  <c r="F18" i="51" a="1"/>
  <c r="F18" i="51" s="1"/>
  <c r="G18" i="51" s="1"/>
  <c r="E18" i="51" a="1"/>
  <c r="E18" i="51" s="1"/>
  <c r="D26" i="19"/>
  <c r="E15" i="9"/>
  <c r="G48" i="49"/>
  <c r="E28" i="49"/>
  <c r="D23" i="49"/>
  <c r="G17" i="49"/>
  <c r="E12" i="49"/>
  <c r="D7" i="49"/>
  <c r="G39" i="49"/>
  <c r="D28" i="49"/>
  <c r="G22" i="49"/>
  <c r="E17" i="49"/>
  <c r="D12" i="49"/>
  <c r="G6" i="49"/>
  <c r="G37" i="49"/>
  <c r="G27" i="49"/>
  <c r="E22" i="49"/>
  <c r="D17" i="49"/>
  <c r="G11" i="49"/>
  <c r="E6" i="49"/>
  <c r="G32" i="49"/>
  <c r="E27" i="49"/>
  <c r="D22" i="49"/>
  <c r="G16" i="49"/>
  <c r="E11" i="49"/>
  <c r="D6" i="49"/>
  <c r="G78" i="49"/>
  <c r="E32" i="49"/>
  <c r="D27" i="49"/>
  <c r="G21" i="49"/>
  <c r="E16" i="49"/>
  <c r="D11" i="49"/>
  <c r="G68" i="49"/>
  <c r="E31" i="49"/>
  <c r="D26" i="49"/>
  <c r="G20" i="49"/>
  <c r="E15" i="49"/>
  <c r="D10" i="49"/>
  <c r="G66" i="49"/>
  <c r="D31" i="49"/>
  <c r="G25" i="49"/>
  <c r="E20" i="49"/>
  <c r="D15" i="49"/>
  <c r="G9" i="49"/>
  <c r="G65" i="49"/>
  <c r="G30" i="49"/>
  <c r="E25" i="49"/>
  <c r="D20" i="49"/>
  <c r="G14" i="49"/>
  <c r="E9" i="49"/>
  <c r="G61" i="49"/>
  <c r="E30" i="49"/>
  <c r="D25" i="49"/>
  <c r="G19" i="49"/>
  <c r="E14" i="49"/>
  <c r="D9" i="49"/>
  <c r="G55" i="49"/>
  <c r="D29" i="49"/>
  <c r="D16" i="49"/>
  <c r="G28" i="49"/>
  <c r="G15" i="49"/>
  <c r="G26" i="49"/>
  <c r="D14" i="49"/>
  <c r="E26" i="49"/>
  <c r="G13" i="49"/>
  <c r="G24" i="49"/>
  <c r="E13" i="49"/>
  <c r="G73" i="49"/>
  <c r="E24" i="49"/>
  <c r="D13" i="49"/>
  <c r="G60" i="49"/>
  <c r="G23" i="49"/>
  <c r="G10" i="49"/>
  <c r="G57" i="49"/>
  <c r="E21" i="49"/>
  <c r="G8" i="49"/>
  <c r="G49" i="49"/>
  <c r="D21" i="49"/>
  <c r="E8" i="49"/>
  <c r="D32" i="49"/>
  <c r="E19" i="49"/>
  <c r="D8" i="49"/>
  <c r="G31" i="49"/>
  <c r="D19" i="49"/>
  <c r="G7" i="49"/>
  <c r="D30" i="49"/>
  <c r="G18" i="49"/>
  <c r="E7" i="49"/>
  <c r="G29" i="49"/>
  <c r="E18" i="49"/>
  <c r="E29" i="49"/>
  <c r="D18" i="49"/>
  <c r="G59" i="49"/>
  <c r="D24" i="49"/>
  <c r="E23" i="49"/>
  <c r="G12" i="49"/>
  <c r="E10" i="49"/>
  <c r="G72" i="49"/>
  <c r="E8" i="19"/>
  <c r="S39" i="17"/>
  <c r="G86" i="17"/>
  <c r="AH68" i="11"/>
  <c r="I85" i="17"/>
  <c r="G275" i="65"/>
  <c r="F275" i="65" s="1"/>
  <c r="E275" i="65" s="1"/>
  <c r="D275" i="65" s="1"/>
  <c r="I275" i="65"/>
  <c r="J275" i="65" s="1"/>
  <c r="K275" i="65" s="1"/>
  <c r="L275" i="65" s="1"/>
  <c r="Q41" i="9"/>
  <c r="Q36" i="17"/>
  <c r="J21" i="17"/>
  <c r="K20" i="17"/>
  <c r="K17" i="17"/>
  <c r="K31" i="17"/>
  <c r="N16" i="9"/>
  <c r="N38" i="9"/>
  <c r="N28" i="9"/>
  <c r="J16" i="9"/>
  <c r="J28" i="9"/>
  <c r="J38" i="9"/>
  <c r="J17" i="51"/>
  <c r="I17" i="51"/>
  <c r="H17" i="51"/>
  <c r="N5" i="33"/>
  <c r="M8" i="33"/>
  <c r="M1" i="33"/>
  <c r="F27" i="31"/>
  <c r="H49" i="42"/>
  <c r="H38" i="42"/>
  <c r="G27" i="42"/>
  <c r="H16" i="42"/>
  <c r="G11" i="42"/>
  <c r="D141" i="45"/>
  <c r="D137" i="45"/>
  <c r="D133" i="45"/>
  <c r="D129" i="45"/>
  <c r="D125" i="45"/>
  <c r="D121" i="45"/>
  <c r="J53" i="46" s="1"/>
  <c r="D117" i="45"/>
  <c r="D113" i="45"/>
  <c r="D109" i="45"/>
  <c r="J67" i="46" s="1"/>
  <c r="D105" i="45"/>
  <c r="D101" i="45"/>
  <c r="G49" i="42"/>
  <c r="H43" i="42"/>
  <c r="G38" i="42"/>
  <c r="H32" i="42"/>
  <c r="H21" i="42"/>
  <c r="G16" i="42"/>
  <c r="H5" i="42"/>
  <c r="E81" i="45"/>
  <c r="D76" i="45"/>
  <c r="E65" i="45"/>
  <c r="E59" i="45"/>
  <c r="D54" i="45"/>
  <c r="E43" i="45"/>
  <c r="G48" i="42"/>
  <c r="H42" i="42"/>
  <c r="G37" i="42"/>
  <c r="G31" i="42"/>
  <c r="H20" i="42"/>
  <c r="G15" i="42"/>
  <c r="H4" i="42"/>
  <c r="D140" i="45"/>
  <c r="G52" i="42"/>
  <c r="H46" i="42"/>
  <c r="G46" i="42"/>
  <c r="H35" i="42"/>
  <c r="H29" i="42"/>
  <c r="G24" i="42"/>
  <c r="H13" i="42"/>
  <c r="G8" i="42"/>
  <c r="E89" i="45"/>
  <c r="D84" i="45"/>
  <c r="E73" i="45"/>
  <c r="D68" i="45"/>
  <c r="D62" i="45"/>
  <c r="E51" i="45"/>
  <c r="G43" i="42"/>
  <c r="H36" i="42"/>
  <c r="G29" i="42"/>
  <c r="G23" i="42"/>
  <c r="G17" i="42"/>
  <c r="G10" i="42"/>
  <c r="D134" i="45"/>
  <c r="E129" i="45"/>
  <c r="E124" i="45"/>
  <c r="E115" i="45"/>
  <c r="E91" i="45"/>
  <c r="D74" i="45"/>
  <c r="E68" i="45"/>
  <c r="E61" i="45"/>
  <c r="E44" i="45"/>
  <c r="E33" i="45"/>
  <c r="D28" i="45"/>
  <c r="E17" i="45"/>
  <c r="D12" i="45"/>
  <c r="H50" i="42"/>
  <c r="G36" i="42"/>
  <c r="H3" i="42"/>
  <c r="E143" i="45"/>
  <c r="E138" i="45"/>
  <c r="D124" i="45"/>
  <c r="D115" i="45"/>
  <c r="E110" i="45"/>
  <c r="E96" i="45"/>
  <c r="D91" i="45"/>
  <c r="E85" i="45"/>
  <c r="E79" i="45"/>
  <c r="D61" i="45"/>
  <c r="E55" i="45"/>
  <c r="E49" i="45"/>
  <c r="D44" i="45"/>
  <c r="E38" i="45"/>
  <c r="D33" i="45"/>
  <c r="E22" i="45"/>
  <c r="D17" i="45"/>
  <c r="E6" i="45"/>
  <c r="G50" i="42"/>
  <c r="G42" i="42"/>
  <c r="H28" i="42"/>
  <c r="H22" i="42"/>
  <c r="H9" i="42"/>
  <c r="G3" i="42"/>
  <c r="D143" i="45"/>
  <c r="D138" i="45"/>
  <c r="E128" i="45"/>
  <c r="E119" i="45"/>
  <c r="D110" i="45"/>
  <c r="E105" i="45"/>
  <c r="E100" i="45"/>
  <c r="D96" i="45"/>
  <c r="D85" i="45"/>
  <c r="D79" i="45"/>
  <c r="D73" i="45"/>
  <c r="E67" i="45"/>
  <c r="D55" i="45"/>
  <c r="D49" i="45"/>
  <c r="D38" i="45"/>
  <c r="E27" i="45"/>
  <c r="D22" i="45"/>
  <c r="E11" i="45"/>
  <c r="D6" i="45"/>
  <c r="G35" i="42"/>
  <c r="G28" i="42"/>
  <c r="G22" i="42"/>
  <c r="H15" i="42"/>
  <c r="G9" i="42"/>
  <c r="E133" i="45"/>
  <c r="D128" i="45"/>
  <c r="S68" i="46" s="1"/>
  <c r="D119" i="45"/>
  <c r="E114" i="45"/>
  <c r="D100" i="45"/>
  <c r="E90" i="45"/>
  <c r="D67" i="45"/>
  <c r="E60" i="45"/>
  <c r="D43" i="45"/>
  <c r="E32" i="45"/>
  <c r="D27" i="45"/>
  <c r="E16" i="45"/>
  <c r="D11" i="45"/>
  <c r="H41" i="42"/>
  <c r="H2" i="42"/>
  <c r="E123" i="45"/>
  <c r="D114" i="45"/>
  <c r="E104" i="45"/>
  <c r="D90" i="45"/>
  <c r="E84" i="45"/>
  <c r="E78" i="45"/>
  <c r="E72" i="45"/>
  <c r="D60" i="45"/>
  <c r="E54" i="45"/>
  <c r="E48" i="45"/>
  <c r="E37" i="45"/>
  <c r="D32" i="45"/>
  <c r="R112" i="46" s="1"/>
  <c r="E21" i="45"/>
  <c r="D16" i="45"/>
  <c r="H48" i="42"/>
  <c r="G41" i="42"/>
  <c r="H34" i="42"/>
  <c r="H27" i="42"/>
  <c r="G21" i="42"/>
  <c r="H14" i="42"/>
  <c r="H8" i="42"/>
  <c r="G2" i="42"/>
  <c r="E142" i="45"/>
  <c r="E137" i="45"/>
  <c r="E132" i="45"/>
  <c r="D123" i="45"/>
  <c r="E118" i="45"/>
  <c r="G34" i="42"/>
  <c r="G14" i="42"/>
  <c r="D142" i="45"/>
  <c r="H47" i="42"/>
  <c r="H40" i="42"/>
  <c r="H33" i="42"/>
  <c r="H26" i="42"/>
  <c r="G20" i="42"/>
  <c r="H7" i="42"/>
  <c r="E136" i="45"/>
  <c r="D127" i="45"/>
  <c r="E113" i="45"/>
  <c r="E108" i="45"/>
  <c r="D99" i="45"/>
  <c r="I126" i="59" s="1"/>
  <c r="D83" i="45"/>
  <c r="E77" i="45"/>
  <c r="E71" i="45"/>
  <c r="D53" i="45"/>
  <c r="E47" i="45"/>
  <c r="E36" i="45"/>
  <c r="D31" i="45"/>
  <c r="E20" i="45"/>
  <c r="D15" i="45"/>
  <c r="G47" i="42"/>
  <c r="G40" i="42"/>
  <c r="G33" i="42"/>
  <c r="G26" i="42"/>
  <c r="G13" i="42"/>
  <c r="G7" i="42"/>
  <c r="D136" i="45"/>
  <c r="L53" i="46" s="1"/>
  <c r="E122" i="45"/>
  <c r="D108" i="45"/>
  <c r="R23" i="46" s="1"/>
  <c r="E103" i="45"/>
  <c r="E94" i="45"/>
  <c r="E88" i="45"/>
  <c r="D77" i="45"/>
  <c r="L82" i="46" s="1"/>
  <c r="D71" i="45"/>
  <c r="D65" i="45"/>
  <c r="E58" i="45"/>
  <c r="D47" i="45"/>
  <c r="E41" i="45"/>
  <c r="D36" i="45"/>
  <c r="E25" i="45"/>
  <c r="D20" i="45"/>
  <c r="E9" i="45"/>
  <c r="H19" i="42"/>
  <c r="E141" i="45"/>
  <c r="E131" i="45"/>
  <c r="E126" i="45"/>
  <c r="D122" i="45"/>
  <c r="E117" i="45"/>
  <c r="D103" i="45"/>
  <c r="E98" i="45"/>
  <c r="D94" i="45"/>
  <c r="D88" i="45"/>
  <c r="E82" i="45"/>
  <c r="D58" i="45"/>
  <c r="E52" i="45"/>
  <c r="D41" i="45"/>
  <c r="E30" i="45"/>
  <c r="D25" i="45"/>
  <c r="E14" i="45"/>
  <c r="D9" i="45"/>
  <c r="H45" i="42"/>
  <c r="H39" i="42"/>
  <c r="G32" i="42"/>
  <c r="H25" i="42"/>
  <c r="G19" i="42"/>
  <c r="H12" i="42"/>
  <c r="H6" i="42"/>
  <c r="D131" i="45"/>
  <c r="I125" i="59" s="1"/>
  <c r="D126" i="45"/>
  <c r="E112" i="45"/>
  <c r="D98" i="45"/>
  <c r="R126" i="46" s="1"/>
  <c r="D82" i="45"/>
  <c r="E76" i="45"/>
  <c r="E70" i="45"/>
  <c r="E64" i="45"/>
  <c r="D52" i="45"/>
  <c r="E46" i="45"/>
  <c r="E35" i="45"/>
  <c r="D30" i="45"/>
  <c r="J37" i="46" s="1"/>
  <c r="E19" i="45"/>
  <c r="D14" i="45"/>
  <c r="H52" i="42"/>
  <c r="H18" i="42"/>
  <c r="D135" i="45"/>
  <c r="E130" i="45"/>
  <c r="E121" i="45"/>
  <c r="E116" i="45"/>
  <c r="H44" i="42"/>
  <c r="H30" i="42"/>
  <c r="H24" i="42"/>
  <c r="G18" i="42"/>
  <c r="H11" i="42"/>
  <c r="G5" i="42"/>
  <c r="H51" i="42"/>
  <c r="G44" i="42"/>
  <c r="H37" i="42"/>
  <c r="G30" i="42"/>
  <c r="E139" i="45"/>
  <c r="E120" i="45"/>
  <c r="E111" i="45"/>
  <c r="E106" i="45"/>
  <c r="D97" i="45"/>
  <c r="E86" i="45"/>
  <c r="E80" i="45"/>
  <c r="D69" i="45"/>
  <c r="E62" i="45"/>
  <c r="E56" i="45"/>
  <c r="E50" i="45"/>
  <c r="D45" i="45"/>
  <c r="E39" i="45"/>
  <c r="D34" i="45"/>
  <c r="E23" i="45"/>
  <c r="D18" i="45"/>
  <c r="E7" i="45"/>
  <c r="G51" i="42"/>
  <c r="H23" i="42"/>
  <c r="H17" i="42"/>
  <c r="H10" i="42"/>
  <c r="G4" i="42"/>
  <c r="D139" i="45"/>
  <c r="E134" i="45"/>
  <c r="D120" i="45"/>
  <c r="D111" i="45"/>
  <c r="D106" i="45"/>
  <c r="E101" i="45"/>
  <c r="D86" i="45"/>
  <c r="D80" i="45"/>
  <c r="E74" i="45"/>
  <c r="D56" i="45"/>
  <c r="D50" i="45"/>
  <c r="D39" i="45"/>
  <c r="E28" i="45"/>
  <c r="D23" i="45"/>
  <c r="G45" i="42"/>
  <c r="E69" i="45"/>
  <c r="D37" i="45"/>
  <c r="E8" i="45"/>
  <c r="D130" i="45"/>
  <c r="E57" i="45"/>
  <c r="D46" i="45"/>
  <c r="E26" i="45"/>
  <c r="D8" i="45"/>
  <c r="D89" i="45"/>
  <c r="D78" i="45"/>
  <c r="D57" i="45"/>
  <c r="D26" i="45"/>
  <c r="G12" i="42"/>
  <c r="D112" i="45"/>
  <c r="D104" i="45"/>
  <c r="E97" i="45"/>
  <c r="E45" i="45"/>
  <c r="D35" i="45"/>
  <c r="K37" i="46" s="1"/>
  <c r="E15" i="45"/>
  <c r="D7" i="45"/>
  <c r="E66" i="45"/>
  <c r="G25" i="42"/>
  <c r="E87" i="45"/>
  <c r="D66" i="45"/>
  <c r="E34" i="45"/>
  <c r="E24" i="45"/>
  <c r="G39" i="42"/>
  <c r="E135" i="45"/>
  <c r="E102" i="45"/>
  <c r="E95" i="45"/>
  <c r="D75" i="45"/>
  <c r="E53" i="45"/>
  <c r="E42" i="45"/>
  <c r="D13" i="45"/>
  <c r="D102" i="45"/>
  <c r="D95" i="45"/>
  <c r="D64" i="45"/>
  <c r="D42" i="45"/>
  <c r="E109" i="45"/>
  <c r="E31" i="45"/>
  <c r="E12" i="45"/>
  <c r="G6" i="42"/>
  <c r="E125" i="45"/>
  <c r="D51" i="45"/>
  <c r="D21" i="45"/>
  <c r="D116" i="45"/>
  <c r="E83" i="45"/>
  <c r="D72" i="45"/>
  <c r="E40" i="45"/>
  <c r="E93" i="45"/>
  <c r="D40" i="45"/>
  <c r="E29" i="45"/>
  <c r="E10" i="45"/>
  <c r="D132" i="45"/>
  <c r="E107" i="45"/>
  <c r="D93" i="45"/>
  <c r="D29" i="45"/>
  <c r="D19" i="45"/>
  <c r="D10" i="45"/>
  <c r="H31" i="42"/>
  <c r="E140" i="45"/>
  <c r="D107" i="45"/>
  <c r="D81" i="45"/>
  <c r="D70" i="45"/>
  <c r="D59" i="45"/>
  <c r="D48" i="45"/>
  <c r="E99" i="45"/>
  <c r="E18" i="45"/>
  <c r="E75" i="45"/>
  <c r="E13" i="45"/>
  <c r="D118" i="45"/>
  <c r="D87" i="45"/>
  <c r="E127" i="45"/>
  <c r="D24" i="45"/>
  <c r="M34" i="17"/>
  <c r="E15" i="17"/>
  <c r="K28" i="8"/>
  <c r="K26" i="18"/>
  <c r="R34" i="9"/>
  <c r="R44" i="9"/>
  <c r="R68" i="11"/>
  <c r="R31" i="9"/>
  <c r="R41" i="9"/>
  <c r="D20" i="19"/>
  <c r="AS104" i="11"/>
  <c r="P31" i="9"/>
  <c r="P41" i="9"/>
  <c r="G23" i="17"/>
  <c r="S35" i="17"/>
  <c r="P16" i="9"/>
  <c r="P28" i="9"/>
  <c r="P38" i="9"/>
  <c r="H34" i="9"/>
  <c r="AM24" i="11"/>
  <c r="AM68" i="11" s="1"/>
  <c r="I31" i="17"/>
  <c r="I17" i="17"/>
  <c r="I40" i="17" s="1"/>
  <c r="I20" i="17"/>
  <c r="W24" i="11"/>
  <c r="W68" i="11" s="1"/>
  <c r="F24" i="31"/>
  <c r="F26" i="31"/>
  <c r="D25" i="31"/>
  <c r="D31" i="31" s="1"/>
  <c r="R33" i="9"/>
  <c r="R43" i="9"/>
  <c r="J56" i="17"/>
  <c r="R56" i="17"/>
  <c r="R47" i="17"/>
  <c r="R60" i="17" s="1"/>
  <c r="E14" i="9"/>
  <c r="K14" i="18"/>
  <c r="K14" i="8"/>
  <c r="J79" i="17"/>
  <c r="K23" i="17"/>
  <c r="K34" i="17"/>
  <c r="AT104" i="11"/>
  <c r="V104" i="16"/>
  <c r="S31" i="17"/>
  <c r="S17" i="17"/>
  <c r="S40" i="17" s="1"/>
  <c r="S20" i="17"/>
  <c r="H32" i="9"/>
  <c r="H44" i="9"/>
  <c r="K23" i="9"/>
  <c r="K25" i="9" s="1"/>
  <c r="L86" i="17" s="1"/>
  <c r="L23" i="17" s="1"/>
  <c r="J36" i="17"/>
  <c r="E36" i="64"/>
  <c r="E13" i="9"/>
  <c r="K13" i="18"/>
  <c r="K13" i="8"/>
  <c r="G32" i="9"/>
  <c r="J50" i="17"/>
  <c r="J83" i="17"/>
  <c r="H33" i="9"/>
  <c r="I30" i="9"/>
  <c r="H30" i="9"/>
  <c r="J22" i="17"/>
  <c r="AO104" i="11"/>
  <c r="L31" i="9"/>
  <c r="L41" i="9"/>
  <c r="AL104" i="11"/>
  <c r="AI104" i="11"/>
  <c r="J25" i="17"/>
  <c r="D22" i="19"/>
  <c r="AP104" i="11"/>
  <c r="M50" i="17"/>
  <c r="M47" i="17"/>
  <c r="M60" i="17" s="1"/>
  <c r="M56" i="17"/>
  <c r="E46" i="17"/>
  <c r="K35" i="8"/>
  <c r="K33" i="18"/>
  <c r="S25" i="17"/>
  <c r="S36" i="17"/>
  <c r="J28" i="17"/>
  <c r="M83" i="17"/>
  <c r="J24" i="17"/>
  <c r="R17" i="17"/>
  <c r="R40" i="17" s="1"/>
  <c r="R31" i="17"/>
  <c r="M31" i="9"/>
  <c r="M41" i="9"/>
  <c r="AN104" i="11"/>
  <c r="Z68" i="11"/>
  <c r="J31" i="9"/>
  <c r="J41" i="9"/>
  <c r="U68" i="11"/>
  <c r="D142" i="61"/>
  <c r="D15" i="35"/>
  <c r="K16" i="35"/>
  <c r="AH103" i="16"/>
  <c r="B25" i="56"/>
  <c r="B27" i="56"/>
  <c r="B29" i="56"/>
  <c r="B26" i="56"/>
  <c r="B28" i="56"/>
  <c r="J16" i="51"/>
  <c r="I16" i="51"/>
  <c r="H16" i="51"/>
  <c r="L86" i="33"/>
  <c r="L71" i="33"/>
  <c r="L69" i="33"/>
  <c r="L42" i="33"/>
  <c r="L40" i="33"/>
  <c r="L102" i="33"/>
  <c r="L85" i="33"/>
  <c r="L101" i="33"/>
  <c r="L100" i="33"/>
  <c r="L99" i="33"/>
  <c r="L56" i="33"/>
  <c r="L54" i="33"/>
  <c r="L84" i="33"/>
  <c r="L87" i="33"/>
  <c r="L72" i="33"/>
  <c r="L55" i="33"/>
  <c r="L10" i="33"/>
  <c r="L39" i="33"/>
  <c r="L24" i="33" s="1"/>
  <c r="L57" i="33"/>
  <c r="L41" i="33"/>
  <c r="L26" i="33" s="1"/>
  <c r="L12" i="33"/>
  <c r="L9" i="33"/>
  <c r="L70" i="33"/>
  <c r="L11" i="33"/>
  <c r="H36" i="17"/>
  <c r="S56" i="17"/>
  <c r="S50" i="17"/>
  <c r="S47" i="17"/>
  <c r="S59" i="17"/>
  <c r="S53" i="17"/>
  <c r="K36" i="35"/>
  <c r="E13" i="17"/>
  <c r="K26" i="8"/>
  <c r="K24" i="18"/>
  <c r="J80" i="17"/>
  <c r="Q71" i="17"/>
  <c r="O34" i="17"/>
  <c r="AQ68" i="11"/>
  <c r="AT68" i="11"/>
  <c r="C93" i="65"/>
  <c r="C26" i="65"/>
  <c r="C13" i="65"/>
  <c r="C159" i="65"/>
  <c r="C79" i="65"/>
  <c r="C106" i="65"/>
  <c r="C146" i="65"/>
  <c r="C66" i="65"/>
  <c r="C39" i="65"/>
  <c r="C133" i="65"/>
  <c r="C53" i="65"/>
  <c r="C119" i="65"/>
  <c r="G30" i="9"/>
  <c r="AN68" i="11"/>
  <c r="AK68" i="11"/>
  <c r="I34" i="9"/>
  <c r="AE68" i="11"/>
  <c r="B222" i="63"/>
  <c r="C223" i="63"/>
  <c r="T5" i="33"/>
  <c r="S1" i="33"/>
  <c r="S8" i="33"/>
  <c r="C45" i="31"/>
  <c r="D27" i="31"/>
  <c r="D29" i="31"/>
  <c r="E271" i="30"/>
  <c r="R75" i="38" s="1"/>
  <c r="E177" i="30"/>
  <c r="E161" i="30"/>
  <c r="E145" i="30"/>
  <c r="E129" i="30"/>
  <c r="E127" i="30"/>
  <c r="E109" i="30"/>
  <c r="E100" i="30"/>
  <c r="E84" i="30"/>
  <c r="E152" i="30"/>
  <c r="E136" i="30"/>
  <c r="E118" i="30"/>
  <c r="E91" i="30"/>
  <c r="M68" i="33" s="1"/>
  <c r="E75" i="30"/>
  <c r="E66" i="30"/>
  <c r="E57" i="30"/>
  <c r="E303" i="30"/>
  <c r="E287" i="30"/>
  <c r="E278" i="30"/>
  <c r="E276" i="30"/>
  <c r="E267" i="30"/>
  <c r="R73" i="38" s="1"/>
  <c r="E256" i="30"/>
  <c r="E234" i="30"/>
  <c r="E216" i="30"/>
  <c r="E191" i="30"/>
  <c r="E182" i="30"/>
  <c r="E166" i="30"/>
  <c r="E150" i="30"/>
  <c r="E134" i="30"/>
  <c r="E116" i="30"/>
  <c r="E105" i="30"/>
  <c r="E89" i="30"/>
  <c r="E64" i="30"/>
  <c r="E310" i="30"/>
  <c r="E294" i="30"/>
  <c r="E274" i="30"/>
  <c r="E247" i="30"/>
  <c r="E225" i="30"/>
  <c r="E207" i="30"/>
  <c r="E198" i="30"/>
  <c r="E189" i="30"/>
  <c r="E173" i="30"/>
  <c r="E157" i="30"/>
  <c r="E141" i="30"/>
  <c r="E123" i="30"/>
  <c r="S104" i="38" s="1"/>
  <c r="E114" i="30"/>
  <c r="E96" i="30"/>
  <c r="E80" i="30"/>
  <c r="E71" i="30"/>
  <c r="E62" i="30"/>
  <c r="E46" i="30"/>
  <c r="E30" i="30"/>
  <c r="E14" i="30"/>
  <c r="E239" i="30"/>
  <c r="E205" i="30"/>
  <c r="E196" i="30"/>
  <c r="E187" i="30"/>
  <c r="E171" i="30"/>
  <c r="E139" i="30"/>
  <c r="E121" i="30"/>
  <c r="E112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306" i="30"/>
  <c r="E290" i="30"/>
  <c r="E270" i="30"/>
  <c r="E237" i="30"/>
  <c r="E219" i="30"/>
  <c r="E194" i="30"/>
  <c r="E185" i="30"/>
  <c r="E169" i="30"/>
  <c r="E153" i="30"/>
  <c r="E137" i="30"/>
  <c r="E128" i="30"/>
  <c r="E119" i="30"/>
  <c r="E92" i="30"/>
  <c r="E76" i="30"/>
  <c r="E67" i="30"/>
  <c r="E58" i="30"/>
  <c r="E42" i="30"/>
  <c r="E26" i="30"/>
  <c r="E117" i="30"/>
  <c r="E90" i="30"/>
  <c r="L98" i="33" s="1"/>
  <c r="E74" i="30"/>
  <c r="E65" i="30"/>
  <c r="E56" i="30"/>
  <c r="E40" i="30"/>
  <c r="E311" i="30"/>
  <c r="E295" i="30"/>
  <c r="E277" i="30"/>
  <c r="E248" i="30"/>
  <c r="E226" i="30"/>
  <c r="E208" i="30"/>
  <c r="S53" i="33" s="1"/>
  <c r="E199" i="30"/>
  <c r="E174" i="30"/>
  <c r="E158" i="30"/>
  <c r="E142" i="30"/>
  <c r="E124" i="30"/>
  <c r="E106" i="30"/>
  <c r="E97" i="30"/>
  <c r="E81" i="30"/>
  <c r="E72" i="30"/>
  <c r="E63" i="30"/>
  <c r="E47" i="30"/>
  <c r="E31" i="30"/>
  <c r="E15" i="30"/>
  <c r="E233" i="30"/>
  <c r="E224" i="30"/>
  <c r="K68" i="33" s="1"/>
  <c r="E215" i="30"/>
  <c r="E190" i="30"/>
  <c r="E181" i="30"/>
  <c r="E165" i="30"/>
  <c r="E149" i="30"/>
  <c r="M83" i="33" s="1"/>
  <c r="E133" i="30"/>
  <c r="E115" i="30"/>
  <c r="E104" i="30"/>
  <c r="E88" i="30"/>
  <c r="E54" i="30"/>
  <c r="E38" i="30"/>
  <c r="E22" i="30"/>
  <c r="E309" i="30"/>
  <c r="E293" i="30"/>
  <c r="E273" i="30"/>
  <c r="E264" i="30"/>
  <c r="E246" i="30"/>
  <c r="E244" i="30"/>
  <c r="E206" i="30"/>
  <c r="E140" i="30"/>
  <c r="E55" i="30"/>
  <c r="E34" i="30"/>
  <c r="E24" i="30"/>
  <c r="E18" i="30"/>
  <c r="E32" i="30"/>
  <c r="E50" i="30"/>
  <c r="E35" i="30"/>
  <c r="E19" i="30"/>
  <c r="E39" i="30"/>
  <c r="E27" i="30"/>
  <c r="E23" i="30"/>
  <c r="E7" i="30"/>
  <c r="E51" i="30"/>
  <c r="E9" i="30"/>
  <c r="O56" i="17"/>
  <c r="L17" i="17"/>
  <c r="L40" i="17" s="1"/>
  <c r="J81" i="17"/>
  <c r="G33" i="9"/>
  <c r="E12" i="9"/>
  <c r="K12" i="18"/>
  <c r="K12" i="8"/>
  <c r="H25" i="9"/>
  <c r="I86" i="17" s="1"/>
  <c r="L289" i="65"/>
  <c r="AH289" i="65" s="1"/>
  <c r="AG289" i="65"/>
  <c r="AB289" i="65"/>
  <c r="AD289" i="65"/>
  <c r="AD329" i="65"/>
  <c r="AA289" i="65"/>
  <c r="Z289" i="65"/>
  <c r="E32" i="64"/>
  <c r="C69" i="64"/>
  <c r="E69" i="64" s="1"/>
  <c r="C102" i="61"/>
  <c r="D74" i="61"/>
  <c r="D83" i="61"/>
  <c r="D157" i="61"/>
  <c r="C109" i="61"/>
  <c r="D137" i="63"/>
  <c r="C19" i="63"/>
  <c r="D100" i="63"/>
  <c r="D140" i="63" s="1"/>
  <c r="C62" i="64"/>
  <c r="C127" i="61"/>
  <c r="C12" i="61"/>
  <c r="D166" i="63"/>
  <c r="C120" i="63"/>
  <c r="D76" i="63"/>
  <c r="D94" i="63"/>
  <c r="C113" i="63"/>
  <c r="L126" i="37" l="1"/>
  <c r="M124" i="48"/>
  <c r="T30" i="35"/>
  <c r="T39" i="35" s="1"/>
  <c r="AD61" i="38"/>
  <c r="AD109" i="38"/>
  <c r="AD45" i="38"/>
  <c r="AD73" i="33"/>
  <c r="AD93" i="38"/>
  <c r="AD77" i="38"/>
  <c r="C10" i="31"/>
  <c r="AD58" i="33"/>
  <c r="AD43" i="33"/>
  <c r="AD103" i="33"/>
  <c r="AD88" i="33"/>
  <c r="P7" i="31"/>
  <c r="Q10" i="31"/>
  <c r="E9" i="31"/>
  <c r="P10" i="31"/>
  <c r="D9" i="31"/>
  <c r="Q8" i="31"/>
  <c r="P8" i="31"/>
  <c r="E7" i="31"/>
  <c r="C7" i="31"/>
  <c r="E10" i="31"/>
  <c r="D10" i="31"/>
  <c r="I10" i="31" s="1"/>
  <c r="Q9" i="31"/>
  <c r="H9" i="31" s="1"/>
  <c r="P9" i="31"/>
  <c r="E8" i="31"/>
  <c r="D8" i="31"/>
  <c r="I8" i="31" s="1"/>
  <c r="C8" i="31"/>
  <c r="C9" i="31"/>
  <c r="Q7" i="31"/>
  <c r="D7" i="31"/>
  <c r="R85" i="17"/>
  <c r="Q46" i="9"/>
  <c r="Q30" i="9"/>
  <c r="Q34" i="9"/>
  <c r="Q33" i="9"/>
  <c r="Q29" i="9"/>
  <c r="Q35" i="9"/>
  <c r="Q32" i="9"/>
  <c r="R39" i="33"/>
  <c r="R22" i="46"/>
  <c r="L25" i="2"/>
  <c r="L47" i="2"/>
  <c r="L59" i="2"/>
  <c r="L92" i="2"/>
  <c r="L97" i="2"/>
  <c r="R89" i="38"/>
  <c r="L38" i="59"/>
  <c r="I113" i="59"/>
  <c r="D123" i="37"/>
  <c r="K27" i="33"/>
  <c r="D127" i="37"/>
  <c r="J104" i="38"/>
  <c r="J72" i="38"/>
  <c r="J98" i="33"/>
  <c r="J56" i="38"/>
  <c r="J40" i="38"/>
  <c r="J88" i="38"/>
  <c r="J38" i="33"/>
  <c r="J83" i="33"/>
  <c r="J68" i="33"/>
  <c r="J53" i="33"/>
  <c r="J56" i="33"/>
  <c r="J54" i="33"/>
  <c r="J91" i="38"/>
  <c r="J87" i="33"/>
  <c r="J42" i="38"/>
  <c r="J55" i="33"/>
  <c r="J44" i="38"/>
  <c r="J102" i="33"/>
  <c r="J70" i="33"/>
  <c r="J73" i="38"/>
  <c r="J100" i="33"/>
  <c r="J86" i="33"/>
  <c r="J92" i="38"/>
  <c r="J57" i="38"/>
  <c r="J84" i="33"/>
  <c r="J41" i="33"/>
  <c r="J76" i="38"/>
  <c r="J71" i="33"/>
  <c r="J57" i="33"/>
  <c r="J74" i="38"/>
  <c r="J58" i="38"/>
  <c r="J69" i="33"/>
  <c r="J72" i="33"/>
  <c r="J43" i="38"/>
  <c r="J107" i="38"/>
  <c r="J42" i="33"/>
  <c r="J39" i="33"/>
  <c r="J40" i="33"/>
  <c r="J89" i="38"/>
  <c r="J90" i="38"/>
  <c r="J85" i="33"/>
  <c r="J108" i="38"/>
  <c r="J101" i="33"/>
  <c r="J75" i="38"/>
  <c r="J60" i="38"/>
  <c r="J99" i="33"/>
  <c r="J106" i="38"/>
  <c r="J41" i="38"/>
  <c r="J105" i="38"/>
  <c r="J59" i="38"/>
  <c r="AK69" i="11"/>
  <c r="AK74" i="11"/>
  <c r="AK78" i="11" s="1"/>
  <c r="AK71" i="11"/>
  <c r="C65" i="65"/>
  <c r="C64" i="65" s="1"/>
  <c r="C63" i="65" s="1"/>
  <c r="C67" i="65"/>
  <c r="C68" i="65" s="1"/>
  <c r="C69" i="65" s="1"/>
  <c r="AH69" i="11"/>
  <c r="AH74" i="11"/>
  <c r="AH78" i="11" s="1"/>
  <c r="AH71" i="11"/>
  <c r="J19" i="51"/>
  <c r="I19" i="51"/>
  <c r="H19" i="51"/>
  <c r="C254" i="65"/>
  <c r="C252" i="65"/>
  <c r="AJ253" i="65"/>
  <c r="C11" i="19"/>
  <c r="E7" i="19"/>
  <c r="D7" i="19"/>
  <c r="D119" i="48"/>
  <c r="AE249" i="65"/>
  <c r="C120" i="65"/>
  <c r="C121" i="65" s="1"/>
  <c r="C122" i="65" s="1"/>
  <c r="C118" i="65"/>
  <c r="C117" i="65" s="1"/>
  <c r="C116" i="65" s="1"/>
  <c r="Q85" i="17"/>
  <c r="P46" i="9"/>
  <c r="P29" i="9"/>
  <c r="P35" i="9"/>
  <c r="P33" i="9"/>
  <c r="P32" i="9"/>
  <c r="P34" i="9"/>
  <c r="P30" i="9"/>
  <c r="R69" i="11"/>
  <c r="R74" i="11"/>
  <c r="R78" i="11" s="1"/>
  <c r="R71" i="11"/>
  <c r="H37" i="46"/>
  <c r="H67" i="46"/>
  <c r="H22" i="46"/>
  <c r="H52" i="46"/>
  <c r="H82" i="46"/>
  <c r="H97" i="46"/>
  <c r="H125" i="46"/>
  <c r="H97" i="59"/>
  <c r="H22" i="59"/>
  <c r="H82" i="59"/>
  <c r="H125" i="59"/>
  <c r="H112" i="59"/>
  <c r="H37" i="59"/>
  <c r="H52" i="59"/>
  <c r="H112" i="46"/>
  <c r="H67" i="59"/>
  <c r="K85" i="17"/>
  <c r="J46" i="9"/>
  <c r="J33" i="9"/>
  <c r="J34" i="9"/>
  <c r="J32" i="9"/>
  <c r="J35" i="9"/>
  <c r="J30" i="9"/>
  <c r="J29" i="9"/>
  <c r="G51" i="17"/>
  <c r="G76" i="17"/>
  <c r="G24" i="17"/>
  <c r="G27" i="17"/>
  <c r="G53" i="17"/>
  <c r="G26" i="17"/>
  <c r="G78" i="17"/>
  <c r="G75" i="17"/>
  <c r="G52" i="17"/>
  <c r="G28" i="17"/>
  <c r="G80" i="17"/>
  <c r="G77" i="17"/>
  <c r="G82" i="17"/>
  <c r="G79" i="17"/>
  <c r="G20" i="17"/>
  <c r="G81" i="17"/>
  <c r="G22" i="17"/>
  <c r="C267" i="65"/>
  <c r="C268" i="65" s="1"/>
  <c r="C269" i="65" s="1"/>
  <c r="C265" i="65"/>
  <c r="C264" i="65" s="1"/>
  <c r="C263" i="65" s="1"/>
  <c r="S9" i="46"/>
  <c r="S97" i="46"/>
  <c r="R67" i="59"/>
  <c r="R98" i="59"/>
  <c r="R112" i="59"/>
  <c r="S5" i="59"/>
  <c r="R1" i="59"/>
  <c r="R52" i="59" s="1"/>
  <c r="R38" i="59"/>
  <c r="R125" i="59"/>
  <c r="R126" i="59"/>
  <c r="R22" i="59"/>
  <c r="F13" i="2"/>
  <c r="F32" i="2"/>
  <c r="F55" i="2"/>
  <c r="F71" i="2"/>
  <c r="F53" i="2"/>
  <c r="F113" i="2"/>
  <c r="D141" i="2" s="1"/>
  <c r="F141" i="2" s="1"/>
  <c r="D165" i="2" s="1"/>
  <c r="H50" i="17"/>
  <c r="N83" i="17"/>
  <c r="J97" i="46"/>
  <c r="X79" i="11"/>
  <c r="R102" i="33"/>
  <c r="R41" i="33"/>
  <c r="L48" i="2"/>
  <c r="L18" i="2"/>
  <c r="L74" i="2"/>
  <c r="L109" i="2"/>
  <c r="L111" i="2"/>
  <c r="M126" i="46"/>
  <c r="M5" i="52"/>
  <c r="M113" i="46"/>
  <c r="M98" i="46"/>
  <c r="M67" i="46"/>
  <c r="M38" i="46"/>
  <c r="M9" i="46"/>
  <c r="M8" i="46"/>
  <c r="M97" i="46"/>
  <c r="M23" i="46"/>
  <c r="M125" i="46"/>
  <c r="M52" i="46"/>
  <c r="M22" i="46"/>
  <c r="M37" i="46"/>
  <c r="N5" i="46"/>
  <c r="M1" i="46"/>
  <c r="M82" i="46" s="1"/>
  <c r="L126" i="46"/>
  <c r="R53" i="46"/>
  <c r="R92" i="38"/>
  <c r="H24" i="51"/>
  <c r="J24" i="51"/>
  <c r="I24" i="51"/>
  <c r="M126" i="59"/>
  <c r="M98" i="59"/>
  <c r="M83" i="59"/>
  <c r="M37" i="59"/>
  <c r="N5" i="59"/>
  <c r="M1" i="59"/>
  <c r="M125" i="59" s="1"/>
  <c r="M112" i="59"/>
  <c r="M82" i="59"/>
  <c r="M52" i="59"/>
  <c r="M97" i="59"/>
  <c r="M67" i="59"/>
  <c r="M38" i="59"/>
  <c r="M8" i="59"/>
  <c r="M9" i="59"/>
  <c r="I38" i="59"/>
  <c r="L21" i="17"/>
  <c r="L20" i="17"/>
  <c r="L51" i="17"/>
  <c r="L22" i="17"/>
  <c r="L76" i="17"/>
  <c r="L53" i="17"/>
  <c r="L24" i="17"/>
  <c r="L78" i="17"/>
  <c r="L80" i="17"/>
  <c r="L75" i="17"/>
  <c r="L82" i="17"/>
  <c r="L77" i="17"/>
  <c r="L26" i="17"/>
  <c r="L79" i="17"/>
  <c r="L81" i="17"/>
  <c r="L27" i="17"/>
  <c r="L28" i="17"/>
  <c r="L25" i="17"/>
  <c r="L52" i="17"/>
  <c r="M38" i="33"/>
  <c r="C198" i="65"/>
  <c r="C197" i="65" s="1"/>
  <c r="C196" i="65" s="1"/>
  <c r="C200" i="65"/>
  <c r="C201" i="65" s="1"/>
  <c r="C202" i="65" s="1"/>
  <c r="AP71" i="11"/>
  <c r="AP69" i="11"/>
  <c r="AP74" i="11"/>
  <c r="AP78" i="11" s="1"/>
  <c r="I51" i="17"/>
  <c r="I80" i="17"/>
  <c r="I52" i="17"/>
  <c r="I22" i="17"/>
  <c r="I23" i="17"/>
  <c r="I53" i="17"/>
  <c r="I75" i="17"/>
  <c r="I77" i="17"/>
  <c r="I27" i="17"/>
  <c r="I76" i="17"/>
  <c r="I79" i="17"/>
  <c r="I28" i="17"/>
  <c r="I78" i="17"/>
  <c r="I24" i="17"/>
  <c r="I81" i="17"/>
  <c r="I26" i="17"/>
  <c r="I21" i="17"/>
  <c r="I82" i="17"/>
  <c r="T98" i="33"/>
  <c r="T68" i="33"/>
  <c r="T53" i="33"/>
  <c r="T1" i="33"/>
  <c r="T8" i="33"/>
  <c r="T83" i="33"/>
  <c r="T38" i="33"/>
  <c r="U5" i="33"/>
  <c r="AT71" i="11"/>
  <c r="AT69" i="11"/>
  <c r="AT74" i="11"/>
  <c r="AT78" i="11" s="1"/>
  <c r="Q57" i="38"/>
  <c r="Q76" i="38"/>
  <c r="Q69" i="33"/>
  <c r="Q55" i="33"/>
  <c r="Q84" i="33"/>
  <c r="Q72" i="33"/>
  <c r="Q91" i="38"/>
  <c r="Q70" i="33"/>
  <c r="Q40" i="33"/>
  <c r="Q41" i="33"/>
  <c r="Q73" i="38"/>
  <c r="Q105" i="38"/>
  <c r="Q39" i="33"/>
  <c r="Q24" i="33" s="1"/>
  <c r="Q89" i="38"/>
  <c r="Q41" i="38"/>
  <c r="Q87" i="33"/>
  <c r="Q44" i="38"/>
  <c r="Q59" i="38"/>
  <c r="Q86" i="33"/>
  <c r="Q75" i="38"/>
  <c r="Q106" i="38"/>
  <c r="Q92" i="38"/>
  <c r="Q42" i="33"/>
  <c r="Q74" i="38"/>
  <c r="Q102" i="33"/>
  <c r="Q71" i="33"/>
  <c r="Q99" i="33"/>
  <c r="Q101" i="33"/>
  <c r="Q43" i="38"/>
  <c r="Q27" i="38" s="1"/>
  <c r="J89" i="39" s="1"/>
  <c r="Q56" i="33"/>
  <c r="Q57" i="33"/>
  <c r="Q54" i="33"/>
  <c r="Q60" i="38"/>
  <c r="Q100" i="33"/>
  <c r="Q85" i="33"/>
  <c r="Q58" i="38"/>
  <c r="Q108" i="38"/>
  <c r="Q42" i="38"/>
  <c r="Q26" i="38" s="1"/>
  <c r="J88" i="39" s="1"/>
  <c r="Q90" i="38"/>
  <c r="Q107" i="38"/>
  <c r="AQ71" i="11"/>
  <c r="AQ69" i="11"/>
  <c r="AQ74" i="11"/>
  <c r="AQ78" i="11" s="1"/>
  <c r="AE71" i="11"/>
  <c r="AE69" i="11"/>
  <c r="AE74" i="11"/>
  <c r="AE78" i="11" s="1"/>
  <c r="F31" i="31"/>
  <c r="K97" i="46"/>
  <c r="K22" i="46"/>
  <c r="K82" i="46"/>
  <c r="K22" i="59"/>
  <c r="K52" i="46"/>
  <c r="K67" i="59"/>
  <c r="H68" i="59"/>
  <c r="H38" i="59"/>
  <c r="H23" i="59"/>
  <c r="H113" i="46"/>
  <c r="H68" i="46"/>
  <c r="H23" i="46"/>
  <c r="H83" i="46"/>
  <c r="H53" i="46"/>
  <c r="H126" i="46"/>
  <c r="H98" i="46"/>
  <c r="H98" i="59"/>
  <c r="H38" i="46"/>
  <c r="H53" i="59"/>
  <c r="H126" i="59"/>
  <c r="H113" i="59"/>
  <c r="H83" i="59"/>
  <c r="C280" i="65"/>
  <c r="C281" i="65" s="1"/>
  <c r="C282" i="65" s="1"/>
  <c r="C278" i="65"/>
  <c r="C277" i="65" s="1"/>
  <c r="C276" i="65" s="1"/>
  <c r="S112" i="46"/>
  <c r="S126" i="46"/>
  <c r="Q52" i="59"/>
  <c r="L83" i="17"/>
  <c r="P85" i="17"/>
  <c r="O46" i="9"/>
  <c r="O32" i="9"/>
  <c r="O29" i="9"/>
  <c r="O31" i="9"/>
  <c r="O35" i="9"/>
  <c r="O30" i="9"/>
  <c r="O34" i="9"/>
  <c r="O33" i="9"/>
  <c r="Q28" i="9"/>
  <c r="F120" i="48"/>
  <c r="N60" i="17"/>
  <c r="S83" i="17"/>
  <c r="I14" i="51"/>
  <c r="J14" i="51"/>
  <c r="H14" i="51"/>
  <c r="M81" i="17"/>
  <c r="M28" i="17"/>
  <c r="M21" i="17"/>
  <c r="M23" i="17"/>
  <c r="M52" i="17"/>
  <c r="M25" i="17"/>
  <c r="M20" i="17"/>
  <c r="M53" i="17"/>
  <c r="M27" i="17"/>
  <c r="M22" i="17"/>
  <c r="M76" i="17"/>
  <c r="M78" i="17"/>
  <c r="M24" i="17"/>
  <c r="M80" i="17"/>
  <c r="M75" i="17"/>
  <c r="M82" i="17"/>
  <c r="M77" i="17"/>
  <c r="M26" i="17"/>
  <c r="M51" i="17"/>
  <c r="M79" i="17"/>
  <c r="R71" i="33"/>
  <c r="R70" i="33"/>
  <c r="I25" i="51"/>
  <c r="J25" i="51"/>
  <c r="H25" i="51"/>
  <c r="L13" i="2"/>
  <c r="L23" i="2"/>
  <c r="L101" i="2"/>
  <c r="L106" i="2"/>
  <c r="L51" i="2"/>
  <c r="L38" i="46"/>
  <c r="L98" i="46"/>
  <c r="R37" i="46"/>
  <c r="R107" i="38"/>
  <c r="L52" i="59"/>
  <c r="N48" i="2"/>
  <c r="E29" i="2"/>
  <c r="D122" i="2" s="1"/>
  <c r="I53" i="59"/>
  <c r="E114" i="48"/>
  <c r="E113" i="37"/>
  <c r="F124" i="48"/>
  <c r="AC249" i="65"/>
  <c r="F249" i="65"/>
  <c r="T69" i="11"/>
  <c r="T74" i="11"/>
  <c r="T78" i="11" s="1"/>
  <c r="T71" i="11"/>
  <c r="K125" i="46"/>
  <c r="S53" i="46"/>
  <c r="AF249" i="65"/>
  <c r="C54" i="65"/>
  <c r="C55" i="65" s="1"/>
  <c r="C56" i="65" s="1"/>
  <c r="C52" i="65"/>
  <c r="C51" i="65" s="1"/>
  <c r="C50" i="65" s="1"/>
  <c r="C132" i="65"/>
  <c r="C131" i="65" s="1"/>
  <c r="C130" i="65" s="1"/>
  <c r="C134" i="65"/>
  <c r="C135" i="65" s="1"/>
  <c r="C136" i="65" s="1"/>
  <c r="Q83" i="17"/>
  <c r="H25" i="17"/>
  <c r="S24" i="17"/>
  <c r="M71" i="33"/>
  <c r="M69" i="33"/>
  <c r="M42" i="33"/>
  <c r="M40" i="33"/>
  <c r="M102" i="33"/>
  <c r="M85" i="33"/>
  <c r="M12" i="33"/>
  <c r="M101" i="33"/>
  <c r="M100" i="33"/>
  <c r="M99" i="33"/>
  <c r="M56" i="33"/>
  <c r="M54" i="33"/>
  <c r="M87" i="33"/>
  <c r="M55" i="33"/>
  <c r="M10" i="33"/>
  <c r="M39" i="33"/>
  <c r="M57" i="33"/>
  <c r="M41" i="33"/>
  <c r="M26" i="33" s="1"/>
  <c r="M84" i="33"/>
  <c r="M9" i="33"/>
  <c r="M70" i="33"/>
  <c r="M86" i="33"/>
  <c r="M11" i="33"/>
  <c r="M72" i="33"/>
  <c r="S28" i="17"/>
  <c r="K31" i="11"/>
  <c r="Q35" i="35"/>
  <c r="C292" i="65"/>
  <c r="C291" i="65" s="1"/>
  <c r="C290" i="65" s="1"/>
  <c r="C294" i="65"/>
  <c r="C295" i="65" s="1"/>
  <c r="C296" i="65" s="1"/>
  <c r="S8" i="46"/>
  <c r="S83" i="46"/>
  <c r="Q126" i="59"/>
  <c r="S85" i="17"/>
  <c r="R46" i="9"/>
  <c r="R30" i="9"/>
  <c r="I50" i="17"/>
  <c r="R42" i="33"/>
  <c r="R72" i="33"/>
  <c r="Y79" i="11"/>
  <c r="L16" i="2"/>
  <c r="L34" i="2"/>
  <c r="L42" i="2"/>
  <c r="L79" i="2"/>
  <c r="L43" i="2"/>
  <c r="L64" i="2"/>
  <c r="H113" i="2"/>
  <c r="K113" i="2"/>
  <c r="L37" i="46"/>
  <c r="R67" i="46"/>
  <c r="R125" i="46"/>
  <c r="R108" i="38"/>
  <c r="L53" i="59"/>
  <c r="I22" i="59"/>
  <c r="Z71" i="11"/>
  <c r="Z69" i="11"/>
  <c r="Z74" i="11"/>
  <c r="Z78" i="11" s="1"/>
  <c r="W74" i="11"/>
  <c r="W78" i="11" s="1"/>
  <c r="W69" i="11"/>
  <c r="O23" i="46"/>
  <c r="O126" i="46"/>
  <c r="O83" i="59"/>
  <c r="O98" i="59"/>
  <c r="O126" i="59"/>
  <c r="O113" i="46"/>
  <c r="O68" i="46"/>
  <c r="O83" i="46"/>
  <c r="O113" i="59"/>
  <c r="O53" i="46"/>
  <c r="O68" i="59"/>
  <c r="O38" i="46"/>
  <c r="O98" i="46"/>
  <c r="O53" i="59"/>
  <c r="O38" i="59"/>
  <c r="O23" i="59"/>
  <c r="G129" i="65"/>
  <c r="AD129" i="65"/>
  <c r="I129" i="65"/>
  <c r="C307" i="65"/>
  <c r="C308" i="65" s="1"/>
  <c r="C309" i="65" s="1"/>
  <c r="C305" i="65"/>
  <c r="C304" i="65" s="1"/>
  <c r="C303" i="65" s="1"/>
  <c r="P69" i="11"/>
  <c r="P74" i="11"/>
  <c r="P78" i="11" s="1"/>
  <c r="J12" i="51"/>
  <c r="H12" i="51"/>
  <c r="I12" i="51"/>
  <c r="M40" i="17"/>
  <c r="S125" i="46"/>
  <c r="I60" i="17"/>
  <c r="J60" i="17"/>
  <c r="L108" i="38"/>
  <c r="L75" i="38"/>
  <c r="L73" i="38"/>
  <c r="L44" i="38"/>
  <c r="L42" i="38"/>
  <c r="L107" i="38"/>
  <c r="L74" i="38"/>
  <c r="L12" i="38"/>
  <c r="L90" i="38"/>
  <c r="L59" i="38"/>
  <c r="L89" i="38"/>
  <c r="L76" i="38"/>
  <c r="L41" i="38"/>
  <c r="L58" i="38"/>
  <c r="L106" i="38"/>
  <c r="L11" i="38"/>
  <c r="L57" i="38"/>
  <c r="L10" i="38"/>
  <c r="L9" i="38"/>
  <c r="L92" i="38"/>
  <c r="L105" i="38"/>
  <c r="L60" i="38"/>
  <c r="L43" i="38"/>
  <c r="L91" i="38"/>
  <c r="R85" i="33"/>
  <c r="R84" i="33"/>
  <c r="R38" i="46"/>
  <c r="L67" i="46"/>
  <c r="R52" i="46"/>
  <c r="R57" i="38"/>
  <c r="L67" i="59"/>
  <c r="N101" i="2"/>
  <c r="E101" i="2" s="1"/>
  <c r="D125" i="2" s="1"/>
  <c r="F125" i="2" s="1"/>
  <c r="E79" i="2"/>
  <c r="I67" i="59"/>
  <c r="M120" i="48"/>
  <c r="L22" i="46"/>
  <c r="M119" i="48"/>
  <c r="R43" i="38"/>
  <c r="L82" i="59"/>
  <c r="Z102" i="2"/>
  <c r="H48" i="2"/>
  <c r="J98" i="59"/>
  <c r="J38" i="46"/>
  <c r="J83" i="59"/>
  <c r="J53" i="59"/>
  <c r="J23" i="59"/>
  <c r="J98" i="46"/>
  <c r="J126" i="59"/>
  <c r="J113" i="59"/>
  <c r="J68" i="59"/>
  <c r="J38" i="59"/>
  <c r="M53" i="33"/>
  <c r="N102" i="11"/>
  <c r="M102" i="11"/>
  <c r="K66" i="8"/>
  <c r="C227" i="65"/>
  <c r="C228" i="65" s="1"/>
  <c r="C229" i="65" s="1"/>
  <c r="C225" i="65"/>
  <c r="C224" i="65" s="1"/>
  <c r="C223" i="65" s="1"/>
  <c r="C320" i="65"/>
  <c r="C321" i="65" s="1"/>
  <c r="C322" i="65" s="1"/>
  <c r="C318" i="65"/>
  <c r="C317" i="65" s="1"/>
  <c r="C316" i="65" s="1"/>
  <c r="H52" i="17"/>
  <c r="H22" i="17"/>
  <c r="H26" i="17"/>
  <c r="H75" i="17"/>
  <c r="H77" i="17"/>
  <c r="H79" i="17"/>
  <c r="H27" i="17"/>
  <c r="H81" i="17"/>
  <c r="H24" i="17"/>
  <c r="H76" i="17"/>
  <c r="H28" i="17"/>
  <c r="H78" i="17"/>
  <c r="H80" i="17"/>
  <c r="H51" i="17"/>
  <c r="H21" i="17"/>
  <c r="H82" i="17"/>
  <c r="H23" i="17"/>
  <c r="H53" i="17"/>
  <c r="T5" i="52"/>
  <c r="T97" i="46"/>
  <c r="T125" i="46"/>
  <c r="T83" i="46"/>
  <c r="U5" i="46"/>
  <c r="T126" i="46"/>
  <c r="T98" i="46"/>
  <c r="T22" i="46"/>
  <c r="T68" i="46"/>
  <c r="T53" i="46"/>
  <c r="T23" i="46"/>
  <c r="T1" i="46"/>
  <c r="T52" i="46" s="1"/>
  <c r="T8" i="46"/>
  <c r="T112" i="46"/>
  <c r="T82" i="46"/>
  <c r="T9" i="46"/>
  <c r="T38" i="46"/>
  <c r="I67" i="46"/>
  <c r="I97" i="46"/>
  <c r="I37" i="59"/>
  <c r="I82" i="46"/>
  <c r="N98" i="33"/>
  <c r="N68" i="33"/>
  <c r="N83" i="33"/>
  <c r="N38" i="33"/>
  <c r="O5" i="33"/>
  <c r="N53" i="33"/>
  <c r="N8" i="33"/>
  <c r="N1" i="33"/>
  <c r="O85" i="17"/>
  <c r="N46" i="9"/>
  <c r="N30" i="9"/>
  <c r="N25" i="9"/>
  <c r="O86" i="17" s="1"/>
  <c r="N35" i="9"/>
  <c r="N31" i="9"/>
  <c r="N34" i="9"/>
  <c r="N29" i="9"/>
  <c r="N32" i="9"/>
  <c r="N33" i="9"/>
  <c r="K53" i="8"/>
  <c r="K46" i="9"/>
  <c r="L85" i="17"/>
  <c r="K32" i="9"/>
  <c r="K34" i="9"/>
  <c r="K33" i="9"/>
  <c r="K35" i="9"/>
  <c r="K30" i="9"/>
  <c r="K29" i="9"/>
  <c r="C214" i="65"/>
  <c r="C215" i="65" s="1"/>
  <c r="C216" i="65" s="1"/>
  <c r="C212" i="65"/>
  <c r="C211" i="65" s="1"/>
  <c r="C210" i="65" s="1"/>
  <c r="AI69" i="11"/>
  <c r="AI74" i="11"/>
  <c r="AI78" i="11" s="1"/>
  <c r="AI71" i="11"/>
  <c r="S23" i="46"/>
  <c r="J26" i="51"/>
  <c r="H26" i="51"/>
  <c r="I26" i="51"/>
  <c r="L113" i="46"/>
  <c r="R83" i="46"/>
  <c r="K48" i="2"/>
  <c r="U102" i="2"/>
  <c r="R58" i="38"/>
  <c r="J113" i="46"/>
  <c r="L112" i="59"/>
  <c r="I52" i="59"/>
  <c r="K26" i="33"/>
  <c r="K104" i="38"/>
  <c r="L60" i="17"/>
  <c r="AJ69" i="11"/>
  <c r="AJ74" i="11"/>
  <c r="AJ78" i="11" s="1"/>
  <c r="AJ71" i="11"/>
  <c r="Q69" i="11"/>
  <c r="Q74" i="11"/>
  <c r="Q78" i="11" s="1"/>
  <c r="R69" i="33"/>
  <c r="C107" i="65"/>
  <c r="C108" i="65" s="1"/>
  <c r="C109" i="65" s="1"/>
  <c r="C105" i="65"/>
  <c r="C104" i="65" s="1"/>
  <c r="C103" i="65" s="1"/>
  <c r="L25" i="33"/>
  <c r="Q52" i="46"/>
  <c r="Q37" i="46"/>
  <c r="Q67" i="46"/>
  <c r="Q82" i="46"/>
  <c r="Q112" i="46"/>
  <c r="Q22" i="46"/>
  <c r="M98" i="33"/>
  <c r="O25" i="9"/>
  <c r="P86" i="17" s="1"/>
  <c r="AK5" i="11"/>
  <c r="C240" i="65"/>
  <c r="C241" i="65" s="1"/>
  <c r="C242" i="65" s="1"/>
  <c r="C238" i="65"/>
  <c r="C237" i="65" s="1"/>
  <c r="C236" i="65" s="1"/>
  <c r="H20" i="17"/>
  <c r="K112" i="46"/>
  <c r="S82" i="46"/>
  <c r="F26" i="2"/>
  <c r="F101" i="2"/>
  <c r="D137" i="2" s="1"/>
  <c r="F137" i="2" s="1"/>
  <c r="F92" i="2"/>
  <c r="F51" i="2"/>
  <c r="F91" i="2"/>
  <c r="F111" i="2"/>
  <c r="AC71" i="11"/>
  <c r="AC69" i="11"/>
  <c r="AC74" i="11"/>
  <c r="AC78" i="11" s="1"/>
  <c r="K51" i="17"/>
  <c r="K24" i="17"/>
  <c r="K22" i="17"/>
  <c r="K53" i="17"/>
  <c r="K26" i="17"/>
  <c r="K76" i="17"/>
  <c r="K75" i="17"/>
  <c r="K78" i="17"/>
  <c r="K79" i="17"/>
  <c r="K28" i="17"/>
  <c r="K77" i="17"/>
  <c r="K80" i="17"/>
  <c r="K81" i="17"/>
  <c r="K82" i="17"/>
  <c r="K27" i="17"/>
  <c r="K21" i="17"/>
  <c r="K52" i="17"/>
  <c r="AD71" i="11"/>
  <c r="AD69" i="11"/>
  <c r="AD74" i="11"/>
  <c r="AD78" i="11" s="1"/>
  <c r="AO71" i="11"/>
  <c r="AO69" i="11"/>
  <c r="AO74" i="11"/>
  <c r="AO78" i="11" s="1"/>
  <c r="S56" i="38"/>
  <c r="H22" i="51"/>
  <c r="J22" i="51"/>
  <c r="I22" i="51"/>
  <c r="C35" i="51"/>
  <c r="C28" i="51"/>
  <c r="L72" i="38"/>
  <c r="R87" i="33"/>
  <c r="N24" i="17"/>
  <c r="N22" i="17"/>
  <c r="N52" i="17"/>
  <c r="N78" i="17"/>
  <c r="N51" i="17"/>
  <c r="N53" i="17"/>
  <c r="N80" i="17"/>
  <c r="N25" i="17"/>
  <c r="N82" i="17"/>
  <c r="N75" i="17"/>
  <c r="N26" i="17"/>
  <c r="N27" i="17"/>
  <c r="N77" i="17"/>
  <c r="N79" i="17"/>
  <c r="N21" i="17"/>
  <c r="N81" i="17"/>
  <c r="N28" i="17"/>
  <c r="N23" i="17"/>
  <c r="N76" i="17"/>
  <c r="L24" i="2"/>
  <c r="L21" i="2"/>
  <c r="L84" i="2"/>
  <c r="L70" i="2"/>
  <c r="L96" i="2"/>
  <c r="L61" i="2"/>
  <c r="L68" i="46"/>
  <c r="R68" i="46"/>
  <c r="J82" i="46"/>
  <c r="L37" i="59"/>
  <c r="D159" i="2"/>
  <c r="K25" i="38"/>
  <c r="D87" i="39" s="1"/>
  <c r="D97" i="39"/>
  <c r="K28" i="38"/>
  <c r="K38" i="33"/>
  <c r="B195" i="61"/>
  <c r="C196" i="61"/>
  <c r="B196" i="61" s="1"/>
  <c r="D195" i="61"/>
  <c r="J15" i="51"/>
  <c r="I15" i="51"/>
  <c r="H15" i="51"/>
  <c r="M104" i="38"/>
  <c r="M88" i="38"/>
  <c r="M72" i="38"/>
  <c r="M8" i="38"/>
  <c r="M40" i="38"/>
  <c r="N5" i="38"/>
  <c r="M56" i="38"/>
  <c r="M1" i="38"/>
  <c r="R104" i="38"/>
  <c r="R98" i="33"/>
  <c r="R68" i="33"/>
  <c r="R38" i="33"/>
  <c r="R53" i="33"/>
  <c r="R88" i="38"/>
  <c r="R56" i="38"/>
  <c r="R72" i="38"/>
  <c r="R40" i="38"/>
  <c r="R83" i="33"/>
  <c r="S38" i="33"/>
  <c r="AN69" i="11"/>
  <c r="AN74" i="11"/>
  <c r="AN78" i="11" s="1"/>
  <c r="C145" i="65"/>
  <c r="C144" i="65" s="1"/>
  <c r="C143" i="65" s="1"/>
  <c r="C147" i="65"/>
  <c r="C148" i="65" s="1"/>
  <c r="C149" i="65" s="1"/>
  <c r="S102" i="33"/>
  <c r="S100" i="33"/>
  <c r="S99" i="33"/>
  <c r="S84" i="33"/>
  <c r="S72" i="33"/>
  <c r="S70" i="33"/>
  <c r="S41" i="33"/>
  <c r="S39" i="33"/>
  <c r="S87" i="33"/>
  <c r="S85" i="33"/>
  <c r="S57" i="33"/>
  <c r="S56" i="33"/>
  <c r="S40" i="33"/>
  <c r="S12" i="33"/>
  <c r="S9" i="33"/>
  <c r="S42" i="33"/>
  <c r="S69" i="33"/>
  <c r="S86" i="33"/>
  <c r="S11" i="33"/>
  <c r="S71" i="33"/>
  <c r="S101" i="33"/>
  <c r="S55" i="33"/>
  <c r="S54" i="33"/>
  <c r="S10" i="33"/>
  <c r="C80" i="65"/>
  <c r="C81" i="65" s="1"/>
  <c r="C82" i="65" s="1"/>
  <c r="C78" i="65"/>
  <c r="C77" i="65" s="1"/>
  <c r="C76" i="65" s="1"/>
  <c r="E116" i="48"/>
  <c r="E115" i="37"/>
  <c r="E123" i="37"/>
  <c r="L27" i="33"/>
  <c r="K40" i="17"/>
  <c r="I155" i="65"/>
  <c r="J155" i="65" s="1"/>
  <c r="K155" i="65" s="1"/>
  <c r="L155" i="65" s="1"/>
  <c r="G155" i="65"/>
  <c r="F155" i="65" s="1"/>
  <c r="E155" i="65" s="1"/>
  <c r="D155" i="65" s="1"/>
  <c r="I25" i="17"/>
  <c r="K67" i="46"/>
  <c r="S113" i="46"/>
  <c r="Q67" i="59"/>
  <c r="Q8" i="59"/>
  <c r="Q37" i="59"/>
  <c r="Q22" i="59"/>
  <c r="M100" i="11"/>
  <c r="N100" i="11"/>
  <c r="K67" i="8"/>
  <c r="C204" i="61"/>
  <c r="B204" i="61" s="1"/>
  <c r="B203" i="61"/>
  <c r="D203" i="61"/>
  <c r="M99" i="11"/>
  <c r="N99" i="11"/>
  <c r="K69" i="8"/>
  <c r="Q21" i="17"/>
  <c r="S108" i="38"/>
  <c r="S106" i="38"/>
  <c r="S107" i="38"/>
  <c r="S89" i="38"/>
  <c r="S58" i="38"/>
  <c r="S60" i="38"/>
  <c r="S42" i="38"/>
  <c r="S92" i="38"/>
  <c r="S73" i="38"/>
  <c r="S59" i="38"/>
  <c r="S74" i="38"/>
  <c r="S41" i="38"/>
  <c r="S105" i="38"/>
  <c r="S90" i="38"/>
  <c r="S43" i="38"/>
  <c r="S75" i="38"/>
  <c r="S12" i="38"/>
  <c r="S44" i="38"/>
  <c r="S91" i="38"/>
  <c r="S76" i="38"/>
  <c r="S11" i="38"/>
  <c r="S10" i="38"/>
  <c r="S57" i="38"/>
  <c r="S9" i="38"/>
  <c r="K82" i="59"/>
  <c r="L88" i="38"/>
  <c r="R56" i="33"/>
  <c r="AB79" i="11"/>
  <c r="L76" i="2"/>
  <c r="L99" i="2"/>
  <c r="L104" i="2"/>
  <c r="L125" i="46"/>
  <c r="L9" i="59"/>
  <c r="R113" i="46"/>
  <c r="R41" i="38"/>
  <c r="R25" i="38" s="1"/>
  <c r="K87" i="39" s="1"/>
  <c r="J68" i="46"/>
  <c r="L68" i="59"/>
  <c r="I68" i="59"/>
  <c r="K27" i="38"/>
  <c r="D89" i="39" s="1"/>
  <c r="K98" i="33"/>
  <c r="E127" i="37"/>
  <c r="I142" i="65"/>
  <c r="J142" i="65" s="1"/>
  <c r="K142" i="65" s="1"/>
  <c r="L142" i="65" s="1"/>
  <c r="G142" i="65"/>
  <c r="F142" i="65" s="1"/>
  <c r="E142" i="65" s="1"/>
  <c r="D142" i="65" s="1"/>
  <c r="V79" i="11"/>
  <c r="L112" i="46"/>
  <c r="AA79" i="11"/>
  <c r="K112" i="59"/>
  <c r="E119" i="48"/>
  <c r="L83" i="59"/>
  <c r="I83" i="59"/>
  <c r="L68" i="33"/>
  <c r="O114" i="2"/>
  <c r="Q71" i="11" s="1"/>
  <c r="K40" i="38"/>
  <c r="F369" i="65"/>
  <c r="AC369" i="65"/>
  <c r="Q23" i="17"/>
  <c r="S26" i="17"/>
  <c r="E8" i="9"/>
  <c r="K8" i="8"/>
  <c r="K8" i="18"/>
  <c r="F329" i="65"/>
  <c r="AC329" i="65"/>
  <c r="AL74" i="11"/>
  <c r="AL78" i="11" s="1"/>
  <c r="AL71" i="11"/>
  <c r="AL69" i="11"/>
  <c r="S21" i="17"/>
  <c r="S72" i="38"/>
  <c r="J20" i="51"/>
  <c r="I20" i="51"/>
  <c r="H20" i="51"/>
  <c r="D120" i="48"/>
  <c r="L56" i="38"/>
  <c r="R99" i="33"/>
  <c r="L56" i="2"/>
  <c r="L78" i="2"/>
  <c r="L52" i="2"/>
  <c r="L67" i="2"/>
  <c r="L36" i="2"/>
  <c r="L110" i="2"/>
  <c r="L23" i="46"/>
  <c r="K125" i="59"/>
  <c r="R91" i="38"/>
  <c r="R90" i="38"/>
  <c r="L98" i="59"/>
  <c r="I82" i="59"/>
  <c r="L53" i="33"/>
  <c r="K72" i="38"/>
  <c r="J369" i="65"/>
  <c r="AE369" i="65"/>
  <c r="L329" i="65"/>
  <c r="AH329" i="65" s="1"/>
  <c r="AG329" i="65"/>
  <c r="S40" i="38"/>
  <c r="S83" i="33"/>
  <c r="N13" i="65"/>
  <c r="C14" i="65"/>
  <c r="C12" i="65"/>
  <c r="J97" i="59"/>
  <c r="J67" i="59"/>
  <c r="J112" i="59"/>
  <c r="J82" i="59"/>
  <c r="J125" i="46"/>
  <c r="J37" i="59"/>
  <c r="J112" i="46"/>
  <c r="J125" i="59"/>
  <c r="J22" i="59"/>
  <c r="J52" i="59"/>
  <c r="Q31" i="9"/>
  <c r="AD89" i="65"/>
  <c r="AN89" i="65"/>
  <c r="I89" i="65"/>
  <c r="G89" i="65"/>
  <c r="L120" i="48"/>
  <c r="C82" i="64"/>
  <c r="E82" i="64" s="1"/>
  <c r="E109" i="64"/>
  <c r="S37" i="46"/>
  <c r="Q125" i="59"/>
  <c r="F9" i="2"/>
  <c r="F59" i="2"/>
  <c r="F57" i="2"/>
  <c r="F46" i="2"/>
  <c r="F29" i="2"/>
  <c r="D134" i="2" s="1"/>
  <c r="F134" i="2" s="1"/>
  <c r="F84" i="2"/>
  <c r="S88" i="38"/>
  <c r="I112" i="46"/>
  <c r="L40" i="38"/>
  <c r="R101" i="33"/>
  <c r="R82" i="46"/>
  <c r="R98" i="46"/>
  <c r="J126" i="46"/>
  <c r="L91" i="2"/>
  <c r="L14" i="2"/>
  <c r="L66" i="2"/>
  <c r="L63" i="2"/>
  <c r="L58" i="2"/>
  <c r="L53" i="2"/>
  <c r="L8" i="46"/>
  <c r="K52" i="59"/>
  <c r="R106" i="38"/>
  <c r="R105" i="38"/>
  <c r="J23" i="46"/>
  <c r="L113" i="59"/>
  <c r="I112" i="59"/>
  <c r="L83" i="33"/>
  <c r="K24" i="33"/>
  <c r="K83" i="33"/>
  <c r="L119" i="48"/>
  <c r="S67" i="46"/>
  <c r="S68" i="33"/>
  <c r="C27" i="65"/>
  <c r="C28" i="65" s="1"/>
  <c r="C29" i="65" s="1"/>
  <c r="C25" i="65"/>
  <c r="C24" i="65" s="1"/>
  <c r="C23" i="65" s="1"/>
  <c r="Q36" i="35"/>
  <c r="S98" i="33"/>
  <c r="N93" i="65"/>
  <c r="C92" i="65"/>
  <c r="C94" i="65"/>
  <c r="U69" i="11"/>
  <c r="U74" i="11"/>
  <c r="U78" i="11" s="1"/>
  <c r="U71" i="11"/>
  <c r="U18" i="52"/>
  <c r="S18" i="52"/>
  <c r="AA17" i="52"/>
  <c r="K17" i="52"/>
  <c r="S16" i="52"/>
  <c r="R18" i="52"/>
  <c r="Z17" i="52"/>
  <c r="J17" i="52"/>
  <c r="R16" i="52"/>
  <c r="O18" i="52"/>
  <c r="Y18" i="52"/>
  <c r="C18" i="52"/>
  <c r="I17" i="52"/>
  <c r="O16" i="52"/>
  <c r="X18" i="52"/>
  <c r="AB17" i="52"/>
  <c r="H17" i="52"/>
  <c r="N16" i="52"/>
  <c r="W18" i="52"/>
  <c r="Y17" i="52"/>
  <c r="F17" i="52"/>
  <c r="M16" i="52"/>
  <c r="V18" i="52"/>
  <c r="X17" i="52"/>
  <c r="D17" i="52"/>
  <c r="L16" i="52"/>
  <c r="AB127" i="59"/>
  <c r="T18" i="52"/>
  <c r="W17" i="52"/>
  <c r="C17" i="52"/>
  <c r="K16" i="52"/>
  <c r="AB84" i="59"/>
  <c r="Q18" i="52"/>
  <c r="V17" i="52"/>
  <c r="AB16" i="52"/>
  <c r="J16" i="52"/>
  <c r="N18" i="52"/>
  <c r="T17" i="52"/>
  <c r="L18" i="52"/>
  <c r="K18" i="52"/>
  <c r="Q17" i="52"/>
  <c r="I16" i="52"/>
  <c r="P17" i="52"/>
  <c r="H16" i="52"/>
  <c r="O17" i="52"/>
  <c r="F16" i="52"/>
  <c r="AB24" i="59"/>
  <c r="AB18" i="52"/>
  <c r="N17" i="52"/>
  <c r="D16" i="52"/>
  <c r="AB99" i="59"/>
  <c r="AB84" i="46"/>
  <c r="AA18" i="52"/>
  <c r="M17" i="52"/>
  <c r="C16" i="52"/>
  <c r="AB39" i="46"/>
  <c r="Z18" i="52"/>
  <c r="L17" i="52"/>
  <c r="P18" i="52"/>
  <c r="AA16" i="52"/>
  <c r="AB114" i="59"/>
  <c r="AB69" i="59"/>
  <c r="M18" i="52"/>
  <c r="Z16" i="52"/>
  <c r="I18" i="52"/>
  <c r="X16" i="52"/>
  <c r="H18" i="52"/>
  <c r="W16" i="52"/>
  <c r="F18" i="52"/>
  <c r="V16" i="52"/>
  <c r="D18" i="52"/>
  <c r="U16" i="52"/>
  <c r="U17" i="52"/>
  <c r="T16" i="52"/>
  <c r="S17" i="52"/>
  <c r="Q16" i="52"/>
  <c r="R17" i="52"/>
  <c r="P16" i="52"/>
  <c r="AB39" i="59"/>
  <c r="AB99" i="46"/>
  <c r="AB127" i="46"/>
  <c r="AB114" i="46"/>
  <c r="J18" i="52"/>
  <c r="Y16" i="52"/>
  <c r="AB54" i="59"/>
  <c r="AB69" i="46"/>
  <c r="AB24" i="46"/>
  <c r="AB54" i="46"/>
  <c r="O52" i="46"/>
  <c r="O67" i="46"/>
  <c r="O82" i="46"/>
  <c r="O67" i="59"/>
  <c r="O97" i="46"/>
  <c r="O112" i="46"/>
  <c r="O125" i="46"/>
  <c r="O22" i="46"/>
  <c r="O37" i="59"/>
  <c r="O82" i="59"/>
  <c r="O112" i="59"/>
  <c r="O97" i="59"/>
  <c r="O37" i="46"/>
  <c r="O52" i="59"/>
  <c r="O22" i="59"/>
  <c r="O125" i="59"/>
  <c r="C172" i="65"/>
  <c r="C174" i="65"/>
  <c r="AJ173" i="65"/>
  <c r="S22" i="46"/>
  <c r="Q82" i="59"/>
  <c r="C232" i="63"/>
  <c r="B232" i="63" s="1"/>
  <c r="B231" i="63"/>
  <c r="D231" i="63"/>
  <c r="H85" i="17"/>
  <c r="G35" i="9"/>
  <c r="E43" i="17"/>
  <c r="K46" i="11"/>
  <c r="K32" i="8"/>
  <c r="K30" i="18"/>
  <c r="I125" i="46"/>
  <c r="K58" i="8"/>
  <c r="J13" i="51"/>
  <c r="I13" i="51"/>
  <c r="H13" i="51"/>
  <c r="R54" i="33"/>
  <c r="K97" i="59"/>
  <c r="L9" i="2"/>
  <c r="L27" i="2"/>
  <c r="L93" i="2"/>
  <c r="L83" i="2"/>
  <c r="L71" i="2"/>
  <c r="L73" i="2"/>
  <c r="L46" i="9"/>
  <c r="L97" i="46"/>
  <c r="R42" i="38"/>
  <c r="R26" i="38" s="1"/>
  <c r="K88" i="39" s="1"/>
  <c r="J22" i="46"/>
  <c r="L126" i="59"/>
  <c r="I98" i="59"/>
  <c r="L38" i="33"/>
  <c r="K88" i="38"/>
  <c r="AG69" i="11"/>
  <c r="AG74" i="11"/>
  <c r="AG78" i="11" s="1"/>
  <c r="AG71" i="11"/>
  <c r="W9" i="65"/>
  <c r="BS355" i="65"/>
  <c r="BG275" i="65"/>
  <c r="DC275" i="65"/>
  <c r="CQ195" i="65"/>
  <c r="BM35" i="65"/>
  <c r="CK115" i="65"/>
  <c r="CK355" i="65"/>
  <c r="BY275" i="65"/>
  <c r="BM195" i="65"/>
  <c r="CE35" i="65"/>
  <c r="BG115" i="65"/>
  <c r="DC115" i="65"/>
  <c r="BG355" i="65"/>
  <c r="DC355" i="65"/>
  <c r="CQ275" i="65"/>
  <c r="CE195" i="65"/>
  <c r="CW35" i="65"/>
  <c r="BY115" i="65"/>
  <c r="BY355" i="65"/>
  <c r="BM275" i="65"/>
  <c r="CW195" i="65"/>
  <c r="BS35" i="65"/>
  <c r="CQ115" i="65"/>
  <c r="CQ355" i="65"/>
  <c r="CE275" i="65"/>
  <c r="BS195" i="65"/>
  <c r="CK35" i="65"/>
  <c r="BM115" i="65"/>
  <c r="BM355" i="65"/>
  <c r="CW275" i="65"/>
  <c r="CK195" i="65"/>
  <c r="BG35" i="65"/>
  <c r="DC35" i="65"/>
  <c r="CE115" i="65"/>
  <c r="CW355" i="65"/>
  <c r="CW115" i="65"/>
  <c r="BY195" i="65"/>
  <c r="BY35" i="65"/>
  <c r="BS275" i="65"/>
  <c r="BS115" i="65"/>
  <c r="CE355" i="65"/>
  <c r="CK275" i="65"/>
  <c r="BG195" i="65"/>
  <c r="DC195" i="65"/>
  <c r="CQ35" i="65"/>
  <c r="T72" i="38"/>
  <c r="T88" i="38"/>
  <c r="T56" i="38"/>
  <c r="T40" i="38"/>
  <c r="T8" i="38"/>
  <c r="T1" i="38"/>
  <c r="U5" i="38"/>
  <c r="T104" i="38"/>
  <c r="R40" i="33"/>
  <c r="K37" i="59"/>
  <c r="L28" i="2"/>
  <c r="L35" i="2"/>
  <c r="L113" i="2"/>
  <c r="L95" i="2"/>
  <c r="L77" i="2"/>
  <c r="L86" i="2"/>
  <c r="L52" i="46"/>
  <c r="R60" i="38"/>
  <c r="R44" i="38"/>
  <c r="J52" i="46"/>
  <c r="L125" i="59"/>
  <c r="I97" i="59"/>
  <c r="K53" i="33"/>
  <c r="C158" i="65"/>
  <c r="C157" i="65" s="1"/>
  <c r="C156" i="65" s="1"/>
  <c r="C160" i="65"/>
  <c r="C161" i="65" s="1"/>
  <c r="C162" i="65" s="1"/>
  <c r="AM74" i="11"/>
  <c r="AM78" i="11" s="1"/>
  <c r="AM71" i="11"/>
  <c r="AM69" i="11"/>
  <c r="S69" i="11"/>
  <c r="S74" i="11"/>
  <c r="S78" i="11" s="1"/>
  <c r="S71" i="11"/>
  <c r="I115" i="65"/>
  <c r="J115" i="65" s="1"/>
  <c r="K115" i="65" s="1"/>
  <c r="L115" i="65" s="1"/>
  <c r="G115" i="65"/>
  <c r="F115" i="65" s="1"/>
  <c r="E115" i="65" s="1"/>
  <c r="D115" i="65" s="1"/>
  <c r="Q51" i="17"/>
  <c r="Q28" i="17"/>
  <c r="Q52" i="17"/>
  <c r="Q22" i="17"/>
  <c r="Q53" i="17"/>
  <c r="Q24" i="17"/>
  <c r="Q76" i="17"/>
  <c r="Q27" i="17"/>
  <c r="Q26" i="17"/>
  <c r="Q78" i="17"/>
  <c r="Q77" i="17"/>
  <c r="Q80" i="17"/>
  <c r="Q79" i="17"/>
  <c r="Q20" i="17"/>
  <c r="Q82" i="17"/>
  <c r="Q81" i="17"/>
  <c r="S52" i="46"/>
  <c r="I52" i="46"/>
  <c r="S34" i="35"/>
  <c r="P34" i="35"/>
  <c r="Q88" i="38"/>
  <c r="Q40" i="38"/>
  <c r="Q104" i="38"/>
  <c r="Q72" i="38"/>
  <c r="Q56" i="38"/>
  <c r="Q98" i="33"/>
  <c r="Q68" i="33"/>
  <c r="Q38" i="33"/>
  <c r="Q53" i="33"/>
  <c r="Q83" i="33"/>
  <c r="B223" i="63"/>
  <c r="C224" i="63"/>
  <c r="B224" i="63" s="1"/>
  <c r="D223" i="63"/>
  <c r="I83" i="17"/>
  <c r="S60" i="17"/>
  <c r="G31" i="9"/>
  <c r="P67" i="46"/>
  <c r="P82" i="46"/>
  <c r="P125" i="59"/>
  <c r="P97" i="46"/>
  <c r="P67" i="59"/>
  <c r="P22" i="59"/>
  <c r="P22" i="46"/>
  <c r="P112" i="46"/>
  <c r="P52" i="59"/>
  <c r="P112" i="59"/>
  <c r="P82" i="59"/>
  <c r="P37" i="46"/>
  <c r="P97" i="59"/>
  <c r="P125" i="46"/>
  <c r="P52" i="46"/>
  <c r="P37" i="59"/>
  <c r="H46" i="9"/>
  <c r="G102" i="65"/>
  <c r="F102" i="65" s="1"/>
  <c r="E102" i="65" s="1"/>
  <c r="D102" i="65" s="1"/>
  <c r="I102" i="65"/>
  <c r="J102" i="65" s="1"/>
  <c r="K102" i="65" s="1"/>
  <c r="L102" i="65" s="1"/>
  <c r="G25" i="17"/>
  <c r="J23" i="51"/>
  <c r="I23" i="51"/>
  <c r="H23" i="51"/>
  <c r="S98" i="46"/>
  <c r="Q38" i="59"/>
  <c r="F28" i="2"/>
  <c r="F27" i="2"/>
  <c r="F88" i="2"/>
  <c r="F96" i="2"/>
  <c r="F108" i="2"/>
  <c r="S22" i="17"/>
  <c r="AR71" i="11"/>
  <c r="AR69" i="11"/>
  <c r="AR74" i="11"/>
  <c r="AR78" i="11" s="1"/>
  <c r="Q50" i="17"/>
  <c r="O40" i="17"/>
  <c r="R32" i="9"/>
  <c r="K83" i="17"/>
  <c r="I113" i="46"/>
  <c r="I37" i="46"/>
  <c r="R97" i="46"/>
  <c r="R55" i="33"/>
  <c r="H101" i="2"/>
  <c r="V102" i="2"/>
  <c r="V114" i="2" s="1"/>
  <c r="X71" i="11" s="1"/>
  <c r="L38" i="2"/>
  <c r="L10" i="2"/>
  <c r="L62" i="2"/>
  <c r="L60" i="2"/>
  <c r="L89" i="2"/>
  <c r="L9" i="46"/>
  <c r="I126" i="46"/>
  <c r="R74" i="38"/>
  <c r="K56" i="38"/>
  <c r="C40" i="65"/>
  <c r="C41" i="65" s="1"/>
  <c r="C42" i="65" s="1"/>
  <c r="C38" i="65"/>
  <c r="C37" i="65" s="1"/>
  <c r="C36" i="65" s="1"/>
  <c r="I23" i="46"/>
  <c r="I38" i="46"/>
  <c r="I98" i="46"/>
  <c r="I53" i="46"/>
  <c r="I23" i="59"/>
  <c r="H18" i="51"/>
  <c r="J18" i="51"/>
  <c r="I18" i="51"/>
  <c r="C185" i="65"/>
  <c r="C184" i="65" s="1"/>
  <c r="C183" i="65" s="1"/>
  <c r="C187" i="65"/>
  <c r="C188" i="65" s="1"/>
  <c r="C189" i="65" s="1"/>
  <c r="L249" i="65"/>
  <c r="AH249" i="65" s="1"/>
  <c r="AG249" i="65"/>
  <c r="AF71" i="11"/>
  <c r="AF69" i="11"/>
  <c r="AF74" i="11"/>
  <c r="AF78" i="11" s="1"/>
  <c r="S52" i="17"/>
  <c r="S75" i="17"/>
  <c r="S27" i="17"/>
  <c r="S77" i="17"/>
  <c r="S76" i="17"/>
  <c r="S79" i="17"/>
  <c r="S78" i="17"/>
  <c r="S81" i="17"/>
  <c r="S80" i="17"/>
  <c r="S82" i="17"/>
  <c r="K31" i="9"/>
  <c r="Q25" i="9"/>
  <c r="R86" i="17" s="1"/>
  <c r="AS71" i="11"/>
  <c r="AS69" i="11"/>
  <c r="AS74" i="11"/>
  <c r="AS78" i="11" s="1"/>
  <c r="J21" i="51"/>
  <c r="I21" i="51"/>
  <c r="H21" i="51"/>
  <c r="J83" i="46"/>
  <c r="I22" i="46"/>
  <c r="R57" i="33"/>
  <c r="R59" i="38"/>
  <c r="L23" i="59"/>
  <c r="L8" i="59"/>
  <c r="L97" i="59"/>
  <c r="I48" i="2"/>
  <c r="D148" i="2" s="1"/>
  <c r="F148" i="2" s="1"/>
  <c r="AL102" i="2"/>
  <c r="I83" i="46"/>
  <c r="K25" i="33"/>
  <c r="D101" i="39"/>
  <c r="AF289" i="65"/>
  <c r="AE289" i="65"/>
  <c r="AF329" i="65"/>
  <c r="AE329" i="65"/>
  <c r="D134" i="61"/>
  <c r="G437" i="65"/>
  <c r="G440" i="65" s="1"/>
  <c r="C10" i="64"/>
  <c r="D75" i="61"/>
  <c r="C91" i="65" l="1"/>
  <c r="N92" i="65"/>
  <c r="D114" i="48"/>
  <c r="D113" i="37"/>
  <c r="K123" i="48"/>
  <c r="AS79" i="11"/>
  <c r="AF79" i="11"/>
  <c r="D124" i="48"/>
  <c r="K36" i="8"/>
  <c r="F39" i="59"/>
  <c r="D39" i="59"/>
  <c r="F24" i="59"/>
  <c r="D24" i="59"/>
  <c r="U79" i="11"/>
  <c r="L96" i="39"/>
  <c r="S24" i="38"/>
  <c r="E329" i="65"/>
  <c r="AB329" i="65"/>
  <c r="M69" i="8"/>
  <c r="N69" i="8"/>
  <c r="AD79" i="11"/>
  <c r="U5" i="52"/>
  <c r="V5" i="46"/>
  <c r="U97" i="46"/>
  <c r="U23" i="46"/>
  <c r="U83" i="46"/>
  <c r="U22" i="46"/>
  <c r="U1" i="46"/>
  <c r="U52" i="46" s="1"/>
  <c r="F126" i="37"/>
  <c r="L25" i="38"/>
  <c r="E87" i="39" s="1"/>
  <c r="J128" i="48"/>
  <c r="M25" i="33"/>
  <c r="N102" i="2"/>
  <c r="E48" i="2"/>
  <c r="D124" i="2" s="1"/>
  <c r="F124" i="2" s="1"/>
  <c r="D160" i="2" s="1"/>
  <c r="C124" i="48"/>
  <c r="J127" i="37"/>
  <c r="Q25" i="38"/>
  <c r="J87" i="39" s="1"/>
  <c r="H120" i="48"/>
  <c r="R82" i="59"/>
  <c r="C127" i="48"/>
  <c r="K100" i="39"/>
  <c r="E115" i="48"/>
  <c r="E114" i="37"/>
  <c r="Q79" i="11"/>
  <c r="O120" i="48"/>
  <c r="G127" i="48"/>
  <c r="N119" i="48"/>
  <c r="F123" i="37"/>
  <c r="M27" i="33"/>
  <c r="C128" i="48"/>
  <c r="AE79" i="11"/>
  <c r="AH79" i="11"/>
  <c r="H77" i="38"/>
  <c r="F77" i="38"/>
  <c r="C112" i="11"/>
  <c r="N94" i="65"/>
  <c r="C95" i="65"/>
  <c r="K123" i="37"/>
  <c r="R27" i="33"/>
  <c r="F116" i="48"/>
  <c r="F115" i="37"/>
  <c r="J114" i="48"/>
  <c r="J113" i="37"/>
  <c r="U98" i="33"/>
  <c r="U68" i="33"/>
  <c r="U53" i="33"/>
  <c r="U83" i="33"/>
  <c r="V5" i="33"/>
  <c r="U8" i="33"/>
  <c r="U38" i="33"/>
  <c r="U1" i="33"/>
  <c r="H127" i="48"/>
  <c r="J26" i="33"/>
  <c r="C126" i="37"/>
  <c r="F10" i="31"/>
  <c r="J10" i="31"/>
  <c r="G10" i="31"/>
  <c r="F93" i="38"/>
  <c r="H93" i="38"/>
  <c r="R80" i="17"/>
  <c r="R27" i="17"/>
  <c r="R79" i="17"/>
  <c r="R28" i="17"/>
  <c r="R82" i="17"/>
  <c r="R81" i="17"/>
  <c r="R24" i="17"/>
  <c r="R51" i="17"/>
  <c r="R53" i="17"/>
  <c r="R21" i="17"/>
  <c r="R75" i="17"/>
  <c r="R26" i="17"/>
  <c r="R76" i="17"/>
  <c r="R22" i="17"/>
  <c r="R52" i="17"/>
  <c r="R77" i="17"/>
  <c r="R78" i="17"/>
  <c r="R83" i="17"/>
  <c r="R23" i="17"/>
  <c r="R50" i="17"/>
  <c r="R20" i="17"/>
  <c r="R25" i="17"/>
  <c r="K126" i="37"/>
  <c r="N100" i="33"/>
  <c r="N87" i="33"/>
  <c r="N85" i="33"/>
  <c r="N102" i="33"/>
  <c r="N12" i="33"/>
  <c r="N101" i="33"/>
  <c r="N99" i="33"/>
  <c r="N56" i="33"/>
  <c r="N54" i="33"/>
  <c r="N84" i="33"/>
  <c r="N72" i="33"/>
  <c r="N70" i="33"/>
  <c r="N10" i="33"/>
  <c r="N39" i="33"/>
  <c r="N24" i="33" s="1"/>
  <c r="N57" i="33"/>
  <c r="N41" i="33"/>
  <c r="N26" i="33" s="1"/>
  <c r="N40" i="33"/>
  <c r="N25" i="33" s="1"/>
  <c r="N9" i="33"/>
  <c r="N42" i="33"/>
  <c r="N86" i="33"/>
  <c r="N69" i="33"/>
  <c r="N11" i="33"/>
  <c r="N71" i="33"/>
  <c r="N55" i="33"/>
  <c r="Z114" i="2"/>
  <c r="H102" i="2"/>
  <c r="F102" i="2"/>
  <c r="D138" i="2" s="1"/>
  <c r="F138" i="2" s="1"/>
  <c r="AE129" i="65"/>
  <c r="J129" i="65"/>
  <c r="F127" i="37"/>
  <c r="M122" i="37"/>
  <c r="T23" i="33"/>
  <c r="R79" i="11"/>
  <c r="C11" i="31"/>
  <c r="C44" i="31" s="1"/>
  <c r="H73" i="33"/>
  <c r="F73" i="33"/>
  <c r="D115" i="48"/>
  <c r="D114" i="37"/>
  <c r="E47" i="17"/>
  <c r="C175" i="65"/>
  <c r="AJ174" i="65"/>
  <c r="F127" i="59"/>
  <c r="D127" i="59"/>
  <c r="L101" i="39"/>
  <c r="R23" i="33"/>
  <c r="K122" i="37"/>
  <c r="AC79" i="11"/>
  <c r="AJ79" i="11"/>
  <c r="O119" i="48"/>
  <c r="M24" i="33"/>
  <c r="AQ79" i="11"/>
  <c r="M53" i="59"/>
  <c r="M112" i="46"/>
  <c r="C112" i="46" s="1"/>
  <c r="R68" i="59"/>
  <c r="R83" i="59"/>
  <c r="F7" i="31"/>
  <c r="J7" i="31"/>
  <c r="G7" i="31"/>
  <c r="E11" i="31"/>
  <c r="H45" i="38"/>
  <c r="AD29" i="38"/>
  <c r="F45" i="38"/>
  <c r="S26" i="38"/>
  <c r="E122" i="37"/>
  <c r="L23" i="33"/>
  <c r="C171" i="65"/>
  <c r="AJ172" i="65"/>
  <c r="J127" i="48"/>
  <c r="E128" i="48"/>
  <c r="L123" i="37"/>
  <c r="S27" i="33"/>
  <c r="M128" i="48"/>
  <c r="G126" i="37"/>
  <c r="R27" i="38"/>
  <c r="K89" i="39" s="1"/>
  <c r="AC129" i="65"/>
  <c r="F129" i="65"/>
  <c r="M127" i="48"/>
  <c r="Q26" i="33"/>
  <c r="F122" i="37"/>
  <c r="M23" i="33"/>
  <c r="N126" i="46"/>
  <c r="N5" i="52"/>
  <c r="N98" i="46"/>
  <c r="N67" i="46"/>
  <c r="C67" i="46" s="1"/>
  <c r="N38" i="46"/>
  <c r="N97" i="46"/>
  <c r="N82" i="46"/>
  <c r="N23" i="46"/>
  <c r="C23" i="46" s="1"/>
  <c r="N112" i="46"/>
  <c r="N83" i="46"/>
  <c r="N52" i="46"/>
  <c r="N53" i="46"/>
  <c r="N37" i="46"/>
  <c r="N22" i="46"/>
  <c r="N1" i="46"/>
  <c r="N68" i="46" s="1"/>
  <c r="R23" i="59"/>
  <c r="D11" i="19"/>
  <c r="F7" i="19"/>
  <c r="C122" i="37"/>
  <c r="J23" i="33"/>
  <c r="H109" i="38"/>
  <c r="F109" i="38"/>
  <c r="E127" i="48"/>
  <c r="E96" i="39"/>
  <c r="L24" i="38"/>
  <c r="E119" i="37"/>
  <c r="G128" i="48"/>
  <c r="N124" i="48"/>
  <c r="O98" i="33"/>
  <c r="O8" i="33"/>
  <c r="O83" i="33"/>
  <c r="O38" i="33"/>
  <c r="O68" i="33"/>
  <c r="P5" i="33"/>
  <c r="O53" i="33"/>
  <c r="O1" i="33"/>
  <c r="O124" i="48"/>
  <c r="L27" i="38"/>
  <c r="E89" i="39" s="1"/>
  <c r="J124" i="48"/>
  <c r="T79" i="11"/>
  <c r="Q25" i="33"/>
  <c r="T100" i="33"/>
  <c r="T99" i="33"/>
  <c r="T72" i="33"/>
  <c r="T70" i="33"/>
  <c r="T41" i="33"/>
  <c r="T39" i="33"/>
  <c r="T57" i="33"/>
  <c r="T55" i="33"/>
  <c r="T86" i="33"/>
  <c r="T101" i="33"/>
  <c r="T85" i="33"/>
  <c r="T102" i="33"/>
  <c r="T40" i="33"/>
  <c r="T87" i="33"/>
  <c r="T12" i="33"/>
  <c r="T9" i="33"/>
  <c r="T42" i="33"/>
  <c r="T69" i="33"/>
  <c r="T84" i="33"/>
  <c r="T11" i="33"/>
  <c r="T71" i="33"/>
  <c r="T54" i="33"/>
  <c r="T10" i="33"/>
  <c r="T56" i="33"/>
  <c r="N83" i="59"/>
  <c r="N53" i="59"/>
  <c r="N1" i="59"/>
  <c r="N67" i="59" s="1"/>
  <c r="N120" i="48"/>
  <c r="J25" i="33"/>
  <c r="H8" i="31"/>
  <c r="F61" i="38"/>
  <c r="H61" i="38"/>
  <c r="N123" i="48"/>
  <c r="F54" i="46"/>
  <c r="D54" i="46"/>
  <c r="F39" i="46"/>
  <c r="D39" i="46"/>
  <c r="E124" i="48"/>
  <c r="G124" i="48"/>
  <c r="N67" i="8"/>
  <c r="M67" i="8"/>
  <c r="L100" i="39"/>
  <c r="G122" i="37"/>
  <c r="N23" i="33"/>
  <c r="E101" i="39"/>
  <c r="M126" i="37"/>
  <c r="H123" i="48"/>
  <c r="R9" i="59"/>
  <c r="E11" i="19"/>
  <c r="J24" i="33"/>
  <c r="J24" i="38"/>
  <c r="C96" i="39"/>
  <c r="I9" i="31"/>
  <c r="AL114" i="2"/>
  <c r="I102" i="2"/>
  <c r="D150" i="2" s="1"/>
  <c r="F150" i="2" s="1"/>
  <c r="D100" i="39"/>
  <c r="J122" i="37"/>
  <c r="Q23" i="33"/>
  <c r="U88" i="38"/>
  <c r="U104" i="38"/>
  <c r="U72" i="38"/>
  <c r="U40" i="38"/>
  <c r="V5" i="38"/>
  <c r="U1" i="38"/>
  <c r="U56" i="38"/>
  <c r="U8" i="38"/>
  <c r="AR79" i="11"/>
  <c r="T105" i="38"/>
  <c r="T12" i="38"/>
  <c r="T90" i="38"/>
  <c r="T76" i="38"/>
  <c r="T74" i="38"/>
  <c r="T43" i="38"/>
  <c r="T27" i="38" s="1"/>
  <c r="M89" i="39" s="1"/>
  <c r="T41" i="38"/>
  <c r="T25" i="38" s="1"/>
  <c r="M87" i="39" s="1"/>
  <c r="T44" i="38"/>
  <c r="T11" i="38"/>
  <c r="T57" i="38"/>
  <c r="T92" i="38"/>
  <c r="T106" i="38"/>
  <c r="T91" i="38"/>
  <c r="T89" i="38"/>
  <c r="T58" i="38"/>
  <c r="T107" i="38"/>
  <c r="T73" i="38"/>
  <c r="T59" i="38"/>
  <c r="T60" i="38"/>
  <c r="T42" i="38"/>
  <c r="T26" i="38" s="1"/>
  <c r="M88" i="39" s="1"/>
  <c r="T75" i="38"/>
  <c r="T108" i="38"/>
  <c r="T10" i="38"/>
  <c r="T9" i="38"/>
  <c r="E123" i="48"/>
  <c r="F24" i="46"/>
  <c r="D24" i="46"/>
  <c r="L97" i="39"/>
  <c r="S28" i="38"/>
  <c r="S25" i="33"/>
  <c r="AO79" i="11"/>
  <c r="AL5" i="11"/>
  <c r="T113" i="46"/>
  <c r="G123" i="48"/>
  <c r="L26" i="38"/>
  <c r="E88" i="39" s="1"/>
  <c r="S35" i="35"/>
  <c r="P35" i="35"/>
  <c r="E249" i="65"/>
  <c r="AB249" i="65"/>
  <c r="J123" i="37"/>
  <c r="Q27" i="33"/>
  <c r="M68" i="59"/>
  <c r="M68" i="46"/>
  <c r="M53" i="46"/>
  <c r="R37" i="59"/>
  <c r="AK79" i="11"/>
  <c r="C123" i="37"/>
  <c r="J27" i="33"/>
  <c r="C100" i="39"/>
  <c r="D128" i="48"/>
  <c r="F69" i="46"/>
  <c r="D69" i="46"/>
  <c r="P22" i="17"/>
  <c r="P53" i="17"/>
  <c r="P26" i="17"/>
  <c r="P76" i="17"/>
  <c r="P78" i="17"/>
  <c r="P80" i="17"/>
  <c r="P28" i="17"/>
  <c r="P82" i="17"/>
  <c r="P77" i="17"/>
  <c r="P20" i="17"/>
  <c r="P27" i="17"/>
  <c r="P79" i="17"/>
  <c r="P50" i="17"/>
  <c r="P81" i="17"/>
  <c r="P52" i="17"/>
  <c r="P51" i="17"/>
  <c r="P24" i="17"/>
  <c r="P25" i="17"/>
  <c r="P23" i="17"/>
  <c r="P21" i="17"/>
  <c r="P75" i="17"/>
  <c r="P83" i="17"/>
  <c r="O128" i="48"/>
  <c r="E97" i="39"/>
  <c r="L28" i="38"/>
  <c r="E8" i="17"/>
  <c r="K21" i="8"/>
  <c r="K19" i="18"/>
  <c r="R8" i="59"/>
  <c r="AJ252" i="65"/>
  <c r="C251" i="65"/>
  <c r="D11" i="31"/>
  <c r="I7" i="31"/>
  <c r="G9" i="31"/>
  <c r="J9" i="31"/>
  <c r="F9" i="31"/>
  <c r="S79" i="11"/>
  <c r="G120" i="48"/>
  <c r="J100" i="39"/>
  <c r="M96" i="39"/>
  <c r="T24" i="38"/>
  <c r="F54" i="59"/>
  <c r="D54" i="59"/>
  <c r="L127" i="37"/>
  <c r="AN79" i="11"/>
  <c r="M106" i="38"/>
  <c r="M91" i="38"/>
  <c r="M105" i="38"/>
  <c r="M42" i="38"/>
  <c r="M9" i="38"/>
  <c r="M90" i="38"/>
  <c r="M59" i="38"/>
  <c r="M44" i="38"/>
  <c r="M43" i="38"/>
  <c r="M57" i="38"/>
  <c r="M10" i="38"/>
  <c r="M89" i="38"/>
  <c r="M92" i="38"/>
  <c r="M58" i="38"/>
  <c r="M107" i="38"/>
  <c r="M73" i="38"/>
  <c r="M41" i="38"/>
  <c r="M74" i="38"/>
  <c r="M60" i="38"/>
  <c r="M108" i="38"/>
  <c r="M75" i="38"/>
  <c r="M11" i="38"/>
  <c r="M76" i="38"/>
  <c r="M12" i="38"/>
  <c r="D116" i="48"/>
  <c r="D115" i="37"/>
  <c r="AI79" i="11"/>
  <c r="T67" i="46"/>
  <c r="C38" i="46"/>
  <c r="F123" i="48"/>
  <c r="R113" i="59"/>
  <c r="C255" i="65"/>
  <c r="AJ254" i="65"/>
  <c r="J27" i="38"/>
  <c r="M123" i="48"/>
  <c r="H7" i="31"/>
  <c r="Q11" i="31"/>
  <c r="H10" i="31"/>
  <c r="K127" i="37"/>
  <c r="D123" i="48"/>
  <c r="K127" i="48"/>
  <c r="K97" i="39"/>
  <c r="R28" i="38"/>
  <c r="M100" i="39"/>
  <c r="X9" i="65"/>
  <c r="BT115" i="65"/>
  <c r="BT355" i="65"/>
  <c r="BH275" i="65"/>
  <c r="DD275" i="65"/>
  <c r="CR195" i="65"/>
  <c r="BN35" i="65"/>
  <c r="CL115" i="65"/>
  <c r="CL355" i="65"/>
  <c r="BZ275" i="65"/>
  <c r="BN195" i="65"/>
  <c r="CF35" i="65"/>
  <c r="BH115" i="65"/>
  <c r="DD115" i="65"/>
  <c r="BH355" i="65"/>
  <c r="DD355" i="65"/>
  <c r="CR275" i="65"/>
  <c r="CF195" i="65"/>
  <c r="CX35" i="65"/>
  <c r="BZ115" i="65"/>
  <c r="BZ355" i="65"/>
  <c r="BN275" i="65"/>
  <c r="CX195" i="65"/>
  <c r="BT35" i="65"/>
  <c r="CR115" i="65"/>
  <c r="CR355" i="65"/>
  <c r="CF275" i="65"/>
  <c r="BT195" i="65"/>
  <c r="CL35" i="65"/>
  <c r="BN115" i="65"/>
  <c r="BN355" i="65"/>
  <c r="CX275" i="65"/>
  <c r="CL195" i="65"/>
  <c r="BH35" i="65"/>
  <c r="DD35" i="65"/>
  <c r="CF355" i="65"/>
  <c r="BT275" i="65"/>
  <c r="BH195" i="65"/>
  <c r="DD195" i="65"/>
  <c r="CX355" i="65"/>
  <c r="CX115" i="65"/>
  <c r="BZ195" i="65"/>
  <c r="BZ35" i="65"/>
  <c r="CF115" i="65"/>
  <c r="CL275" i="65"/>
  <c r="CR35" i="65"/>
  <c r="F84" i="46"/>
  <c r="D84" i="46"/>
  <c r="G119" i="48"/>
  <c r="C11" i="65"/>
  <c r="N12" i="65"/>
  <c r="K369" i="65"/>
  <c r="AF369" i="65"/>
  <c r="S27" i="38"/>
  <c r="F100" i="39"/>
  <c r="L123" i="48"/>
  <c r="T37" i="46"/>
  <c r="W79" i="11"/>
  <c r="M23" i="59"/>
  <c r="M113" i="59"/>
  <c r="M83" i="46"/>
  <c r="L102" i="2"/>
  <c r="R97" i="59"/>
  <c r="J28" i="38"/>
  <c r="C97" i="39"/>
  <c r="R24" i="33"/>
  <c r="P11" i="31"/>
  <c r="F114" i="59"/>
  <c r="D114" i="59"/>
  <c r="K101" i="39"/>
  <c r="O123" i="48"/>
  <c r="Z79" i="11"/>
  <c r="C98" i="46"/>
  <c r="H124" i="48"/>
  <c r="C97" i="46"/>
  <c r="J25" i="38"/>
  <c r="H88" i="33"/>
  <c r="F88" i="33"/>
  <c r="F69" i="59"/>
  <c r="D69" i="59"/>
  <c r="J126" i="37"/>
  <c r="C333" i="65"/>
  <c r="C399" i="65"/>
  <c r="C386" i="65"/>
  <c r="C373" i="65"/>
  <c r="C359" i="65"/>
  <c r="C346" i="65"/>
  <c r="H35" i="65"/>
  <c r="H235" i="65"/>
  <c r="H182" i="65"/>
  <c r="H22" i="65"/>
  <c r="H169" i="65"/>
  <c r="H75" i="65"/>
  <c r="H9" i="65"/>
  <c r="H62" i="65"/>
  <c r="H49" i="65"/>
  <c r="H209" i="65"/>
  <c r="H222" i="65"/>
  <c r="H195" i="65"/>
  <c r="F99" i="59"/>
  <c r="D99" i="59"/>
  <c r="N127" i="48"/>
  <c r="AC89" i="65"/>
  <c r="F89" i="65"/>
  <c r="AM89" i="65"/>
  <c r="N14" i="65"/>
  <c r="C15" i="65"/>
  <c r="N1" i="38"/>
  <c r="N88" i="38"/>
  <c r="N56" i="38"/>
  <c r="O5" i="38"/>
  <c r="N72" i="38"/>
  <c r="N104" i="38"/>
  <c r="N8" i="38"/>
  <c r="N40" i="38"/>
  <c r="J96" i="39"/>
  <c r="Q24" i="38"/>
  <c r="AM79" i="11"/>
  <c r="F114" i="46"/>
  <c r="D114" i="46"/>
  <c r="AO89" i="65"/>
  <c r="J89" i="65"/>
  <c r="AE89" i="65"/>
  <c r="E369" i="65"/>
  <c r="AB369" i="65"/>
  <c r="S24" i="33"/>
  <c r="S23" i="33"/>
  <c r="L122" i="37"/>
  <c r="M24" i="38"/>
  <c r="F96" i="39"/>
  <c r="D122" i="37"/>
  <c r="K23" i="33"/>
  <c r="M66" i="8"/>
  <c r="N66" i="8"/>
  <c r="D161" i="2"/>
  <c r="C126" i="46"/>
  <c r="M22" i="59"/>
  <c r="R53" i="59"/>
  <c r="C82" i="46"/>
  <c r="J26" i="38"/>
  <c r="H103" i="33"/>
  <c r="F103" i="33"/>
  <c r="N128" i="48"/>
  <c r="E126" i="37"/>
  <c r="D126" i="37"/>
  <c r="D127" i="46"/>
  <c r="F127" i="46"/>
  <c r="AL79" i="11"/>
  <c r="K24" i="38"/>
  <c r="D96" i="39"/>
  <c r="S25" i="38"/>
  <c r="S26" i="33"/>
  <c r="D93" i="39"/>
  <c r="L127" i="48"/>
  <c r="D127" i="48"/>
  <c r="P79" i="11"/>
  <c r="J101" i="39"/>
  <c r="J97" i="39"/>
  <c r="Q28" i="38"/>
  <c r="AP79" i="11"/>
  <c r="S98" i="59"/>
  <c r="S112" i="59"/>
  <c r="T5" i="59"/>
  <c r="S38" i="59"/>
  <c r="S1" i="59"/>
  <c r="S52" i="59" s="1"/>
  <c r="S125" i="59"/>
  <c r="S113" i="59"/>
  <c r="S37" i="59"/>
  <c r="S23" i="59"/>
  <c r="S53" i="59"/>
  <c r="S126" i="59"/>
  <c r="S9" i="59"/>
  <c r="S97" i="59"/>
  <c r="S22" i="59"/>
  <c r="S67" i="59"/>
  <c r="C52" i="46"/>
  <c r="D119" i="37"/>
  <c r="G8" i="31"/>
  <c r="F8" i="31"/>
  <c r="J8" i="31"/>
  <c r="AD28" i="33"/>
  <c r="H43" i="33"/>
  <c r="F43" i="33"/>
  <c r="R25" i="33"/>
  <c r="AG79" i="11"/>
  <c r="K34" i="18"/>
  <c r="J123" i="48"/>
  <c r="F99" i="46"/>
  <c r="D99" i="46"/>
  <c r="F84" i="59"/>
  <c r="D84" i="59"/>
  <c r="E100" i="39"/>
  <c r="F127" i="48"/>
  <c r="K96" i="39"/>
  <c r="R24" i="38"/>
  <c r="U114" i="2"/>
  <c r="K102" i="2"/>
  <c r="O52" i="17"/>
  <c r="O25" i="17"/>
  <c r="O77" i="17"/>
  <c r="O28" i="17"/>
  <c r="O27" i="17"/>
  <c r="O26" i="17"/>
  <c r="O79" i="17"/>
  <c r="O76" i="17"/>
  <c r="O81" i="17"/>
  <c r="O78" i="17"/>
  <c r="O22" i="17"/>
  <c r="O80" i="17"/>
  <c r="O24" i="17"/>
  <c r="O51" i="17"/>
  <c r="O21" i="17"/>
  <c r="O82" i="17"/>
  <c r="O53" i="17"/>
  <c r="O50" i="17"/>
  <c r="O83" i="17"/>
  <c r="O20" i="17"/>
  <c r="O75" i="17"/>
  <c r="O23" i="17"/>
  <c r="F122" i="2"/>
  <c r="D158" i="2" s="1"/>
  <c r="AT79" i="11"/>
  <c r="H119" i="48"/>
  <c r="R26" i="33"/>
  <c r="C123" i="48"/>
  <c r="C22" i="46"/>
  <c r="C101" i="39"/>
  <c r="C127" i="37"/>
  <c r="H58" i="33"/>
  <c r="F58" i="33"/>
  <c r="Q11" i="65"/>
  <c r="Q90" i="65"/>
  <c r="Q15" i="65"/>
  <c r="Q91" i="65"/>
  <c r="Q16" i="65"/>
  <c r="Q92" i="65"/>
  <c r="Q96" i="65"/>
  <c r="Q13" i="65"/>
  <c r="Q10" i="65"/>
  <c r="Q94" i="65"/>
  <c r="Q14" i="65"/>
  <c r="Q95" i="65"/>
  <c r="Q12" i="65"/>
  <c r="Q18" i="65"/>
  <c r="Q93" i="65"/>
  <c r="D89" i="61"/>
  <c r="D137" i="61" s="1"/>
  <c r="C18" i="61"/>
  <c r="D10" i="64" s="1"/>
  <c r="E10" i="64" s="1"/>
  <c r="D133" i="61"/>
  <c r="D62" i="64"/>
  <c r="E62" i="64" s="1"/>
  <c r="C53" i="59" l="1"/>
  <c r="C67" i="59"/>
  <c r="M26" i="38"/>
  <c r="F88" i="39" s="1"/>
  <c r="F101" i="39"/>
  <c r="AB89" i="65"/>
  <c r="AL89" i="65"/>
  <c r="E89" i="65"/>
  <c r="I128" i="48"/>
  <c r="F86" i="39"/>
  <c r="F92" i="39" s="1"/>
  <c r="D86" i="39"/>
  <c r="D92" i="39" s="1"/>
  <c r="CY355" i="65"/>
  <c r="CM275" i="65"/>
  <c r="CA195" i="65"/>
  <c r="CS35" i="65"/>
  <c r="BU115" i="65"/>
  <c r="BU355" i="65"/>
  <c r="BI275" i="65"/>
  <c r="DE275" i="65"/>
  <c r="CS195" i="65"/>
  <c r="BO35" i="65"/>
  <c r="CM115" i="65"/>
  <c r="CM355" i="65"/>
  <c r="CA275" i="65"/>
  <c r="BO195" i="65"/>
  <c r="CG35" i="65"/>
  <c r="BI115" i="65"/>
  <c r="DE115" i="65"/>
  <c r="BI355" i="65"/>
  <c r="DE355" i="65"/>
  <c r="CS275" i="65"/>
  <c r="CG195" i="65"/>
  <c r="CY35" i="65"/>
  <c r="CA115" i="65"/>
  <c r="CA355" i="65"/>
  <c r="BO275" i="65"/>
  <c r="CY195" i="65"/>
  <c r="BU35" i="65"/>
  <c r="CS115" i="65"/>
  <c r="CS355" i="65"/>
  <c r="CG275" i="65"/>
  <c r="BU195" i="65"/>
  <c r="CM35" i="65"/>
  <c r="BO115" i="65"/>
  <c r="CY115" i="65"/>
  <c r="BO355" i="65"/>
  <c r="BU275" i="65"/>
  <c r="CM195" i="65"/>
  <c r="CA35" i="65"/>
  <c r="CG115" i="65"/>
  <c r="CG355" i="65"/>
  <c r="BI195" i="65"/>
  <c r="DE195" i="65"/>
  <c r="BI35" i="65"/>
  <c r="CY275" i="65"/>
  <c r="DE35" i="65"/>
  <c r="K93" i="39"/>
  <c r="G49" i="65"/>
  <c r="F49" i="65" s="1"/>
  <c r="E49" i="65" s="1"/>
  <c r="D49" i="65" s="1"/>
  <c r="I49" i="65"/>
  <c r="J49" i="65" s="1"/>
  <c r="K49" i="65" s="1"/>
  <c r="L49" i="65" s="1"/>
  <c r="C83" i="46"/>
  <c r="I62" i="65"/>
  <c r="J62" i="65" s="1"/>
  <c r="K62" i="65" s="1"/>
  <c r="L62" i="65" s="1"/>
  <c r="G62" i="65"/>
  <c r="F62" i="65" s="1"/>
  <c r="E62" i="65" s="1"/>
  <c r="D62" i="65" s="1"/>
  <c r="C86" i="39"/>
  <c r="C92" i="39" s="1"/>
  <c r="N52" i="59"/>
  <c r="C52" i="59" s="1"/>
  <c r="U5" i="59"/>
  <c r="T1" i="59"/>
  <c r="T8" i="59" s="1"/>
  <c r="D113" i="48"/>
  <c r="D112" i="37"/>
  <c r="D118" i="37" s="1"/>
  <c r="G222" i="65"/>
  <c r="F222" i="65" s="1"/>
  <c r="E222" i="65" s="1"/>
  <c r="D222" i="65" s="1"/>
  <c r="I222" i="65"/>
  <c r="J222" i="65" s="1"/>
  <c r="K222" i="65" s="1"/>
  <c r="L222" i="65" s="1"/>
  <c r="C332" i="65"/>
  <c r="C331" i="65" s="1"/>
  <c r="C330" i="65" s="1"/>
  <c r="C334" i="65"/>
  <c r="C335" i="65" s="1"/>
  <c r="C336" i="65" s="1"/>
  <c r="K114" i="2"/>
  <c r="W71" i="11"/>
  <c r="S8" i="59"/>
  <c r="S68" i="59"/>
  <c r="AF89" i="65"/>
  <c r="K89" i="65"/>
  <c r="AP89" i="65"/>
  <c r="AD209" i="65"/>
  <c r="I209" i="65"/>
  <c r="G209" i="65"/>
  <c r="C114" i="48"/>
  <c r="C113" i="37"/>
  <c r="N8" i="59"/>
  <c r="N68" i="59"/>
  <c r="C68" i="59" s="1"/>
  <c r="E86" i="39"/>
  <c r="E92" i="39" s="1"/>
  <c r="N113" i="46"/>
  <c r="E113" i="48"/>
  <c r="E112" i="37"/>
  <c r="E118" i="37" s="1"/>
  <c r="L93" i="39"/>
  <c r="N22" i="59"/>
  <c r="C22" i="59" s="1"/>
  <c r="N113" i="59"/>
  <c r="I123" i="48"/>
  <c r="J11" i="31"/>
  <c r="F114" i="48"/>
  <c r="F113" i="37"/>
  <c r="C176" i="65"/>
  <c r="AJ176" i="65" s="1"/>
  <c r="AJ175" i="65"/>
  <c r="G123" i="37"/>
  <c r="N27" i="33"/>
  <c r="K119" i="37"/>
  <c r="K9" i="11"/>
  <c r="C119" i="11"/>
  <c r="P123" i="48"/>
  <c r="N126" i="59"/>
  <c r="C126" i="59" s="1"/>
  <c r="K129" i="65"/>
  <c r="AF129" i="65"/>
  <c r="U102" i="33"/>
  <c r="U99" i="33"/>
  <c r="U101" i="33"/>
  <c r="U72" i="33"/>
  <c r="U70" i="33"/>
  <c r="U41" i="33"/>
  <c r="U39" i="33"/>
  <c r="U57" i="33"/>
  <c r="U55" i="33"/>
  <c r="U87" i="33"/>
  <c r="U86" i="33"/>
  <c r="U12" i="33"/>
  <c r="U9" i="33"/>
  <c r="U42" i="33"/>
  <c r="U69" i="33"/>
  <c r="U84" i="33"/>
  <c r="U11" i="33"/>
  <c r="U71" i="33"/>
  <c r="U54" i="33"/>
  <c r="U10" i="33"/>
  <c r="U56" i="33"/>
  <c r="U100" i="33"/>
  <c r="U85" i="33"/>
  <c r="U40" i="33"/>
  <c r="H128" i="48"/>
  <c r="L88" i="39"/>
  <c r="G115" i="48"/>
  <c r="G114" i="37"/>
  <c r="N122" i="37"/>
  <c r="U23" i="33"/>
  <c r="C96" i="65"/>
  <c r="N96" i="65" s="1"/>
  <c r="N95" i="65"/>
  <c r="C68" i="46"/>
  <c r="N114" i="2"/>
  <c r="E102" i="2"/>
  <c r="D126" i="2" s="1"/>
  <c r="P124" i="48"/>
  <c r="N38" i="59"/>
  <c r="C38" i="59" s="1"/>
  <c r="I75" i="65"/>
  <c r="J75" i="65" s="1"/>
  <c r="K75" i="65" s="1"/>
  <c r="L75" i="65" s="1"/>
  <c r="G75" i="65"/>
  <c r="F75" i="65" s="1"/>
  <c r="E75" i="65" s="1"/>
  <c r="D75" i="65" s="1"/>
  <c r="M25" i="38"/>
  <c r="F87" i="39" s="1"/>
  <c r="F113" i="48"/>
  <c r="F112" i="37"/>
  <c r="F118" i="37" s="1"/>
  <c r="G116" i="48"/>
  <c r="G115" i="37"/>
  <c r="F115" i="48"/>
  <c r="F114" i="37"/>
  <c r="C113" i="48"/>
  <c r="C112" i="37"/>
  <c r="C118" i="37" s="1"/>
  <c r="N97" i="59"/>
  <c r="C97" i="59" s="1"/>
  <c r="M127" i="37"/>
  <c r="K86" i="39"/>
  <c r="K92" i="39" s="1"/>
  <c r="S83" i="59"/>
  <c r="C83" i="59" s="1"/>
  <c r="AD169" i="65"/>
  <c r="I169" i="65"/>
  <c r="G169" i="65"/>
  <c r="L89" i="39"/>
  <c r="I11" i="31"/>
  <c r="C18" i="31" s="1"/>
  <c r="N82" i="59"/>
  <c r="T24" i="33"/>
  <c r="N125" i="46"/>
  <c r="G127" i="37"/>
  <c r="V53" i="33"/>
  <c r="V83" i="33"/>
  <c r="W5" i="33"/>
  <c r="V68" i="33"/>
  <c r="V1" i="33"/>
  <c r="V8" i="33"/>
  <c r="V98" i="33"/>
  <c r="V38" i="33"/>
  <c r="U98" i="46"/>
  <c r="D329" i="65"/>
  <c r="Z329" i="65" s="1"/>
  <c r="AA329" i="65"/>
  <c r="J93" i="39"/>
  <c r="I22" i="65"/>
  <c r="J22" i="65" s="1"/>
  <c r="K22" i="65" s="1"/>
  <c r="L22" i="65" s="1"/>
  <c r="G22" i="65"/>
  <c r="F22" i="65" s="1"/>
  <c r="E22" i="65" s="1"/>
  <c r="D22" i="65" s="1"/>
  <c r="C87" i="39"/>
  <c r="O127" i="48"/>
  <c r="M97" i="39"/>
  <c r="T28" i="38"/>
  <c r="I114" i="2"/>
  <c r="D154" i="2" s="1"/>
  <c r="F154" i="2" s="1"/>
  <c r="AN71" i="11"/>
  <c r="L114" i="2"/>
  <c r="N112" i="59"/>
  <c r="T26" i="33"/>
  <c r="H114" i="2"/>
  <c r="AB71" i="11"/>
  <c r="F114" i="2"/>
  <c r="D142" i="2" s="1"/>
  <c r="F142" i="2" s="1"/>
  <c r="G114" i="48"/>
  <c r="G113" i="37"/>
  <c r="F119" i="37"/>
  <c r="U68" i="46"/>
  <c r="L113" i="48"/>
  <c r="L112" i="37"/>
  <c r="L118" i="37" s="1"/>
  <c r="O88" i="38"/>
  <c r="O104" i="38"/>
  <c r="O8" i="38"/>
  <c r="O1" i="38"/>
  <c r="O72" i="38"/>
  <c r="O40" i="38"/>
  <c r="P5" i="38"/>
  <c r="O56" i="38"/>
  <c r="I182" i="65"/>
  <c r="J182" i="65" s="1"/>
  <c r="K182" i="65" s="1"/>
  <c r="L182" i="65" s="1"/>
  <c r="G182" i="65"/>
  <c r="F182" i="65" s="1"/>
  <c r="E182" i="65" s="1"/>
  <c r="D182" i="65" s="1"/>
  <c r="L369" i="65"/>
  <c r="AH369" i="65" s="1"/>
  <c r="AG369" i="65"/>
  <c r="C89" i="39"/>
  <c r="J119" i="37"/>
  <c r="O100" i="33"/>
  <c r="O87" i="33"/>
  <c r="O85" i="33"/>
  <c r="O102" i="33"/>
  <c r="O101" i="33"/>
  <c r="O10" i="33"/>
  <c r="O99" i="33"/>
  <c r="O56" i="33"/>
  <c r="O54" i="33"/>
  <c r="O84" i="33"/>
  <c r="O86" i="33"/>
  <c r="O39" i="33"/>
  <c r="O57" i="33"/>
  <c r="O41" i="33"/>
  <c r="O40" i="33"/>
  <c r="O12" i="33"/>
  <c r="O9" i="33"/>
  <c r="O42" i="33"/>
  <c r="O70" i="33"/>
  <c r="O69" i="33"/>
  <c r="O11" i="33"/>
  <c r="O72" i="33"/>
  <c r="O71" i="33"/>
  <c r="O55" i="33"/>
  <c r="J116" i="48"/>
  <c r="J115" i="37"/>
  <c r="N126" i="37"/>
  <c r="U67" i="46"/>
  <c r="L86" i="39"/>
  <c r="L92" i="39" s="1"/>
  <c r="I124" i="48"/>
  <c r="U126" i="46"/>
  <c r="P8" i="33"/>
  <c r="P98" i="33"/>
  <c r="P68" i="33"/>
  <c r="E68" i="33" s="1"/>
  <c r="P83" i="33"/>
  <c r="P38" i="33"/>
  <c r="P53" i="33"/>
  <c r="P1" i="33"/>
  <c r="M113" i="48"/>
  <c r="M112" i="37"/>
  <c r="M118" i="37" s="1"/>
  <c r="U8" i="46"/>
  <c r="N89" i="38"/>
  <c r="N59" i="38"/>
  <c r="N57" i="38"/>
  <c r="N11" i="38"/>
  <c r="N9" i="38"/>
  <c r="N108" i="38"/>
  <c r="N105" i="38"/>
  <c r="N12" i="38"/>
  <c r="N106" i="38"/>
  <c r="N91" i="38"/>
  <c r="N73" i="38"/>
  <c r="N58" i="38"/>
  <c r="N10" i="38"/>
  <c r="N92" i="38"/>
  <c r="N107" i="38"/>
  <c r="N41" i="38"/>
  <c r="N90" i="38"/>
  <c r="N74" i="38"/>
  <c r="N60" i="38"/>
  <c r="N42" i="38"/>
  <c r="N75" i="38"/>
  <c r="N43" i="38"/>
  <c r="N44" i="38"/>
  <c r="N76" i="38"/>
  <c r="C345" i="65"/>
  <c r="C344" i="65" s="1"/>
  <c r="C343" i="65" s="1"/>
  <c r="C347" i="65"/>
  <c r="C348" i="65" s="1"/>
  <c r="C349" i="65" s="1"/>
  <c r="AJ251" i="65"/>
  <c r="C250" i="65"/>
  <c r="AJ250" i="65" s="1"/>
  <c r="C119" i="37"/>
  <c r="AM5" i="11"/>
  <c r="V56" i="38"/>
  <c r="V8" i="38"/>
  <c r="V40" i="38"/>
  <c r="V104" i="38"/>
  <c r="W5" i="38"/>
  <c r="V1" i="38"/>
  <c r="V88" i="38"/>
  <c r="V72" i="38"/>
  <c r="C115" i="48"/>
  <c r="C114" i="37"/>
  <c r="N125" i="59"/>
  <c r="C125" i="59" s="1"/>
  <c r="F11" i="19"/>
  <c r="C116" i="48"/>
  <c r="C115" i="37"/>
  <c r="U37" i="46"/>
  <c r="C88" i="39"/>
  <c r="L114" i="48"/>
  <c r="L113" i="37"/>
  <c r="M123" i="37"/>
  <c r="T27" i="33"/>
  <c r="AJ255" i="65"/>
  <c r="C256" i="65"/>
  <c r="AJ256" i="65" s="1"/>
  <c r="D249" i="65"/>
  <c r="Z249" i="65" s="1"/>
  <c r="AA249" i="65"/>
  <c r="M101" i="39"/>
  <c r="U24" i="38"/>
  <c r="N96" i="39"/>
  <c r="N23" i="59"/>
  <c r="C23" i="59" s="1"/>
  <c r="J115" i="48"/>
  <c r="J114" i="37"/>
  <c r="H122" i="37"/>
  <c r="O23" i="33"/>
  <c r="N9" i="46"/>
  <c r="L119" i="37"/>
  <c r="V125" i="46"/>
  <c r="V112" i="46"/>
  <c r="V67" i="46"/>
  <c r="V5" i="52"/>
  <c r="V8" i="46"/>
  <c r="V126" i="46"/>
  <c r="V53" i="46"/>
  <c r="W5" i="46"/>
  <c r="V68" i="46"/>
  <c r="V52" i="46"/>
  <c r="V23" i="46"/>
  <c r="V83" i="46"/>
  <c r="V22" i="46"/>
  <c r="V1" i="46"/>
  <c r="V37" i="46" s="1"/>
  <c r="V98" i="46"/>
  <c r="V82" i="46"/>
  <c r="V9" i="46"/>
  <c r="V97" i="46"/>
  <c r="G96" i="39"/>
  <c r="N24" i="38"/>
  <c r="I9" i="65"/>
  <c r="G9" i="65"/>
  <c r="AD49" i="65"/>
  <c r="AD9" i="65"/>
  <c r="K114" i="48"/>
  <c r="K113" i="37"/>
  <c r="L116" i="48"/>
  <c r="L115" i="37"/>
  <c r="C358" i="65"/>
  <c r="C357" i="65" s="1"/>
  <c r="C356" i="65" s="1"/>
  <c r="C360" i="65"/>
  <c r="C361" i="65" s="1"/>
  <c r="C362" i="65" s="1"/>
  <c r="K116" i="48"/>
  <c r="K115" i="37"/>
  <c r="K115" i="48"/>
  <c r="K114" i="37"/>
  <c r="C53" i="46"/>
  <c r="C372" i="65"/>
  <c r="C371" i="65" s="1"/>
  <c r="C370" i="65" s="1"/>
  <c r="C374" i="65"/>
  <c r="C375" i="65" s="1"/>
  <c r="C376" i="65" s="1"/>
  <c r="M27" i="38"/>
  <c r="F89" i="39" s="1"/>
  <c r="E93" i="39"/>
  <c r="N9" i="59"/>
  <c r="C9" i="59" s="1"/>
  <c r="H29" i="38"/>
  <c r="F29" i="38"/>
  <c r="C37" i="46"/>
  <c r="U53" i="46"/>
  <c r="U113" i="46"/>
  <c r="C385" i="65"/>
  <c r="C384" i="65" s="1"/>
  <c r="C383" i="65" s="1"/>
  <c r="C387" i="65"/>
  <c r="C388" i="65" s="1"/>
  <c r="C389" i="65" s="1"/>
  <c r="F97" i="39"/>
  <c r="M28" i="38"/>
  <c r="I127" i="48"/>
  <c r="E129" i="65"/>
  <c r="AB129" i="65"/>
  <c r="U38" i="46"/>
  <c r="U112" i="46"/>
  <c r="H28" i="33"/>
  <c r="F28" i="33"/>
  <c r="H126" i="37"/>
  <c r="G35" i="65"/>
  <c r="F35" i="65" s="1"/>
  <c r="E35" i="65" s="1"/>
  <c r="D35" i="65" s="1"/>
  <c r="I35" i="65"/>
  <c r="J35" i="65" s="1"/>
  <c r="K35" i="65" s="1"/>
  <c r="L35" i="65" s="1"/>
  <c r="C10" i="65"/>
  <c r="N10" i="65" s="1"/>
  <c r="N11" i="65"/>
  <c r="U107" i="38"/>
  <c r="U92" i="38"/>
  <c r="U58" i="38"/>
  <c r="U75" i="38"/>
  <c r="U60" i="38"/>
  <c r="U74" i="38"/>
  <c r="U59" i="38"/>
  <c r="U73" i="38"/>
  <c r="U41" i="38"/>
  <c r="U105" i="38"/>
  <c r="U90" i="38"/>
  <c r="U42" i="38"/>
  <c r="U43" i="38"/>
  <c r="U27" i="38" s="1"/>
  <c r="N89" i="39" s="1"/>
  <c r="U108" i="38"/>
  <c r="U12" i="38"/>
  <c r="U44" i="38"/>
  <c r="U91" i="38"/>
  <c r="U10" i="38"/>
  <c r="U106" i="38"/>
  <c r="U76" i="38"/>
  <c r="U11" i="38"/>
  <c r="U9" i="38"/>
  <c r="U57" i="38"/>
  <c r="U89" i="38"/>
  <c r="N98" i="59"/>
  <c r="C98" i="59" s="1"/>
  <c r="D369" i="65"/>
  <c r="Z369" i="65" s="1"/>
  <c r="AA369" i="65"/>
  <c r="J86" i="39"/>
  <c r="J92" i="39" s="1"/>
  <c r="N15" i="65"/>
  <c r="C16" i="65"/>
  <c r="N16" i="65" s="1"/>
  <c r="I195" i="65"/>
  <c r="J195" i="65" s="1"/>
  <c r="K195" i="65" s="1"/>
  <c r="L195" i="65" s="1"/>
  <c r="G195" i="65"/>
  <c r="F195" i="65" s="1"/>
  <c r="E195" i="65" s="1"/>
  <c r="D195" i="65" s="1"/>
  <c r="C398" i="65"/>
  <c r="C397" i="65" s="1"/>
  <c r="C396" i="65" s="1"/>
  <c r="C400" i="65"/>
  <c r="C401" i="65" s="1"/>
  <c r="C402" i="65" s="1"/>
  <c r="M86" i="39"/>
  <c r="M92" i="39" s="1"/>
  <c r="L115" i="48"/>
  <c r="L114" i="37"/>
  <c r="N37" i="59"/>
  <c r="C37" i="59" s="1"/>
  <c r="AJ171" i="65"/>
  <c r="C170" i="65"/>
  <c r="AJ170" i="65" s="1"/>
  <c r="K113" i="48"/>
  <c r="K112" i="37"/>
  <c r="K118" i="37" s="1"/>
  <c r="U9" i="46"/>
  <c r="U125" i="46"/>
  <c r="C90" i="65"/>
  <c r="N90" i="65" s="1"/>
  <c r="N91" i="65"/>
  <c r="G100" i="39"/>
  <c r="I235" i="65"/>
  <c r="J235" i="65" s="1"/>
  <c r="K235" i="65" s="1"/>
  <c r="L235" i="65" s="1"/>
  <c r="G235" i="65"/>
  <c r="F235" i="65" s="1"/>
  <c r="E235" i="65" s="1"/>
  <c r="D235" i="65" s="1"/>
  <c r="C93" i="39"/>
  <c r="N100" i="39"/>
  <c r="T25" i="33"/>
  <c r="S82" i="59"/>
  <c r="L87" i="39"/>
  <c r="H11" i="31"/>
  <c r="C19" i="31" s="1"/>
  <c r="J113" i="48"/>
  <c r="J112" i="37"/>
  <c r="J118" i="37" s="1"/>
  <c r="G113" i="48"/>
  <c r="G112" i="37"/>
  <c r="G118" i="37" s="1"/>
  <c r="N8" i="46"/>
  <c r="G11" i="31"/>
  <c r="C15" i="31" s="1"/>
  <c r="C17" i="31" s="1"/>
  <c r="F11" i="31"/>
  <c r="U82" i="46"/>
  <c r="C8" i="59" l="1"/>
  <c r="M93" i="39"/>
  <c r="T97" i="59"/>
  <c r="Q127" i="48"/>
  <c r="V24" i="38"/>
  <c r="O96" i="39"/>
  <c r="Q123" i="48"/>
  <c r="N86" i="39"/>
  <c r="N92" i="39" s="1"/>
  <c r="M119" i="37"/>
  <c r="G97" i="39"/>
  <c r="N28" i="38"/>
  <c r="P128" i="48"/>
  <c r="N123" i="37"/>
  <c r="U27" i="33"/>
  <c r="T23" i="59"/>
  <c r="U25" i="38"/>
  <c r="N27" i="38"/>
  <c r="C125" i="46"/>
  <c r="F169" i="65"/>
  <c r="AC169" i="65"/>
  <c r="E9" i="33"/>
  <c r="AG129" i="65"/>
  <c r="L129" i="65"/>
  <c r="AH129" i="65" s="1"/>
  <c r="T113" i="59"/>
  <c r="Q120" i="48"/>
  <c r="AN5" i="11"/>
  <c r="H123" i="37"/>
  <c r="O27" i="33"/>
  <c r="E42" i="33"/>
  <c r="M114" i="48"/>
  <c r="M113" i="37"/>
  <c r="J169" i="65"/>
  <c r="AE169" i="65"/>
  <c r="Q124" i="48"/>
  <c r="M115" i="48"/>
  <c r="M114" i="37"/>
  <c r="N26" i="38"/>
  <c r="C82" i="59"/>
  <c r="C113" i="46"/>
  <c r="F209" i="65"/>
  <c r="AC209" i="65"/>
  <c r="T38" i="59"/>
  <c r="C181" i="11"/>
  <c r="H100" i="39"/>
  <c r="V113" i="46"/>
  <c r="G101" i="39"/>
  <c r="P102" i="33"/>
  <c r="E102" i="33" s="1"/>
  <c r="P101" i="33"/>
  <c r="E101" i="33" s="1"/>
  <c r="P85" i="33"/>
  <c r="E85" i="33" s="1"/>
  <c r="P10" i="33"/>
  <c r="E10" i="33" s="1"/>
  <c r="P99" i="33"/>
  <c r="P56" i="33"/>
  <c r="E56" i="33" s="1"/>
  <c r="P54" i="33"/>
  <c r="P100" i="33"/>
  <c r="E100" i="33" s="1"/>
  <c r="P84" i="33"/>
  <c r="E84" i="33" s="1"/>
  <c r="P72" i="33"/>
  <c r="P70" i="33"/>
  <c r="E70" i="33" s="1"/>
  <c r="P41" i="33"/>
  <c r="P39" i="33"/>
  <c r="P24" i="33" s="1"/>
  <c r="P87" i="33"/>
  <c r="E87" i="33" s="1"/>
  <c r="P57" i="33"/>
  <c r="P40" i="33"/>
  <c r="P12" i="33"/>
  <c r="P9" i="33"/>
  <c r="P42" i="33"/>
  <c r="P69" i="33"/>
  <c r="E69" i="33" s="1"/>
  <c r="P86" i="33"/>
  <c r="E86" i="33" s="1"/>
  <c r="P11" i="33"/>
  <c r="P71" i="33"/>
  <c r="E71" i="33" s="1"/>
  <c r="P55" i="33"/>
  <c r="E55" i="33" s="1"/>
  <c r="P56" i="38"/>
  <c r="P8" i="38"/>
  <c r="P72" i="38"/>
  <c r="P104" i="38"/>
  <c r="E104" i="38" s="1"/>
  <c r="P40" i="38"/>
  <c r="E40" i="38" s="1"/>
  <c r="P88" i="38"/>
  <c r="P1" i="38"/>
  <c r="F126" i="2"/>
  <c r="D162" i="2" s="1"/>
  <c r="Q82" i="11" s="1"/>
  <c r="Q84" i="11" s="1"/>
  <c r="Q85" i="11" s="1"/>
  <c r="AI82" i="11"/>
  <c r="AB82" i="11"/>
  <c r="AM82" i="11"/>
  <c r="AM84" i="11" s="1"/>
  <c r="AM85" i="11" s="1"/>
  <c r="AE209" i="65"/>
  <c r="J209" i="65"/>
  <c r="T53" i="59"/>
  <c r="AA89" i="65"/>
  <c r="AK89" i="65"/>
  <c r="D89" i="65"/>
  <c r="Q128" i="48"/>
  <c r="I120" i="48"/>
  <c r="C9" i="46"/>
  <c r="I126" i="37"/>
  <c r="P127" i="48"/>
  <c r="O25" i="33"/>
  <c r="O24" i="38"/>
  <c r="H96" i="39"/>
  <c r="E114" i="2"/>
  <c r="D130" i="2" s="1"/>
  <c r="F130" i="2" s="1"/>
  <c r="D166" i="2" s="1"/>
  <c r="P71" i="11"/>
  <c r="U82" i="59"/>
  <c r="U1" i="59"/>
  <c r="U83" i="59" s="1"/>
  <c r="V5" i="59"/>
  <c r="U38" i="59"/>
  <c r="U37" i="59"/>
  <c r="J9" i="65"/>
  <c r="AE49" i="65"/>
  <c r="AE9" i="65"/>
  <c r="W5" i="52"/>
  <c r="W125" i="46"/>
  <c r="X5" i="46"/>
  <c r="W68" i="46"/>
  <c r="W1" i="46"/>
  <c r="W112" i="46" s="1"/>
  <c r="W23" i="46"/>
  <c r="I122" i="37"/>
  <c r="P23" i="33"/>
  <c r="E38" i="33"/>
  <c r="O26" i="33"/>
  <c r="U25" i="33"/>
  <c r="N127" i="37"/>
  <c r="T52" i="59"/>
  <c r="AC49" i="65"/>
  <c r="AC9" i="65"/>
  <c r="F9" i="65"/>
  <c r="O122" i="37"/>
  <c r="V23" i="33"/>
  <c r="U24" i="33"/>
  <c r="AQ89" i="65"/>
  <c r="L89" i="65"/>
  <c r="AG89" i="65"/>
  <c r="T68" i="59"/>
  <c r="H113" i="48"/>
  <c r="H112" i="37"/>
  <c r="H118" i="37" s="1"/>
  <c r="N25" i="38"/>
  <c r="U26" i="33"/>
  <c r="T82" i="59"/>
  <c r="P120" i="48"/>
  <c r="Q119" i="48"/>
  <c r="E98" i="33"/>
  <c r="K10" i="18"/>
  <c r="E10" i="9"/>
  <c r="K10" i="8"/>
  <c r="K10" i="35"/>
  <c r="P10" i="35"/>
  <c r="Q10" i="35"/>
  <c r="K15" i="11"/>
  <c r="T112" i="59"/>
  <c r="N101" i="39"/>
  <c r="H127" i="37"/>
  <c r="E57" i="33"/>
  <c r="O92" i="38"/>
  <c r="O90" i="38"/>
  <c r="O73" i="38"/>
  <c r="O76" i="38"/>
  <c r="O41" i="38"/>
  <c r="O25" i="38" s="1"/>
  <c r="H87" i="39" s="1"/>
  <c r="O75" i="38"/>
  <c r="O60" i="38"/>
  <c r="O57" i="38"/>
  <c r="O89" i="38"/>
  <c r="O9" i="38"/>
  <c r="O58" i="38"/>
  <c r="O107" i="38"/>
  <c r="O59" i="38"/>
  <c r="O105" i="38"/>
  <c r="O74" i="38"/>
  <c r="O42" i="38"/>
  <c r="O26" i="38" s="1"/>
  <c r="H88" i="39" s="1"/>
  <c r="O43" i="38"/>
  <c r="O108" i="38"/>
  <c r="O44" i="38"/>
  <c r="O91" i="38"/>
  <c r="O11" i="38"/>
  <c r="O10" i="38"/>
  <c r="O106" i="38"/>
  <c r="O12" i="38"/>
  <c r="AA129" i="65"/>
  <c r="D129" i="65"/>
  <c r="Z129" i="65" s="1"/>
  <c r="G86" i="39"/>
  <c r="G92" i="39" s="1"/>
  <c r="O24" i="33"/>
  <c r="V60" i="38"/>
  <c r="V58" i="38"/>
  <c r="V10" i="38"/>
  <c r="V75" i="38"/>
  <c r="V43" i="38"/>
  <c r="V92" i="38"/>
  <c r="V108" i="38"/>
  <c r="V105" i="38"/>
  <c r="V107" i="38"/>
  <c r="V73" i="38"/>
  <c r="V59" i="38"/>
  <c r="V41" i="38"/>
  <c r="V90" i="38"/>
  <c r="V74" i="38"/>
  <c r="V42" i="38"/>
  <c r="V12" i="38"/>
  <c r="V44" i="38"/>
  <c r="V91" i="38"/>
  <c r="V106" i="38"/>
  <c r="V76" i="38"/>
  <c r="V11" i="38"/>
  <c r="V9" i="38"/>
  <c r="V57" i="38"/>
  <c r="V89" i="38"/>
  <c r="N97" i="39"/>
  <c r="U28" i="38"/>
  <c r="V38" i="46"/>
  <c r="W104" i="38"/>
  <c r="W88" i="38"/>
  <c r="W72" i="38"/>
  <c r="W40" i="38"/>
  <c r="X5" i="38"/>
  <c r="W1" i="38"/>
  <c r="W56" i="38"/>
  <c r="W8" i="38"/>
  <c r="E8" i="33"/>
  <c r="E88" i="38"/>
  <c r="M116" i="48"/>
  <c r="M115" i="37"/>
  <c r="V99" i="33"/>
  <c r="V86" i="33"/>
  <c r="V84" i="33"/>
  <c r="V57" i="33"/>
  <c r="V55" i="33"/>
  <c r="V87" i="33"/>
  <c r="V71" i="33"/>
  <c r="V69" i="33"/>
  <c r="V42" i="33"/>
  <c r="V85" i="33"/>
  <c r="V102" i="33"/>
  <c r="V100" i="33"/>
  <c r="V39" i="33"/>
  <c r="V41" i="33"/>
  <c r="V11" i="33"/>
  <c r="V70" i="33"/>
  <c r="V54" i="33"/>
  <c r="V101" i="33"/>
  <c r="V10" i="33"/>
  <c r="V72" i="33"/>
  <c r="V56" i="33"/>
  <c r="V40" i="33"/>
  <c r="V12" i="33"/>
  <c r="V9" i="33"/>
  <c r="N113" i="48"/>
  <c r="N112" i="37"/>
  <c r="N118" i="37" s="1"/>
  <c r="T9" i="59"/>
  <c r="T98" i="59"/>
  <c r="E8" i="38"/>
  <c r="E54" i="33"/>
  <c r="C112" i="59"/>
  <c r="T125" i="59"/>
  <c r="T37" i="59"/>
  <c r="E83" i="33"/>
  <c r="E53" i="33"/>
  <c r="T126" i="59"/>
  <c r="T67" i="59"/>
  <c r="W1" i="33"/>
  <c r="W53" i="33"/>
  <c r="W83" i="33"/>
  <c r="W98" i="33"/>
  <c r="X5" i="33"/>
  <c r="W68" i="33"/>
  <c r="W8" i="33"/>
  <c r="W38" i="33"/>
  <c r="E99" i="33"/>
  <c r="E11" i="33"/>
  <c r="G119" i="37"/>
  <c r="T22" i="59"/>
  <c r="T83" i="59"/>
  <c r="P119" i="48"/>
  <c r="I119" i="48"/>
  <c r="C8" i="46"/>
  <c r="E41" i="33"/>
  <c r="U26" i="38"/>
  <c r="F93" i="39"/>
  <c r="O100" i="39"/>
  <c r="O126" i="37"/>
  <c r="E56" i="38"/>
  <c r="C113" i="59"/>
  <c r="H97" i="39" l="1"/>
  <c r="O28" i="38"/>
  <c r="P96" i="39"/>
  <c r="W24" i="38"/>
  <c r="V25" i="33"/>
  <c r="O97" i="39"/>
  <c r="V28" i="38"/>
  <c r="O101" i="39"/>
  <c r="V27" i="38"/>
  <c r="H101" i="39"/>
  <c r="W82" i="46"/>
  <c r="W83" i="46"/>
  <c r="R128" i="48" s="1"/>
  <c r="U113" i="59"/>
  <c r="AJ89" i="65"/>
  <c r="Z89" i="65"/>
  <c r="AR82" i="11"/>
  <c r="AR84" i="11" s="1"/>
  <c r="AR85" i="11" s="1"/>
  <c r="V82" i="11"/>
  <c r="V84" i="11" s="1"/>
  <c r="V85" i="11" s="1"/>
  <c r="P26" i="33"/>
  <c r="N87" i="39"/>
  <c r="O123" i="37"/>
  <c r="V27" i="33"/>
  <c r="P100" i="39"/>
  <c r="N114" i="48"/>
  <c r="N113" i="37"/>
  <c r="E72" i="38"/>
  <c r="W98" i="46"/>
  <c r="U97" i="59"/>
  <c r="AN82" i="11"/>
  <c r="AN84" i="11" s="1"/>
  <c r="AN85" i="11" s="1"/>
  <c r="AH82" i="11"/>
  <c r="AH84" i="11" s="1"/>
  <c r="AH85" i="11" s="1"/>
  <c r="W52" i="46"/>
  <c r="U23" i="59"/>
  <c r="AS82" i="11"/>
  <c r="AS84" i="11" s="1"/>
  <c r="AS85" i="11" s="1"/>
  <c r="T82" i="11"/>
  <c r="T84" i="11" s="1"/>
  <c r="T85" i="11" s="1"/>
  <c r="I100" i="39"/>
  <c r="O86" i="39"/>
  <c r="O92" i="39" s="1"/>
  <c r="P126" i="37"/>
  <c r="W91" i="38"/>
  <c r="W89" i="38"/>
  <c r="W107" i="38"/>
  <c r="W92" i="38"/>
  <c r="W43" i="38"/>
  <c r="W57" i="38"/>
  <c r="W10" i="38"/>
  <c r="W74" i="38"/>
  <c r="W108" i="38"/>
  <c r="W106" i="38"/>
  <c r="W90" i="38"/>
  <c r="W73" i="38"/>
  <c r="W58" i="38"/>
  <c r="W59" i="38"/>
  <c r="W41" i="38"/>
  <c r="W42" i="38"/>
  <c r="W105" i="38"/>
  <c r="W60" i="38"/>
  <c r="W12" i="38"/>
  <c r="W75" i="38"/>
  <c r="W44" i="38"/>
  <c r="W76" i="38"/>
  <c r="W11" i="38"/>
  <c r="W9" i="38"/>
  <c r="W86" i="33"/>
  <c r="W84" i="33"/>
  <c r="W11" i="33"/>
  <c r="W9" i="33"/>
  <c r="W57" i="33"/>
  <c r="W55" i="33"/>
  <c r="W87" i="33"/>
  <c r="W101" i="33"/>
  <c r="W42" i="33"/>
  <c r="W41" i="33"/>
  <c r="W69" i="33"/>
  <c r="W99" i="33"/>
  <c r="W102" i="33"/>
  <c r="W71" i="33"/>
  <c r="W70" i="33"/>
  <c r="W54" i="33"/>
  <c r="W10" i="33"/>
  <c r="W72" i="33"/>
  <c r="W56" i="33"/>
  <c r="W40" i="33"/>
  <c r="W100" i="33"/>
  <c r="W85" i="33"/>
  <c r="W12" i="33"/>
  <c r="W39" i="33"/>
  <c r="W24" i="33" s="1"/>
  <c r="X1" i="38"/>
  <c r="X40" i="38"/>
  <c r="X56" i="38"/>
  <c r="Y5" i="38"/>
  <c r="X88" i="38"/>
  <c r="X8" i="38"/>
  <c r="X104" i="38"/>
  <c r="X72" i="38"/>
  <c r="H116" i="48"/>
  <c r="H115" i="37"/>
  <c r="E26" i="33"/>
  <c r="W22" i="46"/>
  <c r="K9" i="65"/>
  <c r="AF9" i="65"/>
  <c r="AF49" i="65"/>
  <c r="U68" i="59"/>
  <c r="H86" i="39"/>
  <c r="H92" i="39" s="1"/>
  <c r="AO82" i="11"/>
  <c r="AO84" i="11" s="1"/>
  <c r="AO85" i="11" s="1"/>
  <c r="AL82" i="11"/>
  <c r="AL84" i="11" s="1"/>
  <c r="AL85" i="11" s="1"/>
  <c r="E72" i="33"/>
  <c r="R124" i="48"/>
  <c r="H115" i="48"/>
  <c r="H114" i="37"/>
  <c r="AC82" i="11"/>
  <c r="AC84" i="11" s="1"/>
  <c r="AC85" i="11" s="1"/>
  <c r="AJ82" i="11"/>
  <c r="AJ84" i="11" s="1"/>
  <c r="AJ85" i="11" s="1"/>
  <c r="G88" i="39"/>
  <c r="G93" i="39"/>
  <c r="O113" i="48"/>
  <c r="O112" i="37"/>
  <c r="O118" i="37" s="1"/>
  <c r="I113" i="48"/>
  <c r="I112" i="37"/>
  <c r="I118" i="37" s="1"/>
  <c r="W113" i="46"/>
  <c r="U126" i="59"/>
  <c r="W82" i="11"/>
  <c r="P82" i="11"/>
  <c r="G89" i="39"/>
  <c r="O127" i="37"/>
  <c r="V26" i="38"/>
  <c r="O27" i="38"/>
  <c r="H89" i="39" s="1"/>
  <c r="N116" i="48"/>
  <c r="N115" i="37"/>
  <c r="U22" i="59"/>
  <c r="AD82" i="11"/>
  <c r="AD84" i="11" s="1"/>
  <c r="AD85" i="11" s="1"/>
  <c r="X82" i="11"/>
  <c r="X84" i="11" s="1"/>
  <c r="X85" i="11" s="1"/>
  <c r="AF169" i="65"/>
  <c r="K169" i="65"/>
  <c r="W9" i="46"/>
  <c r="U125" i="59"/>
  <c r="U53" i="59"/>
  <c r="AA82" i="11"/>
  <c r="AA84" i="11" s="1"/>
  <c r="AA85" i="11" s="1"/>
  <c r="AG82" i="11"/>
  <c r="AG84" i="11" s="1"/>
  <c r="AG85" i="11" s="1"/>
  <c r="AI84" i="11"/>
  <c r="AI85" i="11" s="1"/>
  <c r="N93" i="39"/>
  <c r="V25" i="38"/>
  <c r="H114" i="48"/>
  <c r="H113" i="37"/>
  <c r="E24" i="33"/>
  <c r="E9" i="65"/>
  <c r="AB49" i="65"/>
  <c r="AB9" i="65"/>
  <c r="X112" i="46"/>
  <c r="X98" i="46"/>
  <c r="X5" i="52"/>
  <c r="X23" i="46"/>
  <c r="X68" i="46"/>
  <c r="X37" i="46"/>
  <c r="Y5" i="46"/>
  <c r="X1" i="46"/>
  <c r="X97" i="46" s="1"/>
  <c r="X113" i="46"/>
  <c r="X8" i="46"/>
  <c r="X52" i="46"/>
  <c r="X82" i="46"/>
  <c r="U67" i="59"/>
  <c r="U112" i="59"/>
  <c r="AF209" i="65"/>
  <c r="K209" i="65"/>
  <c r="U82" i="11"/>
  <c r="U84" i="11" s="1"/>
  <c r="U85" i="11" s="1"/>
  <c r="I123" i="37"/>
  <c r="P27" i="33"/>
  <c r="N119" i="37"/>
  <c r="W37" i="46"/>
  <c r="U8" i="59"/>
  <c r="U98" i="59"/>
  <c r="AE82" i="11"/>
  <c r="AE84" i="11" s="1"/>
  <c r="AE85" i="11" s="1"/>
  <c r="Y82" i="11"/>
  <c r="Y84" i="11" s="1"/>
  <c r="Y85" i="11" s="1"/>
  <c r="C183" i="11"/>
  <c r="C185" i="11" s="1"/>
  <c r="C8" i="56"/>
  <c r="E30" i="9"/>
  <c r="E16" i="9"/>
  <c r="V26" i="33"/>
  <c r="AH89" i="65"/>
  <c r="AR89" i="65"/>
  <c r="W53" i="46"/>
  <c r="W126" i="46"/>
  <c r="U9" i="59"/>
  <c r="R82" i="11"/>
  <c r="R84" i="11" s="1"/>
  <c r="R85" i="11" s="1"/>
  <c r="AF82" i="11"/>
  <c r="AF84" i="11" s="1"/>
  <c r="AF85" i="11" s="1"/>
  <c r="P108" i="38"/>
  <c r="P105" i="38"/>
  <c r="E105" i="38" s="1"/>
  <c r="P60" i="38"/>
  <c r="P58" i="38"/>
  <c r="E58" i="38" s="1"/>
  <c r="P10" i="38"/>
  <c r="E10" i="38" s="1"/>
  <c r="P90" i="38"/>
  <c r="E90" i="38" s="1"/>
  <c r="P59" i="38"/>
  <c r="E59" i="38" s="1"/>
  <c r="P76" i="38"/>
  <c r="P41" i="38"/>
  <c r="P89" i="38"/>
  <c r="E89" i="38" s="1"/>
  <c r="P44" i="38"/>
  <c r="E44" i="38" s="1"/>
  <c r="P57" i="38"/>
  <c r="E57" i="38" s="1"/>
  <c r="P9" i="38"/>
  <c r="E9" i="38" s="1"/>
  <c r="P92" i="38"/>
  <c r="P107" i="38"/>
  <c r="E107" i="38" s="1"/>
  <c r="P73" i="38"/>
  <c r="E73" i="38" s="1"/>
  <c r="P74" i="38"/>
  <c r="E74" i="38" s="1"/>
  <c r="P42" i="38"/>
  <c r="P43" i="38"/>
  <c r="P75" i="38"/>
  <c r="E75" i="38" s="1"/>
  <c r="P12" i="38"/>
  <c r="P91" i="38"/>
  <c r="E91" i="38" s="1"/>
  <c r="P11" i="38"/>
  <c r="E11" i="38" s="1"/>
  <c r="P106" i="38"/>
  <c r="E106" i="38" s="1"/>
  <c r="P25" i="33"/>
  <c r="E40" i="33"/>
  <c r="H119" i="37"/>
  <c r="AB84" i="11"/>
  <c r="AB85" i="11" s="1"/>
  <c r="E12" i="33"/>
  <c r="V24" i="33"/>
  <c r="W38" i="46"/>
  <c r="U52" i="59"/>
  <c r="Z82" i="11"/>
  <c r="Z84" i="11" s="1"/>
  <c r="Z85" i="11" s="1"/>
  <c r="S82" i="11"/>
  <c r="S84" i="11" s="1"/>
  <c r="S85" i="11" s="1"/>
  <c r="I127" i="37"/>
  <c r="P122" i="37"/>
  <c r="W23" i="33"/>
  <c r="N115" i="48"/>
  <c r="N114" i="37"/>
  <c r="W97" i="46"/>
  <c r="W67" i="46"/>
  <c r="AP82" i="11"/>
  <c r="AP84" i="11" s="1"/>
  <c r="AP85" i="11" s="1"/>
  <c r="AQ82" i="11"/>
  <c r="AQ84" i="11" s="1"/>
  <c r="AQ85" i="11" s="1"/>
  <c r="I96" i="39"/>
  <c r="P24" i="38"/>
  <c r="AB209" i="65"/>
  <c r="E209" i="65"/>
  <c r="AO5" i="11"/>
  <c r="E23" i="33"/>
  <c r="N88" i="39"/>
  <c r="X98" i="33"/>
  <c r="X1" i="33"/>
  <c r="X53" i="33"/>
  <c r="X83" i="33"/>
  <c r="X38" i="33"/>
  <c r="Y5" i="33"/>
  <c r="X68" i="33"/>
  <c r="X8" i="33"/>
  <c r="E12" i="38"/>
  <c r="G87" i="39"/>
  <c r="W8" i="46"/>
  <c r="V112" i="59"/>
  <c r="V97" i="59"/>
  <c r="V22" i="59"/>
  <c r="V126" i="59"/>
  <c r="V38" i="59"/>
  <c r="V9" i="59"/>
  <c r="V1" i="59"/>
  <c r="V82" i="59" s="1"/>
  <c r="V23" i="59"/>
  <c r="V98" i="59"/>
  <c r="V52" i="59"/>
  <c r="V68" i="59"/>
  <c r="V113" i="59"/>
  <c r="W5" i="59"/>
  <c r="V67" i="59"/>
  <c r="V83" i="59"/>
  <c r="V37" i="59"/>
  <c r="AT82" i="11"/>
  <c r="AT84" i="11" s="1"/>
  <c r="AT85" i="11" s="1"/>
  <c r="AK82" i="11"/>
  <c r="I114" i="48"/>
  <c r="I113" i="37"/>
  <c r="AB169" i="65"/>
  <c r="E169" i="65"/>
  <c r="E39" i="33"/>
  <c r="I115" i="48" l="1"/>
  <c r="I114" i="37"/>
  <c r="E25" i="33"/>
  <c r="P25" i="38"/>
  <c r="E41" i="38"/>
  <c r="E76" i="38"/>
  <c r="X101" i="33"/>
  <c r="X11" i="33"/>
  <c r="X9" i="33"/>
  <c r="X57" i="33"/>
  <c r="X55" i="33"/>
  <c r="X87" i="33"/>
  <c r="X71" i="33"/>
  <c r="X69" i="33"/>
  <c r="X42" i="33"/>
  <c r="X40" i="33"/>
  <c r="X102" i="33"/>
  <c r="X100" i="33"/>
  <c r="X99" i="33"/>
  <c r="X84" i="33"/>
  <c r="X41" i="33"/>
  <c r="X86" i="33"/>
  <c r="X70" i="33"/>
  <c r="X54" i="33"/>
  <c r="X10" i="33"/>
  <c r="X72" i="33"/>
  <c r="X56" i="33"/>
  <c r="X85" i="33"/>
  <c r="X12" i="33"/>
  <c r="X39" i="33"/>
  <c r="AK84" i="11"/>
  <c r="AK85" i="11" s="1"/>
  <c r="R127" i="48"/>
  <c r="S124" i="48"/>
  <c r="Y53" i="33"/>
  <c r="Y83" i="33"/>
  <c r="Y38" i="33"/>
  <c r="Y68" i="33"/>
  <c r="Y8" i="33"/>
  <c r="Y1" i="33"/>
  <c r="Y98" i="33"/>
  <c r="Z5" i="33"/>
  <c r="E108" i="38"/>
  <c r="P27" i="38"/>
  <c r="I89" i="39" s="1"/>
  <c r="E43" i="38"/>
  <c r="I101" i="39"/>
  <c r="E60" i="38"/>
  <c r="D169" i="65"/>
  <c r="Z169" i="65" s="1"/>
  <c r="AA169" i="65"/>
  <c r="P26" i="38"/>
  <c r="E42" i="38"/>
  <c r="AP5" i="11"/>
  <c r="Q126" i="37"/>
  <c r="L209" i="65"/>
  <c r="AH209" i="65" s="1"/>
  <c r="AG209" i="65"/>
  <c r="AA49" i="65"/>
  <c r="AA9" i="65"/>
  <c r="D9" i="65"/>
  <c r="P114" i="48"/>
  <c r="P113" i="37"/>
  <c r="R119" i="48"/>
  <c r="R123" i="48"/>
  <c r="X90" i="38"/>
  <c r="X106" i="38"/>
  <c r="X59" i="38"/>
  <c r="X57" i="38"/>
  <c r="X11" i="38"/>
  <c r="X9" i="38"/>
  <c r="X75" i="38"/>
  <c r="X10" i="38"/>
  <c r="X108" i="38"/>
  <c r="X92" i="38"/>
  <c r="X42" i="38"/>
  <c r="X107" i="38"/>
  <c r="X91" i="38"/>
  <c r="X76" i="38"/>
  <c r="X41" i="38"/>
  <c r="X73" i="38"/>
  <c r="X105" i="38"/>
  <c r="X74" i="38"/>
  <c r="X60" i="38"/>
  <c r="X43" i="38"/>
  <c r="X12" i="38"/>
  <c r="X44" i="38"/>
  <c r="X89" i="38"/>
  <c r="X58" i="38"/>
  <c r="O89" i="39"/>
  <c r="W1" i="59"/>
  <c r="W23" i="59" s="1"/>
  <c r="W125" i="59"/>
  <c r="W98" i="59"/>
  <c r="W83" i="59"/>
  <c r="W67" i="59"/>
  <c r="W22" i="59"/>
  <c r="W52" i="59"/>
  <c r="X5" i="59"/>
  <c r="Q122" i="37"/>
  <c r="X23" i="33"/>
  <c r="AA209" i="65"/>
  <c r="D209" i="65"/>
  <c r="Z209" i="65" s="1"/>
  <c r="I97" i="39"/>
  <c r="P28" i="38"/>
  <c r="X83" i="46"/>
  <c r="X38" i="46"/>
  <c r="X22" i="46"/>
  <c r="L169" i="65"/>
  <c r="AH169" i="65" s="1"/>
  <c r="AG169" i="65"/>
  <c r="W26" i="33"/>
  <c r="P97" i="39"/>
  <c r="W28" i="38"/>
  <c r="W27" i="38"/>
  <c r="H93" i="39"/>
  <c r="S119" i="48"/>
  <c r="P123" i="37"/>
  <c r="W27" i="33"/>
  <c r="P86" i="39"/>
  <c r="P92" i="39" s="1"/>
  <c r="I116" i="48"/>
  <c r="I115" i="37"/>
  <c r="O93" i="39"/>
  <c r="I86" i="39"/>
  <c r="I92" i="39" s="1"/>
  <c r="O114" i="48"/>
  <c r="O113" i="37"/>
  <c r="I119" i="37"/>
  <c r="X67" i="46"/>
  <c r="E24" i="38"/>
  <c r="E27" i="38"/>
  <c r="P101" i="39"/>
  <c r="P113" i="48"/>
  <c r="P112" i="37"/>
  <c r="P118" i="37" s="1"/>
  <c r="C7" i="56"/>
  <c r="K101" i="11"/>
  <c r="X9" i="46"/>
  <c r="P84" i="11"/>
  <c r="P85" i="11" s="1"/>
  <c r="P127" i="37"/>
  <c r="W26" i="38"/>
  <c r="O116" i="48"/>
  <c r="O115" i="37"/>
  <c r="Y5" i="52"/>
  <c r="Y126" i="46"/>
  <c r="Y125" i="46"/>
  <c r="Y23" i="46"/>
  <c r="Y1" i="46"/>
  <c r="Y67" i="46"/>
  <c r="Z5" i="46"/>
  <c r="Y97" i="46"/>
  <c r="Y38" i="46"/>
  <c r="W84" i="11"/>
  <c r="W85" i="11" s="1"/>
  <c r="W25" i="33"/>
  <c r="W25" i="38"/>
  <c r="P87" i="39" s="1"/>
  <c r="O87" i="39"/>
  <c r="O119" i="37"/>
  <c r="O115" i="48"/>
  <c r="O114" i="37"/>
  <c r="X125" i="46"/>
  <c r="V8" i="59"/>
  <c r="V53" i="59"/>
  <c r="E27" i="33"/>
  <c r="X53" i="46"/>
  <c r="X126" i="46"/>
  <c r="O88" i="39"/>
  <c r="Z5" i="38"/>
  <c r="Y104" i="38"/>
  <c r="Y40" i="38"/>
  <c r="Y1" i="38"/>
  <c r="Y88" i="38"/>
  <c r="Y56" i="38"/>
  <c r="Y8" i="38"/>
  <c r="Y72" i="38"/>
  <c r="R120" i="48"/>
  <c r="V125" i="59"/>
  <c r="E92" i="38"/>
  <c r="E85" i="17"/>
  <c r="E34" i="9"/>
  <c r="E32" i="9"/>
  <c r="E29" i="9"/>
  <c r="E31" i="9"/>
  <c r="E35" i="9"/>
  <c r="E33" i="9"/>
  <c r="E28" i="9"/>
  <c r="Q100" i="39"/>
  <c r="AG49" i="65"/>
  <c r="AG9" i="65"/>
  <c r="L9" i="65"/>
  <c r="Q96" i="39"/>
  <c r="X24" i="38"/>
  <c r="Y89" i="38" l="1"/>
  <c r="Y43" i="38"/>
  <c r="Y57" i="38"/>
  <c r="Y60" i="38"/>
  <c r="Y107" i="38"/>
  <c r="Y106" i="38"/>
  <c r="Y91" i="38"/>
  <c r="Y105" i="38"/>
  <c r="Y59" i="38"/>
  <c r="Y44" i="38"/>
  <c r="Y41" i="38"/>
  <c r="Y74" i="38"/>
  <c r="Y42" i="38"/>
  <c r="Y90" i="38"/>
  <c r="Y12" i="38"/>
  <c r="Y75" i="38"/>
  <c r="Y108" i="38"/>
  <c r="Y76" i="38"/>
  <c r="Y11" i="38"/>
  <c r="Y10" i="38"/>
  <c r="Y92" i="38"/>
  <c r="Y73" i="38"/>
  <c r="Y9" i="38"/>
  <c r="Y58" i="38"/>
  <c r="Y24" i="38"/>
  <c r="R96" i="39"/>
  <c r="Z72" i="38"/>
  <c r="Z56" i="38"/>
  <c r="AA5" i="38"/>
  <c r="Z1" i="38"/>
  <c r="Z88" i="38"/>
  <c r="Z8" i="38"/>
  <c r="Z104" i="38"/>
  <c r="Z40" i="38"/>
  <c r="P115" i="48"/>
  <c r="P114" i="37"/>
  <c r="Q86" i="39"/>
  <c r="Q92" i="39" s="1"/>
  <c r="AH9" i="65"/>
  <c r="AH49" i="65"/>
  <c r="Y22" i="46"/>
  <c r="Y83" i="46"/>
  <c r="Y52" i="46"/>
  <c r="Y112" i="46"/>
  <c r="Y37" i="46"/>
  <c r="Y98" i="46"/>
  <c r="Y8" i="46"/>
  <c r="Y53" i="46"/>
  <c r="X26" i="38"/>
  <c r="T124" i="48"/>
  <c r="P93" i="39"/>
  <c r="Q113" i="48"/>
  <c r="Q112" i="37"/>
  <c r="Q118" i="37" s="1"/>
  <c r="X24" i="33"/>
  <c r="P116" i="48"/>
  <c r="P115" i="37"/>
  <c r="X53" i="59"/>
  <c r="X97" i="59"/>
  <c r="X52" i="59"/>
  <c r="X1" i="59"/>
  <c r="X126" i="59" s="1"/>
  <c r="X113" i="59"/>
  <c r="X125" i="59"/>
  <c r="Y5" i="59"/>
  <c r="X82" i="59"/>
  <c r="X112" i="59"/>
  <c r="X37" i="59"/>
  <c r="X23" i="59"/>
  <c r="X68" i="59"/>
  <c r="X22" i="59"/>
  <c r="X38" i="59"/>
  <c r="X9" i="59"/>
  <c r="X8" i="59"/>
  <c r="X67" i="59"/>
  <c r="X98" i="59"/>
  <c r="X83" i="59"/>
  <c r="X28" i="38"/>
  <c r="Q97" i="39"/>
  <c r="Y99" i="33"/>
  <c r="Y101" i="33"/>
  <c r="Y57" i="33"/>
  <c r="Y55" i="33"/>
  <c r="Y87" i="33"/>
  <c r="Y71" i="33"/>
  <c r="Y69" i="33"/>
  <c r="Y42" i="33"/>
  <c r="Y40" i="33"/>
  <c r="Y86" i="33"/>
  <c r="Y85" i="33"/>
  <c r="Y102" i="33"/>
  <c r="Y100" i="33"/>
  <c r="Y11" i="33"/>
  <c r="Y84" i="33"/>
  <c r="Y70" i="33"/>
  <c r="Y54" i="33"/>
  <c r="Y10" i="33"/>
  <c r="Y72" i="33"/>
  <c r="Y56" i="33"/>
  <c r="Y12" i="33"/>
  <c r="Y39" i="33"/>
  <c r="Y9" i="33"/>
  <c r="Y41" i="33"/>
  <c r="R122" i="37"/>
  <c r="Y23" i="33"/>
  <c r="I88" i="39"/>
  <c r="E26" i="38"/>
  <c r="P88" i="39"/>
  <c r="Y82" i="46"/>
  <c r="I93" i="39"/>
  <c r="E28" i="38"/>
  <c r="W113" i="59"/>
  <c r="W82" i="59"/>
  <c r="W37" i="59"/>
  <c r="W53" i="59"/>
  <c r="W9" i="59"/>
  <c r="W38" i="59"/>
  <c r="W68" i="59"/>
  <c r="W97" i="59"/>
  <c r="W8" i="59"/>
  <c r="W126" i="59"/>
  <c r="W112" i="59"/>
  <c r="X25" i="38"/>
  <c r="Y68" i="46"/>
  <c r="S123" i="48"/>
  <c r="Y9" i="46"/>
  <c r="Z49" i="65"/>
  <c r="Z9" i="65"/>
  <c r="R100" i="39"/>
  <c r="Y113" i="46"/>
  <c r="P89" i="39"/>
  <c r="AQ5" i="11"/>
  <c r="Z98" i="33"/>
  <c r="Z83" i="33"/>
  <c r="Z38" i="33"/>
  <c r="Z8" i="33"/>
  <c r="Z1" i="33"/>
  <c r="Z53" i="33"/>
  <c r="AA5" i="33"/>
  <c r="Z68" i="33"/>
  <c r="Q127" i="37"/>
  <c r="R126" i="37"/>
  <c r="S120" i="48"/>
  <c r="P119" i="37"/>
  <c r="X26" i="33"/>
  <c r="Z67" i="46"/>
  <c r="Z53" i="46"/>
  <c r="Z126" i="46"/>
  <c r="Z5" i="52"/>
  <c r="Z1" i="46"/>
  <c r="Z125" i="46" s="1"/>
  <c r="Z113" i="46"/>
  <c r="Z83" i="46"/>
  <c r="Z112" i="46"/>
  <c r="Z68" i="46"/>
  <c r="Z82" i="46"/>
  <c r="Z52" i="46"/>
  <c r="Z23" i="46"/>
  <c r="Z98" i="46"/>
  <c r="Z37" i="46"/>
  <c r="Z8" i="46"/>
  <c r="AA5" i="46"/>
  <c r="Z97" i="46"/>
  <c r="Z9" i="46"/>
  <c r="X27" i="38"/>
  <c r="Q89" i="39" s="1"/>
  <c r="S128" i="48"/>
  <c r="Q101" i="39"/>
  <c r="I87" i="39"/>
  <c r="E25" i="38"/>
  <c r="N101" i="11"/>
  <c r="M101" i="11"/>
  <c r="M104" i="11" s="1"/>
  <c r="K65" i="8"/>
  <c r="K104" i="11"/>
  <c r="N104" i="11" s="1"/>
  <c r="S127" i="48"/>
  <c r="X25" i="33"/>
  <c r="Q123" i="37"/>
  <c r="X27" i="33"/>
  <c r="U119" i="48" l="1"/>
  <c r="Q119" i="37"/>
  <c r="N65" i="8"/>
  <c r="M65" i="8"/>
  <c r="M70" i="8" s="1"/>
  <c r="K70" i="8"/>
  <c r="Z38" i="46"/>
  <c r="Y25" i="33"/>
  <c r="Y1" i="59"/>
  <c r="Y9" i="59" s="1"/>
  <c r="Y113" i="59"/>
  <c r="Y112" i="59"/>
  <c r="Y125" i="59"/>
  <c r="Y83" i="59"/>
  <c r="Y67" i="59"/>
  <c r="Y126" i="59"/>
  <c r="Y82" i="59"/>
  <c r="Y68" i="59"/>
  <c r="Y98" i="59"/>
  <c r="Y37" i="59"/>
  <c r="Z5" i="59"/>
  <c r="Y8" i="59"/>
  <c r="AA104" i="38"/>
  <c r="AB5" i="38"/>
  <c r="AA1" i="38"/>
  <c r="AA88" i="38"/>
  <c r="AA56" i="38"/>
  <c r="AA72" i="38"/>
  <c r="AA40" i="38"/>
  <c r="AA8" i="38"/>
  <c r="Q116" i="48"/>
  <c r="Q115" i="37"/>
  <c r="Y26" i="33"/>
  <c r="R123" i="37"/>
  <c r="Y27" i="33"/>
  <c r="S100" i="39"/>
  <c r="U120" i="48"/>
  <c r="T120" i="48"/>
  <c r="AA5" i="52"/>
  <c r="AA125" i="46"/>
  <c r="AA68" i="46"/>
  <c r="AA53" i="46"/>
  <c r="AA113" i="46"/>
  <c r="AA112" i="46"/>
  <c r="AA98" i="46"/>
  <c r="AA52" i="46"/>
  <c r="AA38" i="46"/>
  <c r="AA67" i="46"/>
  <c r="AA1" i="46"/>
  <c r="AA23" i="46" s="1"/>
  <c r="AA97" i="46"/>
  <c r="AB5" i="46"/>
  <c r="AA9" i="46"/>
  <c r="AA22" i="46"/>
  <c r="U127" i="48"/>
  <c r="AR5" i="11"/>
  <c r="Q87" i="39"/>
  <c r="Y24" i="33"/>
  <c r="Q114" i="48"/>
  <c r="Q113" i="37"/>
  <c r="Y26" i="38"/>
  <c r="R113" i="48"/>
  <c r="R112" i="37"/>
  <c r="R118" i="37" s="1"/>
  <c r="Y25" i="38"/>
  <c r="R87" i="39" s="1"/>
  <c r="R127" i="37"/>
  <c r="Q88" i="39"/>
  <c r="Y28" i="38"/>
  <c r="R97" i="39"/>
  <c r="R86" i="39"/>
  <c r="R92" i="39" s="1"/>
  <c r="AA38" i="33"/>
  <c r="AA98" i="33"/>
  <c r="AA8" i="33"/>
  <c r="AA1" i="33"/>
  <c r="AA53" i="33"/>
  <c r="AA83" i="33"/>
  <c r="AB5" i="33"/>
  <c r="AA68" i="33"/>
  <c r="T119" i="48"/>
  <c r="U128" i="48"/>
  <c r="Z102" i="33"/>
  <c r="Z100" i="33"/>
  <c r="Z86" i="33"/>
  <c r="Z84" i="33"/>
  <c r="Z87" i="33"/>
  <c r="Z71" i="33"/>
  <c r="Z69" i="33"/>
  <c r="Z42" i="33"/>
  <c r="Z40" i="33"/>
  <c r="Z25" i="33" s="1"/>
  <c r="Z85" i="33"/>
  <c r="Z56" i="33"/>
  <c r="Z54" i="33"/>
  <c r="Z101" i="33"/>
  <c r="Z99" i="33"/>
  <c r="Z11" i="33"/>
  <c r="Z70" i="33"/>
  <c r="Z10" i="33"/>
  <c r="Z72" i="33"/>
  <c r="Z55" i="33"/>
  <c r="Z12" i="33"/>
  <c r="Z39" i="33"/>
  <c r="Z24" i="33" s="1"/>
  <c r="Z9" i="33"/>
  <c r="Z41" i="33"/>
  <c r="Z57" i="33"/>
  <c r="U124" i="48"/>
  <c r="Q93" i="39"/>
  <c r="Z24" i="38"/>
  <c r="S96" i="39"/>
  <c r="R101" i="39"/>
  <c r="S122" i="37"/>
  <c r="Z23" i="33"/>
  <c r="Q115" i="48"/>
  <c r="Q114" i="37"/>
  <c r="T127" i="48"/>
  <c r="T123" i="48"/>
  <c r="Y27" i="38"/>
  <c r="S126" i="37"/>
  <c r="T128" i="48"/>
  <c r="Z22" i="46"/>
  <c r="Z76" i="38"/>
  <c r="Z74" i="38"/>
  <c r="Z43" i="38"/>
  <c r="Z41" i="38"/>
  <c r="Z106" i="38"/>
  <c r="Z10" i="38"/>
  <c r="Z60" i="38"/>
  <c r="Z107" i="38"/>
  <c r="Z91" i="38"/>
  <c r="Z105" i="38"/>
  <c r="Z73" i="38"/>
  <c r="Z89" i="38"/>
  <c r="Z59" i="38"/>
  <c r="Z42" i="38"/>
  <c r="Z90" i="38"/>
  <c r="Z12" i="38"/>
  <c r="Z75" i="38"/>
  <c r="Z44" i="38"/>
  <c r="Z108" i="38"/>
  <c r="Z11" i="38"/>
  <c r="Z9" i="38"/>
  <c r="Z57" i="38"/>
  <c r="Z58" i="38"/>
  <c r="Z92" i="38"/>
  <c r="V124" i="48" l="1"/>
  <c r="R88" i="39"/>
  <c r="AA83" i="46"/>
  <c r="Z1" i="59"/>
  <c r="Z97" i="59" s="1"/>
  <c r="Z125" i="59"/>
  <c r="Z98" i="59"/>
  <c r="Z67" i="59"/>
  <c r="Z37" i="59"/>
  <c r="Z83" i="59"/>
  <c r="AA5" i="59"/>
  <c r="Z22" i="59"/>
  <c r="Z8" i="59"/>
  <c r="R115" i="48"/>
  <c r="R114" i="37"/>
  <c r="R114" i="48"/>
  <c r="R113" i="37"/>
  <c r="S127" i="37"/>
  <c r="S101" i="39"/>
  <c r="Z26" i="38"/>
  <c r="S88" i="39" s="1"/>
  <c r="S113" i="48"/>
  <c r="S112" i="37"/>
  <c r="S118" i="37" s="1"/>
  <c r="R89" i="39"/>
  <c r="S86" i="39"/>
  <c r="S92" i="39" s="1"/>
  <c r="T96" i="39"/>
  <c r="AA24" i="38"/>
  <c r="S115" i="48"/>
  <c r="S114" i="37"/>
  <c r="T100" i="39"/>
  <c r="U123" i="48"/>
  <c r="S123" i="37"/>
  <c r="Z27" i="33"/>
  <c r="AS5" i="11"/>
  <c r="N70" i="8"/>
  <c r="AA107" i="38"/>
  <c r="AA105" i="38"/>
  <c r="AA92" i="38"/>
  <c r="AA89" i="38"/>
  <c r="AA108" i="38"/>
  <c r="AA57" i="38"/>
  <c r="AA74" i="38"/>
  <c r="AA42" i="38"/>
  <c r="AA12" i="38"/>
  <c r="AA106" i="38"/>
  <c r="AA59" i="38"/>
  <c r="AA90" i="38"/>
  <c r="AA58" i="38"/>
  <c r="AA41" i="38"/>
  <c r="AA25" i="38" s="1"/>
  <c r="T87" i="39" s="1"/>
  <c r="AA60" i="38"/>
  <c r="AA75" i="38"/>
  <c r="AA44" i="38"/>
  <c r="AA43" i="38"/>
  <c r="AA11" i="38"/>
  <c r="AA76" i="38"/>
  <c r="AA9" i="38"/>
  <c r="AA91" i="38"/>
  <c r="AA10" i="38"/>
  <c r="AA73" i="38"/>
  <c r="AB40" i="38"/>
  <c r="AB104" i="38"/>
  <c r="AB88" i="38"/>
  <c r="AB56" i="38"/>
  <c r="AB8" i="38"/>
  <c r="AB72" i="38"/>
  <c r="AB1" i="38"/>
  <c r="AC5" i="38"/>
  <c r="V128" i="48"/>
  <c r="R119" i="37"/>
  <c r="T126" i="37"/>
  <c r="Z26" i="33"/>
  <c r="V123" i="48"/>
  <c r="Z25" i="38"/>
  <c r="S87" i="39" s="1"/>
  <c r="AA71" i="33"/>
  <c r="AA69" i="33"/>
  <c r="AA42" i="33"/>
  <c r="AA40" i="33"/>
  <c r="AA86" i="33"/>
  <c r="AA99" i="33"/>
  <c r="AA84" i="33"/>
  <c r="AA87" i="33"/>
  <c r="AA11" i="33"/>
  <c r="AA70" i="33"/>
  <c r="AA54" i="33"/>
  <c r="AA102" i="33"/>
  <c r="AA10" i="33"/>
  <c r="AA72" i="33"/>
  <c r="AA101" i="33"/>
  <c r="AA56" i="33"/>
  <c r="AA55" i="33"/>
  <c r="AA12" i="33"/>
  <c r="AA39" i="33"/>
  <c r="AA85" i="33"/>
  <c r="AA9" i="33"/>
  <c r="AA100" i="33"/>
  <c r="AA41" i="33"/>
  <c r="AA26" i="33" s="1"/>
  <c r="AA57" i="33"/>
  <c r="R93" i="39"/>
  <c r="AB98" i="46"/>
  <c r="D98" i="46" s="1"/>
  <c r="AB126" i="46"/>
  <c r="AB82" i="46"/>
  <c r="AB5" i="52"/>
  <c r="AB68" i="46"/>
  <c r="AB113" i="46"/>
  <c r="AB112" i="46"/>
  <c r="AB125" i="46"/>
  <c r="AB97" i="46"/>
  <c r="AB83" i="46"/>
  <c r="AB67" i="46"/>
  <c r="AB37" i="46"/>
  <c r="AB8" i="46"/>
  <c r="AB1" i="46"/>
  <c r="AB9" i="46" s="1"/>
  <c r="AB38" i="46"/>
  <c r="AB22" i="46"/>
  <c r="D22" i="46" s="1"/>
  <c r="AB52" i="46"/>
  <c r="AB23" i="46"/>
  <c r="Y22" i="59"/>
  <c r="Y53" i="59"/>
  <c r="V120" i="48"/>
  <c r="AA8" i="46"/>
  <c r="AA82" i="46"/>
  <c r="V127" i="48" s="1"/>
  <c r="R116" i="48"/>
  <c r="R115" i="37"/>
  <c r="Y23" i="59"/>
  <c r="Y52" i="59"/>
  <c r="S114" i="48"/>
  <c r="S113" i="37"/>
  <c r="Z27" i="38"/>
  <c r="S89" i="39" s="1"/>
  <c r="S97" i="39"/>
  <c r="Z28" i="38"/>
  <c r="AA37" i="46"/>
  <c r="AA126" i="46"/>
  <c r="Y38" i="59"/>
  <c r="Y97" i="59"/>
  <c r="AB98" i="33"/>
  <c r="AB38" i="33"/>
  <c r="AB53" i="33"/>
  <c r="AB83" i="33"/>
  <c r="AC5" i="33"/>
  <c r="AB68" i="33"/>
  <c r="AB8" i="33"/>
  <c r="AB1" i="33"/>
  <c r="T122" i="37"/>
  <c r="AA23" i="33"/>
  <c r="W120" i="48" l="1"/>
  <c r="F9" i="46"/>
  <c r="D9" i="46"/>
  <c r="AB111" i="46"/>
  <c r="F112" i="46"/>
  <c r="D112" i="46"/>
  <c r="F113" i="46"/>
  <c r="AB24" i="38"/>
  <c r="U96" i="39"/>
  <c r="AB53" i="46"/>
  <c r="AA1" i="59"/>
  <c r="AA23" i="59" s="1"/>
  <c r="AA126" i="59"/>
  <c r="AA98" i="59"/>
  <c r="AB5" i="59"/>
  <c r="AA67" i="59"/>
  <c r="AA83" i="59"/>
  <c r="AA97" i="59"/>
  <c r="AA9" i="59"/>
  <c r="AA22" i="59"/>
  <c r="W128" i="48"/>
  <c r="F68" i="46"/>
  <c r="D68" i="46"/>
  <c r="D113" i="46"/>
  <c r="AA27" i="38"/>
  <c r="T89" i="39" s="1"/>
  <c r="T86" i="39"/>
  <c r="T92" i="39" s="1"/>
  <c r="F37" i="46"/>
  <c r="D37" i="46"/>
  <c r="AB101" i="33"/>
  <c r="AB100" i="33"/>
  <c r="AB71" i="33"/>
  <c r="AB69" i="33"/>
  <c r="AB42" i="33"/>
  <c r="AB40" i="33"/>
  <c r="AB86" i="33"/>
  <c r="AB85" i="33"/>
  <c r="AB56" i="33"/>
  <c r="AB54" i="33"/>
  <c r="AB102" i="33"/>
  <c r="AB99" i="33"/>
  <c r="AB11" i="33"/>
  <c r="AB70" i="33"/>
  <c r="AB84" i="33"/>
  <c r="AB10" i="33"/>
  <c r="AB72" i="33"/>
  <c r="AB55" i="33"/>
  <c r="AB12" i="33"/>
  <c r="AB39" i="33"/>
  <c r="AB9" i="33"/>
  <c r="AB41" i="33"/>
  <c r="AB26" i="33" s="1"/>
  <c r="AB57" i="33"/>
  <c r="AB87" i="33"/>
  <c r="W124" i="48"/>
  <c r="F23" i="46"/>
  <c r="D23" i="46"/>
  <c r="T97" i="39"/>
  <c r="AA28" i="38"/>
  <c r="AB81" i="46"/>
  <c r="W123" i="48"/>
  <c r="AB21" i="46"/>
  <c r="AB29" i="46" s="1"/>
  <c r="F22" i="46"/>
  <c r="F126" i="46"/>
  <c r="D126" i="46"/>
  <c r="T101" i="39"/>
  <c r="AC98" i="33"/>
  <c r="AC38" i="33"/>
  <c r="AC83" i="33"/>
  <c r="AC53" i="33"/>
  <c r="AD5" i="33"/>
  <c r="AC68" i="33"/>
  <c r="AC8" i="33"/>
  <c r="AC1" i="33"/>
  <c r="F98" i="46"/>
  <c r="F38" i="46"/>
  <c r="D38" i="46"/>
  <c r="U126" i="37"/>
  <c r="Z53" i="59"/>
  <c r="F82" i="46"/>
  <c r="D82" i="46"/>
  <c r="W119" i="48"/>
  <c r="AB14" i="46"/>
  <c r="AB7" i="46"/>
  <c r="T127" i="37"/>
  <c r="S116" i="48"/>
  <c r="S115" i="37"/>
  <c r="AC56" i="38"/>
  <c r="AC104" i="38"/>
  <c r="AC72" i="38"/>
  <c r="AC88" i="38"/>
  <c r="AC8" i="38"/>
  <c r="AC1" i="38"/>
  <c r="AC40" i="38"/>
  <c r="AD5" i="38"/>
  <c r="Z82" i="59"/>
  <c r="U122" i="37"/>
  <c r="AB23" i="33"/>
  <c r="AB36" i="46"/>
  <c r="T116" i="48"/>
  <c r="T115" i="37"/>
  <c r="AB106" i="38"/>
  <c r="AB91" i="38"/>
  <c r="AB75" i="38"/>
  <c r="AB73" i="38"/>
  <c r="AB44" i="38"/>
  <c r="AB42" i="38"/>
  <c r="AB60" i="38"/>
  <c r="AB74" i="38"/>
  <c r="AB12" i="38"/>
  <c r="AB108" i="38"/>
  <c r="AB92" i="38"/>
  <c r="AB9" i="38"/>
  <c r="AB105" i="38"/>
  <c r="AB90" i="38"/>
  <c r="AB76" i="38"/>
  <c r="AB107" i="38"/>
  <c r="AB43" i="38"/>
  <c r="AB11" i="38"/>
  <c r="AB10" i="38"/>
  <c r="AB57" i="38"/>
  <c r="AB89" i="38"/>
  <c r="AB58" i="38"/>
  <c r="AB41" i="38"/>
  <c r="AB59" i="38"/>
  <c r="Z112" i="59"/>
  <c r="AB51" i="46"/>
  <c r="AB59" i="46" s="1"/>
  <c r="D52" i="46"/>
  <c r="F52" i="46"/>
  <c r="S93" i="39"/>
  <c r="V119" i="48"/>
  <c r="D8" i="46"/>
  <c r="F8" i="46"/>
  <c r="T113" i="48"/>
  <c r="T112" i="37"/>
  <c r="T118" i="37" s="1"/>
  <c r="W127" i="48"/>
  <c r="AB66" i="46"/>
  <c r="F67" i="46"/>
  <c r="D67" i="46"/>
  <c r="Z23" i="59"/>
  <c r="Z113" i="59"/>
  <c r="F83" i="46"/>
  <c r="D83" i="46"/>
  <c r="AA26" i="38"/>
  <c r="Z9" i="59"/>
  <c r="Z38" i="59"/>
  <c r="AB96" i="46"/>
  <c r="F97" i="46"/>
  <c r="D97" i="46"/>
  <c r="AA25" i="33"/>
  <c r="U100" i="39"/>
  <c r="AT5" i="11"/>
  <c r="I82" i="11"/>
  <c r="C82" i="11"/>
  <c r="Z126" i="59"/>
  <c r="Z52" i="59"/>
  <c r="AB124" i="46"/>
  <c r="F125" i="46"/>
  <c r="D125" i="46"/>
  <c r="AA24" i="33"/>
  <c r="T123" i="37"/>
  <c r="AA27" i="33"/>
  <c r="S119" i="37"/>
  <c r="Z68" i="59"/>
  <c r="U97" i="39" l="1"/>
  <c r="AB28" i="38"/>
  <c r="AC108" i="38"/>
  <c r="AC92" i="38"/>
  <c r="AC42" i="38"/>
  <c r="AC9" i="38"/>
  <c r="AC90" i="38"/>
  <c r="AC73" i="38"/>
  <c r="AC74" i="38"/>
  <c r="AC105" i="38"/>
  <c r="AC60" i="38"/>
  <c r="AC43" i="38"/>
  <c r="AC12" i="38"/>
  <c r="AC75" i="38"/>
  <c r="AC44" i="38"/>
  <c r="AC11" i="38"/>
  <c r="AC76" i="38"/>
  <c r="AC10" i="38"/>
  <c r="AC91" i="38"/>
  <c r="AC106" i="38"/>
  <c r="AC57" i="38"/>
  <c r="AC89" i="38"/>
  <c r="AC58" i="38"/>
  <c r="AC41" i="38"/>
  <c r="AC25" i="38" s="1"/>
  <c r="V87" i="39" s="1"/>
  <c r="AC59" i="38"/>
  <c r="AC107" i="38"/>
  <c r="F89" i="46"/>
  <c r="F81" i="46"/>
  <c r="F86" i="46" s="1"/>
  <c r="U86" i="39"/>
  <c r="U92" i="39" s="1"/>
  <c r="D111" i="46"/>
  <c r="F120" i="46"/>
  <c r="F111" i="46"/>
  <c r="F116" i="46" s="1"/>
  <c r="D14" i="46"/>
  <c r="D7" i="46"/>
  <c r="AB26" i="38"/>
  <c r="U88" i="39" s="1"/>
  <c r="AC24" i="38"/>
  <c r="V96" i="39"/>
  <c r="D81" i="46"/>
  <c r="AB26" i="46"/>
  <c r="AA24" i="46"/>
  <c r="AA21" i="46" s="1"/>
  <c r="AB116" i="46"/>
  <c r="AB120" i="46" s="1"/>
  <c r="AA114" i="46"/>
  <c r="AA111" i="46" s="1"/>
  <c r="U127" i="37"/>
  <c r="AB1" i="59"/>
  <c r="AB125" i="59" s="1"/>
  <c r="AB119" i="46"/>
  <c r="D66" i="46"/>
  <c r="AB25" i="33"/>
  <c r="F66" i="46"/>
  <c r="F71" i="46" s="1"/>
  <c r="T88" i="39"/>
  <c r="AA69" i="46"/>
  <c r="AA66" i="46" s="1"/>
  <c r="AB71" i="46"/>
  <c r="AB75" i="46" s="1"/>
  <c r="U123" i="37"/>
  <c r="AB27" i="33"/>
  <c r="F75" i="46"/>
  <c r="AB27" i="38"/>
  <c r="V100" i="39"/>
  <c r="AB24" i="33"/>
  <c r="U116" i="48"/>
  <c r="U115" i="37"/>
  <c r="AB74" i="46"/>
  <c r="AA84" i="46"/>
  <c r="AA81" i="46" s="1"/>
  <c r="AB86" i="46"/>
  <c r="AB90" i="46" s="1"/>
  <c r="J8" i="11"/>
  <c r="C34" i="11"/>
  <c r="F19" i="11"/>
  <c r="C54" i="11"/>
  <c r="F35" i="11"/>
  <c r="J37" i="11"/>
  <c r="C63" i="11"/>
  <c r="C49" i="11"/>
  <c r="C13" i="11"/>
  <c r="C59" i="11"/>
  <c r="C33" i="11"/>
  <c r="J34" i="11"/>
  <c r="G35" i="11"/>
  <c r="J21" i="11"/>
  <c r="C11" i="11"/>
  <c r="C39" i="11"/>
  <c r="D65" i="11"/>
  <c r="G50" i="11"/>
  <c r="C35" i="11"/>
  <c r="G65" i="11"/>
  <c r="J65" i="11"/>
  <c r="C165" i="11" s="1"/>
  <c r="K65" i="11" s="1"/>
  <c r="C18" i="11"/>
  <c r="C8" i="11"/>
  <c r="C12" i="11"/>
  <c r="C65" i="11"/>
  <c r="G63" i="11"/>
  <c r="F65" i="11"/>
  <c r="I8" i="11"/>
  <c r="D44" i="11"/>
  <c r="G54" i="11"/>
  <c r="I63" i="11"/>
  <c r="D42" i="11"/>
  <c r="C44" i="11"/>
  <c r="I60" i="11"/>
  <c r="C53" i="11"/>
  <c r="C55" i="11"/>
  <c r="D52" i="11"/>
  <c r="J38" i="11"/>
  <c r="C37" i="11"/>
  <c r="C38" i="11"/>
  <c r="G82" i="11"/>
  <c r="C32" i="11"/>
  <c r="G12" i="11"/>
  <c r="C57" i="11"/>
  <c r="D53" i="11"/>
  <c r="F48" i="11"/>
  <c r="C20" i="11"/>
  <c r="C51" i="11"/>
  <c r="G36" i="11"/>
  <c r="F55" i="11"/>
  <c r="C42" i="11"/>
  <c r="J53" i="11"/>
  <c r="J35" i="11"/>
  <c r="J10" i="11"/>
  <c r="D8" i="11"/>
  <c r="J45" i="11"/>
  <c r="D63" i="11"/>
  <c r="G8" i="11"/>
  <c r="F61" i="11"/>
  <c r="F83" i="11" s="1"/>
  <c r="F53" i="11"/>
  <c r="G34" i="11"/>
  <c r="C64" i="11"/>
  <c r="J49" i="11"/>
  <c r="J44" i="11"/>
  <c r="C10" i="11"/>
  <c r="J36" i="11"/>
  <c r="F14" i="11"/>
  <c r="I45" i="11"/>
  <c r="D45" i="11"/>
  <c r="F51" i="11"/>
  <c r="F49" i="11"/>
  <c r="F42" i="11"/>
  <c r="G56" i="11"/>
  <c r="G75" i="11" s="1"/>
  <c r="G59" i="11"/>
  <c r="D38" i="11"/>
  <c r="C60" i="11"/>
  <c r="F36" i="11"/>
  <c r="J54" i="11"/>
  <c r="D48" i="11"/>
  <c r="I39" i="11"/>
  <c r="F50" i="11"/>
  <c r="C61" i="11"/>
  <c r="C83" i="11" s="1"/>
  <c r="C57" i="8" s="1"/>
  <c r="G48" i="11"/>
  <c r="I48" i="11"/>
  <c r="G37" i="11"/>
  <c r="J59" i="11"/>
  <c r="C159" i="11" s="1"/>
  <c r="K59" i="11" s="1"/>
  <c r="G33" i="11"/>
  <c r="I51" i="11"/>
  <c r="I14" i="11"/>
  <c r="C15" i="9" s="1"/>
  <c r="J18" i="11"/>
  <c r="C43" i="11"/>
  <c r="F62" i="11"/>
  <c r="F77" i="11" s="1"/>
  <c r="I58" i="11"/>
  <c r="I76" i="11" s="1"/>
  <c r="C52" i="11"/>
  <c r="J31" i="11"/>
  <c r="D10" i="11"/>
  <c r="F59" i="11"/>
  <c r="I49" i="11"/>
  <c r="J42" i="11"/>
  <c r="G52" i="11"/>
  <c r="I50" i="11"/>
  <c r="D19" i="11"/>
  <c r="D60" i="11"/>
  <c r="C50" i="11"/>
  <c r="D50" i="11"/>
  <c r="G9" i="11"/>
  <c r="J39" i="11"/>
  <c r="J62" i="11"/>
  <c r="C45" i="11"/>
  <c r="I34" i="11"/>
  <c r="D62" i="11"/>
  <c r="D77" i="11" s="1"/>
  <c r="D33" i="11"/>
  <c r="J17" i="11"/>
  <c r="C17" i="11"/>
  <c r="J32" i="11"/>
  <c r="G21" i="11"/>
  <c r="G11" i="11"/>
  <c r="G7" i="11"/>
  <c r="F18" i="11"/>
  <c r="F52" i="11"/>
  <c r="F11" i="11"/>
  <c r="F31" i="11"/>
  <c r="D31" i="11"/>
  <c r="I12" i="11"/>
  <c r="D7" i="11"/>
  <c r="D49" i="11"/>
  <c r="F43" i="11"/>
  <c r="F32" i="11"/>
  <c r="G13" i="11"/>
  <c r="F37" i="11"/>
  <c r="D35" i="11"/>
  <c r="C31" i="11"/>
  <c r="C48" i="11"/>
  <c r="D37" i="11"/>
  <c r="I31" i="11"/>
  <c r="F54" i="11"/>
  <c r="C21" i="11"/>
  <c r="I53" i="11"/>
  <c r="J64" i="11"/>
  <c r="C164" i="11" s="1"/>
  <c r="K64" i="11" s="1"/>
  <c r="I65" i="11"/>
  <c r="F9" i="11"/>
  <c r="J13" i="11"/>
  <c r="I20" i="11"/>
  <c r="C21" i="9" s="1"/>
  <c r="G53" i="11"/>
  <c r="I62" i="11"/>
  <c r="I77" i="11" s="1"/>
  <c r="J63" i="11"/>
  <c r="C162" i="11" s="1"/>
  <c r="K63" i="11" s="1"/>
  <c r="D13" i="11"/>
  <c r="G44" i="11"/>
  <c r="F57" i="11"/>
  <c r="D34" i="11"/>
  <c r="J58" i="11"/>
  <c r="F45" i="11"/>
  <c r="D64" i="11"/>
  <c r="D9" i="11"/>
  <c r="I32" i="11"/>
  <c r="I42" i="11"/>
  <c r="F12" i="11"/>
  <c r="J43" i="11"/>
  <c r="D12" i="11"/>
  <c r="G57" i="11"/>
  <c r="F13" i="11"/>
  <c r="D57" i="11"/>
  <c r="I52" i="11"/>
  <c r="I54" i="11"/>
  <c r="G32" i="11"/>
  <c r="G31" i="11"/>
  <c r="D18" i="11"/>
  <c r="I38" i="11"/>
  <c r="F10" i="11"/>
  <c r="J48" i="11"/>
  <c r="G38" i="11"/>
  <c r="F8" i="11"/>
  <c r="G18" i="11"/>
  <c r="G58" i="11"/>
  <c r="G76" i="11" s="1"/>
  <c r="I21" i="11"/>
  <c r="C22" i="9" s="1"/>
  <c r="I17" i="11"/>
  <c r="D32" i="11"/>
  <c r="G42" i="11"/>
  <c r="D14" i="11"/>
  <c r="J19" i="11"/>
  <c r="D39" i="11"/>
  <c r="C56" i="11"/>
  <c r="C75" i="11" s="1"/>
  <c r="F33" i="11"/>
  <c r="F44" i="11"/>
  <c r="G19" i="11"/>
  <c r="C62" i="11"/>
  <c r="C77" i="11" s="1"/>
  <c r="J56" i="11"/>
  <c r="I37" i="11"/>
  <c r="J60" i="11"/>
  <c r="C9" i="11"/>
  <c r="J33" i="11"/>
  <c r="J61" i="11"/>
  <c r="I19" i="11"/>
  <c r="C20" i="9" s="1"/>
  <c r="D36" i="11"/>
  <c r="G61" i="11"/>
  <c r="G83" i="11" s="1"/>
  <c r="C19" i="11"/>
  <c r="I61" i="11"/>
  <c r="I83" i="11" s="1"/>
  <c r="I57" i="8" s="1"/>
  <c r="I10" i="11"/>
  <c r="I9" i="11"/>
  <c r="D56" i="11"/>
  <c r="D75" i="11" s="1"/>
  <c r="D56" i="8" s="1"/>
  <c r="I33" i="11"/>
  <c r="D20" i="11"/>
  <c r="G10" i="11"/>
  <c r="J12" i="11"/>
  <c r="J9" i="11"/>
  <c r="J55" i="11"/>
  <c r="G62" i="11"/>
  <c r="G77" i="11" s="1"/>
  <c r="D58" i="11"/>
  <c r="D76" i="11" s="1"/>
  <c r="G55" i="11"/>
  <c r="I18" i="11"/>
  <c r="C19" i="9" s="1"/>
  <c r="D43" i="11"/>
  <c r="F63" i="11"/>
  <c r="F60" i="11"/>
  <c r="G14" i="11"/>
  <c r="J11" i="11"/>
  <c r="I35" i="11"/>
  <c r="J51" i="11"/>
  <c r="D54" i="11"/>
  <c r="G20" i="11"/>
  <c r="F56" i="11"/>
  <c r="F75" i="11" s="1"/>
  <c r="I36" i="11"/>
  <c r="F17" i="11"/>
  <c r="F22" i="11" s="1"/>
  <c r="G17" i="11"/>
  <c r="I7" i="11"/>
  <c r="I43" i="11"/>
  <c r="D55" i="11"/>
  <c r="D82" i="11"/>
  <c r="F34" i="11"/>
  <c r="F20" i="11"/>
  <c r="I57" i="11"/>
  <c r="J7" i="11"/>
  <c r="I44" i="11"/>
  <c r="G64" i="11"/>
  <c r="F7" i="11"/>
  <c r="I56" i="11"/>
  <c r="I75" i="11" s="1"/>
  <c r="I56" i="8" s="1"/>
  <c r="I59" i="11"/>
  <c r="G43" i="11"/>
  <c r="I64" i="11"/>
  <c r="F64" i="11"/>
  <c r="I55" i="11"/>
  <c r="G45" i="11"/>
  <c r="J50" i="11"/>
  <c r="F21" i="11"/>
  <c r="F38" i="11"/>
  <c r="J52" i="11"/>
  <c r="G39" i="11"/>
  <c r="F39" i="11"/>
  <c r="C36" i="11"/>
  <c r="D61" i="11"/>
  <c r="D83" i="11" s="1"/>
  <c r="D59" i="11"/>
  <c r="D21" i="11"/>
  <c r="J20" i="11"/>
  <c r="J57" i="11"/>
  <c r="C157" i="11" s="1"/>
  <c r="K57" i="11" s="1"/>
  <c r="D11" i="11"/>
  <c r="C14" i="11"/>
  <c r="I11" i="11"/>
  <c r="I13" i="11"/>
  <c r="D51" i="11"/>
  <c r="C58" i="11"/>
  <c r="C76" i="11" s="1"/>
  <c r="J14" i="11"/>
  <c r="C7" i="11"/>
  <c r="G51" i="11"/>
  <c r="G60" i="11"/>
  <c r="G49" i="11"/>
  <c r="F58" i="11"/>
  <c r="F76" i="11" s="1"/>
  <c r="D17" i="11"/>
  <c r="D22" i="11" s="1"/>
  <c r="J82" i="11"/>
  <c r="F82" i="11"/>
  <c r="F57" i="8" s="1"/>
  <c r="AB41" i="46"/>
  <c r="AA39" i="46"/>
  <c r="AA36" i="46" s="1"/>
  <c r="AC71" i="33"/>
  <c r="AC69" i="33"/>
  <c r="AC42" i="33"/>
  <c r="AC40" i="33"/>
  <c r="AC12" i="33"/>
  <c r="AC86" i="33"/>
  <c r="AC85" i="33"/>
  <c r="AC56" i="33"/>
  <c r="AC54" i="33"/>
  <c r="AC102" i="33"/>
  <c r="AC101" i="33"/>
  <c r="AC100" i="33"/>
  <c r="AC87" i="33"/>
  <c r="AC11" i="33"/>
  <c r="AC99" i="33"/>
  <c r="AC70" i="33"/>
  <c r="AC84" i="33"/>
  <c r="AC10" i="33"/>
  <c r="AC72" i="33"/>
  <c r="AC55" i="33"/>
  <c r="AC39" i="33"/>
  <c r="AC9" i="33"/>
  <c r="AC41" i="33"/>
  <c r="AC26" i="33" s="1"/>
  <c r="AC57" i="33"/>
  <c r="AB89" i="46"/>
  <c r="T119" i="37"/>
  <c r="AB44" i="46"/>
  <c r="AA68" i="59"/>
  <c r="AA125" i="59"/>
  <c r="AD68" i="33"/>
  <c r="AD98" i="33"/>
  <c r="AD53" i="33"/>
  <c r="AD38" i="33"/>
  <c r="AD83" i="33"/>
  <c r="AD8" i="33"/>
  <c r="AD1" i="33"/>
  <c r="AA53" i="59"/>
  <c r="AA82" i="59"/>
  <c r="F90" i="46"/>
  <c r="AA54" i="46"/>
  <c r="AA51" i="46" s="1"/>
  <c r="AB56" i="46"/>
  <c r="AB13" i="52" s="1"/>
  <c r="T114" i="48"/>
  <c r="T113" i="37"/>
  <c r="T115" i="48"/>
  <c r="T114" i="37"/>
  <c r="V126" i="37"/>
  <c r="T93" i="39"/>
  <c r="AA8" i="59"/>
  <c r="AA112" i="59"/>
  <c r="U113" i="48"/>
  <c r="U112" i="37"/>
  <c r="U118" i="37" s="1"/>
  <c r="D124" i="46"/>
  <c r="D96" i="46"/>
  <c r="AB12" i="46"/>
  <c r="AB15" i="46" s="1"/>
  <c r="AA10" i="46"/>
  <c r="AA7" i="46" s="1"/>
  <c r="D36" i="46"/>
  <c r="AA37" i="59"/>
  <c r="AA113" i="59"/>
  <c r="D21" i="46"/>
  <c r="V122" i="37"/>
  <c r="AC23" i="33"/>
  <c r="F36" i="46"/>
  <c r="F41" i="46" s="1"/>
  <c r="F12" i="52" s="1"/>
  <c r="AA52" i="59"/>
  <c r="AA38" i="59"/>
  <c r="F7" i="46"/>
  <c r="F12" i="46" s="1"/>
  <c r="F15" i="46" s="1"/>
  <c r="AB25" i="38"/>
  <c r="U101" i="39"/>
  <c r="AD1" i="38"/>
  <c r="AD56" i="38"/>
  <c r="F56" i="38" s="1"/>
  <c r="AD104" i="38"/>
  <c r="AD40" i="38"/>
  <c r="AD88" i="38"/>
  <c r="AD8" i="38"/>
  <c r="AD72" i="38"/>
  <c r="F21" i="46"/>
  <c r="F26" i="46" s="1"/>
  <c r="F11" i="52" s="1"/>
  <c r="F124" i="46"/>
  <c r="F129" i="46" s="1"/>
  <c r="F132" i="46" s="1"/>
  <c r="F96" i="46"/>
  <c r="F101" i="46" s="1"/>
  <c r="F105" i="46" s="1"/>
  <c r="AB129" i="46"/>
  <c r="AB132" i="46" s="1"/>
  <c r="AA127" i="46"/>
  <c r="AA124" i="46" s="1"/>
  <c r="AB101" i="46"/>
  <c r="AB105" i="46" s="1"/>
  <c r="AA99" i="46"/>
  <c r="AA96" i="46" s="1"/>
  <c r="AB131" i="46"/>
  <c r="AB104" i="46"/>
  <c r="AB60" i="46"/>
  <c r="F53" i="46"/>
  <c r="F51" i="46" s="1"/>
  <c r="D53" i="46"/>
  <c r="F125" i="59" l="1"/>
  <c r="F56" i="46"/>
  <c r="F13" i="52" s="1"/>
  <c r="F59" i="46"/>
  <c r="H88" i="38"/>
  <c r="F88" i="38"/>
  <c r="F44" i="46"/>
  <c r="W96" i="39"/>
  <c r="AD24" i="38"/>
  <c r="H40" i="38"/>
  <c r="F40" i="38"/>
  <c r="H98" i="33"/>
  <c r="F98" i="33"/>
  <c r="D12" i="8"/>
  <c r="D12" i="18"/>
  <c r="C155" i="11"/>
  <c r="K55" i="11" s="1"/>
  <c r="J45" i="8"/>
  <c r="D70" i="17" s="1"/>
  <c r="J43" i="18"/>
  <c r="C10" i="18"/>
  <c r="C10" i="8"/>
  <c r="D44" i="17"/>
  <c r="J31" i="18"/>
  <c r="J33" i="8"/>
  <c r="N43" i="11"/>
  <c r="M43" i="11"/>
  <c r="D14" i="9"/>
  <c r="J14" i="18"/>
  <c r="J14" i="8"/>
  <c r="M13" i="11"/>
  <c r="N13" i="11"/>
  <c r="D39" i="8"/>
  <c r="D37" i="18"/>
  <c r="I15" i="35"/>
  <c r="I16" i="35" s="1"/>
  <c r="C11" i="17"/>
  <c r="I22" i="18"/>
  <c r="I24" i="8"/>
  <c r="C40" i="18"/>
  <c r="C42" i="8"/>
  <c r="J44" i="8"/>
  <c r="D69" i="17" s="1"/>
  <c r="J42" i="18"/>
  <c r="F90" i="11"/>
  <c r="F54" i="8" s="1"/>
  <c r="F66" i="11"/>
  <c r="F38" i="8"/>
  <c r="F36" i="18"/>
  <c r="G44" i="8"/>
  <c r="G42" i="18"/>
  <c r="D22" i="9"/>
  <c r="N21" i="11"/>
  <c r="M21" i="11"/>
  <c r="AB53" i="59"/>
  <c r="AC27" i="38"/>
  <c r="V89" i="39" s="1"/>
  <c r="H72" i="38"/>
  <c r="F72" i="38"/>
  <c r="AA12" i="46"/>
  <c r="AA15" i="46" s="1"/>
  <c r="Z10" i="46"/>
  <c r="Z7" i="46" s="1"/>
  <c r="AA14" i="46"/>
  <c r="F68" i="33"/>
  <c r="H68" i="33"/>
  <c r="N57" i="11"/>
  <c r="M57" i="11"/>
  <c r="G31" i="18"/>
  <c r="G33" i="8"/>
  <c r="I20" i="35"/>
  <c r="I36" i="35"/>
  <c r="C13" i="17"/>
  <c r="I24" i="18"/>
  <c r="I26" i="8"/>
  <c r="D10" i="9"/>
  <c r="J10" i="8"/>
  <c r="J10" i="18"/>
  <c r="N9" i="11"/>
  <c r="M9" i="11"/>
  <c r="N60" i="11"/>
  <c r="M60" i="11"/>
  <c r="F13" i="8"/>
  <c r="F13" i="18"/>
  <c r="F10" i="18"/>
  <c r="F10" i="8"/>
  <c r="D8" i="18"/>
  <c r="D15" i="11"/>
  <c r="D8" i="8"/>
  <c r="C33" i="18"/>
  <c r="C35" i="8"/>
  <c r="F24" i="18"/>
  <c r="F26" i="8"/>
  <c r="G22" i="18"/>
  <c r="G24" i="8"/>
  <c r="D43" i="8"/>
  <c r="D41" i="18"/>
  <c r="D32" i="18"/>
  <c r="D34" i="8"/>
  <c r="G25" i="8"/>
  <c r="G23" i="18"/>
  <c r="G88" i="11"/>
  <c r="AB83" i="59"/>
  <c r="V101" i="39"/>
  <c r="H8" i="38"/>
  <c r="F104" i="46"/>
  <c r="D21" i="9"/>
  <c r="N20" i="11"/>
  <c r="M20" i="11"/>
  <c r="F56" i="8"/>
  <c r="D13" i="9"/>
  <c r="J13" i="18"/>
  <c r="J13" i="8"/>
  <c r="N12" i="11"/>
  <c r="M12" i="11"/>
  <c r="I19" i="35"/>
  <c r="C14" i="17"/>
  <c r="I25" i="18"/>
  <c r="I27" i="8"/>
  <c r="F9" i="8"/>
  <c r="F9" i="18"/>
  <c r="C43" i="17"/>
  <c r="I46" i="11"/>
  <c r="I30" i="18"/>
  <c r="I32" i="8"/>
  <c r="C13" i="9"/>
  <c r="I13" i="18"/>
  <c r="I13" i="8"/>
  <c r="C163" i="11"/>
  <c r="K62" i="11" s="1"/>
  <c r="J77" i="11"/>
  <c r="F43" i="8"/>
  <c r="F41" i="18"/>
  <c r="C9" i="9"/>
  <c r="I9" i="18"/>
  <c r="I9" i="8"/>
  <c r="J15" i="35"/>
  <c r="D11" i="17"/>
  <c r="J22" i="18"/>
  <c r="J24" i="8"/>
  <c r="M34" i="11"/>
  <c r="N34" i="11"/>
  <c r="U119" i="37"/>
  <c r="AB67" i="59"/>
  <c r="AA116" i="46"/>
  <c r="AA120" i="46" s="1"/>
  <c r="Z114" i="46"/>
  <c r="Z111" i="46" s="1"/>
  <c r="AA119" i="46"/>
  <c r="W126" i="37"/>
  <c r="H53" i="33"/>
  <c r="F53" i="33"/>
  <c r="U87" i="39"/>
  <c r="K82" i="11"/>
  <c r="G11" i="18"/>
  <c r="G11" i="8"/>
  <c r="J75" i="11"/>
  <c r="C156" i="11"/>
  <c r="K56" i="11" s="1"/>
  <c r="G28" i="8"/>
  <c r="G26" i="18"/>
  <c r="I7" i="35"/>
  <c r="C9" i="17"/>
  <c r="I22" i="8"/>
  <c r="I20" i="18"/>
  <c r="N64" i="11"/>
  <c r="M64" i="11"/>
  <c r="G28" i="35"/>
  <c r="D40" i="11"/>
  <c r="D19" i="18"/>
  <c r="D21" i="8"/>
  <c r="J35" i="35"/>
  <c r="M35" i="35" s="1"/>
  <c r="D16" i="17"/>
  <c r="J27" i="18"/>
  <c r="J29" i="8"/>
  <c r="M39" i="11"/>
  <c r="N39" i="11"/>
  <c r="C31" i="18"/>
  <c r="C33" i="8"/>
  <c r="D26" i="18"/>
  <c r="D28" i="8"/>
  <c r="G13" i="18"/>
  <c r="G13" i="8"/>
  <c r="F8" i="35"/>
  <c r="C21" i="18"/>
  <c r="C23" i="8"/>
  <c r="F8" i="38"/>
  <c r="U115" i="48"/>
  <c r="U114" i="37"/>
  <c r="AB52" i="59"/>
  <c r="F119" i="46"/>
  <c r="H104" i="38"/>
  <c r="F104" i="38"/>
  <c r="V113" i="48"/>
  <c r="V112" i="37"/>
  <c r="V118" i="37" s="1"/>
  <c r="C99" i="46"/>
  <c r="C96" i="46" s="1"/>
  <c r="D101" i="46"/>
  <c r="D105" i="46" s="1"/>
  <c r="AD87" i="33"/>
  <c r="AD85" i="33"/>
  <c r="AD12" i="33"/>
  <c r="AD86" i="33"/>
  <c r="AD56" i="33"/>
  <c r="AD54" i="33"/>
  <c r="AD101" i="33"/>
  <c r="AD100" i="33"/>
  <c r="AD72" i="33"/>
  <c r="AD67" i="33" s="1"/>
  <c r="AD70" i="33"/>
  <c r="AD99" i="33"/>
  <c r="AD84" i="33"/>
  <c r="AD69" i="33"/>
  <c r="AD10" i="33"/>
  <c r="AD102" i="33"/>
  <c r="AD71" i="33"/>
  <c r="AD55" i="33"/>
  <c r="AD39" i="33"/>
  <c r="AD9" i="33"/>
  <c r="AD41" i="33"/>
  <c r="AD57" i="33"/>
  <c r="AD52" i="33" s="1"/>
  <c r="AD40" i="33"/>
  <c r="AD42" i="33"/>
  <c r="AD11" i="33"/>
  <c r="AA101" i="46"/>
  <c r="AA105" i="46" s="1"/>
  <c r="Z99" i="46"/>
  <c r="Z96" i="46" s="1"/>
  <c r="AA104" i="46"/>
  <c r="W100" i="39"/>
  <c r="H56" i="38"/>
  <c r="D104" i="46"/>
  <c r="AD7" i="33"/>
  <c r="AD17" i="33" s="1"/>
  <c r="H8" i="33"/>
  <c r="F8" i="33"/>
  <c r="AD106" i="38"/>
  <c r="AD59" i="38"/>
  <c r="AD57" i="38"/>
  <c r="AD11" i="38"/>
  <c r="AD9" i="38"/>
  <c r="AD91" i="38"/>
  <c r="AD12" i="38"/>
  <c r="AD74" i="38"/>
  <c r="AD108" i="38"/>
  <c r="AD107" i="38"/>
  <c r="AD76" i="38"/>
  <c r="AD41" i="38"/>
  <c r="AD89" i="38"/>
  <c r="AD58" i="38"/>
  <c r="AD75" i="38"/>
  <c r="AD42" i="38"/>
  <c r="AD105" i="38"/>
  <c r="AD90" i="38"/>
  <c r="AD60" i="38"/>
  <c r="AD55" i="38" s="1"/>
  <c r="AD43" i="38"/>
  <c r="AD44" i="38"/>
  <c r="AD10" i="38"/>
  <c r="AD92" i="38"/>
  <c r="AD73" i="38"/>
  <c r="F45" i="46"/>
  <c r="C127" i="46"/>
  <c r="C124" i="46" s="1"/>
  <c r="D129" i="46"/>
  <c r="D132" i="46" s="1"/>
  <c r="D24" i="11"/>
  <c r="F8" i="18"/>
  <c r="F15" i="11"/>
  <c r="F24" i="11" s="1"/>
  <c r="F8" i="8"/>
  <c r="D44" i="8"/>
  <c r="D42" i="18"/>
  <c r="C148" i="11"/>
  <c r="J66" i="11"/>
  <c r="J90" i="11"/>
  <c r="J54" i="8" s="1"/>
  <c r="J36" i="18"/>
  <c r="J38" i="8"/>
  <c r="D63" i="17" s="1"/>
  <c r="D10" i="18"/>
  <c r="D10" i="8"/>
  <c r="I43" i="8"/>
  <c r="C68" i="17" s="1"/>
  <c r="I41" i="18"/>
  <c r="F19" i="18"/>
  <c r="F40" i="11"/>
  <c r="F21" i="8"/>
  <c r="G10" i="8"/>
  <c r="G10" i="18"/>
  <c r="D19" i="9"/>
  <c r="C121" i="11"/>
  <c r="G9" i="8"/>
  <c r="G9" i="18"/>
  <c r="F7" i="35"/>
  <c r="F9" i="35" s="1"/>
  <c r="F10" i="35" s="1"/>
  <c r="C22" i="8"/>
  <c r="C20" i="18"/>
  <c r="F14" i="46"/>
  <c r="C39" i="46"/>
  <c r="C36" i="46" s="1"/>
  <c r="D41" i="46"/>
  <c r="F131" i="46"/>
  <c r="D44" i="46"/>
  <c r="Z54" i="46"/>
  <c r="Z51" i="46" s="1"/>
  <c r="AA56" i="46"/>
  <c r="AA59" i="46"/>
  <c r="F29" i="46"/>
  <c r="C151" i="11"/>
  <c r="K51" i="11" s="1"/>
  <c r="J41" i="8"/>
  <c r="D66" i="17" s="1"/>
  <c r="J39" i="18"/>
  <c r="I8" i="35"/>
  <c r="C10" i="17"/>
  <c r="I23" i="8"/>
  <c r="I21" i="18"/>
  <c r="F11" i="18"/>
  <c r="F11" i="8"/>
  <c r="F12" i="18"/>
  <c r="F12" i="8"/>
  <c r="D38" i="18"/>
  <c r="D40" i="8"/>
  <c r="G56" i="8"/>
  <c r="G57" i="8"/>
  <c r="C14" i="8"/>
  <c r="C14" i="18"/>
  <c r="AB37" i="59"/>
  <c r="V127" i="37"/>
  <c r="G39" i="8"/>
  <c r="G37" i="18"/>
  <c r="F20" i="35"/>
  <c r="C24" i="18"/>
  <c r="C26" i="8"/>
  <c r="C45" i="17"/>
  <c r="I34" i="8"/>
  <c r="I32" i="18"/>
  <c r="I21" i="35"/>
  <c r="I33" i="35" s="1"/>
  <c r="C12" i="17"/>
  <c r="I25" i="8"/>
  <c r="I23" i="18"/>
  <c r="I88" i="11"/>
  <c r="F32" i="18"/>
  <c r="F34" i="8"/>
  <c r="C15" i="17"/>
  <c r="I28" i="8"/>
  <c r="I26" i="18"/>
  <c r="F35" i="8"/>
  <c r="F33" i="18"/>
  <c r="F44" i="8"/>
  <c r="F42" i="18"/>
  <c r="F42" i="8"/>
  <c r="F40" i="18"/>
  <c r="C40" i="8"/>
  <c r="C38" i="18"/>
  <c r="I41" i="8"/>
  <c r="C66" i="17" s="1"/>
  <c r="I39" i="18"/>
  <c r="F46" i="11"/>
  <c r="F30" i="18"/>
  <c r="F32" i="8"/>
  <c r="D46" i="17"/>
  <c r="J35" i="8"/>
  <c r="J33" i="18"/>
  <c r="N45" i="11"/>
  <c r="M45" i="11"/>
  <c r="C26" i="18"/>
  <c r="C28" i="8"/>
  <c r="C13" i="18"/>
  <c r="C13" i="8"/>
  <c r="C39" i="8"/>
  <c r="C37" i="18"/>
  <c r="Z69" i="46"/>
  <c r="Z66" i="46" s="1"/>
  <c r="AA71" i="46"/>
  <c r="AA75" i="46" s="1"/>
  <c r="AA74" i="46"/>
  <c r="D71" i="46"/>
  <c r="D75" i="46" s="1"/>
  <c r="C69" i="46"/>
  <c r="C66" i="46" s="1"/>
  <c r="AB126" i="59"/>
  <c r="V116" i="48"/>
  <c r="V115" i="37"/>
  <c r="F27" i="18"/>
  <c r="F29" i="8"/>
  <c r="D8" i="9"/>
  <c r="J15" i="11"/>
  <c r="N15" i="11" s="1"/>
  <c r="J8" i="18"/>
  <c r="J8" i="8"/>
  <c r="N7" i="11"/>
  <c r="M7" i="11"/>
  <c r="D12" i="9"/>
  <c r="J12" i="8"/>
  <c r="J12" i="18"/>
  <c r="M11" i="11"/>
  <c r="N11" i="11"/>
  <c r="C10" i="9"/>
  <c r="I10" i="8"/>
  <c r="I10" i="18"/>
  <c r="F23" i="8"/>
  <c r="F21" i="18"/>
  <c r="C158" i="11"/>
  <c r="K58" i="11" s="1"/>
  <c r="J76" i="11"/>
  <c r="I28" i="35"/>
  <c r="C8" i="17"/>
  <c r="I40" i="11"/>
  <c r="I19" i="18"/>
  <c r="I21" i="8"/>
  <c r="G23" i="8"/>
  <c r="G21" i="18"/>
  <c r="F37" i="18"/>
  <c r="F39" i="8"/>
  <c r="D9" i="8"/>
  <c r="D9" i="18"/>
  <c r="F19" i="35"/>
  <c r="C27" i="8"/>
  <c r="C25" i="18"/>
  <c r="C9" i="18"/>
  <c r="C9" i="8"/>
  <c r="U114" i="48"/>
  <c r="U113" i="37"/>
  <c r="D74" i="46"/>
  <c r="AB68" i="59"/>
  <c r="Z24" i="46"/>
  <c r="Z21" i="46" s="1"/>
  <c r="AA26" i="46"/>
  <c r="AA29" i="46"/>
  <c r="C114" i="46"/>
  <c r="C111" i="46" s="1"/>
  <c r="D116" i="46"/>
  <c r="D120" i="46" s="1"/>
  <c r="AC26" i="38"/>
  <c r="G41" i="8"/>
  <c r="G39" i="18"/>
  <c r="G27" i="18"/>
  <c r="G29" i="8"/>
  <c r="C11" i="9"/>
  <c r="I11" i="18"/>
  <c r="I11" i="8"/>
  <c r="C56" i="8"/>
  <c r="G40" i="11"/>
  <c r="G19" i="18"/>
  <c r="G21" i="8"/>
  <c r="G15" i="35"/>
  <c r="G16" i="35" s="1"/>
  <c r="D24" i="8"/>
  <c r="D22" i="18"/>
  <c r="G19" i="35"/>
  <c r="D27" i="8"/>
  <c r="D25" i="18"/>
  <c r="G15" i="11"/>
  <c r="G8" i="18"/>
  <c r="G8" i="8"/>
  <c r="N59" i="11"/>
  <c r="M59" i="11"/>
  <c r="F41" i="8"/>
  <c r="F39" i="18"/>
  <c r="D11" i="9"/>
  <c r="J11" i="18"/>
  <c r="J11" i="8"/>
  <c r="M10" i="11"/>
  <c r="N10" i="11"/>
  <c r="D15" i="17"/>
  <c r="J28" i="8"/>
  <c r="J26" i="18"/>
  <c r="N38" i="11"/>
  <c r="M38" i="11"/>
  <c r="J19" i="35"/>
  <c r="D14" i="17"/>
  <c r="M37" i="11"/>
  <c r="J25" i="18"/>
  <c r="J27" i="8"/>
  <c r="N37" i="11"/>
  <c r="AB97" i="59"/>
  <c r="AB11" i="52"/>
  <c r="AB30" i="46"/>
  <c r="D119" i="46"/>
  <c r="D53" i="59"/>
  <c r="AC24" i="33"/>
  <c r="C15" i="11"/>
  <c r="C8" i="8"/>
  <c r="C8" i="18"/>
  <c r="C152" i="11"/>
  <c r="K52" i="11" s="1"/>
  <c r="J42" i="8"/>
  <c r="D67" i="17" s="1"/>
  <c r="J40" i="18"/>
  <c r="G35" i="35"/>
  <c r="D27" i="18"/>
  <c r="D29" i="8"/>
  <c r="G22" i="8"/>
  <c r="G20" i="18"/>
  <c r="C66" i="11"/>
  <c r="C90" i="11"/>
  <c r="C54" i="8" s="1"/>
  <c r="C38" i="8"/>
  <c r="C36" i="18"/>
  <c r="G12" i="8"/>
  <c r="G12" i="18"/>
  <c r="I40" i="8"/>
  <c r="C65" i="17" s="1"/>
  <c r="I38" i="18"/>
  <c r="G25" i="18"/>
  <c r="G27" i="8"/>
  <c r="D35" i="8"/>
  <c r="D33" i="18"/>
  <c r="J21" i="35"/>
  <c r="D12" i="17"/>
  <c r="C131" i="11"/>
  <c r="J25" i="8"/>
  <c r="J23" i="18"/>
  <c r="J88" i="11"/>
  <c r="D42" i="8"/>
  <c r="D40" i="18"/>
  <c r="N65" i="11"/>
  <c r="M65" i="11"/>
  <c r="F88" i="11"/>
  <c r="F25" i="8"/>
  <c r="F23" i="18"/>
  <c r="AB98" i="59"/>
  <c r="C84" i="46"/>
  <c r="C81" i="46" s="1"/>
  <c r="D86" i="46"/>
  <c r="D90" i="46" s="1"/>
  <c r="AC25" i="33"/>
  <c r="D15" i="9"/>
  <c r="M14" i="11"/>
  <c r="N14" i="11"/>
  <c r="F28" i="8"/>
  <c r="F26" i="18"/>
  <c r="F24" i="8"/>
  <c r="F22" i="18"/>
  <c r="D20" i="9"/>
  <c r="M19" i="11"/>
  <c r="N19" i="11"/>
  <c r="I44" i="8"/>
  <c r="C69" i="17" s="1"/>
  <c r="I42" i="18"/>
  <c r="G32" i="18"/>
  <c r="G34" i="8"/>
  <c r="F28" i="35"/>
  <c r="C40" i="11"/>
  <c r="C19" i="18"/>
  <c r="C21" i="8"/>
  <c r="G42" i="8"/>
  <c r="G40" i="18"/>
  <c r="I90" i="11"/>
  <c r="I54" i="8" s="1"/>
  <c r="I66" i="11"/>
  <c r="I38" i="8"/>
  <c r="C63" i="17" s="1"/>
  <c r="I36" i="18"/>
  <c r="C46" i="17"/>
  <c r="I35" i="8"/>
  <c r="I33" i="18"/>
  <c r="C153" i="11"/>
  <c r="K53" i="11" s="1"/>
  <c r="J43" i="8"/>
  <c r="D68" i="17" s="1"/>
  <c r="J41" i="18"/>
  <c r="C43" i="18"/>
  <c r="C45" i="8"/>
  <c r="C42" i="18"/>
  <c r="C44" i="8"/>
  <c r="AB8" i="59"/>
  <c r="AB82" i="59"/>
  <c r="D89" i="46"/>
  <c r="U93" i="39"/>
  <c r="V123" i="37"/>
  <c r="AC27" i="33"/>
  <c r="D57" i="8"/>
  <c r="D31" i="18"/>
  <c r="D33" i="8"/>
  <c r="I40" i="18"/>
  <c r="I42" i="8"/>
  <c r="C67" i="17" s="1"/>
  <c r="D14" i="8"/>
  <c r="D14" i="18"/>
  <c r="G21" i="35"/>
  <c r="G33" i="35" s="1"/>
  <c r="G37" i="35" s="1"/>
  <c r="D25" i="8"/>
  <c r="D23" i="18"/>
  <c r="D88" i="11"/>
  <c r="J7" i="35"/>
  <c r="D9" i="17"/>
  <c r="J22" i="8"/>
  <c r="J20" i="18"/>
  <c r="M32" i="11"/>
  <c r="N32" i="11"/>
  <c r="D43" i="17"/>
  <c r="J46" i="11"/>
  <c r="N46" i="11" s="1"/>
  <c r="J30" i="18"/>
  <c r="J32" i="8"/>
  <c r="N42" i="11"/>
  <c r="M42" i="11"/>
  <c r="G90" i="11"/>
  <c r="G54" i="8" s="1"/>
  <c r="G66" i="11"/>
  <c r="G38" i="8"/>
  <c r="G36" i="18"/>
  <c r="C46" i="11"/>
  <c r="C30" i="18"/>
  <c r="C32" i="8"/>
  <c r="C43" i="8"/>
  <c r="C41" i="18"/>
  <c r="F21" i="35"/>
  <c r="F33" i="35" s="1"/>
  <c r="C25" i="8"/>
  <c r="C23" i="18"/>
  <c r="C88" i="11"/>
  <c r="AB23" i="59"/>
  <c r="AB112" i="59"/>
  <c r="D41" i="8"/>
  <c r="D39" i="18"/>
  <c r="C150" i="11"/>
  <c r="K50" i="11" s="1"/>
  <c r="J40" i="8"/>
  <c r="D65" i="17" s="1"/>
  <c r="J38" i="18"/>
  <c r="D43" i="18"/>
  <c r="D45" i="8"/>
  <c r="G20" i="35"/>
  <c r="D24" i="18"/>
  <c r="D26" i="8"/>
  <c r="G46" i="11"/>
  <c r="G30" i="18"/>
  <c r="G32" i="8"/>
  <c r="N63" i="11"/>
  <c r="M63" i="11"/>
  <c r="F25" i="18"/>
  <c r="F27" i="8"/>
  <c r="C22" i="11"/>
  <c r="I39" i="8"/>
  <c r="C64" i="17" s="1"/>
  <c r="I37" i="18"/>
  <c r="J20" i="35"/>
  <c r="D13" i="17"/>
  <c r="J26" i="8"/>
  <c r="J24" i="18"/>
  <c r="N36" i="11"/>
  <c r="M36" i="11"/>
  <c r="F43" i="18"/>
  <c r="F45" i="8"/>
  <c r="G38" i="18"/>
  <c r="G40" i="8"/>
  <c r="F15" i="35"/>
  <c r="F16" i="35" s="1"/>
  <c r="C24" i="8"/>
  <c r="C22" i="18"/>
  <c r="U89" i="39"/>
  <c r="AB38" i="59"/>
  <c r="AB113" i="59"/>
  <c r="D113" i="59" s="1"/>
  <c r="D125" i="59"/>
  <c r="F60" i="46"/>
  <c r="C14" i="9"/>
  <c r="I14" i="8"/>
  <c r="I14" i="18"/>
  <c r="G35" i="8"/>
  <c r="G33" i="18"/>
  <c r="C44" i="17"/>
  <c r="I31" i="18"/>
  <c r="I33" i="8"/>
  <c r="G43" i="18"/>
  <c r="G45" i="8"/>
  <c r="G7" i="35"/>
  <c r="G9" i="35" s="1"/>
  <c r="G10" i="35" s="1"/>
  <c r="D22" i="8"/>
  <c r="D20" i="18"/>
  <c r="F14" i="18"/>
  <c r="F14" i="8"/>
  <c r="G14" i="8"/>
  <c r="G14" i="18"/>
  <c r="D18" i="9"/>
  <c r="J22" i="11"/>
  <c r="M17" i="11"/>
  <c r="N17" i="11"/>
  <c r="F38" i="18"/>
  <c r="F40" i="8"/>
  <c r="C11" i="18"/>
  <c r="C11" i="8"/>
  <c r="G24" i="18"/>
  <c r="G26" i="8"/>
  <c r="C32" i="18"/>
  <c r="C34" i="8"/>
  <c r="D9" i="9"/>
  <c r="J9" i="18"/>
  <c r="J9" i="8"/>
  <c r="M8" i="11"/>
  <c r="N8" i="11"/>
  <c r="AB22" i="59"/>
  <c r="V86" i="39"/>
  <c r="V92" i="39" s="1"/>
  <c r="F102" i="33"/>
  <c r="V97" i="39"/>
  <c r="AC28" i="38"/>
  <c r="W122" i="37"/>
  <c r="AD23" i="33"/>
  <c r="F38" i="33"/>
  <c r="H38" i="33"/>
  <c r="D51" i="46"/>
  <c r="AA41" i="46"/>
  <c r="Z39" i="46"/>
  <c r="Z36" i="46" s="1"/>
  <c r="AA44" i="46"/>
  <c r="C12" i="9"/>
  <c r="I12" i="8"/>
  <c r="I12" i="18"/>
  <c r="I43" i="18"/>
  <c r="I45" i="8"/>
  <c r="C70" i="17" s="1"/>
  <c r="C8" i="9"/>
  <c r="I15" i="11"/>
  <c r="I8" i="18"/>
  <c r="I8" i="8"/>
  <c r="J83" i="11"/>
  <c r="K83" i="11" s="1"/>
  <c r="C161" i="11"/>
  <c r="K61" i="11" s="1"/>
  <c r="C18" i="9"/>
  <c r="C23" i="9" s="1"/>
  <c r="I22" i="11"/>
  <c r="G41" i="18"/>
  <c r="G43" i="8"/>
  <c r="F22" i="8"/>
  <c r="F20" i="18"/>
  <c r="G8" i="35"/>
  <c r="D23" i="8"/>
  <c r="D21" i="18"/>
  <c r="D11" i="8"/>
  <c r="D11" i="18"/>
  <c r="I35" i="35"/>
  <c r="C16" i="17"/>
  <c r="I27" i="18"/>
  <c r="I29" i="8"/>
  <c r="D45" i="17"/>
  <c r="J34" i="8"/>
  <c r="J32" i="18"/>
  <c r="N44" i="11"/>
  <c r="M44" i="11"/>
  <c r="C41" i="8"/>
  <c r="C39" i="18"/>
  <c r="D46" i="11"/>
  <c r="D30" i="18"/>
  <c r="D34" i="18" s="1"/>
  <c r="D32" i="8"/>
  <c r="D36" i="8" s="1"/>
  <c r="F35" i="35"/>
  <c r="C27" i="18"/>
  <c r="C29" i="8"/>
  <c r="F74" i="46"/>
  <c r="AB9" i="59"/>
  <c r="AD82" i="33"/>
  <c r="H83" i="33"/>
  <c r="F83" i="33"/>
  <c r="AA129" i="46"/>
  <c r="AA132" i="46" s="1"/>
  <c r="Z127" i="46"/>
  <c r="Z124" i="46" s="1"/>
  <c r="AA131" i="46"/>
  <c r="D131" i="46"/>
  <c r="C24" i="46"/>
  <c r="C21" i="46" s="1"/>
  <c r="D26" i="46"/>
  <c r="D29" i="46"/>
  <c r="AB12" i="52"/>
  <c r="AB45" i="46"/>
  <c r="G22" i="11"/>
  <c r="G24" i="11" s="1"/>
  <c r="J8" i="35"/>
  <c r="M8" i="35" s="1"/>
  <c r="N8" i="35" s="1"/>
  <c r="D10" i="17"/>
  <c r="J23" i="8"/>
  <c r="J21" i="18"/>
  <c r="N33" i="11"/>
  <c r="M33" i="11"/>
  <c r="D13" i="18"/>
  <c r="D13" i="8"/>
  <c r="F31" i="18"/>
  <c r="F33" i="8"/>
  <c r="J28" i="35"/>
  <c r="D8" i="17"/>
  <c r="J40" i="11"/>
  <c r="J21" i="8"/>
  <c r="J19" i="18"/>
  <c r="N31" i="11"/>
  <c r="M31" i="11"/>
  <c r="D66" i="11"/>
  <c r="D90" i="11"/>
  <c r="D54" i="8" s="1"/>
  <c r="D38" i="8"/>
  <c r="D36" i="18"/>
  <c r="C149" i="11"/>
  <c r="K49" i="11" s="1"/>
  <c r="J39" i="8"/>
  <c r="D64" i="17" s="1"/>
  <c r="J37" i="18"/>
  <c r="C12" i="8"/>
  <c r="C12" i="18"/>
  <c r="Z84" i="46"/>
  <c r="Z81" i="46" s="1"/>
  <c r="AA86" i="46"/>
  <c r="AA90" i="46" s="1"/>
  <c r="AA89" i="46"/>
  <c r="C10" i="46"/>
  <c r="C7" i="46" s="1"/>
  <c r="D12" i="46"/>
  <c r="D15" i="46" s="1"/>
  <c r="F30" i="46"/>
  <c r="F12" i="38"/>
  <c r="F68" i="11" l="1"/>
  <c r="F28" i="11"/>
  <c r="F18" i="8" s="1"/>
  <c r="F16" i="8"/>
  <c r="F16" i="18"/>
  <c r="AC73" i="33"/>
  <c r="AC67" i="33" s="1"/>
  <c r="AD75" i="33"/>
  <c r="AD77" i="33"/>
  <c r="AC61" i="38"/>
  <c r="AC55" i="38" s="1"/>
  <c r="AD63" i="38"/>
  <c r="AD66" i="38"/>
  <c r="AC58" i="33"/>
  <c r="AC52" i="33" s="1"/>
  <c r="AD60" i="33"/>
  <c r="AD62" i="33"/>
  <c r="H9" i="33"/>
  <c r="F9" i="33"/>
  <c r="F12" i="33"/>
  <c r="H12" i="33"/>
  <c r="D39" i="17"/>
  <c r="E39" i="17"/>
  <c r="C16" i="9"/>
  <c r="C28" i="9"/>
  <c r="N50" i="11"/>
  <c r="M50" i="11"/>
  <c r="K40" i="8"/>
  <c r="K38" i="18"/>
  <c r="I45" i="18"/>
  <c r="I44" i="18" s="1"/>
  <c r="I47" i="8"/>
  <c r="I46" i="8" s="1"/>
  <c r="C71" i="17" s="1"/>
  <c r="V114" i="48"/>
  <c r="V113" i="37"/>
  <c r="N26" i="18"/>
  <c r="M26" i="18"/>
  <c r="N35" i="8"/>
  <c r="M35" i="8"/>
  <c r="F28" i="18"/>
  <c r="AD25" i="38"/>
  <c r="H41" i="38"/>
  <c r="F41" i="38"/>
  <c r="AD24" i="33"/>
  <c r="H39" i="33"/>
  <c r="F39" i="33"/>
  <c r="H85" i="33"/>
  <c r="F85" i="33"/>
  <c r="D43" i="9"/>
  <c r="E43" i="9"/>
  <c r="G59" i="8"/>
  <c r="F126" i="59"/>
  <c r="F124" i="59" s="1"/>
  <c r="F129" i="59" s="1"/>
  <c r="F132" i="59" s="1"/>
  <c r="D126" i="59"/>
  <c r="D124" i="59" s="1"/>
  <c r="D59" i="17"/>
  <c r="E59" i="17"/>
  <c r="H76" i="38"/>
  <c r="F76" i="38"/>
  <c r="H55" i="33"/>
  <c r="F55" i="33"/>
  <c r="H87" i="33"/>
  <c r="F87" i="33"/>
  <c r="F7" i="38"/>
  <c r="D30" i="8"/>
  <c r="J57" i="8"/>
  <c r="C33" i="9"/>
  <c r="AB81" i="59"/>
  <c r="F82" i="59"/>
  <c r="J59" i="8"/>
  <c r="D38" i="17"/>
  <c r="E38" i="17"/>
  <c r="C71" i="46"/>
  <c r="C75" i="46" s="1"/>
  <c r="C74" i="46"/>
  <c r="F36" i="8"/>
  <c r="C129" i="46"/>
  <c r="C132" i="46" s="1"/>
  <c r="C131" i="46"/>
  <c r="H107" i="38"/>
  <c r="F107" i="38"/>
  <c r="H71" i="33"/>
  <c r="F71" i="33"/>
  <c r="D28" i="18"/>
  <c r="N82" i="11"/>
  <c r="M82" i="11"/>
  <c r="K57" i="8"/>
  <c r="I36" i="8"/>
  <c r="F53" i="59"/>
  <c r="AB36" i="59"/>
  <c r="F37" i="59"/>
  <c r="D37" i="59"/>
  <c r="H108" i="38"/>
  <c r="F108" i="38"/>
  <c r="H102" i="33"/>
  <c r="C101" i="46"/>
  <c r="C105" i="46" s="1"/>
  <c r="C104" i="46"/>
  <c r="I34" i="18"/>
  <c r="AB111" i="59"/>
  <c r="F112" i="59"/>
  <c r="C30" i="8"/>
  <c r="M12" i="18"/>
  <c r="N12" i="18"/>
  <c r="I59" i="8"/>
  <c r="H73" i="38"/>
  <c r="F73" i="38"/>
  <c r="H74" i="38"/>
  <c r="F74" i="38"/>
  <c r="H10" i="33"/>
  <c r="F10" i="33"/>
  <c r="N24" i="8"/>
  <c r="M24" i="8"/>
  <c r="K43" i="18"/>
  <c r="N55" i="11"/>
  <c r="M55" i="11"/>
  <c r="K45" i="8"/>
  <c r="F9" i="59"/>
  <c r="D9" i="59"/>
  <c r="W113" i="48"/>
  <c r="W112" i="37"/>
  <c r="W118" i="37" s="1"/>
  <c r="H23" i="33"/>
  <c r="F23" i="33"/>
  <c r="J28" i="18"/>
  <c r="N19" i="18"/>
  <c r="M19" i="18"/>
  <c r="Z56" i="46"/>
  <c r="Y54" i="46"/>
  <c r="Y51" i="46" s="1"/>
  <c r="Z59" i="46"/>
  <c r="C41" i="46"/>
  <c r="C44" i="46"/>
  <c r="F30" i="8"/>
  <c r="H17" i="33"/>
  <c r="H7" i="33"/>
  <c r="F23" i="59"/>
  <c r="D23" i="59"/>
  <c r="J36" i="8"/>
  <c r="N36" i="8" s="1"/>
  <c r="N32" i="8"/>
  <c r="M32" i="8"/>
  <c r="C28" i="18"/>
  <c r="D45" i="9"/>
  <c r="E45" i="9"/>
  <c r="K35" i="11"/>
  <c r="C138" i="11"/>
  <c r="M11" i="8"/>
  <c r="N11" i="8"/>
  <c r="G30" i="8"/>
  <c r="AA11" i="52"/>
  <c r="AA30" i="46"/>
  <c r="M12" i="8"/>
  <c r="N12" i="8"/>
  <c r="N51" i="11"/>
  <c r="M51" i="11"/>
  <c r="K41" i="8"/>
  <c r="K39" i="18"/>
  <c r="D72" i="17"/>
  <c r="H92" i="38"/>
  <c r="F92" i="38"/>
  <c r="H12" i="38"/>
  <c r="H69" i="33"/>
  <c r="F69" i="33"/>
  <c r="M22" i="18"/>
  <c r="N22" i="18"/>
  <c r="C47" i="17"/>
  <c r="AD87" i="38"/>
  <c r="AB7" i="59"/>
  <c r="AB14" i="59" s="1"/>
  <c r="F8" i="59"/>
  <c r="D8" i="59"/>
  <c r="C45" i="18"/>
  <c r="C44" i="18" s="1"/>
  <c r="C47" i="8"/>
  <c r="C46" i="8" s="1"/>
  <c r="C116" i="46"/>
  <c r="C120" i="46" s="1"/>
  <c r="C119" i="46"/>
  <c r="F34" i="18"/>
  <c r="D82" i="59"/>
  <c r="C32" i="9"/>
  <c r="Z129" i="46"/>
  <c r="Z132" i="46" s="1"/>
  <c r="Y127" i="46"/>
  <c r="Y124" i="46" s="1"/>
  <c r="Z131" i="46"/>
  <c r="G36" i="8"/>
  <c r="C59" i="8"/>
  <c r="J34" i="18"/>
  <c r="N34" i="18" s="1"/>
  <c r="M30" i="18"/>
  <c r="N30" i="18"/>
  <c r="V115" i="48"/>
  <c r="V114" i="37"/>
  <c r="D35" i="17"/>
  <c r="N11" i="18"/>
  <c r="M11" i="18"/>
  <c r="G28" i="18"/>
  <c r="Y24" i="46"/>
  <c r="Y21" i="46" s="1"/>
  <c r="Z26" i="46"/>
  <c r="Z29" i="46"/>
  <c r="I30" i="8"/>
  <c r="D42" i="9"/>
  <c r="E42" i="9"/>
  <c r="Y69" i="46"/>
  <c r="Y66" i="46" s="1"/>
  <c r="Z71" i="46"/>
  <c r="Z75" i="46" s="1"/>
  <c r="Z74" i="46"/>
  <c r="H10" i="38"/>
  <c r="F10" i="38"/>
  <c r="H91" i="38"/>
  <c r="F91" i="38"/>
  <c r="H84" i="33"/>
  <c r="F84" i="33"/>
  <c r="D34" i="17"/>
  <c r="E34" i="17"/>
  <c r="H86" i="33"/>
  <c r="F86" i="33"/>
  <c r="C12" i="46"/>
  <c r="C15" i="46" s="1"/>
  <c r="C14" i="46"/>
  <c r="J30" i="8"/>
  <c r="N21" i="8"/>
  <c r="M21" i="8"/>
  <c r="D59" i="8"/>
  <c r="C72" i="17"/>
  <c r="F22" i="35"/>
  <c r="N33" i="18"/>
  <c r="M33" i="18"/>
  <c r="D112" i="59"/>
  <c r="D68" i="11"/>
  <c r="D28" i="11"/>
  <c r="D18" i="8" s="1"/>
  <c r="D16" i="18"/>
  <c r="D16" i="8"/>
  <c r="H89" i="38"/>
  <c r="F89" i="38"/>
  <c r="AC13" i="33"/>
  <c r="AC7" i="33" s="1"/>
  <c r="AD15" i="33"/>
  <c r="C52" i="55" s="1"/>
  <c r="D31" i="17"/>
  <c r="D17" i="17"/>
  <c r="E31" i="17"/>
  <c r="D11" i="52"/>
  <c r="D30" i="46"/>
  <c r="C24" i="11"/>
  <c r="G45" i="18"/>
  <c r="G44" i="18" s="1"/>
  <c r="G47" i="8"/>
  <c r="G46" i="8" s="1"/>
  <c r="N28" i="8"/>
  <c r="M28" i="8"/>
  <c r="G22" i="35"/>
  <c r="G30" i="35" s="1"/>
  <c r="G39" i="35" s="1"/>
  <c r="G40" i="35" s="1"/>
  <c r="V88" i="39"/>
  <c r="C30" i="9"/>
  <c r="Y84" i="46"/>
  <c r="Y81" i="46" s="1"/>
  <c r="Z86" i="46"/>
  <c r="Z90" i="46" s="1"/>
  <c r="Z89" i="46"/>
  <c r="J30" i="35"/>
  <c r="M28" i="35"/>
  <c r="C26" i="46"/>
  <c r="C29" i="46"/>
  <c r="V93" i="39"/>
  <c r="M46" i="11"/>
  <c r="N49" i="11"/>
  <c r="M49" i="11"/>
  <c r="K39" i="8"/>
  <c r="K37" i="18"/>
  <c r="Z41" i="46"/>
  <c r="Y39" i="46"/>
  <c r="Y36" i="46" s="1"/>
  <c r="Z44" i="46"/>
  <c r="F68" i="59"/>
  <c r="I28" i="18"/>
  <c r="M15" i="11"/>
  <c r="W97" i="39"/>
  <c r="AD28" i="38"/>
  <c r="H44" i="38"/>
  <c r="F44" i="38"/>
  <c r="H9" i="38"/>
  <c r="F9" i="38"/>
  <c r="Z101" i="46"/>
  <c r="Z105" i="46" s="1"/>
  <c r="Y99" i="46"/>
  <c r="Y96" i="46" s="1"/>
  <c r="Z104" i="46"/>
  <c r="H99" i="33"/>
  <c r="F99" i="33"/>
  <c r="J16" i="35"/>
  <c r="M15" i="35"/>
  <c r="N15" i="35" s="1"/>
  <c r="AB21" i="59"/>
  <c r="F22" i="59"/>
  <c r="D22" i="59"/>
  <c r="J24" i="11"/>
  <c r="G34" i="18"/>
  <c r="F30" i="35"/>
  <c r="J33" i="35"/>
  <c r="K21" i="35"/>
  <c r="H70" i="33"/>
  <c r="F70" i="33"/>
  <c r="N10" i="18"/>
  <c r="M10" i="18"/>
  <c r="N14" i="8"/>
  <c r="M14" i="8"/>
  <c r="F107" i="33"/>
  <c r="F97" i="33"/>
  <c r="AB96" i="59"/>
  <c r="D97" i="59"/>
  <c r="F97" i="59"/>
  <c r="D41" i="9"/>
  <c r="E41" i="9"/>
  <c r="AA12" i="52"/>
  <c r="AA45" i="46"/>
  <c r="D23" i="9"/>
  <c r="D56" i="17"/>
  <c r="D47" i="17"/>
  <c r="E56" i="17"/>
  <c r="I37" i="35"/>
  <c r="J47" i="8"/>
  <c r="J46" i="8" s="1"/>
  <c r="D71" i="17" s="1"/>
  <c r="J45" i="18"/>
  <c r="J44" i="18" s="1"/>
  <c r="AD27" i="38"/>
  <c r="H43" i="38"/>
  <c r="F43" i="38"/>
  <c r="H11" i="38"/>
  <c r="F11" i="38"/>
  <c r="N21" i="18"/>
  <c r="M21" i="18"/>
  <c r="F92" i="33"/>
  <c r="F82" i="33"/>
  <c r="N32" i="18"/>
  <c r="M32" i="18"/>
  <c r="I24" i="11"/>
  <c r="C54" i="46"/>
  <c r="C51" i="46" s="1"/>
  <c r="D56" i="46"/>
  <c r="D59" i="46"/>
  <c r="C34" i="9"/>
  <c r="F37" i="35"/>
  <c r="F39" i="35" s="1"/>
  <c r="F40" i="35" s="1"/>
  <c r="C86" i="46"/>
  <c r="C90" i="46" s="1"/>
  <c r="C89" i="46"/>
  <c r="N27" i="8"/>
  <c r="M27" i="8"/>
  <c r="C17" i="17"/>
  <c r="C20" i="17"/>
  <c r="N8" i="8"/>
  <c r="M8" i="8"/>
  <c r="K48" i="11"/>
  <c r="C169" i="11"/>
  <c r="AD67" i="38"/>
  <c r="W101" i="39"/>
  <c r="H60" i="38"/>
  <c r="H55" i="38" s="1"/>
  <c r="F60" i="38"/>
  <c r="H57" i="38"/>
  <c r="F57" i="38"/>
  <c r="AD78" i="33"/>
  <c r="H72" i="33"/>
  <c r="F72" i="33"/>
  <c r="F67" i="33" s="1"/>
  <c r="AD103" i="38"/>
  <c r="C21" i="17"/>
  <c r="N10" i="8"/>
  <c r="M10" i="8"/>
  <c r="N14" i="18"/>
  <c r="M14" i="18"/>
  <c r="H97" i="33"/>
  <c r="H105" i="33" s="1"/>
  <c r="D98" i="59"/>
  <c r="F98" i="59"/>
  <c r="N25" i="18"/>
  <c r="M25" i="18"/>
  <c r="N8" i="18"/>
  <c r="M8" i="18"/>
  <c r="C154" i="11"/>
  <c r="K54" i="11" s="1"/>
  <c r="C126" i="11"/>
  <c r="K18" i="11"/>
  <c r="H90" i="38"/>
  <c r="F90" i="38"/>
  <c r="H59" i="38"/>
  <c r="F59" i="38"/>
  <c r="H11" i="33"/>
  <c r="F11" i="33"/>
  <c r="H100" i="33"/>
  <c r="F100" i="33"/>
  <c r="I9" i="35"/>
  <c r="I10" i="35" s="1"/>
  <c r="C29" i="9"/>
  <c r="C26" i="17"/>
  <c r="H7" i="38"/>
  <c r="H15" i="38" s="1"/>
  <c r="D40" i="9"/>
  <c r="E40" i="9"/>
  <c r="Z12" i="46"/>
  <c r="Z15" i="46" s="1"/>
  <c r="Y10" i="46"/>
  <c r="Y7" i="46" s="1"/>
  <c r="Z14" i="46"/>
  <c r="F45" i="18"/>
  <c r="F44" i="18" s="1"/>
  <c r="F47" i="8"/>
  <c r="F46" i="8" s="1"/>
  <c r="D44" i="9"/>
  <c r="E44" i="9"/>
  <c r="AD97" i="33"/>
  <c r="F38" i="59"/>
  <c r="D38" i="59"/>
  <c r="P20" i="35"/>
  <c r="M20" i="35"/>
  <c r="J9" i="35"/>
  <c r="M7" i="35"/>
  <c r="N7" i="35" s="1"/>
  <c r="W123" i="37"/>
  <c r="AD27" i="33"/>
  <c r="H42" i="33"/>
  <c r="F42" i="33"/>
  <c r="H101" i="33"/>
  <c r="F101" i="33"/>
  <c r="I22" i="35"/>
  <c r="I30" i="35" s="1"/>
  <c r="AD7" i="38"/>
  <c r="AD26" i="33"/>
  <c r="H41" i="33"/>
  <c r="F41" i="33"/>
  <c r="N23" i="8"/>
  <c r="M23" i="8"/>
  <c r="H82" i="33"/>
  <c r="H90" i="33" s="1"/>
  <c r="N34" i="8"/>
  <c r="M34" i="8"/>
  <c r="C25" i="9"/>
  <c r="C86" i="17" s="1"/>
  <c r="C82" i="17" s="1"/>
  <c r="H37" i="33"/>
  <c r="H45" i="33" s="1"/>
  <c r="N9" i="8"/>
  <c r="M9" i="8"/>
  <c r="N24" i="18"/>
  <c r="M24" i="18"/>
  <c r="V119" i="37"/>
  <c r="F27" i="33"/>
  <c r="N53" i="11"/>
  <c r="M53" i="11"/>
  <c r="K41" i="18"/>
  <c r="K43" i="8"/>
  <c r="D45" i="18"/>
  <c r="D44" i="18" s="1"/>
  <c r="D47" i="8"/>
  <c r="D46" i="8" s="1"/>
  <c r="D33" i="17"/>
  <c r="E33" i="17"/>
  <c r="AD90" i="33"/>
  <c r="AD93" i="33" s="1"/>
  <c r="AC88" i="33"/>
  <c r="AC82" i="33" s="1"/>
  <c r="D58" i="17"/>
  <c r="E58" i="17"/>
  <c r="N61" i="11"/>
  <c r="M61" i="11"/>
  <c r="F37" i="33"/>
  <c r="N9" i="18"/>
  <c r="M9" i="18"/>
  <c r="N26" i="8"/>
  <c r="M26" i="8"/>
  <c r="N20" i="18"/>
  <c r="M20" i="18"/>
  <c r="C81" i="17"/>
  <c r="N52" i="11"/>
  <c r="M52" i="11"/>
  <c r="K42" i="8"/>
  <c r="K40" i="18"/>
  <c r="C31" i="9"/>
  <c r="C52" i="17"/>
  <c r="H105" i="38"/>
  <c r="F105" i="38"/>
  <c r="H106" i="38"/>
  <c r="F106" i="38"/>
  <c r="AD92" i="33"/>
  <c r="N83" i="11"/>
  <c r="M83" i="11"/>
  <c r="AD37" i="33"/>
  <c r="D29" i="9"/>
  <c r="D39" i="9"/>
  <c r="E39" i="9"/>
  <c r="D36" i="17"/>
  <c r="E36" i="17"/>
  <c r="C36" i="8"/>
  <c r="N22" i="8"/>
  <c r="M22" i="8"/>
  <c r="D37" i="17"/>
  <c r="E37" i="17"/>
  <c r="K76" i="11"/>
  <c r="N58" i="11"/>
  <c r="M58" i="11"/>
  <c r="D16" i="9"/>
  <c r="D35" i="9" s="1"/>
  <c r="D28" i="9"/>
  <c r="D38" i="9"/>
  <c r="E38" i="9"/>
  <c r="AD26" i="38"/>
  <c r="H42" i="38"/>
  <c r="F42" i="38"/>
  <c r="AD25" i="33"/>
  <c r="H40" i="33"/>
  <c r="F40" i="33"/>
  <c r="H54" i="33"/>
  <c r="F54" i="33"/>
  <c r="F82" i="38"/>
  <c r="F71" i="38"/>
  <c r="F39" i="38"/>
  <c r="F50" i="38" s="1"/>
  <c r="F113" i="59"/>
  <c r="J36" i="35"/>
  <c r="M36" i="35" s="1"/>
  <c r="C34" i="18"/>
  <c r="D32" i="17"/>
  <c r="E32" i="17"/>
  <c r="C53" i="17"/>
  <c r="F59" i="8"/>
  <c r="C77" i="17"/>
  <c r="J22" i="35"/>
  <c r="M19" i="35"/>
  <c r="N19" i="35" s="1"/>
  <c r="AA13" i="52"/>
  <c r="AA60" i="46"/>
  <c r="D12" i="52"/>
  <c r="D45" i="46"/>
  <c r="H75" i="38"/>
  <c r="F75" i="38"/>
  <c r="F7" i="33"/>
  <c r="W127" i="37"/>
  <c r="AD63" i="33"/>
  <c r="H57" i="33"/>
  <c r="H52" i="33" s="1"/>
  <c r="F57" i="33"/>
  <c r="F52" i="33" s="1"/>
  <c r="H56" i="33"/>
  <c r="F56" i="33"/>
  <c r="N29" i="8"/>
  <c r="M29" i="8"/>
  <c r="K75" i="11"/>
  <c r="N56" i="11"/>
  <c r="M56" i="11"/>
  <c r="Y114" i="46"/>
  <c r="Y111" i="46" s="1"/>
  <c r="Z116" i="46"/>
  <c r="Z120" i="46" s="1"/>
  <c r="Z119" i="46"/>
  <c r="C25" i="17"/>
  <c r="H82" i="38"/>
  <c r="H71" i="38"/>
  <c r="H79" i="38" s="1"/>
  <c r="N33" i="8"/>
  <c r="M33" i="8"/>
  <c r="H39" i="38"/>
  <c r="H47" i="38" s="1"/>
  <c r="H48" i="38" s="1"/>
  <c r="G68" i="11"/>
  <c r="G28" i="11"/>
  <c r="G18" i="8" s="1"/>
  <c r="G16" i="18"/>
  <c r="G16" i="8"/>
  <c r="H58" i="38"/>
  <c r="F58" i="38"/>
  <c r="AB51" i="59"/>
  <c r="F52" i="59"/>
  <c r="D52" i="59"/>
  <c r="D51" i="59" s="1"/>
  <c r="N27" i="18"/>
  <c r="M27" i="18"/>
  <c r="J56" i="8"/>
  <c r="N62" i="11"/>
  <c r="M62" i="11"/>
  <c r="K77" i="11"/>
  <c r="N13" i="8"/>
  <c r="M13" i="8"/>
  <c r="AD71" i="38"/>
  <c r="N31" i="18"/>
  <c r="M31" i="18"/>
  <c r="AD39" i="38"/>
  <c r="AB124" i="59"/>
  <c r="AB66" i="59"/>
  <c r="AB74" i="59" s="1"/>
  <c r="F67" i="59"/>
  <c r="D67" i="59"/>
  <c r="N13" i="18"/>
  <c r="M13" i="18"/>
  <c r="F83" i="59"/>
  <c r="D83" i="59"/>
  <c r="D57" i="17"/>
  <c r="E57" i="17"/>
  <c r="W86" i="39"/>
  <c r="W92" i="39" s="1"/>
  <c r="AD23" i="38"/>
  <c r="AD31" i="38" s="1"/>
  <c r="H24" i="38"/>
  <c r="F24" i="38"/>
  <c r="D68" i="59"/>
  <c r="H60" i="33" l="1"/>
  <c r="H62" i="33"/>
  <c r="E73" i="33"/>
  <c r="E67" i="33" s="1"/>
  <c r="F75" i="33"/>
  <c r="F77" i="33"/>
  <c r="F60" i="33"/>
  <c r="E58" i="33"/>
  <c r="E52" i="33" s="1"/>
  <c r="F62" i="33"/>
  <c r="H63" i="38"/>
  <c r="H64" i="38" s="1"/>
  <c r="H66" i="38"/>
  <c r="N40" i="18"/>
  <c r="M40" i="18"/>
  <c r="D66" i="59"/>
  <c r="W115" i="48"/>
  <c r="W114" i="37"/>
  <c r="H25" i="33"/>
  <c r="F25" i="33"/>
  <c r="J10" i="35"/>
  <c r="M9" i="35"/>
  <c r="N9" i="35" s="1"/>
  <c r="D30" i="9"/>
  <c r="N28" i="35"/>
  <c r="D119" i="59"/>
  <c r="D111" i="59"/>
  <c r="X69" i="46"/>
  <c r="X66" i="46" s="1"/>
  <c r="Y71" i="46"/>
  <c r="Y75" i="46" s="1"/>
  <c r="Y74" i="46"/>
  <c r="M34" i="18"/>
  <c r="H19" i="38"/>
  <c r="D33" i="9"/>
  <c r="D19" i="59"/>
  <c r="D19" i="46"/>
  <c r="E13" i="33"/>
  <c r="E7" i="33" s="1"/>
  <c r="F15" i="33"/>
  <c r="N54" i="11"/>
  <c r="M54" i="11"/>
  <c r="K44" i="8"/>
  <c r="K42" i="18"/>
  <c r="H108" i="33"/>
  <c r="C83" i="17"/>
  <c r="F17" i="33"/>
  <c r="S20" i="35"/>
  <c r="P36" i="35"/>
  <c r="S36" i="35" s="1"/>
  <c r="AD111" i="38"/>
  <c r="AC109" i="38"/>
  <c r="AC103" i="38" s="1"/>
  <c r="AD114" i="38"/>
  <c r="D32" i="9"/>
  <c r="AA54" i="59"/>
  <c r="AA51" i="59" s="1"/>
  <c r="AB56" i="59"/>
  <c r="AB60" i="59" s="1"/>
  <c r="W88" i="39"/>
  <c r="H26" i="38"/>
  <c r="E67" i="17"/>
  <c r="E79" i="17" s="1"/>
  <c r="N42" i="8"/>
  <c r="M42" i="8"/>
  <c r="H18" i="38"/>
  <c r="F78" i="33"/>
  <c r="D31" i="9"/>
  <c r="M21" i="35"/>
  <c r="D21" i="35"/>
  <c r="K33" i="35"/>
  <c r="K22" i="35"/>
  <c r="X39" i="46"/>
  <c r="X36" i="46" s="1"/>
  <c r="Y41" i="46"/>
  <c r="Y44" i="46"/>
  <c r="D7" i="59"/>
  <c r="D14" i="59" s="1"/>
  <c r="P21" i="35"/>
  <c r="Q21" i="35" s="1"/>
  <c r="E12" i="17"/>
  <c r="N35" i="11"/>
  <c r="K25" i="8"/>
  <c r="M35" i="11"/>
  <c r="M40" i="11" s="1"/>
  <c r="K23" i="18"/>
  <c r="K88" i="11"/>
  <c r="K40" i="11"/>
  <c r="N40" i="11" s="1"/>
  <c r="C12" i="52"/>
  <c r="C45" i="46"/>
  <c r="H87" i="38"/>
  <c r="H83" i="38"/>
  <c r="N38" i="18"/>
  <c r="M38" i="18"/>
  <c r="H16" i="38"/>
  <c r="AB129" i="59"/>
  <c r="AB132" i="59" s="1"/>
  <c r="AA127" i="59"/>
  <c r="AA124" i="59" s="1"/>
  <c r="AB131" i="59"/>
  <c r="AB59" i="59"/>
  <c r="W116" i="48"/>
  <c r="W115" i="37"/>
  <c r="H26" i="33"/>
  <c r="F26" i="33"/>
  <c r="J37" i="35"/>
  <c r="J39" i="35" s="1"/>
  <c r="J40" i="35" s="1"/>
  <c r="Y101" i="46"/>
  <c r="Y105" i="46" s="1"/>
  <c r="X99" i="46"/>
  <c r="X96" i="46" s="1"/>
  <c r="Y104" i="46"/>
  <c r="Z12" i="52"/>
  <c r="Z45" i="46"/>
  <c r="X84" i="46"/>
  <c r="X81" i="46" s="1"/>
  <c r="Y86" i="46"/>
  <c r="Y90" i="46" s="1"/>
  <c r="Y89" i="46"/>
  <c r="D40" i="17"/>
  <c r="C75" i="17"/>
  <c r="F7" i="59"/>
  <c r="F12" i="59" s="1"/>
  <c r="F15" i="59" s="1"/>
  <c r="E65" i="17"/>
  <c r="E77" i="17" s="1"/>
  <c r="N40" i="8"/>
  <c r="M40" i="8"/>
  <c r="AB58" i="33"/>
  <c r="AB52" i="33" s="1"/>
  <c r="AC60" i="33"/>
  <c r="AC63" i="33" s="1"/>
  <c r="AC62" i="33"/>
  <c r="AC90" i="33"/>
  <c r="AC93" i="33" s="1"/>
  <c r="AB88" i="33"/>
  <c r="AB82" i="33" s="1"/>
  <c r="AC92" i="33"/>
  <c r="F96" i="59"/>
  <c r="F101" i="59" s="1"/>
  <c r="F105" i="59" s="1"/>
  <c r="N37" i="18"/>
  <c r="M37" i="18"/>
  <c r="Y56" i="46"/>
  <c r="X54" i="46"/>
  <c r="X51" i="46" s="1"/>
  <c r="Y59" i="46"/>
  <c r="E70" i="17"/>
  <c r="E82" i="17" s="1"/>
  <c r="M45" i="8"/>
  <c r="N45" i="8"/>
  <c r="C22" i="17"/>
  <c r="W114" i="48"/>
  <c r="W113" i="37"/>
  <c r="H24" i="33"/>
  <c r="AD105" i="33"/>
  <c r="AD108" i="33" s="1"/>
  <c r="AC103" i="33"/>
  <c r="AC97" i="33" s="1"/>
  <c r="AD107" i="33"/>
  <c r="D96" i="59"/>
  <c r="E64" i="17"/>
  <c r="E76" i="17" s="1"/>
  <c r="N39" i="8"/>
  <c r="M39" i="8"/>
  <c r="F26" i="38"/>
  <c r="Z11" i="52"/>
  <c r="Z30" i="46"/>
  <c r="AB12" i="59"/>
  <c r="AB15" i="59" s="1"/>
  <c r="AA10" i="59"/>
  <c r="AA7" i="59" s="1"/>
  <c r="Z13" i="52"/>
  <c r="Z60" i="46"/>
  <c r="D36" i="59"/>
  <c r="AB86" i="59"/>
  <c r="AB90" i="59" s="1"/>
  <c r="AA84" i="59"/>
  <c r="AA81" i="59" s="1"/>
  <c r="C27" i="17"/>
  <c r="AD64" i="38"/>
  <c r="D85" i="17"/>
  <c r="D46" i="9"/>
  <c r="E46" i="9"/>
  <c r="W89" i="39"/>
  <c r="H27" i="38"/>
  <c r="F27" i="38"/>
  <c r="AB101" i="59"/>
  <c r="AB105" i="59" s="1"/>
  <c r="AA99" i="59"/>
  <c r="AA96" i="59" s="1"/>
  <c r="J68" i="11"/>
  <c r="J16" i="18"/>
  <c r="J28" i="11"/>
  <c r="J18" i="8" s="1"/>
  <c r="J16" i="8"/>
  <c r="AA19" i="59"/>
  <c r="AA19" i="46"/>
  <c r="AB13" i="33"/>
  <c r="AB7" i="33" s="1"/>
  <c r="AC15" i="33"/>
  <c r="AC18" i="33" s="1"/>
  <c r="AC17" i="33"/>
  <c r="Y26" i="46"/>
  <c r="X24" i="46"/>
  <c r="X21" i="46" s="1"/>
  <c r="Y29" i="46"/>
  <c r="Y129" i="46"/>
  <c r="Y132" i="46" s="1"/>
  <c r="X127" i="46"/>
  <c r="X124" i="46" s="1"/>
  <c r="Y131" i="46"/>
  <c r="AD95" i="38"/>
  <c r="AC93" i="38"/>
  <c r="AC87" i="38" s="1"/>
  <c r="AD98" i="38"/>
  <c r="N39" i="18"/>
  <c r="M39" i="18"/>
  <c r="C28" i="17"/>
  <c r="F36" i="59"/>
  <c r="F41" i="59" s="1"/>
  <c r="F45" i="59" s="1"/>
  <c r="AB89" i="59"/>
  <c r="C76" i="17"/>
  <c r="AB61" i="38"/>
  <c r="AB55" i="38" s="1"/>
  <c r="AC63" i="38"/>
  <c r="AC66" i="38"/>
  <c r="AC77" i="38"/>
  <c r="AC71" i="38" s="1"/>
  <c r="AD79" i="38"/>
  <c r="AD82" i="38"/>
  <c r="AB104" i="59"/>
  <c r="AB19" i="46"/>
  <c r="H67" i="33"/>
  <c r="E66" i="17"/>
  <c r="E78" i="17" s="1"/>
  <c r="N41" i="8"/>
  <c r="M41" i="8"/>
  <c r="C79" i="17"/>
  <c r="N43" i="18"/>
  <c r="M43" i="18"/>
  <c r="F119" i="59"/>
  <c r="F111" i="59"/>
  <c r="F116" i="59" s="1"/>
  <c r="F120" i="59" s="1"/>
  <c r="AA39" i="59"/>
  <c r="AA36" i="59" s="1"/>
  <c r="AB41" i="59"/>
  <c r="W87" i="39"/>
  <c r="H25" i="38"/>
  <c r="F25" i="38"/>
  <c r="F66" i="59"/>
  <c r="F71" i="59" s="1"/>
  <c r="F75" i="59" s="1"/>
  <c r="G49" i="8"/>
  <c r="G15" i="8"/>
  <c r="AD45" i="33"/>
  <c r="AD48" i="33" s="1"/>
  <c r="AC43" i="33"/>
  <c r="AD47" i="33"/>
  <c r="F55" i="38"/>
  <c r="H47" i="33"/>
  <c r="D34" i="9"/>
  <c r="H67" i="38"/>
  <c r="D83" i="17"/>
  <c r="E103" i="33"/>
  <c r="E97" i="33" s="1"/>
  <c r="F105" i="33"/>
  <c r="F108" i="33" s="1"/>
  <c r="F21" i="59"/>
  <c r="F26" i="59" s="1"/>
  <c r="F30" i="59" s="1"/>
  <c r="H51" i="38"/>
  <c r="AB19" i="59"/>
  <c r="M36" i="8"/>
  <c r="AB116" i="59"/>
  <c r="AB120" i="59" s="1"/>
  <c r="AA114" i="59"/>
  <c r="AA111" i="59" s="1"/>
  <c r="AB44" i="59"/>
  <c r="C85" i="17"/>
  <c r="C35" i="9"/>
  <c r="X114" i="46"/>
  <c r="X111" i="46" s="1"/>
  <c r="Y116" i="46"/>
  <c r="Y120" i="46" s="1"/>
  <c r="Y119" i="46"/>
  <c r="AD15" i="38"/>
  <c r="AC13" i="38"/>
  <c r="AC7" i="38" s="1"/>
  <c r="AD18" i="38"/>
  <c r="AD34" i="38"/>
  <c r="F47" i="38"/>
  <c r="E45" i="38"/>
  <c r="E39" i="38" s="1"/>
  <c r="G71" i="11"/>
  <c r="G69" i="11"/>
  <c r="G74" i="11"/>
  <c r="G78" i="11" s="1"/>
  <c r="E77" i="38"/>
  <c r="E71" i="38" s="1"/>
  <c r="F79" i="38"/>
  <c r="F80" i="38" s="1"/>
  <c r="N76" i="11"/>
  <c r="M76" i="11"/>
  <c r="F48" i="33"/>
  <c r="D13" i="52"/>
  <c r="D60" i="46"/>
  <c r="I39" i="35"/>
  <c r="I40" i="35" s="1"/>
  <c r="AB29" i="59"/>
  <c r="AA24" i="59"/>
  <c r="AA21" i="59" s="1"/>
  <c r="AB26" i="59"/>
  <c r="AB30" i="59" s="1"/>
  <c r="AB119" i="59"/>
  <c r="C23" i="17"/>
  <c r="C80" i="17"/>
  <c r="AB73" i="33"/>
  <c r="AB67" i="33" s="1"/>
  <c r="AC75" i="33"/>
  <c r="AC78" i="33" s="1"/>
  <c r="AC77" i="33"/>
  <c r="D59" i="59"/>
  <c r="D56" i="59"/>
  <c r="D60" i="59" s="1"/>
  <c r="C54" i="59"/>
  <c r="C51" i="59" s="1"/>
  <c r="F131" i="59"/>
  <c r="N75" i="11"/>
  <c r="M75" i="11"/>
  <c r="K56" i="8"/>
  <c r="M77" i="11"/>
  <c r="N77" i="11"/>
  <c r="D131" i="59"/>
  <c r="C127" i="59"/>
  <c r="C124" i="59" s="1"/>
  <c r="D129" i="59"/>
  <c r="D132" i="59" s="1"/>
  <c r="H48" i="33"/>
  <c r="C56" i="46"/>
  <c r="C59" i="46"/>
  <c r="W93" i="39"/>
  <c r="AD35" i="38"/>
  <c r="H28" i="38"/>
  <c r="F28" i="38"/>
  <c r="C51" i="17"/>
  <c r="C50" i="17"/>
  <c r="F22" i="33"/>
  <c r="F87" i="38"/>
  <c r="F51" i="59"/>
  <c r="F56" i="59" s="1"/>
  <c r="F60" i="59" s="1"/>
  <c r="E13" i="38"/>
  <c r="E7" i="38" s="1"/>
  <c r="F15" i="38"/>
  <c r="AB71" i="59"/>
  <c r="AB75" i="59" s="1"/>
  <c r="AA69" i="59"/>
  <c r="AA66" i="59" s="1"/>
  <c r="H50" i="38"/>
  <c r="H107" i="33"/>
  <c r="K90" i="11"/>
  <c r="AJ90" i="11"/>
  <c r="AJ93" i="11" s="1"/>
  <c r="AJ95" i="11" s="1"/>
  <c r="AM90" i="11"/>
  <c r="AM93" i="11" s="1"/>
  <c r="AM95" i="11" s="1"/>
  <c r="V90" i="11"/>
  <c r="V93" i="11" s="1"/>
  <c r="V95" i="11" s="1"/>
  <c r="S90" i="11"/>
  <c r="S93" i="11" s="1"/>
  <c r="S95" i="11" s="1"/>
  <c r="U90" i="11"/>
  <c r="U93" i="11" s="1"/>
  <c r="U95" i="11" s="1"/>
  <c r="Z90" i="11"/>
  <c r="Z93" i="11" s="1"/>
  <c r="Z95" i="11" s="1"/>
  <c r="AO90" i="11"/>
  <c r="AO93" i="11" s="1"/>
  <c r="AO95" i="11" s="1"/>
  <c r="AE90" i="11"/>
  <c r="AE93" i="11" s="1"/>
  <c r="AE95" i="11" s="1"/>
  <c r="AH90" i="11"/>
  <c r="AH93" i="11" s="1"/>
  <c r="AH95" i="11" s="1"/>
  <c r="AP90" i="11"/>
  <c r="AP93" i="11" s="1"/>
  <c r="AP95" i="11" s="1"/>
  <c r="AL90" i="11"/>
  <c r="AL93" i="11" s="1"/>
  <c r="AL95" i="11" s="1"/>
  <c r="AA90" i="11"/>
  <c r="AA93" i="11" s="1"/>
  <c r="AA95" i="11" s="1"/>
  <c r="AS90" i="11"/>
  <c r="AS93" i="11" s="1"/>
  <c r="AS95" i="11" s="1"/>
  <c r="Q90" i="11"/>
  <c r="Q93" i="11" s="1"/>
  <c r="Q95" i="11" s="1"/>
  <c r="AI90" i="11"/>
  <c r="AI93" i="11" s="1"/>
  <c r="AI95" i="11" s="1"/>
  <c r="AQ90" i="11"/>
  <c r="AQ93" i="11" s="1"/>
  <c r="AQ95" i="11" s="1"/>
  <c r="AG90" i="11"/>
  <c r="AG93" i="11" s="1"/>
  <c r="AG95" i="11" s="1"/>
  <c r="AT90" i="11"/>
  <c r="AT93" i="11" s="1"/>
  <c r="AT95" i="11" s="1"/>
  <c r="AD90" i="11"/>
  <c r="AD93" i="11" s="1"/>
  <c r="AD95" i="11" s="1"/>
  <c r="AB90" i="11"/>
  <c r="AB93" i="11" s="1"/>
  <c r="AB95" i="11" s="1"/>
  <c r="T90" i="11"/>
  <c r="T93" i="11" s="1"/>
  <c r="T95" i="11" s="1"/>
  <c r="AR90" i="11"/>
  <c r="AR93" i="11" s="1"/>
  <c r="AR95" i="11" s="1"/>
  <c r="P90" i="11"/>
  <c r="P93" i="11" s="1"/>
  <c r="P95" i="11" s="1"/>
  <c r="AF90" i="11"/>
  <c r="AF93" i="11" s="1"/>
  <c r="AF95" i="11" s="1"/>
  <c r="AC90" i="11"/>
  <c r="AC93" i="11" s="1"/>
  <c r="AC95" i="11" s="1"/>
  <c r="Y90" i="11"/>
  <c r="Y93" i="11" s="1"/>
  <c r="Y95" i="11" s="1"/>
  <c r="W90" i="11"/>
  <c r="W93" i="11" s="1"/>
  <c r="W95" i="11" s="1"/>
  <c r="AK90" i="11"/>
  <c r="AK93" i="11" s="1"/>
  <c r="AK95" i="11" s="1"/>
  <c r="X90" i="11"/>
  <c r="X93" i="11" s="1"/>
  <c r="X95" i="11" s="1"/>
  <c r="R90" i="11"/>
  <c r="R93" i="11" s="1"/>
  <c r="R95" i="11" s="1"/>
  <c r="AN90" i="11"/>
  <c r="AN93" i="11" s="1"/>
  <c r="AN95" i="11" s="1"/>
  <c r="I68" i="11"/>
  <c r="I16" i="18"/>
  <c r="I16" i="8"/>
  <c r="I28" i="11"/>
  <c r="I18" i="8" s="1"/>
  <c r="D60" i="17"/>
  <c r="E60" i="17"/>
  <c r="D49" i="8"/>
  <c r="D15" i="8"/>
  <c r="D21" i="59"/>
  <c r="D29" i="59" s="1"/>
  <c r="C185" i="61"/>
  <c r="C201" i="63"/>
  <c r="H22" i="33"/>
  <c r="H32" i="33" s="1"/>
  <c r="F18" i="38"/>
  <c r="F15" i="18"/>
  <c r="F47" i="18"/>
  <c r="F48" i="18" s="1"/>
  <c r="F63" i="33"/>
  <c r="E68" i="17"/>
  <c r="E80" i="17" s="1"/>
  <c r="N43" i="8"/>
  <c r="M43" i="8"/>
  <c r="W119" i="37"/>
  <c r="H27" i="33"/>
  <c r="Y12" i="46"/>
  <c r="Y15" i="46" s="1"/>
  <c r="X10" i="46"/>
  <c r="X7" i="46" s="1"/>
  <c r="Y14" i="46"/>
  <c r="N48" i="11"/>
  <c r="M48" i="11"/>
  <c r="M66" i="11" s="1"/>
  <c r="K66" i="11"/>
  <c r="K36" i="18"/>
  <c r="K38" i="8"/>
  <c r="C24" i="17"/>
  <c r="D15" i="18"/>
  <c r="D47" i="18"/>
  <c r="D48" i="18" s="1"/>
  <c r="C78" i="17"/>
  <c r="AD22" i="33"/>
  <c r="H18" i="33"/>
  <c r="F49" i="8"/>
  <c r="F15" i="8"/>
  <c r="G15" i="18"/>
  <c r="G47" i="18"/>
  <c r="G48" i="18" s="1"/>
  <c r="D81" i="59"/>
  <c r="M41" i="18"/>
  <c r="N41" i="18"/>
  <c r="C68" i="11"/>
  <c r="C28" i="11"/>
  <c r="C18" i="8" s="1"/>
  <c r="C16" i="18"/>
  <c r="C16" i="8"/>
  <c r="M57" i="8"/>
  <c r="N57" i="8"/>
  <c r="H93" i="33"/>
  <c r="F24" i="33"/>
  <c r="F18" i="33"/>
  <c r="AC45" i="38"/>
  <c r="AD47" i="38"/>
  <c r="AD50" i="38"/>
  <c r="F81" i="59"/>
  <c r="F86" i="59" s="1"/>
  <c r="F90" i="59" s="1"/>
  <c r="H63" i="33"/>
  <c r="F45" i="33"/>
  <c r="E43" i="33"/>
  <c r="E37" i="33" s="1"/>
  <c r="H92" i="33"/>
  <c r="F47" i="33"/>
  <c r="E19" i="9"/>
  <c r="E23" i="9" s="1"/>
  <c r="E25" i="9" s="1"/>
  <c r="E86" i="17" s="1"/>
  <c r="N18" i="11"/>
  <c r="M18" i="11"/>
  <c r="M22" i="11" s="1"/>
  <c r="M24" i="11" s="1"/>
  <c r="K22" i="11"/>
  <c r="E88" i="33"/>
  <c r="E82" i="33" s="1"/>
  <c r="F90" i="33"/>
  <c r="F93" i="33" s="1"/>
  <c r="D25" i="9"/>
  <c r="D86" i="17" s="1"/>
  <c r="H103" i="38"/>
  <c r="F103" i="38"/>
  <c r="C11" i="52"/>
  <c r="C30" i="46"/>
  <c r="D71" i="11"/>
  <c r="D69" i="11"/>
  <c r="D74" i="11"/>
  <c r="D78" i="11" s="1"/>
  <c r="F19" i="59"/>
  <c r="F19" i="46"/>
  <c r="H15" i="33"/>
  <c r="AD18" i="33"/>
  <c r="F71" i="11"/>
  <c r="F69" i="11"/>
  <c r="F74" i="11"/>
  <c r="F78" i="11" s="1"/>
  <c r="F44" i="59" l="1"/>
  <c r="F14" i="59"/>
  <c r="F109" i="46"/>
  <c r="F117" i="46" s="1"/>
  <c r="F64" i="46"/>
  <c r="F72" i="46" s="1"/>
  <c r="F7" i="52"/>
  <c r="F94" i="46"/>
  <c r="F102" i="46" s="1"/>
  <c r="F79" i="46"/>
  <c r="F87" i="46" s="1"/>
  <c r="F27" i="46"/>
  <c r="F21" i="52" s="1"/>
  <c r="F49" i="46"/>
  <c r="F57" i="46" s="1"/>
  <c r="F23" i="52" s="1"/>
  <c r="F28" i="52" s="1"/>
  <c r="F34" i="46"/>
  <c r="F42" i="46" s="1"/>
  <c r="F22" i="52" s="1"/>
  <c r="F27" i="52" s="1"/>
  <c r="C15" i="18"/>
  <c r="C47" i="18"/>
  <c r="C48" i="18" s="1"/>
  <c r="AD96" i="11"/>
  <c r="AD106" i="11"/>
  <c r="AD107" i="11" s="1"/>
  <c r="V96" i="11"/>
  <c r="V106" i="11"/>
  <c r="V107" i="11" s="1"/>
  <c r="E105" i="33"/>
  <c r="E108" i="33" s="1"/>
  <c r="E107" i="33"/>
  <c r="AB93" i="38"/>
  <c r="AB87" i="38" s="1"/>
  <c r="AC95" i="38"/>
  <c r="AC98" i="38"/>
  <c r="J71" i="11"/>
  <c r="J69" i="11"/>
  <c r="J74" i="11"/>
  <c r="J78" i="11" s="1"/>
  <c r="E35" i="17"/>
  <c r="E24" i="17"/>
  <c r="E17" i="17"/>
  <c r="E40" i="17" s="1"/>
  <c r="AD96" i="38"/>
  <c r="AD99" i="38"/>
  <c r="AA104" i="59"/>
  <c r="Z99" i="59"/>
  <c r="Z96" i="59" s="1"/>
  <c r="AA101" i="59"/>
  <c r="AA105" i="59" s="1"/>
  <c r="AA14" i="59"/>
  <c r="Z10" i="59"/>
  <c r="Z7" i="59" s="1"/>
  <c r="AA12" i="59"/>
  <c r="AA15" i="59" s="1"/>
  <c r="X101" i="46"/>
  <c r="X105" i="46" s="1"/>
  <c r="W99" i="46"/>
  <c r="W96" i="46" s="1"/>
  <c r="X104" i="46"/>
  <c r="S21" i="35"/>
  <c r="Q22" i="35"/>
  <c r="P22" i="35"/>
  <c r="P30" i="35" s="1"/>
  <c r="C69" i="59"/>
  <c r="C66" i="59" s="1"/>
  <c r="D71" i="59"/>
  <c r="D75" i="59" s="1"/>
  <c r="AG106" i="11"/>
  <c r="AG107" i="11" s="1"/>
  <c r="AG96" i="11"/>
  <c r="F89" i="59"/>
  <c r="AB60" i="33"/>
  <c r="AB63" i="33" s="1"/>
  <c r="AA58" i="33"/>
  <c r="AA52" i="33" s="1"/>
  <c r="AB62" i="33"/>
  <c r="D74" i="59"/>
  <c r="AM106" i="11"/>
  <c r="AM107" i="11" s="1"/>
  <c r="AM96" i="11"/>
  <c r="I15" i="18"/>
  <c r="I47" i="18"/>
  <c r="I48" i="18" s="1"/>
  <c r="I71" i="11"/>
  <c r="I69" i="11"/>
  <c r="I74" i="11"/>
  <c r="I78" i="11" s="1"/>
  <c r="AQ96" i="11"/>
  <c r="AQ106" i="11"/>
  <c r="AQ107" i="11" s="1"/>
  <c r="M90" i="11"/>
  <c r="K54" i="8"/>
  <c r="AA41" i="59"/>
  <c r="AA45" i="59" s="1"/>
  <c r="Z39" i="59"/>
  <c r="Z36" i="59" s="1"/>
  <c r="AA44" i="59"/>
  <c r="AD80" i="38"/>
  <c r="AD83" i="38"/>
  <c r="X129" i="46"/>
  <c r="X132" i="46" s="1"/>
  <c r="W127" i="46"/>
  <c r="W124" i="46" s="1"/>
  <c r="X131" i="46"/>
  <c r="W69" i="46"/>
  <c r="W66" i="46" s="1"/>
  <c r="X71" i="46"/>
  <c r="X75" i="46" s="1"/>
  <c r="X74" i="46"/>
  <c r="I15" i="8"/>
  <c r="I49" i="8"/>
  <c r="D84" i="11"/>
  <c r="D85" i="11" s="1"/>
  <c r="D79" i="11"/>
  <c r="E63" i="17"/>
  <c r="M38" i="8"/>
  <c r="N38" i="8"/>
  <c r="AN106" i="11"/>
  <c r="AN107" i="11" s="1"/>
  <c r="AN96" i="11"/>
  <c r="AI106" i="11"/>
  <c r="AI107" i="11" s="1"/>
  <c r="AI96" i="11"/>
  <c r="AB77" i="38"/>
  <c r="AB71" i="38" s="1"/>
  <c r="AC79" i="38"/>
  <c r="AC82" i="38"/>
  <c r="C10" i="59"/>
  <c r="C7" i="59" s="1"/>
  <c r="D12" i="59"/>
  <c r="D15" i="59" s="1"/>
  <c r="C114" i="59"/>
  <c r="C111" i="59" s="1"/>
  <c r="D116" i="59"/>
  <c r="D120" i="59" s="1"/>
  <c r="Q96" i="11"/>
  <c r="Q106" i="11"/>
  <c r="Q107" i="11" s="1"/>
  <c r="E79" i="38"/>
  <c r="E82" i="38"/>
  <c r="F59" i="59"/>
  <c r="N66" i="11"/>
  <c r="K47" i="8"/>
  <c r="K45" i="18"/>
  <c r="G84" i="11"/>
  <c r="G85" i="11" s="1"/>
  <c r="G79" i="11"/>
  <c r="F63" i="38"/>
  <c r="E61" i="38"/>
  <c r="E55" i="38" s="1"/>
  <c r="F66" i="38"/>
  <c r="AC64" i="38"/>
  <c r="AC67" i="38"/>
  <c r="X26" i="46"/>
  <c r="W24" i="46"/>
  <c r="W21" i="46" s="1"/>
  <c r="X29" i="46"/>
  <c r="Y12" i="52"/>
  <c r="Y45" i="46"/>
  <c r="AA56" i="59"/>
  <c r="AA60" i="59" s="1"/>
  <c r="Z54" i="59"/>
  <c r="Z51" i="59" s="1"/>
  <c r="AA59" i="59"/>
  <c r="N42" i="18"/>
  <c r="M42" i="18"/>
  <c r="R106" i="11"/>
  <c r="R107" i="11" s="1"/>
  <c r="R96" i="11"/>
  <c r="AA73" i="33"/>
  <c r="AA67" i="33" s="1"/>
  <c r="AB75" i="33"/>
  <c r="AB78" i="33" s="1"/>
  <c r="AB77" i="33"/>
  <c r="AA116" i="59"/>
  <c r="AA120" i="59" s="1"/>
  <c r="Z114" i="59"/>
  <c r="Z111" i="59" s="1"/>
  <c r="AA119" i="59"/>
  <c r="AB63" i="38"/>
  <c r="AA61" i="38"/>
  <c r="AA55" i="38" s="1"/>
  <c r="AB66" i="38"/>
  <c r="Y11" i="52"/>
  <c r="Y30" i="46"/>
  <c r="W54" i="46"/>
  <c r="W51" i="46" s="1"/>
  <c r="X56" i="46"/>
  <c r="X59" i="46"/>
  <c r="H95" i="38"/>
  <c r="H98" i="38"/>
  <c r="X41" i="46"/>
  <c r="W39" i="46"/>
  <c r="W36" i="46" s="1"/>
  <c r="X44" i="46"/>
  <c r="F23" i="38"/>
  <c r="E69" i="17"/>
  <c r="E81" i="17" s="1"/>
  <c r="N44" i="8"/>
  <c r="M44" i="8"/>
  <c r="C74" i="11"/>
  <c r="C78" i="11" s="1"/>
  <c r="C71" i="11"/>
  <c r="C69" i="11"/>
  <c r="Y13" i="52"/>
  <c r="Y60" i="46"/>
  <c r="D22" i="35"/>
  <c r="M22" i="35"/>
  <c r="M30" i="35" s="1"/>
  <c r="K30" i="35"/>
  <c r="D30" i="35" s="1"/>
  <c r="F79" i="59"/>
  <c r="F87" i="59" s="1"/>
  <c r="F109" i="59"/>
  <c r="F117" i="59" s="1"/>
  <c r="F64" i="59"/>
  <c r="F49" i="59"/>
  <c r="F57" i="59" s="1"/>
  <c r="F34" i="59"/>
  <c r="F94" i="59"/>
  <c r="F102" i="59" s="1"/>
  <c r="F27" i="59"/>
  <c r="AB42" i="59"/>
  <c r="AB45" i="59"/>
  <c r="N36" i="18"/>
  <c r="M36" i="18"/>
  <c r="C13" i="52"/>
  <c r="C60" i="46"/>
  <c r="C84" i="59"/>
  <c r="C81" i="59" s="1"/>
  <c r="D86" i="59"/>
  <c r="D27" i="17"/>
  <c r="D81" i="17"/>
  <c r="D82" i="17"/>
  <c r="D50" i="17"/>
  <c r="D26" i="17"/>
  <c r="D28" i="17"/>
  <c r="D24" i="17"/>
  <c r="D22" i="17"/>
  <c r="D53" i="17"/>
  <c r="D76" i="17"/>
  <c r="D51" i="17"/>
  <c r="D21" i="17"/>
  <c r="D77" i="17"/>
  <c r="D79" i="17"/>
  <c r="D75" i="17"/>
  <c r="D80" i="17"/>
  <c r="D52" i="17"/>
  <c r="D23" i="17"/>
  <c r="D20" i="17"/>
  <c r="D25" i="17"/>
  <c r="D78" i="17"/>
  <c r="AC29" i="38"/>
  <c r="AC23" i="38" s="1"/>
  <c r="AC39" i="38"/>
  <c r="Y96" i="11"/>
  <c r="Y106" i="11"/>
  <c r="Y107" i="11" s="1"/>
  <c r="AP96" i="11"/>
  <c r="AP106" i="11"/>
  <c r="AP107" i="11" s="1"/>
  <c r="D13" i="38"/>
  <c r="D7" i="38" s="1"/>
  <c r="E15" i="38"/>
  <c r="E18" i="38"/>
  <c r="C129" i="59"/>
  <c r="C132" i="59" s="1"/>
  <c r="C131" i="59"/>
  <c r="AC28" i="33"/>
  <c r="AC22" i="33" s="1"/>
  <c r="AC37" i="33"/>
  <c r="C99" i="59"/>
  <c r="C96" i="59" s="1"/>
  <c r="D101" i="59"/>
  <c r="D105" i="59" s="1"/>
  <c r="K37" i="35"/>
  <c r="K39" i="35" s="1"/>
  <c r="Q33" i="35"/>
  <c r="M33" i="35"/>
  <c r="M37" i="35" s="1"/>
  <c r="M39" i="35" s="1"/>
  <c r="E60" i="33"/>
  <c r="E63" i="33" s="1"/>
  <c r="E62" i="33"/>
  <c r="AT96" i="11"/>
  <c r="AT106" i="11"/>
  <c r="AT107" i="11" s="1"/>
  <c r="AJ106" i="11"/>
  <c r="AJ107" i="11" s="1"/>
  <c r="AJ96" i="11"/>
  <c r="X96" i="11"/>
  <c r="X106" i="11"/>
  <c r="X107" i="11" s="1"/>
  <c r="AK106" i="11"/>
  <c r="AK107" i="11" s="1"/>
  <c r="AK96" i="11"/>
  <c r="F16" i="38"/>
  <c r="F19" i="38"/>
  <c r="X12" i="46"/>
  <c r="X15" i="46" s="1"/>
  <c r="W10" i="46"/>
  <c r="W7" i="46" s="1"/>
  <c r="X14" i="46"/>
  <c r="AC106" i="11"/>
  <c r="AC107" i="11" s="1"/>
  <c r="AC96" i="11"/>
  <c r="AH106" i="11"/>
  <c r="AH107" i="11" s="1"/>
  <c r="AH96" i="11"/>
  <c r="E47" i="38"/>
  <c r="E50" i="38"/>
  <c r="F42" i="59"/>
  <c r="Z19" i="46"/>
  <c r="AA13" i="33"/>
  <c r="AA7" i="33" s="1"/>
  <c r="AB15" i="33"/>
  <c r="AB18" i="33" s="1"/>
  <c r="AB17" i="33"/>
  <c r="D104" i="59"/>
  <c r="F83" i="38"/>
  <c r="N30" i="35"/>
  <c r="N39" i="35" s="1"/>
  <c r="C56" i="59"/>
  <c r="C60" i="59" s="1"/>
  <c r="C59" i="59"/>
  <c r="H111" i="38"/>
  <c r="H114" i="38"/>
  <c r="F50" i="8"/>
  <c r="AE96" i="11"/>
  <c r="AE106" i="11"/>
  <c r="AE107" i="11" s="1"/>
  <c r="F48" i="38"/>
  <c r="AB94" i="59"/>
  <c r="AB102" i="59" s="1"/>
  <c r="AB79" i="59"/>
  <c r="AB87" i="59" s="1"/>
  <c r="AB49" i="59"/>
  <c r="AB57" i="59" s="1"/>
  <c r="AB109" i="59"/>
  <c r="AB117" i="59" s="1"/>
  <c r="AB64" i="59"/>
  <c r="AB72" i="59" s="1"/>
  <c r="AB34" i="59"/>
  <c r="AB27" i="59"/>
  <c r="AA7" i="52"/>
  <c r="AA79" i="46"/>
  <c r="AA87" i="46" s="1"/>
  <c r="AA109" i="46"/>
  <c r="AA117" i="46" s="1"/>
  <c r="AA64" i="46"/>
  <c r="AA72" i="46" s="1"/>
  <c r="AA94" i="46"/>
  <c r="AA102" i="46" s="1"/>
  <c r="AA27" i="46"/>
  <c r="AA21" i="52" s="1"/>
  <c r="AA26" i="52" s="1"/>
  <c r="AA49" i="46"/>
  <c r="AA57" i="46" s="1"/>
  <c r="AA23" i="52" s="1"/>
  <c r="AA28" i="52" s="1"/>
  <c r="AA34" i="46"/>
  <c r="AA42" i="46" s="1"/>
  <c r="AA22" i="52" s="1"/>
  <c r="AA27" i="52" s="1"/>
  <c r="AA86" i="59"/>
  <c r="AA90" i="59" s="1"/>
  <c r="Z84" i="59"/>
  <c r="Z81" i="59" s="1"/>
  <c r="AA89" i="59"/>
  <c r="N88" i="11"/>
  <c r="M88" i="11"/>
  <c r="K59" i="8"/>
  <c r="C19" i="59"/>
  <c r="C19" i="46"/>
  <c r="D13" i="33"/>
  <c r="D7" i="33" s="1"/>
  <c r="E15" i="33"/>
  <c r="E18" i="33" s="1"/>
  <c r="E17" i="33"/>
  <c r="AA71" i="59"/>
  <c r="AA75" i="59" s="1"/>
  <c r="Z69" i="59"/>
  <c r="Z66" i="59" s="1"/>
  <c r="AA74" i="59"/>
  <c r="AL106" i="11"/>
  <c r="AL107" i="11" s="1"/>
  <c r="AL96" i="11"/>
  <c r="E93" i="38"/>
  <c r="E87" i="38" s="1"/>
  <c r="F95" i="38"/>
  <c r="F98" i="38"/>
  <c r="Z24" i="59"/>
  <c r="Z21" i="59" s="1"/>
  <c r="AA26" i="59"/>
  <c r="AA30" i="59" s="1"/>
  <c r="AA29" i="59"/>
  <c r="G50" i="8"/>
  <c r="AA94" i="59"/>
  <c r="AA79" i="59"/>
  <c r="AA87" i="59" s="1"/>
  <c r="AA109" i="59"/>
  <c r="AA117" i="59" s="1"/>
  <c r="AA64" i="59"/>
  <c r="AA72" i="59" s="1"/>
  <c r="AA49" i="59"/>
  <c r="AA34" i="59"/>
  <c r="AB103" i="33"/>
  <c r="AB97" i="33" s="1"/>
  <c r="AC105" i="33"/>
  <c r="AC108" i="33" s="1"/>
  <c r="AC107" i="33"/>
  <c r="F104" i="59"/>
  <c r="N23" i="18"/>
  <c r="M23" i="18"/>
  <c r="M28" i="18" s="1"/>
  <c r="K28" i="18"/>
  <c r="N28" i="18" s="1"/>
  <c r="D109" i="46"/>
  <c r="D117" i="46" s="1"/>
  <c r="D64" i="46"/>
  <c r="D72" i="46" s="1"/>
  <c r="D7" i="52"/>
  <c r="D94" i="46"/>
  <c r="D102" i="46" s="1"/>
  <c r="D34" i="46"/>
  <c r="D42" i="46" s="1"/>
  <c r="D22" i="52" s="1"/>
  <c r="D27" i="52" s="1"/>
  <c r="D79" i="46"/>
  <c r="D87" i="46" s="1"/>
  <c r="D49" i="46"/>
  <c r="D57" i="46" s="1"/>
  <c r="D23" i="52" s="1"/>
  <c r="D28" i="52" s="1"/>
  <c r="D27" i="46"/>
  <c r="D21" i="52" s="1"/>
  <c r="H30" i="33"/>
  <c r="C207" i="63" s="1"/>
  <c r="C210" i="63" s="1"/>
  <c r="C184" i="61"/>
  <c r="C200" i="63"/>
  <c r="E109" i="38"/>
  <c r="E103" i="38" s="1"/>
  <c r="F111" i="38"/>
  <c r="D8" i="52" s="1"/>
  <c r="F114" i="38"/>
  <c r="C186" i="61"/>
  <c r="C202" i="63"/>
  <c r="M68" i="11"/>
  <c r="M74" i="11" s="1"/>
  <c r="M78" i="11" s="1"/>
  <c r="M84" i="11" s="1"/>
  <c r="D50" i="8"/>
  <c r="Z96" i="11"/>
  <c r="Z106" i="11"/>
  <c r="Z107" i="11" s="1"/>
  <c r="E28" i="33"/>
  <c r="E22" i="33" s="1"/>
  <c r="F30" i="33"/>
  <c r="F33" i="33" s="1"/>
  <c r="M56" i="8"/>
  <c r="N56" i="8"/>
  <c r="F72" i="59"/>
  <c r="H75" i="33"/>
  <c r="H77" i="33"/>
  <c r="J15" i="8"/>
  <c r="J49" i="8"/>
  <c r="D41" i="59"/>
  <c r="C39" i="59"/>
  <c r="C36" i="59" s="1"/>
  <c r="X86" i="46"/>
  <c r="X90" i="46" s="1"/>
  <c r="W84" i="46"/>
  <c r="W81" i="46" s="1"/>
  <c r="X89" i="46"/>
  <c r="Z127" i="59"/>
  <c r="Z124" i="59" s="1"/>
  <c r="AA129" i="59"/>
  <c r="AA132" i="59" s="1"/>
  <c r="AA131" i="59"/>
  <c r="D64" i="59"/>
  <c r="D94" i="59"/>
  <c r="D79" i="59"/>
  <c r="D109" i="59"/>
  <c r="D117" i="59" s="1"/>
  <c r="D49" i="59"/>
  <c r="D57" i="59" s="1"/>
  <c r="D34" i="59"/>
  <c r="E75" i="33"/>
  <c r="E78" i="33" s="1"/>
  <c r="E77" i="33"/>
  <c r="W114" i="46"/>
  <c r="W111" i="46" s="1"/>
  <c r="X116" i="46"/>
  <c r="X120" i="46" s="1"/>
  <c r="X119" i="46"/>
  <c r="E90" i="33"/>
  <c r="E93" i="33" s="1"/>
  <c r="E92" i="33"/>
  <c r="C24" i="59"/>
  <c r="C21" i="59" s="1"/>
  <c r="D26" i="59"/>
  <c r="D30" i="59" s="1"/>
  <c r="P96" i="11"/>
  <c r="P106" i="11"/>
  <c r="P107" i="11" s="1"/>
  <c r="F29" i="59"/>
  <c r="AB7" i="52"/>
  <c r="AB79" i="46"/>
  <c r="AB87" i="46" s="1"/>
  <c r="AB109" i="46"/>
  <c r="AB117" i="46" s="1"/>
  <c r="AB64" i="46"/>
  <c r="AB72" i="46" s="1"/>
  <c r="AB94" i="46"/>
  <c r="AB102" i="46" s="1"/>
  <c r="AB27" i="46"/>
  <c r="AB21" i="52" s="1"/>
  <c r="AB49" i="46"/>
  <c r="AB57" i="46" s="1"/>
  <c r="AB23" i="52" s="1"/>
  <c r="AB28" i="52" s="1"/>
  <c r="AB34" i="46"/>
  <c r="AB42" i="46" s="1"/>
  <c r="AB22" i="52" s="1"/>
  <c r="AB27" i="52" s="1"/>
  <c r="AB33" i="52" s="1"/>
  <c r="D44" i="59"/>
  <c r="AB90" i="33"/>
  <c r="AB93" i="33" s="1"/>
  <c r="AA88" i="33"/>
  <c r="AA82" i="33" s="1"/>
  <c r="AB92" i="33"/>
  <c r="M25" i="8"/>
  <c r="M30" i="8" s="1"/>
  <c r="P25" i="8"/>
  <c r="N25" i="8"/>
  <c r="K30" i="8"/>
  <c r="AC111" i="38"/>
  <c r="AB109" i="38"/>
  <c r="AB103" i="38" s="1"/>
  <c r="AC114" i="38"/>
  <c r="E45" i="33"/>
  <c r="E48" i="33" s="1"/>
  <c r="E47" i="33"/>
  <c r="AS106" i="11"/>
  <c r="AS107" i="11" s="1"/>
  <c r="AS96" i="11"/>
  <c r="AA96" i="11"/>
  <c r="AA106" i="11"/>
  <c r="AA107" i="11" s="1"/>
  <c r="AD48" i="38"/>
  <c r="AD51" i="38"/>
  <c r="W96" i="11"/>
  <c r="W106" i="11"/>
  <c r="W107" i="11" s="1"/>
  <c r="F84" i="11"/>
  <c r="F85" i="11" s="1"/>
  <c r="F79" i="11"/>
  <c r="AF96" i="11"/>
  <c r="AF106" i="11"/>
  <c r="AF107" i="11" s="1"/>
  <c r="N22" i="11"/>
  <c r="K24" i="11"/>
  <c r="AO96" i="11"/>
  <c r="AO106" i="11"/>
  <c r="AO107" i="11" s="1"/>
  <c r="AR96" i="11"/>
  <c r="AR106" i="11"/>
  <c r="AR107" i="11" s="1"/>
  <c r="AD30" i="33"/>
  <c r="AD32" i="33"/>
  <c r="T106" i="11"/>
  <c r="T107" i="11" s="1"/>
  <c r="T96" i="11"/>
  <c r="U96" i="11"/>
  <c r="U106" i="11"/>
  <c r="U107" i="11" s="1"/>
  <c r="F32" i="33"/>
  <c r="AB13" i="38"/>
  <c r="AB7" i="38" s="1"/>
  <c r="AC15" i="38"/>
  <c r="AC18" i="38"/>
  <c r="F74" i="59"/>
  <c r="E26" i="17"/>
  <c r="E21" i="17"/>
  <c r="E52" i="17"/>
  <c r="E23" i="17"/>
  <c r="E51" i="17"/>
  <c r="E22" i="17"/>
  <c r="E28" i="17"/>
  <c r="E27" i="17"/>
  <c r="E53" i="17"/>
  <c r="E25" i="17"/>
  <c r="E50" i="17"/>
  <c r="E20" i="17"/>
  <c r="C49" i="8"/>
  <c r="C15" i="8"/>
  <c r="D89" i="59"/>
  <c r="AB96" i="11"/>
  <c r="AB106" i="11"/>
  <c r="AB107" i="11" s="1"/>
  <c r="S106" i="11"/>
  <c r="S107" i="11" s="1"/>
  <c r="S96" i="11"/>
  <c r="AB8" i="52"/>
  <c r="AD16" i="38"/>
  <c r="D46" i="55" s="1"/>
  <c r="C54" i="55"/>
  <c r="AD19" i="38"/>
  <c r="F51" i="38"/>
  <c r="J15" i="18"/>
  <c r="J47" i="18"/>
  <c r="J48" i="18" s="1"/>
  <c r="H23" i="38"/>
  <c r="AD112" i="38"/>
  <c r="AD115" i="38"/>
  <c r="AA27" i="59" l="1"/>
  <c r="D102" i="59"/>
  <c r="AA102" i="59"/>
  <c r="AA42" i="59"/>
  <c r="AA57" i="59"/>
  <c r="D72" i="59"/>
  <c r="C211" i="63"/>
  <c r="V54" i="46"/>
  <c r="V51" i="46" s="1"/>
  <c r="W56" i="46"/>
  <c r="W59" i="46"/>
  <c r="N47" i="8"/>
  <c r="K46" i="8"/>
  <c r="Y10" i="59"/>
  <c r="Y7" i="59" s="1"/>
  <c r="Z12" i="59"/>
  <c r="Z15" i="59" s="1"/>
  <c r="Z14" i="59"/>
  <c r="AA34" i="52"/>
  <c r="E16" i="38"/>
  <c r="E19" i="38"/>
  <c r="Z56" i="59"/>
  <c r="Z60" i="59" s="1"/>
  <c r="Y54" i="59"/>
  <c r="Y51" i="59" s="1"/>
  <c r="Z59" i="59"/>
  <c r="D34" i="52"/>
  <c r="E48" i="38"/>
  <c r="E51" i="38"/>
  <c r="C13" i="38"/>
  <c r="C7" i="38" s="1"/>
  <c r="D15" i="38"/>
  <c r="D18" i="38"/>
  <c r="Z58" i="33"/>
  <c r="Z52" i="33" s="1"/>
  <c r="AA60" i="33"/>
  <c r="AA63" i="33" s="1"/>
  <c r="AA62" i="33"/>
  <c r="H31" i="38"/>
  <c r="H34" i="38"/>
  <c r="C26" i="59"/>
  <c r="C30" i="59" s="1"/>
  <c r="C29" i="59"/>
  <c r="Y39" i="59"/>
  <c r="Y36" i="59" s="1"/>
  <c r="Z41" i="59"/>
  <c r="Z45" i="59" s="1"/>
  <c r="Z44" i="59"/>
  <c r="Y99" i="59"/>
  <c r="Y96" i="59" s="1"/>
  <c r="Z101" i="59"/>
  <c r="Z105" i="59" s="1"/>
  <c r="Z104" i="59"/>
  <c r="Z88" i="33"/>
  <c r="Z82" i="33" s="1"/>
  <c r="AA90" i="33"/>
  <c r="AA93" i="33" s="1"/>
  <c r="AA92" i="33"/>
  <c r="Z129" i="59"/>
  <c r="Z132" i="59" s="1"/>
  <c r="Y127" i="59"/>
  <c r="Y124" i="59" s="1"/>
  <c r="Z131" i="59"/>
  <c r="D33" i="52"/>
  <c r="C79" i="11"/>
  <c r="C84" i="11"/>
  <c r="C85" i="11" s="1"/>
  <c r="Z61" i="38"/>
  <c r="Z55" i="38" s="1"/>
  <c r="AA63" i="38"/>
  <c r="AA66" i="38"/>
  <c r="H112" i="38"/>
  <c r="H115" i="38"/>
  <c r="F8" i="52"/>
  <c r="AB64" i="38"/>
  <c r="AB67" i="38"/>
  <c r="E80" i="38"/>
  <c r="E83" i="38"/>
  <c r="E75" i="17"/>
  <c r="N54" i="8"/>
  <c r="M54" i="8"/>
  <c r="W86" i="46"/>
  <c r="W90" i="46" s="1"/>
  <c r="V84" i="46"/>
  <c r="V81" i="46" s="1"/>
  <c r="W89" i="46"/>
  <c r="C13" i="33"/>
  <c r="C7" i="33" s="1"/>
  <c r="D15" i="33"/>
  <c r="D18" i="33" s="1"/>
  <c r="D17" i="33"/>
  <c r="V24" i="46"/>
  <c r="V21" i="46" s="1"/>
  <c r="W26" i="46"/>
  <c r="W29" i="46"/>
  <c r="AA29" i="52"/>
  <c r="AA35" i="52" s="1"/>
  <c r="AA32" i="52"/>
  <c r="C49" i="46"/>
  <c r="C57" i="46" s="1"/>
  <c r="C23" i="52" s="1"/>
  <c r="C28" i="52" s="1"/>
  <c r="C109" i="46"/>
  <c r="C117" i="46" s="1"/>
  <c r="C79" i="46"/>
  <c r="C87" i="46" s="1"/>
  <c r="C94" i="46"/>
  <c r="C102" i="46" s="1"/>
  <c r="C34" i="46"/>
  <c r="C42" i="46" s="1"/>
  <c r="C22" i="52" s="1"/>
  <c r="C27" i="52" s="1"/>
  <c r="C7" i="52"/>
  <c r="C27" i="46"/>
  <c r="C21" i="52" s="1"/>
  <c r="C64" i="46"/>
  <c r="C72" i="46" s="1"/>
  <c r="AB45" i="38"/>
  <c r="AC47" i="38"/>
  <c r="AC50" i="38"/>
  <c r="Y114" i="59"/>
  <c r="Y111" i="59" s="1"/>
  <c r="Z116" i="59"/>
  <c r="Z120" i="59" s="1"/>
  <c r="Z119" i="59"/>
  <c r="X11" i="52"/>
  <c r="X30" i="46"/>
  <c r="Y69" i="59"/>
  <c r="Y66" i="59" s="1"/>
  <c r="Z71" i="59"/>
  <c r="Z75" i="59" s="1"/>
  <c r="Z74" i="59"/>
  <c r="W12" i="46"/>
  <c r="W15" i="46" s="1"/>
  <c r="V10" i="46"/>
  <c r="V7" i="46" s="1"/>
  <c r="W14" i="46"/>
  <c r="Q37" i="35"/>
  <c r="P33" i="35"/>
  <c r="P37" i="35" s="1"/>
  <c r="P39" i="35" s="1"/>
  <c r="P40" i="35" s="1"/>
  <c r="AC31" i="38"/>
  <c r="AC34" i="38"/>
  <c r="E29" i="38"/>
  <c r="E23" i="38" s="1"/>
  <c r="F31" i="38"/>
  <c r="F34" i="38"/>
  <c r="I50" i="8"/>
  <c r="C74" i="59"/>
  <c r="C71" i="59"/>
  <c r="F33" i="52"/>
  <c r="E30" i="33"/>
  <c r="E33" i="33" s="1"/>
  <c r="E32" i="33"/>
  <c r="AD33" i="33"/>
  <c r="AD32" i="38"/>
  <c r="V114" i="46"/>
  <c r="V111" i="46" s="1"/>
  <c r="W116" i="46"/>
  <c r="W120" i="46" s="1"/>
  <c r="W119" i="46"/>
  <c r="C64" i="59"/>
  <c r="C94" i="59"/>
  <c r="C79" i="59"/>
  <c r="C109" i="59"/>
  <c r="C49" i="59"/>
  <c r="C57" i="59" s="1"/>
  <c r="C34" i="59"/>
  <c r="C36" i="56"/>
  <c r="AB26" i="52"/>
  <c r="D42" i="59"/>
  <c r="D45" i="59"/>
  <c r="N59" i="8"/>
  <c r="M59" i="8"/>
  <c r="K40" i="35"/>
  <c r="D39" i="35"/>
  <c r="C119" i="59"/>
  <c r="C116" i="59"/>
  <c r="C120" i="59" s="1"/>
  <c r="I79" i="11"/>
  <c r="I84" i="11"/>
  <c r="I85" i="11" s="1"/>
  <c r="F34" i="52"/>
  <c r="J50" i="8"/>
  <c r="H33" i="33"/>
  <c r="W41" i="46"/>
  <c r="V39" i="46"/>
  <c r="V36" i="46" s="1"/>
  <c r="W44" i="46"/>
  <c r="S22" i="35"/>
  <c r="S30" i="35" s="1"/>
  <c r="Q30" i="35"/>
  <c r="J79" i="11"/>
  <c r="J84" i="11"/>
  <c r="J85" i="11" s="1"/>
  <c r="C34" i="56"/>
  <c r="F26" i="52"/>
  <c r="C22" i="64"/>
  <c r="AD8" i="52"/>
  <c r="D27" i="59"/>
  <c r="Y24" i="59"/>
  <c r="Y21" i="59" s="1"/>
  <c r="Z26" i="59"/>
  <c r="Z30" i="59" s="1"/>
  <c r="Z29" i="59"/>
  <c r="C101" i="59"/>
  <c r="C105" i="59" s="1"/>
  <c r="C104" i="59"/>
  <c r="X12" i="52"/>
  <c r="X45" i="46"/>
  <c r="Z73" i="33"/>
  <c r="Z67" i="33" s="1"/>
  <c r="AA75" i="33"/>
  <c r="AA78" i="33" s="1"/>
  <c r="AA77" i="33"/>
  <c r="E63" i="38"/>
  <c r="E66" i="38"/>
  <c r="C12" i="59"/>
  <c r="C15" i="59" s="1"/>
  <c r="C14" i="59"/>
  <c r="C33" i="56"/>
  <c r="D26" i="52"/>
  <c r="AC45" i="33"/>
  <c r="AC48" i="33" s="1"/>
  <c r="AB43" i="33"/>
  <c r="AC47" i="33"/>
  <c r="F64" i="38"/>
  <c r="F67" i="38"/>
  <c r="V69" i="46"/>
  <c r="V66" i="46" s="1"/>
  <c r="W71" i="46"/>
  <c r="W75" i="46" s="1"/>
  <c r="W74" i="46"/>
  <c r="C44" i="59"/>
  <c r="C41" i="59"/>
  <c r="AA109" i="38"/>
  <c r="AA103" i="38" s="1"/>
  <c r="AB111" i="38"/>
  <c r="AB114" i="38"/>
  <c r="H78" i="33"/>
  <c r="H80" i="38"/>
  <c r="E111" i="38"/>
  <c r="C8" i="52" s="1"/>
  <c r="E114" i="38"/>
  <c r="F96" i="38"/>
  <c r="F99" i="38"/>
  <c r="Z13" i="33"/>
  <c r="Z7" i="33" s="1"/>
  <c r="AA15" i="33"/>
  <c r="AA18" i="33" s="1"/>
  <c r="AA17" i="33"/>
  <c r="AC30" i="33"/>
  <c r="AC33" i="33" s="1"/>
  <c r="AC32" i="33"/>
  <c r="H96" i="38"/>
  <c r="H99" i="38"/>
  <c r="AC80" i="38"/>
  <c r="AC83" i="38"/>
  <c r="W101" i="46"/>
  <c r="W105" i="46" s="1"/>
  <c r="V99" i="46"/>
  <c r="V96" i="46" s="1"/>
  <c r="W104" i="46"/>
  <c r="F112" i="38"/>
  <c r="F115" i="38"/>
  <c r="Z89" i="59"/>
  <c r="Y84" i="59"/>
  <c r="Y81" i="59" s="1"/>
  <c r="Z86" i="59"/>
  <c r="Z90" i="59" s="1"/>
  <c r="D87" i="59"/>
  <c r="D90" i="59"/>
  <c r="AA77" i="38"/>
  <c r="AA71" i="38" s="1"/>
  <c r="AB79" i="38"/>
  <c r="AB82" i="38"/>
  <c r="V127" i="46"/>
  <c r="V124" i="46" s="1"/>
  <c r="W129" i="46"/>
  <c r="W132" i="46" s="1"/>
  <c r="W131" i="46"/>
  <c r="AC96" i="38"/>
  <c r="AC99" i="38"/>
  <c r="C46" i="55"/>
  <c r="C47" i="55" s="1"/>
  <c r="D47" i="55"/>
  <c r="D48" i="55" s="1"/>
  <c r="AB34" i="52"/>
  <c r="K68" i="11"/>
  <c r="N24" i="11"/>
  <c r="K16" i="18"/>
  <c r="K16" i="8"/>
  <c r="K26" i="11"/>
  <c r="AA8" i="52"/>
  <c r="AA33" i="52" s="1"/>
  <c r="AC16" i="38"/>
  <c r="AC19" i="38"/>
  <c r="AC112" i="38"/>
  <c r="AC115" i="38"/>
  <c r="C203" i="63"/>
  <c r="E95" i="38"/>
  <c r="E98" i="38"/>
  <c r="Z7" i="52"/>
  <c r="Z64" i="46"/>
  <c r="Z72" i="46" s="1"/>
  <c r="Z94" i="46"/>
  <c r="Z102" i="46" s="1"/>
  <c r="Z109" i="46"/>
  <c r="Z117" i="46" s="1"/>
  <c r="Z79" i="46"/>
  <c r="Z87" i="46" s="1"/>
  <c r="Z34" i="46"/>
  <c r="Z42" i="46" s="1"/>
  <c r="Z22" i="52" s="1"/>
  <c r="Z27" i="52" s="1"/>
  <c r="Z27" i="46"/>
  <c r="Z21" i="52" s="1"/>
  <c r="Z26" i="52" s="1"/>
  <c r="Z49" i="46"/>
  <c r="Z57" i="46" s="1"/>
  <c r="Z23" i="52" s="1"/>
  <c r="Z28" i="52" s="1"/>
  <c r="C50" i="8"/>
  <c r="AA13" i="38"/>
  <c r="AA7" i="38" s="1"/>
  <c r="AB15" i="38"/>
  <c r="AB18" i="38"/>
  <c r="P27" i="8"/>
  <c r="N30" i="8"/>
  <c r="P22" i="8"/>
  <c r="P28" i="8"/>
  <c r="P24" i="8"/>
  <c r="P29" i="8"/>
  <c r="P26" i="8"/>
  <c r="P23" i="8"/>
  <c r="P21" i="8"/>
  <c r="C187" i="61"/>
  <c r="C188" i="61" s="1"/>
  <c r="AA103" i="33"/>
  <c r="AA97" i="33" s="1"/>
  <c r="AB105" i="33"/>
  <c r="AB108" i="33" s="1"/>
  <c r="AB107" i="33"/>
  <c r="Z19" i="59"/>
  <c r="C86" i="59"/>
  <c r="C90" i="59" s="1"/>
  <c r="C89" i="59"/>
  <c r="X13" i="52"/>
  <c r="X60" i="46"/>
  <c r="K44" i="18"/>
  <c r="N45" i="18"/>
  <c r="AA93" i="38"/>
  <c r="AA87" i="38" s="1"/>
  <c r="AB95" i="38"/>
  <c r="AB98" i="38"/>
  <c r="C117" i="59" l="1"/>
  <c r="C27" i="59"/>
  <c r="Z103" i="33"/>
  <c r="Z97" i="33" s="1"/>
  <c r="AA105" i="33"/>
  <c r="AA108" i="33" s="1"/>
  <c r="AA107" i="33"/>
  <c r="K17" i="8"/>
  <c r="K28" i="11"/>
  <c r="N26" i="11"/>
  <c r="M26" i="11"/>
  <c r="M28" i="11" s="1"/>
  <c r="Y73" i="33"/>
  <c r="Y67" i="33" s="1"/>
  <c r="Z75" i="33"/>
  <c r="Z78" i="33" s="1"/>
  <c r="Z77" i="33"/>
  <c r="Z63" i="38"/>
  <c r="Y61" i="38"/>
  <c r="Y55" i="38" s="1"/>
  <c r="Z66" i="38"/>
  <c r="U10" i="46"/>
  <c r="U7" i="46" s="1"/>
  <c r="V12" i="46"/>
  <c r="V15" i="46" s="1"/>
  <c r="V14" i="46"/>
  <c r="C33" i="52"/>
  <c r="Y86" i="59"/>
  <c r="Y90" i="59" s="1"/>
  <c r="X84" i="59"/>
  <c r="X81" i="59" s="1"/>
  <c r="Y89" i="59"/>
  <c r="Y19" i="46"/>
  <c r="W12" i="52"/>
  <c r="W45" i="46"/>
  <c r="AB32" i="52"/>
  <c r="AB29" i="52"/>
  <c r="AB35" i="52" s="1"/>
  <c r="C176" i="11" s="1"/>
  <c r="H32" i="38"/>
  <c r="H35" i="38"/>
  <c r="K69" i="11"/>
  <c r="K74" i="11"/>
  <c r="N68" i="11"/>
  <c r="Y19" i="59"/>
  <c r="C72" i="59"/>
  <c r="C75" i="59"/>
  <c r="X69" i="59"/>
  <c r="X66" i="59" s="1"/>
  <c r="Y71" i="59"/>
  <c r="Y75" i="59" s="1"/>
  <c r="Y74" i="59"/>
  <c r="C34" i="52"/>
  <c r="X127" i="59"/>
  <c r="X124" i="59" s="1"/>
  <c r="Y129" i="59"/>
  <c r="Y132" i="59" s="1"/>
  <c r="Y131" i="59"/>
  <c r="AB28" i="33"/>
  <c r="AB22" i="33" s="1"/>
  <c r="AB37" i="33"/>
  <c r="Z60" i="33"/>
  <c r="Z63" i="33" s="1"/>
  <c r="Y58" i="33"/>
  <c r="Y52" i="33" s="1"/>
  <c r="Z62" i="33"/>
  <c r="X24" i="59"/>
  <c r="X21" i="59" s="1"/>
  <c r="Y26" i="59"/>
  <c r="Y30" i="59" s="1"/>
  <c r="Y29" i="59"/>
  <c r="Y14" i="59"/>
  <c r="X10" i="59"/>
  <c r="X7" i="59" s="1"/>
  <c r="Y12" i="59"/>
  <c r="Y15" i="59" s="1"/>
  <c r="E71" i="17"/>
  <c r="N46" i="8"/>
  <c r="M46" i="8"/>
  <c r="M47" i="8" s="1"/>
  <c r="V41" i="46"/>
  <c r="U39" i="46"/>
  <c r="U36" i="46" s="1"/>
  <c r="V44" i="46"/>
  <c r="AB96" i="38"/>
  <c r="AB99" i="38"/>
  <c r="Z93" i="38"/>
  <c r="Z87" i="38" s="1"/>
  <c r="AA95" i="38"/>
  <c r="AA98" i="38"/>
  <c r="D29" i="52"/>
  <c r="D35" i="52" s="1"/>
  <c r="D32" i="52"/>
  <c r="E96" i="38"/>
  <c r="E99" i="38"/>
  <c r="C87" i="59"/>
  <c r="F32" i="38"/>
  <c r="F35" i="38"/>
  <c r="W11" i="52"/>
  <c r="W30" i="46"/>
  <c r="Z90" i="33"/>
  <c r="Z93" i="33" s="1"/>
  <c r="Y88" i="33"/>
  <c r="Y82" i="33" s="1"/>
  <c r="Z92" i="33"/>
  <c r="D16" i="38"/>
  <c r="D19" i="38"/>
  <c r="Z29" i="52"/>
  <c r="Z35" i="52" s="1"/>
  <c r="Z32" i="52"/>
  <c r="E112" i="38"/>
  <c r="E115" i="38"/>
  <c r="C204" i="63"/>
  <c r="C212" i="63"/>
  <c r="C213" i="63" s="1"/>
  <c r="C24" i="63"/>
  <c r="D22" i="64"/>
  <c r="C23" i="61" s="1"/>
  <c r="E22" i="64"/>
  <c r="C102" i="59"/>
  <c r="E31" i="38"/>
  <c r="E34" i="38"/>
  <c r="X114" i="59"/>
  <c r="X111" i="59" s="1"/>
  <c r="Y116" i="59"/>
  <c r="Y120" i="59" s="1"/>
  <c r="Y119" i="59"/>
  <c r="U24" i="46"/>
  <c r="U21" i="46" s="1"/>
  <c r="V26" i="46"/>
  <c r="V29" i="46"/>
  <c r="C15" i="38"/>
  <c r="C18" i="38"/>
  <c r="F29" i="52"/>
  <c r="F35" i="52" s="1"/>
  <c r="F32" i="52"/>
  <c r="W13" i="52"/>
  <c r="W60" i="46"/>
  <c r="C184" i="63"/>
  <c r="C6" i="60"/>
  <c r="K15" i="8"/>
  <c r="K49" i="8"/>
  <c r="N16" i="8"/>
  <c r="C172" i="61"/>
  <c r="N16" i="18"/>
  <c r="K47" i="18"/>
  <c r="K15" i="18"/>
  <c r="N44" i="18"/>
  <c r="M44" i="18"/>
  <c r="M45" i="18" s="1"/>
  <c r="Z8" i="52"/>
  <c r="Z33" i="52" s="1"/>
  <c r="AB16" i="38"/>
  <c r="AB19" i="38"/>
  <c r="AB112" i="38"/>
  <c r="AB115" i="38"/>
  <c r="AC32" i="38"/>
  <c r="AC35" i="38"/>
  <c r="AC48" i="38"/>
  <c r="AC51" i="38"/>
  <c r="Y101" i="59"/>
  <c r="Y105" i="59" s="1"/>
  <c r="X99" i="59"/>
  <c r="X96" i="59" s="1"/>
  <c r="Y104" i="59"/>
  <c r="U54" i="46"/>
  <c r="U51" i="46" s="1"/>
  <c r="V56" i="46"/>
  <c r="V59" i="46"/>
  <c r="U69" i="46"/>
  <c r="U66" i="46" s="1"/>
  <c r="V71" i="46"/>
  <c r="V75" i="46" s="1"/>
  <c r="V74" i="46"/>
  <c r="Z94" i="59"/>
  <c r="Z102" i="59" s="1"/>
  <c r="Z79" i="59"/>
  <c r="Z87" i="59" s="1"/>
  <c r="Z109" i="59"/>
  <c r="Z117" i="59" s="1"/>
  <c r="Z64" i="59"/>
  <c r="Z72" i="59" s="1"/>
  <c r="Z49" i="59"/>
  <c r="Z57" i="59" s="1"/>
  <c r="Z34" i="59"/>
  <c r="Z42" i="59" s="1"/>
  <c r="Z27" i="59"/>
  <c r="Z109" i="38"/>
  <c r="Z103" i="38" s="1"/>
  <c r="AA111" i="38"/>
  <c r="AA114" i="38"/>
  <c r="E64" i="38"/>
  <c r="E67" i="38"/>
  <c r="AB39" i="38"/>
  <c r="AB29" i="38"/>
  <c r="AB23" i="38" s="1"/>
  <c r="C15" i="33"/>
  <c r="C18" i="33" s="1"/>
  <c r="C17" i="33"/>
  <c r="Z34" i="52"/>
  <c r="X19" i="59"/>
  <c r="X19" i="46"/>
  <c r="Z15" i="33"/>
  <c r="Z18" i="33" s="1"/>
  <c r="Y13" i="33"/>
  <c r="Y7" i="33" s="1"/>
  <c r="Z17" i="33"/>
  <c r="U99" i="46"/>
  <c r="U96" i="46" s="1"/>
  <c r="V101" i="46"/>
  <c r="V105" i="46" s="1"/>
  <c r="V104" i="46"/>
  <c r="U127" i="46"/>
  <c r="U124" i="46" s="1"/>
  <c r="V129" i="46"/>
  <c r="V132" i="46" s="1"/>
  <c r="V131" i="46"/>
  <c r="U114" i="46"/>
  <c r="U111" i="46" s="1"/>
  <c r="V116" i="46"/>
  <c r="V120" i="46" s="1"/>
  <c r="V119" i="46"/>
  <c r="S33" i="35"/>
  <c r="S37" i="35" s="1"/>
  <c r="S39" i="35" s="1"/>
  <c r="Z13" i="38"/>
  <c r="Z7" i="38" s="1"/>
  <c r="AA15" i="38"/>
  <c r="AA18" i="38"/>
  <c r="AB80" i="38"/>
  <c r="AB83" i="38"/>
  <c r="C42" i="59"/>
  <c r="C45" i="59"/>
  <c r="Z77" i="38"/>
  <c r="Z71" i="38" s="1"/>
  <c r="AA79" i="38"/>
  <c r="AA82" i="38"/>
  <c r="Q39" i="35"/>
  <c r="Q40" i="35" s="1"/>
  <c r="C32" i="56"/>
  <c r="C26" i="52"/>
  <c r="V86" i="46"/>
  <c r="V90" i="46" s="1"/>
  <c r="U84" i="46"/>
  <c r="U81" i="46" s="1"/>
  <c r="V89" i="46"/>
  <c r="AA64" i="38"/>
  <c r="AA67" i="38"/>
  <c r="Y41" i="59"/>
  <c r="Y45" i="59" s="1"/>
  <c r="X39" i="59"/>
  <c r="X36" i="59" s="1"/>
  <c r="Y44" i="59"/>
  <c r="Y56" i="59"/>
  <c r="Y60" i="59" s="1"/>
  <c r="X54" i="59"/>
  <c r="X51" i="59" s="1"/>
  <c r="Y59" i="59"/>
  <c r="C214" i="63"/>
  <c r="U116" i="46" l="1"/>
  <c r="U120" i="46" s="1"/>
  <c r="T114" i="46"/>
  <c r="T111" i="46" s="1"/>
  <c r="U119" i="46"/>
  <c r="W24" i="59"/>
  <c r="W21" i="59" s="1"/>
  <c r="X26" i="59"/>
  <c r="X30" i="59" s="1"/>
  <c r="X29" i="59"/>
  <c r="N74" i="11"/>
  <c r="K78" i="11"/>
  <c r="T10" i="46"/>
  <c r="T7" i="46" s="1"/>
  <c r="U12" i="46"/>
  <c r="U15" i="46" s="1"/>
  <c r="U14" i="46"/>
  <c r="X61" i="38"/>
  <c r="X55" i="38" s="1"/>
  <c r="Y63" i="38"/>
  <c r="Y66" i="38"/>
  <c r="V13" i="52"/>
  <c r="V60" i="46"/>
  <c r="W99" i="59"/>
  <c r="W96" i="59" s="1"/>
  <c r="X101" i="59"/>
  <c r="X105" i="59" s="1"/>
  <c r="X104" i="59"/>
  <c r="C46" i="61"/>
  <c r="C129" i="61"/>
  <c r="C70" i="61"/>
  <c r="AB45" i="33"/>
  <c r="AB48" i="33" s="1"/>
  <c r="AA43" i="33"/>
  <c r="AA37" i="33" s="1"/>
  <c r="AB47" i="33"/>
  <c r="Z64" i="38"/>
  <c r="Z67" i="38"/>
  <c r="V11" i="52"/>
  <c r="V30" i="46"/>
  <c r="AB30" i="33"/>
  <c r="AB33" i="33" s="1"/>
  <c r="AA28" i="33"/>
  <c r="AA22" i="33" s="1"/>
  <c r="AB32" i="33"/>
  <c r="J91" i="11"/>
  <c r="I92" i="11"/>
  <c r="G92" i="11"/>
  <c r="J89" i="11"/>
  <c r="F92" i="11"/>
  <c r="D92" i="11"/>
  <c r="C92" i="11"/>
  <c r="J92" i="11"/>
  <c r="J55" i="8" s="1"/>
  <c r="U41" i="46"/>
  <c r="T39" i="46"/>
  <c r="T36" i="46" s="1"/>
  <c r="U44" i="46"/>
  <c r="AB47" i="38"/>
  <c r="AA45" i="38"/>
  <c r="AA39" i="38" s="1"/>
  <c r="AB50" i="38"/>
  <c r="AA112" i="38"/>
  <c r="AA115" i="38"/>
  <c r="E32" i="38"/>
  <c r="E35" i="38"/>
  <c r="V12" i="52"/>
  <c r="V45" i="46"/>
  <c r="X73" i="33"/>
  <c r="X67" i="33" s="1"/>
  <c r="Y75" i="33"/>
  <c r="Y78" i="33" s="1"/>
  <c r="Y77" i="33"/>
  <c r="Z95" i="38"/>
  <c r="Y93" i="38"/>
  <c r="Y87" i="38" s="1"/>
  <c r="Z98" i="38"/>
  <c r="W127" i="59"/>
  <c r="W124" i="59" s="1"/>
  <c r="X129" i="59"/>
  <c r="X132" i="59" s="1"/>
  <c r="X131" i="59"/>
  <c r="N47" i="18"/>
  <c r="K48" i="18"/>
  <c r="W114" i="59"/>
  <c r="W111" i="59" s="1"/>
  <c r="X116" i="59"/>
  <c r="X120" i="59" s="1"/>
  <c r="X119" i="59"/>
  <c r="N15" i="8"/>
  <c r="M15" i="8"/>
  <c r="M16" i="8" s="1"/>
  <c r="X41" i="59"/>
  <c r="X45" i="59" s="1"/>
  <c r="W39" i="59"/>
  <c r="W36" i="59" s="1"/>
  <c r="X44" i="59"/>
  <c r="G453" i="65"/>
  <c r="C47" i="63"/>
  <c r="C72" i="63"/>
  <c r="D72" i="63"/>
  <c r="D74" i="63" s="1"/>
  <c r="Y7" i="52"/>
  <c r="Y8" i="52" s="1"/>
  <c r="Y109" i="46"/>
  <c r="Y117" i="46" s="1"/>
  <c r="Y94" i="46"/>
  <c r="Y102" i="46" s="1"/>
  <c r="Y64" i="46"/>
  <c r="Y72" i="46" s="1"/>
  <c r="Y27" i="46"/>
  <c r="Y21" i="52" s="1"/>
  <c r="Y26" i="52" s="1"/>
  <c r="Y79" i="46"/>
  <c r="Y87" i="46" s="1"/>
  <c r="Y49" i="46"/>
  <c r="Y57" i="46" s="1"/>
  <c r="Y23" i="52" s="1"/>
  <c r="Y28" i="52" s="1"/>
  <c r="Y34" i="46"/>
  <c r="Y42" i="46" s="1"/>
  <c r="Y22" i="52" s="1"/>
  <c r="Y27" i="52" s="1"/>
  <c r="N15" i="18"/>
  <c r="M15" i="18"/>
  <c r="M16" i="18" s="1"/>
  <c r="M47" i="18" s="1"/>
  <c r="M48" i="18" s="1"/>
  <c r="U56" i="46"/>
  <c r="T54" i="46"/>
  <c r="T51" i="46" s="1"/>
  <c r="U59" i="46"/>
  <c r="AA80" i="38"/>
  <c r="AA83" i="38"/>
  <c r="X56" i="59"/>
  <c r="X60" i="59" s="1"/>
  <c r="W54" i="59"/>
  <c r="W51" i="59" s="1"/>
  <c r="X59" i="59"/>
  <c r="K50" i="8"/>
  <c r="N49" i="8"/>
  <c r="X7" i="52"/>
  <c r="X109" i="46"/>
  <c r="X117" i="46" s="1"/>
  <c r="X79" i="46"/>
  <c r="X87" i="46" s="1"/>
  <c r="X94" i="46"/>
  <c r="X102" i="46" s="1"/>
  <c r="X64" i="46"/>
  <c r="X72" i="46" s="1"/>
  <c r="X34" i="46"/>
  <c r="X42" i="46" s="1"/>
  <c r="X22" i="52" s="1"/>
  <c r="X27" i="52" s="1"/>
  <c r="X27" i="46"/>
  <c r="X21" i="52" s="1"/>
  <c r="X26" i="52" s="1"/>
  <c r="X49" i="46"/>
  <c r="X57" i="46" s="1"/>
  <c r="X23" i="52" s="1"/>
  <c r="X28" i="52" s="1"/>
  <c r="C33" i="61"/>
  <c r="C35" i="61" s="1"/>
  <c r="C41" i="61" s="1"/>
  <c r="C27" i="61"/>
  <c r="E83" i="17"/>
  <c r="E72" i="17"/>
  <c r="N28" i="11"/>
  <c r="K18" i="8"/>
  <c r="N18" i="8" s="1"/>
  <c r="T24" i="46"/>
  <c r="T21" i="46" s="1"/>
  <c r="U26" i="46"/>
  <c r="U29" i="46"/>
  <c r="Z79" i="38"/>
  <c r="Y77" i="38"/>
  <c r="Y71" i="38" s="1"/>
  <c r="Z82" i="38"/>
  <c r="W19" i="59"/>
  <c r="W19" i="46"/>
  <c r="Y15" i="33"/>
  <c r="Y18" i="33" s="1"/>
  <c r="X13" i="33"/>
  <c r="X7" i="33" s="1"/>
  <c r="Y17" i="33"/>
  <c r="X94" i="59"/>
  <c r="X102" i="59" s="1"/>
  <c r="X79" i="59"/>
  <c r="X109" i="59"/>
  <c r="X117" i="59" s="1"/>
  <c r="X34" i="59"/>
  <c r="X64" i="59"/>
  <c r="X49" i="59"/>
  <c r="X27" i="59"/>
  <c r="C34" i="63"/>
  <c r="C36" i="63" s="1"/>
  <c r="G460" i="65"/>
  <c r="C28" i="63"/>
  <c r="X86" i="59"/>
  <c r="X90" i="59" s="1"/>
  <c r="W84" i="59"/>
  <c r="W81" i="59" s="1"/>
  <c r="X89" i="59"/>
  <c r="N17" i="8"/>
  <c r="M17" i="8"/>
  <c r="AA96" i="38"/>
  <c r="AA99" i="38"/>
  <c r="Z111" i="38"/>
  <c r="Y109" i="38"/>
  <c r="Y103" i="38" s="1"/>
  <c r="Z114" i="38"/>
  <c r="T99" i="46"/>
  <c r="T96" i="46" s="1"/>
  <c r="U101" i="46"/>
  <c r="U105" i="46" s="1"/>
  <c r="U104" i="46"/>
  <c r="W10" i="59"/>
  <c r="W7" i="59" s="1"/>
  <c r="X12" i="59"/>
  <c r="X15" i="59" s="1"/>
  <c r="X14" i="59"/>
  <c r="W69" i="59"/>
  <c r="W66" i="59" s="1"/>
  <c r="X71" i="59"/>
  <c r="X74" i="59"/>
  <c r="K92" i="11"/>
  <c r="Z15" i="38"/>
  <c r="Y13" i="38"/>
  <c r="Y7" i="38" s="1"/>
  <c r="Z18" i="38"/>
  <c r="U86" i="46"/>
  <c r="U90" i="46" s="1"/>
  <c r="T84" i="46"/>
  <c r="T81" i="46" s="1"/>
  <c r="U89" i="46"/>
  <c r="Y60" i="33"/>
  <c r="Y63" i="33" s="1"/>
  <c r="X58" i="33"/>
  <c r="X52" i="33" s="1"/>
  <c r="Y62" i="33"/>
  <c r="C58" i="60"/>
  <c r="C7" i="60"/>
  <c r="C59" i="60" s="1"/>
  <c r="AA16" i="38"/>
  <c r="AA19" i="38"/>
  <c r="T127" i="46"/>
  <c r="T124" i="46" s="1"/>
  <c r="U129" i="46"/>
  <c r="U132" i="46" s="1"/>
  <c r="U131" i="46"/>
  <c r="Y90" i="33"/>
  <c r="Y93" i="33" s="1"/>
  <c r="X88" i="33"/>
  <c r="X82" i="33" s="1"/>
  <c r="Y92" i="33"/>
  <c r="C32" i="52"/>
  <c r="C29" i="52"/>
  <c r="C35" i="52" s="1"/>
  <c r="AB31" i="38"/>
  <c r="AA29" i="38"/>
  <c r="AA23" i="38" s="1"/>
  <c r="AB34" i="38"/>
  <c r="U71" i="46"/>
  <c r="U75" i="46" s="1"/>
  <c r="T69" i="46"/>
  <c r="T66" i="46" s="1"/>
  <c r="U74" i="46"/>
  <c r="C16" i="38"/>
  <c r="C19" i="38"/>
  <c r="Y94" i="59"/>
  <c r="Y102" i="59" s="1"/>
  <c r="Y79" i="59"/>
  <c r="Y87" i="59" s="1"/>
  <c r="Y109" i="59"/>
  <c r="Y117" i="59" s="1"/>
  <c r="Y34" i="59"/>
  <c r="Y42" i="59" s="1"/>
  <c r="Y64" i="59"/>
  <c r="Y72" i="59" s="1"/>
  <c r="Y49" i="59"/>
  <c r="Y57" i="59" s="1"/>
  <c r="Y27" i="59"/>
  <c r="Z105" i="33"/>
  <c r="Z108" i="33" s="1"/>
  <c r="Y103" i="33"/>
  <c r="Y97" i="33" s="1"/>
  <c r="Z107" i="33"/>
  <c r="X87" i="59" l="1"/>
  <c r="X109" i="38"/>
  <c r="X103" i="38" s="1"/>
  <c r="Y111" i="38"/>
  <c r="Y114" i="38"/>
  <c r="T41" i="46"/>
  <c r="S39" i="46"/>
  <c r="S36" i="46" s="1"/>
  <c r="T44" i="46"/>
  <c r="W61" i="38"/>
  <c r="W55" i="38" s="1"/>
  <c r="X63" i="38"/>
  <c r="X66" i="38"/>
  <c r="V54" i="59"/>
  <c r="V51" i="59" s="1"/>
  <c r="W56" i="59"/>
  <c r="W60" i="59" s="1"/>
  <c r="W59" i="59"/>
  <c r="D11" i="64"/>
  <c r="C103" i="61"/>
  <c r="C105" i="61" s="1"/>
  <c r="U12" i="52"/>
  <c r="U45" i="46"/>
  <c r="T12" i="46"/>
  <c r="T15" i="46" s="1"/>
  <c r="S10" i="46"/>
  <c r="S7" i="46" s="1"/>
  <c r="T14" i="46"/>
  <c r="Z45" i="38"/>
  <c r="Z39" i="38" s="1"/>
  <c r="AA47" i="38"/>
  <c r="AA50" i="38"/>
  <c r="W129" i="59"/>
  <c r="W132" i="59" s="1"/>
  <c r="V127" i="59"/>
  <c r="V124" i="59" s="1"/>
  <c r="W131" i="59"/>
  <c r="Y95" i="38"/>
  <c r="X93" i="38"/>
  <c r="X87" i="38" s="1"/>
  <c r="Y98" i="38"/>
  <c r="D70" i="61"/>
  <c r="D72" i="61" s="1"/>
  <c r="K79" i="11"/>
  <c r="K84" i="11"/>
  <c r="N78" i="11"/>
  <c r="Y64" i="38"/>
  <c r="Y67" i="38"/>
  <c r="W13" i="33"/>
  <c r="W7" i="33" s="1"/>
  <c r="X15" i="33"/>
  <c r="X18" i="33" s="1"/>
  <c r="X17" i="33"/>
  <c r="S54" i="46"/>
  <c r="S51" i="46" s="1"/>
  <c r="T56" i="46"/>
  <c r="T59" i="46"/>
  <c r="X33" i="52"/>
  <c r="V69" i="59"/>
  <c r="V66" i="59" s="1"/>
  <c r="W71" i="59"/>
  <c r="W75" i="59" s="1"/>
  <c r="W74" i="59"/>
  <c r="Y33" i="52"/>
  <c r="X75" i="33"/>
  <c r="X78" i="33" s="1"/>
  <c r="W73" i="33"/>
  <c r="W67" i="33" s="1"/>
  <c r="X77" i="33"/>
  <c r="F55" i="8"/>
  <c r="F60" i="8" s="1"/>
  <c r="F62" i="8" s="1"/>
  <c r="F93" i="11"/>
  <c r="F95" i="11" s="1"/>
  <c r="C173" i="61"/>
  <c r="C76" i="61"/>
  <c r="C77" i="61" s="1"/>
  <c r="C72" i="61"/>
  <c r="Z112" i="38"/>
  <c r="Z115" i="38"/>
  <c r="AB48" i="38"/>
  <c r="AB51" i="38"/>
  <c r="AL334" i="65"/>
  <c r="AL331" i="65"/>
  <c r="AL336" i="65"/>
  <c r="AN93" i="65"/>
  <c r="AL254" i="65"/>
  <c r="AL330" i="65"/>
  <c r="AL173" i="65"/>
  <c r="AL255" i="65"/>
  <c r="AL253" i="65"/>
  <c r="G415" i="65"/>
  <c r="AL333" i="65"/>
  <c r="AL335" i="65"/>
  <c r="AL332" i="65"/>
  <c r="AO93" i="65"/>
  <c r="AL256" i="65"/>
  <c r="AL93" i="65"/>
  <c r="AL252" i="65"/>
  <c r="AP93" i="65"/>
  <c r="AM93" i="65"/>
  <c r="AL170" i="65"/>
  <c r="AL171" i="65"/>
  <c r="AL174" i="65"/>
  <c r="AL175" i="65"/>
  <c r="AK93" i="65"/>
  <c r="AL176" i="65"/>
  <c r="AQ93" i="65"/>
  <c r="AL251" i="65"/>
  <c r="AL250" i="65"/>
  <c r="AJ93" i="65"/>
  <c r="AL172" i="65"/>
  <c r="AR93" i="65"/>
  <c r="X29" i="52"/>
  <c r="X35" i="52" s="1"/>
  <c r="X32" i="52"/>
  <c r="S127" i="46"/>
  <c r="S124" i="46" s="1"/>
  <c r="T129" i="46"/>
  <c r="T132" i="46" s="1"/>
  <c r="T131" i="46"/>
  <c r="AA45" i="33"/>
  <c r="AA48" i="33" s="1"/>
  <c r="Z43" i="33"/>
  <c r="Z37" i="33" s="1"/>
  <c r="AA47" i="33"/>
  <c r="X72" i="59"/>
  <c r="X75" i="59"/>
  <c r="C55" i="8"/>
  <c r="C60" i="8" s="1"/>
  <c r="C62" i="8" s="1"/>
  <c r="C93" i="11"/>
  <c r="C95" i="11" s="1"/>
  <c r="Y34" i="52"/>
  <c r="J58" i="8"/>
  <c r="N89" i="11"/>
  <c r="M89" i="11"/>
  <c r="M93" i="11" s="1"/>
  <c r="M95" i="11" s="1"/>
  <c r="M106" i="11" s="1"/>
  <c r="J93" i="11"/>
  <c r="J95" i="11" s="1"/>
  <c r="C98" i="64"/>
  <c r="C150" i="63"/>
  <c r="G447" i="65"/>
  <c r="D150" i="63"/>
  <c r="C117" i="63"/>
  <c r="D157" i="63"/>
  <c r="C94" i="64"/>
  <c r="X8" i="52"/>
  <c r="Z16" i="38"/>
  <c r="Z19" i="38"/>
  <c r="Z96" i="38"/>
  <c r="Z99" i="38"/>
  <c r="W94" i="59"/>
  <c r="W79" i="59"/>
  <c r="W109" i="59"/>
  <c r="W117" i="59" s="1"/>
  <c r="W34" i="59"/>
  <c r="W49" i="59"/>
  <c r="W64" i="59"/>
  <c r="C114" i="63"/>
  <c r="C116" i="63" s="1"/>
  <c r="C11" i="64"/>
  <c r="G55" i="8"/>
  <c r="G60" i="8" s="1"/>
  <c r="G62" i="8" s="1"/>
  <c r="G93" i="11"/>
  <c r="G95" i="11" s="1"/>
  <c r="W88" i="33"/>
  <c r="W82" i="33" s="1"/>
  <c r="X90" i="33"/>
  <c r="X93" i="33" s="1"/>
  <c r="X92" i="33"/>
  <c r="K55" i="8"/>
  <c r="K93" i="11"/>
  <c r="W109" i="46"/>
  <c r="W117" i="46" s="1"/>
  <c r="W64" i="46"/>
  <c r="W72" i="46" s="1"/>
  <c r="W7" i="52"/>
  <c r="W79" i="46"/>
  <c r="W87" i="46" s="1"/>
  <c r="W94" i="46"/>
  <c r="W102" i="46" s="1"/>
  <c r="W49" i="46"/>
  <c r="W57" i="46" s="1"/>
  <c r="W23" i="52" s="1"/>
  <c r="W28" i="52" s="1"/>
  <c r="W34" i="46"/>
  <c r="W42" i="46" s="1"/>
  <c r="W22" i="52" s="1"/>
  <c r="W27" i="52" s="1"/>
  <c r="W27" i="46"/>
  <c r="W21" i="52" s="1"/>
  <c r="W26" i="52" s="1"/>
  <c r="I55" i="8"/>
  <c r="I60" i="8" s="1"/>
  <c r="I62" i="8" s="1"/>
  <c r="I93" i="11"/>
  <c r="I95" i="11" s="1"/>
  <c r="C47" i="61"/>
  <c r="C49" i="61" s="1"/>
  <c r="W26" i="59"/>
  <c r="W30" i="59" s="1"/>
  <c r="V24" i="59"/>
  <c r="V21" i="59" s="1"/>
  <c r="W29" i="59"/>
  <c r="T86" i="46"/>
  <c r="T90" i="46" s="1"/>
  <c r="S84" i="46"/>
  <c r="S81" i="46" s="1"/>
  <c r="T89" i="46"/>
  <c r="C42" i="61"/>
  <c r="C110" i="61"/>
  <c r="C112" i="61" s="1"/>
  <c r="D12" i="64"/>
  <c r="D76" i="61"/>
  <c r="V84" i="59"/>
  <c r="V81" i="59" s="1"/>
  <c r="W86" i="59"/>
  <c r="W90" i="59" s="1"/>
  <c r="W89" i="59"/>
  <c r="M18" i="8"/>
  <c r="M49" i="8"/>
  <c r="Y79" i="38"/>
  <c r="X77" i="38"/>
  <c r="X71" i="38" s="1"/>
  <c r="Y82" i="38"/>
  <c r="Z80" i="38"/>
  <c r="Z83" i="38"/>
  <c r="V10" i="59"/>
  <c r="V7" i="59" s="1"/>
  <c r="W12" i="59"/>
  <c r="W15" i="59" s="1"/>
  <c r="W14" i="59"/>
  <c r="U11" i="52"/>
  <c r="U30" i="46"/>
  <c r="V114" i="59"/>
  <c r="V111" i="59" s="1"/>
  <c r="W116" i="59"/>
  <c r="W120" i="59" s="1"/>
  <c r="W119" i="59"/>
  <c r="T26" i="46"/>
  <c r="S24" i="46"/>
  <c r="S21" i="46" s="1"/>
  <c r="T29" i="46"/>
  <c r="J53" i="8"/>
  <c r="M91" i="11"/>
  <c r="N91" i="11"/>
  <c r="C74" i="63"/>
  <c r="C185" i="63"/>
  <c r="X13" i="38"/>
  <c r="X7" i="38" s="1"/>
  <c r="Y15" i="38"/>
  <c r="Y18" i="38"/>
  <c r="X34" i="52"/>
  <c r="U13" i="52"/>
  <c r="U60" i="46"/>
  <c r="T71" i="46"/>
  <c r="T75" i="46" s="1"/>
  <c r="S69" i="46"/>
  <c r="S66" i="46" s="1"/>
  <c r="T74" i="46"/>
  <c r="Y29" i="52"/>
  <c r="Y35" i="52" s="1"/>
  <c r="Y32" i="52"/>
  <c r="AA31" i="38"/>
  <c r="Z29" i="38"/>
  <c r="Z23" i="38" s="1"/>
  <c r="AA34" i="38"/>
  <c r="X60" i="33"/>
  <c r="X63" i="33" s="1"/>
  <c r="W58" i="33"/>
  <c r="W52" i="33" s="1"/>
  <c r="X62" i="33"/>
  <c r="X57" i="59"/>
  <c r="X103" i="33"/>
  <c r="X97" i="33" s="1"/>
  <c r="Y105" i="33"/>
  <c r="Y108" i="33" s="1"/>
  <c r="Y107" i="33"/>
  <c r="AB32" i="38"/>
  <c r="AB35" i="38"/>
  <c r="T101" i="46"/>
  <c r="T105" i="46" s="1"/>
  <c r="S99" i="46"/>
  <c r="S96" i="46" s="1"/>
  <c r="T104" i="46"/>
  <c r="T116" i="46"/>
  <c r="T120" i="46" s="1"/>
  <c r="S114" i="46"/>
  <c r="S111" i="46" s="1"/>
  <c r="T119" i="46"/>
  <c r="W41" i="59"/>
  <c r="W45" i="59" s="1"/>
  <c r="V39" i="59"/>
  <c r="V36" i="59" s="1"/>
  <c r="W44" i="59"/>
  <c r="D55" i="8"/>
  <c r="D60" i="8" s="1"/>
  <c r="D62" i="8" s="1"/>
  <c r="D93" i="11"/>
  <c r="D95" i="11" s="1"/>
  <c r="G454" i="65"/>
  <c r="AK333" i="65" s="1"/>
  <c r="C42" i="63"/>
  <c r="C48" i="63" s="1"/>
  <c r="C50" i="63" s="1"/>
  <c r="X42" i="59"/>
  <c r="Z28" i="33"/>
  <c r="Z22" i="33" s="1"/>
  <c r="AA30" i="33"/>
  <c r="AA33" i="33" s="1"/>
  <c r="AA32" i="33"/>
  <c r="V99" i="59"/>
  <c r="V96" i="59" s="1"/>
  <c r="W101" i="59"/>
  <c r="W105" i="59" s="1"/>
  <c r="W104" i="59"/>
  <c r="W42" i="59" l="1"/>
  <c r="W57" i="59"/>
  <c r="W87" i="59"/>
  <c r="W102" i="59"/>
  <c r="G416" i="65"/>
  <c r="G417" i="65" s="1"/>
  <c r="G450" i="65"/>
  <c r="G443" i="65"/>
  <c r="G442" i="65"/>
  <c r="AM251" i="65"/>
  <c r="AM90" i="65"/>
  <c r="AN90" i="65"/>
  <c r="R127" i="46"/>
  <c r="R124" i="46" s="1"/>
  <c r="S129" i="46"/>
  <c r="S132" i="46" s="1"/>
  <c r="S131" i="46"/>
  <c r="AQ90" i="65"/>
  <c r="K85" i="11"/>
  <c r="N84" i="11"/>
  <c r="AP90" i="65"/>
  <c r="AM333" i="65"/>
  <c r="W13" i="38"/>
  <c r="W7" i="38" s="1"/>
  <c r="X15" i="38"/>
  <c r="X18" i="38"/>
  <c r="J96" i="11"/>
  <c r="J106" i="11"/>
  <c r="J107" i="11" s="1"/>
  <c r="AK254" i="65"/>
  <c r="D98" i="64"/>
  <c r="D101" i="64" s="1"/>
  <c r="D94" i="64"/>
  <c r="D89" i="64" s="1"/>
  <c r="C144" i="61"/>
  <c r="D144" i="61"/>
  <c r="C106" i="61"/>
  <c r="C107" i="61" s="1"/>
  <c r="W60" i="33"/>
  <c r="W63" i="33" s="1"/>
  <c r="V58" i="33"/>
  <c r="V52" i="33" s="1"/>
  <c r="W62" i="33"/>
  <c r="AK251" i="65"/>
  <c r="AL90" i="65"/>
  <c r="V71" i="59"/>
  <c r="V75" i="59" s="1"/>
  <c r="U69" i="59"/>
  <c r="U66" i="59" s="1"/>
  <c r="V74" i="59"/>
  <c r="C121" i="63"/>
  <c r="D77" i="63"/>
  <c r="C43" i="63"/>
  <c r="C12" i="64"/>
  <c r="E12" i="64" s="1"/>
  <c r="D96" i="11"/>
  <c r="D106" i="11"/>
  <c r="D107" i="11" s="1"/>
  <c r="AK256" i="65"/>
  <c r="AK176" i="65"/>
  <c r="W93" i="38"/>
  <c r="W87" i="38" s="1"/>
  <c r="X95" i="38"/>
  <c r="X98" i="38"/>
  <c r="N55" i="8"/>
  <c r="M55" i="8"/>
  <c r="K60" i="8"/>
  <c r="AK90" i="65"/>
  <c r="AM256" i="65"/>
  <c r="AK173" i="65"/>
  <c r="Y96" i="38"/>
  <c r="Y99" i="38"/>
  <c r="V59" i="59"/>
  <c r="V56" i="59"/>
  <c r="V60" i="59" s="1"/>
  <c r="U54" i="59"/>
  <c r="U51" i="59" s="1"/>
  <c r="C101" i="64"/>
  <c r="W77" i="38"/>
  <c r="W71" i="38" s="1"/>
  <c r="X79" i="38"/>
  <c r="X82" i="38"/>
  <c r="AO90" i="65"/>
  <c r="AM175" i="65"/>
  <c r="AM255" i="65"/>
  <c r="T13" i="52"/>
  <c r="T60" i="46"/>
  <c r="V12" i="59"/>
  <c r="V15" i="59" s="1"/>
  <c r="U10" i="59"/>
  <c r="U7" i="59" s="1"/>
  <c r="V14" i="59"/>
  <c r="S116" i="46"/>
  <c r="S120" i="46" s="1"/>
  <c r="R114" i="46"/>
  <c r="R111" i="46" s="1"/>
  <c r="S119" i="46"/>
  <c r="C96" i="11"/>
  <c r="C106" i="11"/>
  <c r="C107" i="11" s="1"/>
  <c r="AK253" i="65"/>
  <c r="AK332" i="65"/>
  <c r="R54" i="46"/>
  <c r="R51" i="46" s="1"/>
  <c r="S56" i="46"/>
  <c r="S59" i="46"/>
  <c r="U127" i="59"/>
  <c r="U124" i="59" s="1"/>
  <c r="V129" i="59"/>
  <c r="V132" i="59" s="1"/>
  <c r="V131" i="59"/>
  <c r="X64" i="38"/>
  <c r="X67" i="38"/>
  <c r="S86" i="46"/>
  <c r="S90" i="46" s="1"/>
  <c r="R84" i="46"/>
  <c r="R81" i="46" s="1"/>
  <c r="S89" i="46"/>
  <c r="AK250" i="65"/>
  <c r="Y80" i="38"/>
  <c r="Y83" i="38"/>
  <c r="M50" i="8"/>
  <c r="V88" i="33"/>
  <c r="V82" i="33" s="1"/>
  <c r="W90" i="33"/>
  <c r="W93" i="33" s="1"/>
  <c r="W92" i="33"/>
  <c r="C63" i="8"/>
  <c r="C72" i="8"/>
  <c r="C73" i="8" s="1"/>
  <c r="AR95" i="65"/>
  <c r="V61" i="38"/>
  <c r="V55" i="38" s="1"/>
  <c r="W63" i="38"/>
  <c r="W66" i="38"/>
  <c r="X105" i="33"/>
  <c r="X108" i="33" s="1"/>
  <c r="W103" i="33"/>
  <c r="W97" i="33" s="1"/>
  <c r="X107" i="33"/>
  <c r="Y29" i="38"/>
  <c r="Y23" i="38" s="1"/>
  <c r="Z31" i="38"/>
  <c r="Z34" i="38"/>
  <c r="S26" i="46"/>
  <c r="R24" i="46"/>
  <c r="R21" i="46" s="1"/>
  <c r="S29" i="46"/>
  <c r="G106" i="11"/>
  <c r="G107" i="11" s="1"/>
  <c r="G96" i="11"/>
  <c r="AK171" i="65"/>
  <c r="AK331" i="65"/>
  <c r="AK255" i="65"/>
  <c r="C180" i="61"/>
  <c r="U24" i="59"/>
  <c r="U21" i="59" s="1"/>
  <c r="V29" i="59"/>
  <c r="V26" i="59"/>
  <c r="V30" i="59" s="1"/>
  <c r="AA32" i="38"/>
  <c r="AA35" i="38"/>
  <c r="R99" i="46"/>
  <c r="R96" i="46" s="1"/>
  <c r="S101" i="46"/>
  <c r="S105" i="46" s="1"/>
  <c r="S104" i="46"/>
  <c r="T11" i="52"/>
  <c r="T30" i="46"/>
  <c r="I106" i="11"/>
  <c r="I107" i="11" s="1"/>
  <c r="I96" i="11"/>
  <c r="G63" i="8"/>
  <c r="G72" i="8"/>
  <c r="G73" i="8" s="1"/>
  <c r="AK252" i="65"/>
  <c r="AK174" i="65"/>
  <c r="AK330" i="65"/>
  <c r="D33" i="64"/>
  <c r="C126" i="61"/>
  <c r="C125" i="61"/>
  <c r="C128" i="61" s="1"/>
  <c r="C175" i="61"/>
  <c r="D30" i="64"/>
  <c r="D81" i="64" s="1"/>
  <c r="C159" i="61"/>
  <c r="D159" i="61"/>
  <c r="D199" i="61"/>
  <c r="C177" i="61"/>
  <c r="W15" i="33"/>
  <c r="W18" i="33" s="1"/>
  <c r="V13" i="33"/>
  <c r="V7" i="33" s="1"/>
  <c r="W17" i="33"/>
  <c r="AA48" i="38"/>
  <c r="AA51" i="38"/>
  <c r="R39" i="46"/>
  <c r="R36" i="46" s="1"/>
  <c r="S41" i="46"/>
  <c r="S44" i="46"/>
  <c r="D63" i="8"/>
  <c r="D72" i="8"/>
  <c r="D73" i="8" s="1"/>
  <c r="K95" i="11"/>
  <c r="N93" i="11"/>
  <c r="J60" i="8"/>
  <c r="J62" i="8" s="1"/>
  <c r="M53" i="8"/>
  <c r="N53" i="8"/>
  <c r="I63" i="8"/>
  <c r="I72" i="8"/>
  <c r="I73" i="8" s="1"/>
  <c r="E11" i="64"/>
  <c r="C89" i="64"/>
  <c r="E94" i="64"/>
  <c r="AM171" i="65"/>
  <c r="AK334" i="65"/>
  <c r="AK335" i="65"/>
  <c r="F96" i="11"/>
  <c r="F106" i="11"/>
  <c r="F107" i="11" s="1"/>
  <c r="V19" i="46"/>
  <c r="Z47" i="38"/>
  <c r="Y45" i="38"/>
  <c r="Y39" i="38" s="1"/>
  <c r="Z50" i="38"/>
  <c r="T12" i="52"/>
  <c r="T45" i="46"/>
  <c r="N58" i="8"/>
  <c r="M58" i="8"/>
  <c r="U99" i="59"/>
  <c r="U96" i="59" s="1"/>
  <c r="V101" i="59"/>
  <c r="V105" i="59" s="1"/>
  <c r="V104" i="59"/>
  <c r="V86" i="59"/>
  <c r="V90" i="59" s="1"/>
  <c r="U84" i="59"/>
  <c r="U81" i="59" s="1"/>
  <c r="V89" i="59"/>
  <c r="W29" i="52"/>
  <c r="W35" i="52" s="1"/>
  <c r="W32" i="52"/>
  <c r="Z45" i="33"/>
  <c r="Z48" i="33" s="1"/>
  <c r="Y43" i="33"/>
  <c r="Y37" i="33" s="1"/>
  <c r="Z47" i="33"/>
  <c r="AJ90" i="65"/>
  <c r="AK336" i="65"/>
  <c r="G412" i="65"/>
  <c r="F63" i="8"/>
  <c r="F72" i="8"/>
  <c r="F73" i="8" s="1"/>
  <c r="V19" i="59"/>
  <c r="W27" i="59"/>
  <c r="C118" i="63"/>
  <c r="AK175" i="65"/>
  <c r="AM95" i="65"/>
  <c r="AK172" i="65"/>
  <c r="AN95" i="65"/>
  <c r="R10" i="46"/>
  <c r="R7" i="46" s="1"/>
  <c r="S12" i="46"/>
  <c r="S15" i="46" s="1"/>
  <c r="S14" i="46"/>
  <c r="Y112" i="38"/>
  <c r="Y115" i="38"/>
  <c r="W8" i="52"/>
  <c r="W34" i="52" s="1"/>
  <c r="Y16" i="38"/>
  <c r="Y19" i="38"/>
  <c r="C77" i="63"/>
  <c r="C30" i="64"/>
  <c r="G430" i="65"/>
  <c r="AM176" i="65" s="1"/>
  <c r="C66" i="63"/>
  <c r="D227" i="63"/>
  <c r="C188" i="63"/>
  <c r="U39" i="59"/>
  <c r="U36" i="59" s="1"/>
  <c r="V41" i="59"/>
  <c r="V45" i="59" s="1"/>
  <c r="V44" i="59"/>
  <c r="AR90" i="65"/>
  <c r="R69" i="46"/>
  <c r="R66" i="46" s="1"/>
  <c r="S71" i="46"/>
  <c r="S75" i="46" s="1"/>
  <c r="S74" i="46"/>
  <c r="Y28" i="33"/>
  <c r="Y22" i="33" s="1"/>
  <c r="Z30" i="33"/>
  <c r="Z33" i="33" s="1"/>
  <c r="Z32" i="33"/>
  <c r="U114" i="59"/>
  <c r="U111" i="59" s="1"/>
  <c r="V116" i="59"/>
  <c r="V120" i="59" s="1"/>
  <c r="V119" i="59"/>
  <c r="W33" i="52"/>
  <c r="C113" i="61"/>
  <c r="C114" i="61" s="1"/>
  <c r="C97" i="61"/>
  <c r="C98" i="61" s="1"/>
  <c r="D54" i="64"/>
  <c r="D77" i="61"/>
  <c r="W72" i="59"/>
  <c r="AK170" i="65"/>
  <c r="W75" i="33"/>
  <c r="W78" i="33" s="1"/>
  <c r="V73" i="33"/>
  <c r="V67" i="33" s="1"/>
  <c r="W77" i="33"/>
  <c r="X111" i="38"/>
  <c r="W109" i="38"/>
  <c r="W103" i="38" s="1"/>
  <c r="X114" i="38"/>
  <c r="T10" i="59" l="1"/>
  <c r="T7" i="59" s="1"/>
  <c r="U14" i="59"/>
  <c r="U12" i="59"/>
  <c r="U15" i="59" s="1"/>
  <c r="W15" i="38"/>
  <c r="V13" i="38"/>
  <c r="V7" i="38" s="1"/>
  <c r="W18" i="38"/>
  <c r="Q99" i="46"/>
  <c r="Q96" i="46" s="1"/>
  <c r="R101" i="46"/>
  <c r="R105" i="46" s="1"/>
  <c r="R104" i="46"/>
  <c r="U131" i="59"/>
  <c r="T127" i="59"/>
  <c r="T124" i="59" s="1"/>
  <c r="U129" i="59"/>
  <c r="U132" i="59" s="1"/>
  <c r="Z48" i="38"/>
  <c r="Z51" i="38"/>
  <c r="C124" i="63"/>
  <c r="C125" i="63" s="1"/>
  <c r="D79" i="63"/>
  <c r="G431" i="65"/>
  <c r="D82" i="63"/>
  <c r="C108" i="63"/>
  <c r="C109" i="63" s="1"/>
  <c r="D73" i="64"/>
  <c r="Z32" i="38"/>
  <c r="Z35" i="38"/>
  <c r="U88" i="33"/>
  <c r="U82" i="33" s="1"/>
  <c r="V90" i="33"/>
  <c r="V93" i="33" s="1"/>
  <c r="V92" i="33"/>
  <c r="S13" i="52"/>
  <c r="S60" i="46"/>
  <c r="AO95" i="65"/>
  <c r="N60" i="8"/>
  <c r="K62" i="8"/>
  <c r="C123" i="63"/>
  <c r="C215" i="63"/>
  <c r="G448" i="65"/>
  <c r="D196" i="61"/>
  <c r="AM334" i="65"/>
  <c r="U41" i="59"/>
  <c r="U45" i="59" s="1"/>
  <c r="T39" i="59"/>
  <c r="T36" i="59" s="1"/>
  <c r="U44" i="59"/>
  <c r="C33" i="64"/>
  <c r="E33" i="64" s="1"/>
  <c r="C168" i="63"/>
  <c r="C190" i="63"/>
  <c r="C192" i="63"/>
  <c r="C175" i="63"/>
  <c r="D175" i="63" s="1"/>
  <c r="AM254" i="65"/>
  <c r="AM173" i="65"/>
  <c r="AM335" i="65"/>
  <c r="Q24" i="46"/>
  <c r="Q21" i="46" s="1"/>
  <c r="R26" i="46"/>
  <c r="R29" i="46"/>
  <c r="D35" i="64"/>
  <c r="D160" i="61"/>
  <c r="C64" i="61"/>
  <c r="C160" i="61"/>
  <c r="C93" i="61"/>
  <c r="U29" i="59"/>
  <c r="U26" i="59"/>
  <c r="U30" i="59" s="1"/>
  <c r="T24" i="59"/>
  <c r="T21" i="59" s="1"/>
  <c r="W105" i="33"/>
  <c r="W108" i="33" s="1"/>
  <c r="V103" i="33"/>
  <c r="V97" i="33" s="1"/>
  <c r="W107" i="33"/>
  <c r="U71" i="59"/>
  <c r="U75" i="59" s="1"/>
  <c r="T69" i="59"/>
  <c r="T66" i="59" s="1"/>
  <c r="U74" i="59"/>
  <c r="AP95" i="65"/>
  <c r="V109" i="46"/>
  <c r="V117" i="46" s="1"/>
  <c r="V64" i="46"/>
  <c r="V72" i="46" s="1"/>
  <c r="V7" i="52"/>
  <c r="V49" i="46"/>
  <c r="V57" i="46" s="1"/>
  <c r="V23" i="52" s="1"/>
  <c r="V28" i="52" s="1"/>
  <c r="V34" i="46"/>
  <c r="V42" i="46" s="1"/>
  <c r="V22" i="52" s="1"/>
  <c r="V27" i="52" s="1"/>
  <c r="V79" i="46"/>
  <c r="V87" i="46" s="1"/>
  <c r="V94" i="46"/>
  <c r="V102" i="46" s="1"/>
  <c r="V27" i="46"/>
  <c r="V21" i="52" s="1"/>
  <c r="V26" i="52" s="1"/>
  <c r="R41" i="46"/>
  <c r="Q39" i="46"/>
  <c r="Q36" i="46" s="1"/>
  <c r="R44" i="46"/>
  <c r="AJ95" i="65"/>
  <c r="AM336" i="65"/>
  <c r="E89" i="64"/>
  <c r="X80" i="38"/>
  <c r="X83" i="38"/>
  <c r="X96" i="38"/>
  <c r="X99" i="38"/>
  <c r="Q10" i="46"/>
  <c r="Q7" i="46" s="1"/>
  <c r="R12" i="46"/>
  <c r="R15" i="46" s="1"/>
  <c r="R14" i="46"/>
  <c r="S12" i="52"/>
  <c r="S45" i="46"/>
  <c r="W79" i="38"/>
  <c r="V77" i="38"/>
  <c r="V71" i="38" s="1"/>
  <c r="W82" i="38"/>
  <c r="V93" i="38"/>
  <c r="V87" i="38" s="1"/>
  <c r="W95" i="38"/>
  <c r="W98" i="38"/>
  <c r="AM252" i="65"/>
  <c r="V109" i="38"/>
  <c r="V103" i="38" s="1"/>
  <c r="W111" i="38"/>
  <c r="W114" i="38"/>
  <c r="Q54" i="46"/>
  <c r="Q51" i="46" s="1"/>
  <c r="R56" i="46"/>
  <c r="R59" i="46"/>
  <c r="W64" i="38"/>
  <c r="W67" i="38"/>
  <c r="E98" i="64"/>
  <c r="AM253" i="65"/>
  <c r="AK95" i="65"/>
  <c r="S11" i="52"/>
  <c r="S30" i="46"/>
  <c r="X112" i="38"/>
  <c r="X115" i="38"/>
  <c r="CC120" i="65"/>
  <c r="BP39" i="65"/>
  <c r="CD120" i="65"/>
  <c r="CD122" i="65"/>
  <c r="CP119" i="65"/>
  <c r="P13" i="65"/>
  <c r="R13" i="65" s="1"/>
  <c r="AB13" i="65" s="1"/>
  <c r="BR39" i="65" s="1"/>
  <c r="P11" i="65"/>
  <c r="R11" i="65" s="1"/>
  <c r="AA11" i="65" s="1"/>
  <c r="BK37" i="65" s="1"/>
  <c r="P10" i="65"/>
  <c r="R10" i="65" s="1"/>
  <c r="AH10" i="65" s="1"/>
  <c r="CE120" i="65"/>
  <c r="BG40" i="65"/>
  <c r="P96" i="65"/>
  <c r="R96" i="65" s="1"/>
  <c r="AD96" i="65" s="1"/>
  <c r="CB122" i="65" s="1"/>
  <c r="P18" i="65"/>
  <c r="R18" i="65" s="1"/>
  <c r="AH334" i="65" s="1"/>
  <c r="P90" i="65"/>
  <c r="R90" i="65" s="1"/>
  <c r="AE90" i="65" s="1"/>
  <c r="P94" i="65"/>
  <c r="R94" i="65" s="1"/>
  <c r="AD94" i="65" s="1"/>
  <c r="CB120" i="65" s="1"/>
  <c r="P93" i="65"/>
  <c r="R93" i="65" s="1"/>
  <c r="AF93" i="65" s="1"/>
  <c r="CO119" i="65" s="1"/>
  <c r="CQ118" i="65"/>
  <c r="P15" i="65"/>
  <c r="R15" i="65" s="1"/>
  <c r="AH15" i="65" s="1"/>
  <c r="P14" i="65"/>
  <c r="R14" i="65" s="1"/>
  <c r="Z14" i="65" s="1"/>
  <c r="CK357" i="65"/>
  <c r="P16" i="65"/>
  <c r="R16" i="65" s="1"/>
  <c r="P92" i="65"/>
  <c r="R92" i="65" s="1"/>
  <c r="AF92" i="65" s="1"/>
  <c r="CP118" i="65" s="1"/>
  <c r="P12" i="65"/>
  <c r="R12" i="65" s="1"/>
  <c r="AA12" i="65" s="1"/>
  <c r="BJ38" i="65" s="1"/>
  <c r="P95" i="65"/>
  <c r="R95" i="65" s="1"/>
  <c r="AG95" i="65" s="1"/>
  <c r="CT121" i="65" s="1"/>
  <c r="BG356" i="65"/>
  <c r="BM38" i="65"/>
  <c r="P91" i="65"/>
  <c r="R91" i="65" s="1"/>
  <c r="AB91" i="65" s="1"/>
  <c r="BP117" i="65" s="1"/>
  <c r="BS39" i="65"/>
  <c r="BN37" i="65"/>
  <c r="DD36" i="65"/>
  <c r="BN38" i="65"/>
  <c r="CR119" i="65"/>
  <c r="CR118" i="65"/>
  <c r="DD120" i="65"/>
  <c r="CR277" i="65"/>
  <c r="DD121" i="65"/>
  <c r="CF120" i="65"/>
  <c r="DD356" i="65"/>
  <c r="CF122" i="65"/>
  <c r="BH356" i="65"/>
  <c r="BT39" i="65"/>
  <c r="CF357" i="65"/>
  <c r="CR197" i="65"/>
  <c r="DE41" i="65"/>
  <c r="CG120" i="65"/>
  <c r="CG117" i="65"/>
  <c r="BO198" i="65"/>
  <c r="BO357" i="65"/>
  <c r="BI120" i="65"/>
  <c r="CS119" i="65"/>
  <c r="CY121" i="65"/>
  <c r="CM277" i="65"/>
  <c r="CY357" i="65"/>
  <c r="BU117" i="65"/>
  <c r="DE356" i="65"/>
  <c r="BU197" i="65"/>
  <c r="CM356" i="65"/>
  <c r="DE36" i="65"/>
  <c r="DE197" i="65"/>
  <c r="DE116" i="65"/>
  <c r="CM357" i="65"/>
  <c r="DE202" i="65"/>
  <c r="BO37" i="65"/>
  <c r="CS118" i="65"/>
  <c r="BI277" i="65"/>
  <c r="BU39" i="65"/>
  <c r="CA362" i="65"/>
  <c r="CS197" i="65"/>
  <c r="CG122" i="65"/>
  <c r="BI40" i="65"/>
  <c r="CG357" i="65"/>
  <c r="BO38" i="65"/>
  <c r="CA117" i="65"/>
  <c r="CS357" i="65"/>
  <c r="AA330" i="65"/>
  <c r="BK356" i="65" s="1"/>
  <c r="AF330" i="65"/>
  <c r="CR356" i="65" s="1"/>
  <c r="AG330" i="65"/>
  <c r="AB330" i="65"/>
  <c r="AC330" i="65"/>
  <c r="AH330" i="65"/>
  <c r="DC356" i="65" s="1"/>
  <c r="AE330" i="65"/>
  <c r="CK356" i="65" s="1"/>
  <c r="Z330" i="65"/>
  <c r="BF356" i="65" s="1"/>
  <c r="AD330" i="65"/>
  <c r="CE356" i="65" s="1"/>
  <c r="C82" i="63"/>
  <c r="C79" i="63"/>
  <c r="Z336" i="65"/>
  <c r="BE362" i="65" s="1"/>
  <c r="AA336" i="65"/>
  <c r="BK362" i="65" s="1"/>
  <c r="AC336" i="65"/>
  <c r="BV362" i="65" s="1"/>
  <c r="AB336" i="65"/>
  <c r="BP362" i="65" s="1"/>
  <c r="AH336" i="65"/>
  <c r="DE362" i="65" s="1"/>
  <c r="AD336" i="65"/>
  <c r="CF362" i="65" s="1"/>
  <c r="AG336" i="65"/>
  <c r="CV362" i="65" s="1"/>
  <c r="AF336" i="65"/>
  <c r="AE336" i="65"/>
  <c r="U19" i="46"/>
  <c r="AA331" i="65"/>
  <c r="BL357" i="65" s="1"/>
  <c r="AE331" i="65"/>
  <c r="CL357" i="65" s="1"/>
  <c r="AD331" i="65"/>
  <c r="CE357" i="65" s="1"/>
  <c r="AB331" i="65"/>
  <c r="BU357" i="65" s="1"/>
  <c r="Z331" i="65"/>
  <c r="BE357" i="65" s="1"/>
  <c r="AG331" i="65"/>
  <c r="CU357" i="65" s="1"/>
  <c r="AH331" i="65"/>
  <c r="DC357" i="65" s="1"/>
  <c r="AC331" i="65"/>
  <c r="BX357" i="65" s="1"/>
  <c r="AF331" i="65"/>
  <c r="CN357" i="65" s="1"/>
  <c r="V63" i="38"/>
  <c r="U61" i="38"/>
  <c r="U55" i="38" s="1"/>
  <c r="V66" i="38"/>
  <c r="R86" i="46"/>
  <c r="R90" i="46" s="1"/>
  <c r="Q84" i="46"/>
  <c r="Q81" i="46" s="1"/>
  <c r="R89" i="46"/>
  <c r="E101" i="64"/>
  <c r="AL95" i="65"/>
  <c r="AD251" i="65"/>
  <c r="CB277" i="65" s="1"/>
  <c r="Z251" i="65"/>
  <c r="BF277" i="65" s="1"/>
  <c r="AA251" i="65"/>
  <c r="BM277" i="65" s="1"/>
  <c r="AG251" i="65"/>
  <c r="CU277" i="65" s="1"/>
  <c r="AF251" i="65"/>
  <c r="CO277" i="65" s="1"/>
  <c r="AE251" i="65"/>
  <c r="CJ277" i="65" s="1"/>
  <c r="AH251" i="65"/>
  <c r="DB277" i="65" s="1"/>
  <c r="AC251" i="65"/>
  <c r="BX277" i="65" s="1"/>
  <c r="AB251" i="65"/>
  <c r="BP277" i="65" s="1"/>
  <c r="Q127" i="46"/>
  <c r="Q124" i="46" s="1"/>
  <c r="R129" i="46"/>
  <c r="R132" i="46" s="1"/>
  <c r="R131" i="46"/>
  <c r="AH93" i="65"/>
  <c r="DB119" i="65" s="1"/>
  <c r="AH91" i="65"/>
  <c r="DB117" i="65" s="1"/>
  <c r="AH96" i="65"/>
  <c r="AH90" i="65"/>
  <c r="CZ116" i="65" s="1"/>
  <c r="AH92" i="65"/>
  <c r="DB118" i="65" s="1"/>
  <c r="AH94" i="65"/>
  <c r="CZ120" i="65" s="1"/>
  <c r="AH95" i="65"/>
  <c r="DC121" i="65" s="1"/>
  <c r="AF172" i="65"/>
  <c r="CP198" i="65" s="1"/>
  <c r="AD172" i="65"/>
  <c r="CD198" i="65" s="1"/>
  <c r="AA172" i="65"/>
  <c r="BK198" i="65" s="1"/>
  <c r="AB172" i="65"/>
  <c r="BQ198" i="65" s="1"/>
  <c r="AG172" i="65"/>
  <c r="CY198" i="65" s="1"/>
  <c r="Z172" i="65"/>
  <c r="BH198" i="65" s="1"/>
  <c r="AH172" i="65"/>
  <c r="DA198" i="65" s="1"/>
  <c r="AE172" i="65"/>
  <c r="AC172" i="65"/>
  <c r="BW198" i="65" s="1"/>
  <c r="T84" i="59"/>
  <c r="T81" i="59" s="1"/>
  <c r="U86" i="59"/>
  <c r="U90" i="59" s="1"/>
  <c r="U89" i="59"/>
  <c r="V75" i="33"/>
  <c r="V78" i="33" s="1"/>
  <c r="U73" i="33"/>
  <c r="U67" i="33" s="1"/>
  <c r="V77" i="33"/>
  <c r="C81" i="64"/>
  <c r="E30" i="64"/>
  <c r="U116" i="59"/>
  <c r="U120" i="59" s="1"/>
  <c r="T114" i="59"/>
  <c r="T111" i="59" s="1"/>
  <c r="U119" i="59"/>
  <c r="AC170" i="65"/>
  <c r="BV196" i="65" s="1"/>
  <c r="AE170" i="65"/>
  <c r="CM196" i="65" s="1"/>
  <c r="Z170" i="65"/>
  <c r="BE196" i="65" s="1"/>
  <c r="AH170" i="65"/>
  <c r="DC196" i="65" s="1"/>
  <c r="AD170" i="65"/>
  <c r="CF196" i="65" s="1"/>
  <c r="AF170" i="65"/>
  <c r="CN196" i="65" s="1"/>
  <c r="AA170" i="65"/>
  <c r="AG170" i="65"/>
  <c r="AM250" i="65"/>
  <c r="AM170" i="65"/>
  <c r="U19" i="59"/>
  <c r="AG171" i="65"/>
  <c r="CX197" i="65" s="1"/>
  <c r="AH171" i="65"/>
  <c r="DD197" i="65" s="1"/>
  <c r="AF171" i="65"/>
  <c r="CN197" i="65" s="1"/>
  <c r="AB171" i="65"/>
  <c r="BT197" i="65" s="1"/>
  <c r="AD171" i="65"/>
  <c r="CE197" i="65" s="1"/>
  <c r="AC171" i="65"/>
  <c r="BY197" i="65" s="1"/>
  <c r="AE171" i="65"/>
  <c r="CJ197" i="65" s="1"/>
  <c r="Z171" i="65"/>
  <c r="BG197" i="65" s="1"/>
  <c r="AA171" i="65"/>
  <c r="BJ197" i="65" s="1"/>
  <c r="AM330" i="65"/>
  <c r="Q114" i="46"/>
  <c r="Q111" i="46" s="1"/>
  <c r="R116" i="46"/>
  <c r="R120" i="46" s="1"/>
  <c r="R119" i="46"/>
  <c r="T54" i="59"/>
  <c r="T51" i="59" s="1"/>
  <c r="U56" i="59"/>
  <c r="U60" i="59" s="1"/>
  <c r="U59" i="59"/>
  <c r="AE176" i="65"/>
  <c r="CK202" i="65" s="1"/>
  <c r="AH176" i="65"/>
  <c r="DB202" i="65" s="1"/>
  <c r="Z176" i="65"/>
  <c r="BD202" i="65" s="1"/>
  <c r="AF176" i="65"/>
  <c r="CO202" i="65" s="1"/>
  <c r="AB176" i="65"/>
  <c r="BP202" i="65" s="1"/>
  <c r="AA176" i="65"/>
  <c r="BK202" i="65" s="1"/>
  <c r="AC176" i="65"/>
  <c r="BV202" i="65" s="1"/>
  <c r="AD176" i="65"/>
  <c r="CE202" i="65" s="1"/>
  <c r="AG176" i="65"/>
  <c r="AM331" i="65"/>
  <c r="Y45" i="33"/>
  <c r="Y48" i="33" s="1"/>
  <c r="X43" i="33"/>
  <c r="X37" i="33" s="1"/>
  <c r="Y47" i="33"/>
  <c r="K96" i="11"/>
  <c r="K106" i="11"/>
  <c r="N95" i="11"/>
  <c r="T19" i="59"/>
  <c r="T19" i="46"/>
  <c r="V15" i="33"/>
  <c r="V18" i="33" s="1"/>
  <c r="U13" i="33"/>
  <c r="U7" i="33" s="1"/>
  <c r="V17" i="33"/>
  <c r="D153" i="61"/>
  <c r="Z92" i="65"/>
  <c r="Z95" i="65"/>
  <c r="Z93" i="65"/>
  <c r="Z91" i="65"/>
  <c r="Z96" i="65"/>
  <c r="BI122" i="65" s="1"/>
  <c r="Z94" i="65"/>
  <c r="BH120" i="65" s="1"/>
  <c r="Z90" i="65"/>
  <c r="BE116" i="65" s="1"/>
  <c r="M60" i="8"/>
  <c r="M62" i="8" s="1"/>
  <c r="C178" i="61"/>
  <c r="AM172" i="65"/>
  <c r="AM332" i="65"/>
  <c r="AQ95" i="65"/>
  <c r="AG256" i="65"/>
  <c r="CU282" i="65" s="1"/>
  <c r="AA256" i="65"/>
  <c r="BJ282" i="65" s="1"/>
  <c r="AE256" i="65"/>
  <c r="CI282" i="65" s="1"/>
  <c r="AF256" i="65"/>
  <c r="Z256" i="65"/>
  <c r="BF282" i="65" s="1"/>
  <c r="AC256" i="65"/>
  <c r="AD256" i="65"/>
  <c r="AB256" i="65"/>
  <c r="AH256" i="65"/>
  <c r="CZ282" i="65" s="1"/>
  <c r="V60" i="33"/>
  <c r="V63" i="33" s="1"/>
  <c r="U58" i="33"/>
  <c r="U52" i="33" s="1"/>
  <c r="V62" i="33"/>
  <c r="AD91" i="65"/>
  <c r="CC117" i="65" s="1"/>
  <c r="AD95" i="65"/>
  <c r="CC121" i="65" s="1"/>
  <c r="AD93" i="65"/>
  <c r="CG119" i="65" s="1"/>
  <c r="AD92" i="65"/>
  <c r="AD90" i="65"/>
  <c r="CB116" i="65" s="1"/>
  <c r="Y31" i="38"/>
  <c r="X29" i="38"/>
  <c r="X23" i="38" s="1"/>
  <c r="Y34" i="38"/>
  <c r="V64" i="59"/>
  <c r="V72" i="59" s="1"/>
  <c r="V49" i="59"/>
  <c r="V57" i="59" s="1"/>
  <c r="V94" i="59"/>
  <c r="V102" i="59" s="1"/>
  <c r="V79" i="59"/>
  <c r="V87" i="59" s="1"/>
  <c r="V34" i="59"/>
  <c r="V42" i="59" s="1"/>
  <c r="V109" i="59"/>
  <c r="V117" i="59" s="1"/>
  <c r="V27" i="59"/>
  <c r="T99" i="59"/>
  <c r="T96" i="59" s="1"/>
  <c r="U104" i="59"/>
  <c r="U101" i="59"/>
  <c r="U105" i="59" s="1"/>
  <c r="X28" i="33"/>
  <c r="X22" i="33" s="1"/>
  <c r="Y30" i="33"/>
  <c r="Y33" i="33" s="1"/>
  <c r="Y32" i="33"/>
  <c r="R71" i="46"/>
  <c r="R75" i="46" s="1"/>
  <c r="Q69" i="46"/>
  <c r="Q66" i="46" s="1"/>
  <c r="R74" i="46"/>
  <c r="X45" i="38"/>
  <c r="X39" i="38" s="1"/>
  <c r="Y47" i="38"/>
  <c r="Y50" i="38"/>
  <c r="J63" i="8"/>
  <c r="J72" i="8"/>
  <c r="J73" i="8" s="1"/>
  <c r="AM174" i="65"/>
  <c r="V8" i="52"/>
  <c r="X16" i="38"/>
  <c r="X19" i="38"/>
  <c r="AC91" i="65"/>
  <c r="BZ117" i="65" s="1"/>
  <c r="AC93" i="65"/>
  <c r="BY119" i="65" s="1"/>
  <c r="AC95" i="65"/>
  <c r="BZ121" i="65" s="1"/>
  <c r="AC90" i="65"/>
  <c r="AC92" i="65"/>
  <c r="CA118" i="65" s="1"/>
  <c r="AC94" i="65"/>
  <c r="BY120" i="65" s="1"/>
  <c r="AC96" i="65"/>
  <c r="BW122" i="65" s="1"/>
  <c r="I90" i="65" l="1"/>
  <c r="I103" i="65"/>
  <c r="AE130" i="65"/>
  <c r="CJ116" i="65"/>
  <c r="CM116" i="65"/>
  <c r="CI116" i="65"/>
  <c r="CL116" i="65"/>
  <c r="CK116" i="65"/>
  <c r="CH116" i="65"/>
  <c r="I116" i="65" s="1"/>
  <c r="I156" i="65" s="1"/>
  <c r="L347" i="65"/>
  <c r="L334" i="65"/>
  <c r="AH374" i="65"/>
  <c r="DB360" i="65"/>
  <c r="CZ360" i="65"/>
  <c r="DE360" i="65"/>
  <c r="DC360" i="65"/>
  <c r="DD360" i="65"/>
  <c r="DA360" i="65"/>
  <c r="F269" i="65"/>
  <c r="F256" i="65"/>
  <c r="AB296" i="65"/>
  <c r="D104" i="65"/>
  <c r="D91" i="65"/>
  <c r="Z131" i="65"/>
  <c r="K183" i="65"/>
  <c r="AG210" i="65"/>
  <c r="K170" i="65"/>
  <c r="L96" i="65"/>
  <c r="AH136" i="65"/>
  <c r="L109" i="65"/>
  <c r="U49" i="46"/>
  <c r="U57" i="46" s="1"/>
  <c r="U23" i="52" s="1"/>
  <c r="U28" i="52" s="1"/>
  <c r="U109" i="46"/>
  <c r="U117" i="46" s="1"/>
  <c r="U7" i="52"/>
  <c r="U64" i="46"/>
  <c r="U72" i="46" s="1"/>
  <c r="U34" i="46"/>
  <c r="U42" i="46" s="1"/>
  <c r="U22" i="52" s="1"/>
  <c r="U27" i="52" s="1"/>
  <c r="U94" i="46"/>
  <c r="U102" i="46" s="1"/>
  <c r="U79" i="46"/>
  <c r="U87" i="46" s="1"/>
  <c r="U27" i="46"/>
  <c r="U21" i="52" s="1"/>
  <c r="U26" i="52" s="1"/>
  <c r="AC370" i="65"/>
  <c r="G343" i="65"/>
  <c r="G330" i="65"/>
  <c r="BO282" i="65"/>
  <c r="CA198" i="65"/>
  <c r="CA202" i="65"/>
  <c r="CY362" i="65"/>
  <c r="BN197" i="65"/>
  <c r="BH196" i="65"/>
  <c r="DD117" i="65"/>
  <c r="CF202" i="65"/>
  <c r="BH362" i="65"/>
  <c r="DD122" i="65"/>
  <c r="BT362" i="65"/>
  <c r="BZ198" i="65"/>
  <c r="DC198" i="65"/>
  <c r="DC282" i="65"/>
  <c r="D27" i="65"/>
  <c r="Z54" i="65"/>
  <c r="D14" i="65"/>
  <c r="CE198" i="65"/>
  <c r="BM197" i="65"/>
  <c r="BG122" i="65"/>
  <c r="CW196" i="65"/>
  <c r="BY356" i="65"/>
  <c r="BX121" i="65"/>
  <c r="BL202" i="65"/>
  <c r="CP277" i="65"/>
  <c r="BF202" i="65"/>
  <c r="BW121" i="65"/>
  <c r="BW119" i="65"/>
  <c r="CU121" i="65"/>
  <c r="CZ197" i="65"/>
  <c r="DA282" i="65"/>
  <c r="L282" i="65" s="1"/>
  <c r="L322" i="65" s="1"/>
  <c r="BE202" i="65"/>
  <c r="BE122" i="65"/>
  <c r="BV357" i="65"/>
  <c r="BJ198" i="65"/>
  <c r="BQ357" i="65"/>
  <c r="BV198" i="65"/>
  <c r="AA255" i="65"/>
  <c r="AC173" i="65"/>
  <c r="Z252" i="65"/>
  <c r="AG335" i="65"/>
  <c r="AD254" i="65"/>
  <c r="AE253" i="65"/>
  <c r="R12" i="52"/>
  <c r="R45" i="46"/>
  <c r="U103" i="33"/>
  <c r="U97" i="33" s="1"/>
  <c r="V105" i="33"/>
  <c r="V108" i="33" s="1"/>
  <c r="V107" i="33"/>
  <c r="AE96" i="65"/>
  <c r="AF95" i="65"/>
  <c r="H256" i="65"/>
  <c r="AD296" i="65"/>
  <c r="H269" i="65"/>
  <c r="D106" i="65"/>
  <c r="Z133" i="65"/>
  <c r="D93" i="65"/>
  <c r="X45" i="33"/>
  <c r="X48" i="33" s="1"/>
  <c r="W43" i="33"/>
  <c r="W37" i="33" s="1"/>
  <c r="X47" i="33"/>
  <c r="E170" i="65"/>
  <c r="E183" i="65"/>
  <c r="AA210" i="65"/>
  <c r="L104" i="65"/>
  <c r="L91" i="65"/>
  <c r="AH131" i="65"/>
  <c r="AE376" i="65"/>
  <c r="I336" i="65"/>
  <c r="I349" i="65"/>
  <c r="F343" i="65"/>
  <c r="AB370" i="65"/>
  <c r="F330" i="65"/>
  <c r="CA122" i="65"/>
  <c r="CS356" i="65"/>
  <c r="BT198" i="65"/>
  <c r="BZ357" i="65"/>
  <c r="BZ197" i="65"/>
  <c r="BH122" i="65"/>
  <c r="L15" i="65"/>
  <c r="L28" i="65"/>
  <c r="AH55" i="65"/>
  <c r="BG198" i="65"/>
  <c r="L23" i="65"/>
  <c r="AH50" i="65"/>
  <c r="L10" i="65"/>
  <c r="CQ196" i="65"/>
  <c r="CE277" i="65"/>
  <c r="BX118" i="65"/>
  <c r="DA118" i="65"/>
  <c r="BE198" i="65"/>
  <c r="BD120" i="65"/>
  <c r="D120" i="65" s="1"/>
  <c r="D160" i="65" s="1"/>
  <c r="CC282" i="65"/>
  <c r="CO197" i="65"/>
  <c r="J197" i="65" s="1"/>
  <c r="J237" i="65" s="1"/>
  <c r="DA196" i="65"/>
  <c r="CZ196" i="65"/>
  <c r="CZ118" i="65"/>
  <c r="CZ202" i="65"/>
  <c r="AG255" i="65"/>
  <c r="Z173" i="65"/>
  <c r="W96" i="38"/>
  <c r="W99" i="38"/>
  <c r="AE252" i="65"/>
  <c r="AF335" i="65"/>
  <c r="AE254" i="65"/>
  <c r="AF253" i="65"/>
  <c r="AB175" i="65"/>
  <c r="AE92" i="65"/>
  <c r="D224" i="63"/>
  <c r="AF90" i="65"/>
  <c r="Y48" i="38"/>
  <c r="Y51" i="38"/>
  <c r="G269" i="65"/>
  <c r="G256" i="65"/>
  <c r="AC296" i="65"/>
  <c r="D95" i="65"/>
  <c r="Z135" i="65"/>
  <c r="D108" i="65"/>
  <c r="Q116" i="46"/>
  <c r="Q120" i="46" s="1"/>
  <c r="P114" i="46"/>
  <c r="P111" i="46" s="1"/>
  <c r="Q119" i="46"/>
  <c r="AF210" i="65"/>
  <c r="J170" i="65"/>
  <c r="J183" i="65"/>
  <c r="T86" i="59"/>
  <c r="T90" i="59" s="1"/>
  <c r="T89" i="59"/>
  <c r="S84" i="59"/>
  <c r="S81" i="59" s="1"/>
  <c r="L93" i="65"/>
  <c r="L106" i="65"/>
  <c r="AH133" i="65"/>
  <c r="Q86" i="46"/>
  <c r="Q90" i="46" s="1"/>
  <c r="P84" i="46"/>
  <c r="P81" i="46" s="1"/>
  <c r="Q89" i="46"/>
  <c r="J349" i="65"/>
  <c r="AF376" i="65"/>
  <c r="J336" i="65"/>
  <c r="AG370" i="65"/>
  <c r="K343" i="65"/>
  <c r="K330" i="65"/>
  <c r="BU282" i="65"/>
  <c r="CM282" i="65"/>
  <c r="BO197" i="65"/>
  <c r="BH117" i="65"/>
  <c r="CX196" i="65"/>
  <c r="BZ119" i="65"/>
  <c r="DC118" i="65"/>
  <c r="BM357" i="65"/>
  <c r="BG116" i="65"/>
  <c r="E24" i="65"/>
  <c r="AA51" i="65"/>
  <c r="E11" i="65"/>
  <c r="CP362" i="65"/>
  <c r="DB196" i="65"/>
  <c r="CD119" i="65"/>
  <c r="BF197" i="65"/>
  <c r="CP196" i="65"/>
  <c r="CJ357" i="65"/>
  <c r="DB362" i="65"/>
  <c r="DA197" i="65"/>
  <c r="CC356" i="65"/>
  <c r="BK282" i="65"/>
  <c r="E282" i="65" s="1"/>
  <c r="E322" i="65" s="1"/>
  <c r="DA362" i="65"/>
  <c r="BD277" i="65"/>
  <c r="CT197" i="65"/>
  <c r="CZ356" i="65"/>
  <c r="BP356" i="65"/>
  <c r="CU197" i="65"/>
  <c r="BE277" i="65"/>
  <c r="CT356" i="65"/>
  <c r="DA117" i="65"/>
  <c r="AC255" i="65"/>
  <c r="AF173" i="65"/>
  <c r="V95" i="38"/>
  <c r="U93" i="38"/>
  <c r="U87" i="38" s="1"/>
  <c r="V98" i="38"/>
  <c r="AD252" i="65"/>
  <c r="AA335" i="65"/>
  <c r="AC254" i="65"/>
  <c r="AC174" i="65"/>
  <c r="AA175" i="65"/>
  <c r="T26" i="59"/>
  <c r="T30" i="59" s="1"/>
  <c r="S24" i="59"/>
  <c r="S21" i="59" s="1"/>
  <c r="T29" i="59"/>
  <c r="AE91" i="65"/>
  <c r="T88" i="33"/>
  <c r="T82" i="33" s="1"/>
  <c r="U90" i="33"/>
  <c r="U93" i="33" s="1"/>
  <c r="U92" i="33"/>
  <c r="D83" i="63"/>
  <c r="C54" i="64"/>
  <c r="AF94" i="65"/>
  <c r="X47" i="38"/>
  <c r="W45" i="38"/>
  <c r="W39" i="38" s="1"/>
  <c r="X50" i="38"/>
  <c r="Z296" i="65"/>
  <c r="D256" i="65"/>
  <c r="D269" i="65"/>
  <c r="Z132" i="65"/>
  <c r="D105" i="65"/>
  <c r="D92" i="65"/>
  <c r="AD210" i="65"/>
  <c r="H170" i="65"/>
  <c r="H183" i="65"/>
  <c r="G172" i="65"/>
  <c r="AC212" i="65"/>
  <c r="G185" i="65"/>
  <c r="AG376" i="65"/>
  <c r="K349" i="65"/>
  <c r="K336" i="65"/>
  <c r="J343" i="65"/>
  <c r="J330" i="65"/>
  <c r="AF370" i="65"/>
  <c r="CM197" i="65"/>
  <c r="CG196" i="65"/>
  <c r="DE119" i="65"/>
  <c r="BI121" i="65"/>
  <c r="BH202" i="65"/>
  <c r="BN356" i="65"/>
  <c r="CQ356" i="65"/>
  <c r="K95" i="65"/>
  <c r="K108" i="65"/>
  <c r="AG135" i="65"/>
  <c r="BY198" i="65"/>
  <c r="DC277" i="65"/>
  <c r="BY117" i="65"/>
  <c r="BS362" i="65"/>
  <c r="BG121" i="65"/>
  <c r="DC120" i="65"/>
  <c r="BR197" i="65"/>
  <c r="CD121" i="65"/>
  <c r="BX197" i="65"/>
  <c r="BR277" i="65"/>
  <c r="BX198" i="65"/>
  <c r="G198" i="65" s="1"/>
  <c r="G238" i="65" s="1"/>
  <c r="CZ41" i="65"/>
  <c r="BD116" i="65"/>
  <c r="BW357" i="65"/>
  <c r="BP282" i="65"/>
  <c r="CU362" i="65"/>
  <c r="BJ196" i="65"/>
  <c r="AE255" i="65"/>
  <c r="AH173" i="65"/>
  <c r="AH252" i="65"/>
  <c r="AB254" i="65"/>
  <c r="AF174" i="65"/>
  <c r="AE175" i="65"/>
  <c r="AE93" i="65"/>
  <c r="AG16" i="65"/>
  <c r="G413" i="65"/>
  <c r="G414" i="65" s="1"/>
  <c r="AD16" i="65"/>
  <c r="AE16" i="65"/>
  <c r="AB16" i="65"/>
  <c r="AH14" i="65"/>
  <c r="AD14" i="65"/>
  <c r="AH16" i="65"/>
  <c r="AA16" i="65"/>
  <c r="AC16" i="65"/>
  <c r="Z16" i="65"/>
  <c r="AF16" i="65"/>
  <c r="AE14" i="65"/>
  <c r="AG14" i="65"/>
  <c r="AC14" i="65"/>
  <c r="AB14" i="65"/>
  <c r="AA15" i="65"/>
  <c r="AA14" i="65"/>
  <c r="AF15" i="65"/>
  <c r="AB11" i="65"/>
  <c r="AD11" i="65"/>
  <c r="AC11" i="65"/>
  <c r="AE13" i="65"/>
  <c r="AA10" i="65"/>
  <c r="AA13" i="65"/>
  <c r="AD13" i="65"/>
  <c r="AG10" i="65"/>
  <c r="AC13" i="65"/>
  <c r="AB12" i="65"/>
  <c r="AE10" i="65"/>
  <c r="Z11" i="65"/>
  <c r="AF14" i="65"/>
  <c r="AG12" i="65"/>
  <c r="AG11" i="65"/>
  <c r="AD10" i="65"/>
  <c r="AH12" i="65"/>
  <c r="AH11" i="65"/>
  <c r="Z12" i="65"/>
  <c r="Z15" i="65"/>
  <c r="AG13" i="65"/>
  <c r="AF11" i="65"/>
  <c r="AE15" i="65"/>
  <c r="AB10" i="65"/>
  <c r="AF10" i="65"/>
  <c r="AB15" i="65"/>
  <c r="AC12" i="65"/>
  <c r="G406" i="65"/>
  <c r="AF13" i="65"/>
  <c r="AE11" i="65"/>
  <c r="AC15" i="65"/>
  <c r="AC10" i="65"/>
  <c r="Z10" i="65"/>
  <c r="AE12" i="65"/>
  <c r="AD12" i="65"/>
  <c r="AG15" i="65"/>
  <c r="AH13" i="65"/>
  <c r="AD15" i="65"/>
  <c r="AF12" i="65"/>
  <c r="Z13" i="65"/>
  <c r="AF91" i="65"/>
  <c r="G96" i="65"/>
  <c r="G109" i="65"/>
  <c r="AC136" i="65"/>
  <c r="J256" i="65"/>
  <c r="J269" i="65"/>
  <c r="AF296" i="65"/>
  <c r="AG216" i="65"/>
  <c r="K189" i="65"/>
  <c r="K176" i="65"/>
  <c r="E171" i="65"/>
  <c r="AA211" i="65"/>
  <c r="E184" i="65"/>
  <c r="AH210" i="65"/>
  <c r="L170" i="65"/>
  <c r="L183" i="65"/>
  <c r="I185" i="65"/>
  <c r="I172" i="65"/>
  <c r="AE212" i="65"/>
  <c r="AD376" i="65"/>
  <c r="H336" i="65"/>
  <c r="H349" i="65"/>
  <c r="AA370" i="65"/>
  <c r="E343" i="65"/>
  <c r="E330" i="65"/>
  <c r="CG116" i="65"/>
  <c r="BI118" i="65"/>
  <c r="BU356" i="65"/>
  <c r="DE122" i="65"/>
  <c r="BI117" i="65"/>
  <c r="BT356" i="65"/>
  <c r="BZ277" i="65"/>
  <c r="DD357" i="65"/>
  <c r="BZ362" i="65"/>
  <c r="DD116" i="65"/>
  <c r="BH121" i="65"/>
  <c r="BY196" i="65"/>
  <c r="CE121" i="65"/>
  <c r="CW362" i="65"/>
  <c r="CW197" i="65"/>
  <c r="DC197" i="65"/>
  <c r="BG117" i="65"/>
  <c r="BF40" i="65"/>
  <c r="BF362" i="65"/>
  <c r="DB197" i="65"/>
  <c r="CD277" i="65"/>
  <c r="BX196" i="65"/>
  <c r="CD357" i="65"/>
  <c r="CC277" i="65"/>
  <c r="DA41" i="65"/>
  <c r="CB282" i="65"/>
  <c r="DA202" i="65"/>
  <c r="BD356" i="65"/>
  <c r="CB356" i="65"/>
  <c r="CO118" i="65"/>
  <c r="CB119" i="65"/>
  <c r="CH362" i="65"/>
  <c r="CI356" i="65"/>
  <c r="CT202" i="65"/>
  <c r="CC198" i="65"/>
  <c r="AF255" i="65"/>
  <c r="AA173" i="65"/>
  <c r="V79" i="38"/>
  <c r="U77" i="38"/>
  <c r="U71" i="38" s="1"/>
  <c r="V82" i="38"/>
  <c r="AC252" i="65"/>
  <c r="AH254" i="65"/>
  <c r="AA174" i="65"/>
  <c r="Z175" i="65"/>
  <c r="T71" i="59"/>
  <c r="T75" i="59" s="1"/>
  <c r="S69" i="59"/>
  <c r="S66" i="59" s="1"/>
  <c r="T74" i="59"/>
  <c r="AE94" i="65"/>
  <c r="D148" i="63"/>
  <c r="C128" i="63"/>
  <c r="D87" i="63"/>
  <c r="C148" i="63"/>
  <c r="C142" i="63"/>
  <c r="G94" i="65"/>
  <c r="AC134" i="65"/>
  <c r="G107" i="65"/>
  <c r="Q71" i="46"/>
  <c r="Q75" i="46" s="1"/>
  <c r="P69" i="46"/>
  <c r="P66" i="46" s="1"/>
  <c r="Q74" i="46"/>
  <c r="W29" i="38"/>
  <c r="W23" i="38" s="1"/>
  <c r="X31" i="38"/>
  <c r="X34" i="38"/>
  <c r="AE296" i="65"/>
  <c r="I256" i="65"/>
  <c r="I269" i="65"/>
  <c r="H189" i="65"/>
  <c r="AD216" i="65"/>
  <c r="H176" i="65"/>
  <c r="D171" i="65"/>
  <c r="Z211" i="65"/>
  <c r="D184" i="65"/>
  <c r="D183" i="65"/>
  <c r="D170" i="65"/>
  <c r="Z210" i="65"/>
  <c r="L172" i="65"/>
  <c r="AH212" i="65"/>
  <c r="L185" i="65"/>
  <c r="Q129" i="46"/>
  <c r="Q132" i="46" s="1"/>
  <c r="P127" i="46"/>
  <c r="P124" i="46" s="1"/>
  <c r="Q131" i="46"/>
  <c r="T61" i="38"/>
  <c r="T55" i="38" s="1"/>
  <c r="U63" i="38"/>
  <c r="U66" i="38"/>
  <c r="AH376" i="65"/>
  <c r="L336" i="65"/>
  <c r="L349" i="65"/>
  <c r="BI198" i="65"/>
  <c r="F39" i="65"/>
  <c r="F79" i="65" s="1"/>
  <c r="DE357" i="65"/>
  <c r="CY356" i="65"/>
  <c r="DE121" i="65"/>
  <c r="CY197" i="65"/>
  <c r="CL202" i="65"/>
  <c r="CF119" i="65"/>
  <c r="DD362" i="65"/>
  <c r="BZ356" i="65"/>
  <c r="CR282" i="65"/>
  <c r="CF117" i="65"/>
  <c r="DD202" i="65"/>
  <c r="BN362" i="65"/>
  <c r="CQ197" i="65"/>
  <c r="CQ202" i="65"/>
  <c r="CQ282" i="65"/>
  <c r="BL282" i="65"/>
  <c r="BL197" i="65"/>
  <c r="BL196" i="65"/>
  <c r="CJ362" i="65"/>
  <c r="BL198" i="65"/>
  <c r="DB116" i="65"/>
  <c r="BF119" i="65"/>
  <c r="BE119" i="65"/>
  <c r="BQ39" i="65"/>
  <c r="BJ37" i="65"/>
  <c r="BE117" i="65"/>
  <c r="CB121" i="65"/>
  <c r="BW277" i="65"/>
  <c r="CN282" i="65"/>
  <c r="CT198" i="65"/>
  <c r="CC122" i="65"/>
  <c r="H122" i="65" s="1"/>
  <c r="H162" i="65" s="1"/>
  <c r="AB255" i="65"/>
  <c r="AE173" i="65"/>
  <c r="W80" i="38"/>
  <c r="W83" i="38"/>
  <c r="AB252" i="65"/>
  <c r="P10" i="46"/>
  <c r="P7" i="46" s="1"/>
  <c r="Q12" i="46"/>
  <c r="Q15" i="46" s="1"/>
  <c r="Q14" i="46"/>
  <c r="AE174" i="65"/>
  <c r="AC175" i="65"/>
  <c r="C95" i="61"/>
  <c r="C99" i="61" s="1"/>
  <c r="D191" i="61"/>
  <c r="AE334" i="65"/>
  <c r="T129" i="59"/>
  <c r="T132" i="59" s="1"/>
  <c r="S127" i="59"/>
  <c r="S124" i="59" s="1"/>
  <c r="T131" i="59"/>
  <c r="G105" i="65"/>
  <c r="G92" i="65"/>
  <c r="AC132" i="65"/>
  <c r="Y32" i="38"/>
  <c r="Y35" i="38"/>
  <c r="AA296" i="65"/>
  <c r="E269" i="65"/>
  <c r="E256" i="65"/>
  <c r="G189" i="65"/>
  <c r="AC216" i="65"/>
  <c r="G176" i="65"/>
  <c r="I184" i="65"/>
  <c r="I171" i="65"/>
  <c r="AE211" i="65"/>
  <c r="AE210" i="65"/>
  <c r="I170" i="65"/>
  <c r="I183" i="65"/>
  <c r="Z212" i="65"/>
  <c r="D185" i="65"/>
  <c r="D172" i="65"/>
  <c r="F264" i="65"/>
  <c r="AB291" i="65"/>
  <c r="F251" i="65"/>
  <c r="V64" i="38"/>
  <c r="V67" i="38"/>
  <c r="F336" i="65"/>
  <c r="AB376" i="65"/>
  <c r="F349" i="65"/>
  <c r="CS277" i="65"/>
  <c r="BZ202" i="65"/>
  <c r="BH282" i="65"/>
  <c r="CX202" i="65"/>
  <c r="DD198" i="65"/>
  <c r="BH40" i="65"/>
  <c r="CK362" i="65"/>
  <c r="CW121" i="65"/>
  <c r="CQ362" i="65"/>
  <c r="DC362" i="65"/>
  <c r="CW202" i="65"/>
  <c r="BX122" i="65"/>
  <c r="CV356" i="65"/>
  <c r="CV357" i="65"/>
  <c r="CJ282" i="65"/>
  <c r="BF122" i="65"/>
  <c r="CV197" i="65"/>
  <c r="DB36" i="65"/>
  <c r="BW120" i="65"/>
  <c r="CO198" i="65"/>
  <c r="CO362" i="65"/>
  <c r="CH197" i="65"/>
  <c r="BK277" i="65"/>
  <c r="BP357" i="65"/>
  <c r="CI357" i="65"/>
  <c r="BJ356" i="65"/>
  <c r="CZ36" i="65"/>
  <c r="CO282" i="65"/>
  <c r="Z255" i="65"/>
  <c r="AB173" i="65"/>
  <c r="AF250" i="65"/>
  <c r="AG252" i="65"/>
  <c r="AG96" i="65"/>
  <c r="AH174" i="65"/>
  <c r="AF175" i="65"/>
  <c r="AA332" i="65"/>
  <c r="AC334" i="65"/>
  <c r="AA96" i="65"/>
  <c r="G90" i="65"/>
  <c r="AC130" i="65"/>
  <c r="G103" i="65"/>
  <c r="AD130" i="65"/>
  <c r="H103" i="65"/>
  <c r="H90" i="65"/>
  <c r="K256" i="65"/>
  <c r="AG296" i="65"/>
  <c r="K269" i="65"/>
  <c r="E189" i="65"/>
  <c r="AA216" i="65"/>
  <c r="E176" i="65"/>
  <c r="AC211" i="65"/>
  <c r="G184" i="65"/>
  <c r="G171" i="65"/>
  <c r="G170" i="65"/>
  <c r="AC210" i="65"/>
  <c r="G183" i="65"/>
  <c r="K185" i="65"/>
  <c r="K172" i="65"/>
  <c r="AG212" i="65"/>
  <c r="AC291" i="65"/>
  <c r="G251" i="65"/>
  <c r="G264" i="65"/>
  <c r="AF371" i="65"/>
  <c r="J331" i="65"/>
  <c r="J344" i="65"/>
  <c r="AC376" i="65"/>
  <c r="G336" i="65"/>
  <c r="G349" i="65"/>
  <c r="CA116" i="65"/>
  <c r="BU362" i="65"/>
  <c r="CG198" i="65"/>
  <c r="BO356" i="65"/>
  <c r="CF277" i="65"/>
  <c r="BT277" i="65"/>
  <c r="BZ118" i="65"/>
  <c r="BN277" i="65"/>
  <c r="DD41" i="65"/>
  <c r="F104" i="65"/>
  <c r="AB131" i="65"/>
  <c r="F91" i="65"/>
  <c r="DC116" i="65"/>
  <c r="BM196" i="65"/>
  <c r="BM202" i="65"/>
  <c r="CW198" i="65"/>
  <c r="BG277" i="65"/>
  <c r="CK197" i="65"/>
  <c r="BY282" i="65"/>
  <c r="CD282" i="65"/>
  <c r="BF196" i="65"/>
  <c r="BX120" i="65"/>
  <c r="DB120" i="65"/>
  <c r="DA116" i="65"/>
  <c r="BE197" i="65"/>
  <c r="CT277" i="65"/>
  <c r="CZ122" i="65"/>
  <c r="BE118" i="65"/>
  <c r="BW117" i="65"/>
  <c r="CH198" i="65"/>
  <c r="AD255" i="65"/>
  <c r="AG173" i="65"/>
  <c r="Z250" i="65"/>
  <c r="AA252" i="65"/>
  <c r="AG90" i="65"/>
  <c r="AD174" i="65"/>
  <c r="AH175" i="65"/>
  <c r="AF332" i="65"/>
  <c r="C65" i="61"/>
  <c r="D64" i="61" s="1"/>
  <c r="C100" i="61"/>
  <c r="AA90" i="65"/>
  <c r="G108" i="65"/>
  <c r="G95" i="65"/>
  <c r="AC135" i="65"/>
  <c r="H92" i="65"/>
  <c r="H105" i="65"/>
  <c r="AD132" i="65"/>
  <c r="F189" i="65"/>
  <c r="AB216" i="65"/>
  <c r="F176" i="65"/>
  <c r="H171" i="65"/>
  <c r="H184" i="65"/>
  <c r="AD211" i="65"/>
  <c r="F185" i="65"/>
  <c r="AB212" i="65"/>
  <c r="F172" i="65"/>
  <c r="AH291" i="65"/>
  <c r="L264" i="65"/>
  <c r="L251" i="65"/>
  <c r="G344" i="65"/>
  <c r="AC371" i="65"/>
  <c r="G331" i="65"/>
  <c r="AA376" i="65"/>
  <c r="E349" i="65"/>
  <c r="E336" i="65"/>
  <c r="CG121" i="65"/>
  <c r="BO196" i="65"/>
  <c r="CY277" i="65"/>
  <c r="CA356" i="65"/>
  <c r="DE196" i="65"/>
  <c r="BU277" i="65"/>
  <c r="CS282" i="65"/>
  <c r="BI116" i="65"/>
  <c r="CL197" i="65"/>
  <c r="CL356" i="65"/>
  <c r="BH116" i="65"/>
  <c r="CL196" i="65"/>
  <c r="CL198" i="65"/>
  <c r="CW356" i="65"/>
  <c r="BY118" i="65"/>
  <c r="DC119" i="65"/>
  <c r="CE362" i="65"/>
  <c r="AB170" i="65"/>
  <c r="AC333" i="65"/>
  <c r="AG333" i="65"/>
  <c r="AD333" i="65"/>
  <c r="G424" i="65"/>
  <c r="AA333" i="65"/>
  <c r="AF333" i="65"/>
  <c r="AB333" i="65"/>
  <c r="Z333" i="65"/>
  <c r="AE333" i="65"/>
  <c r="AH333" i="65"/>
  <c r="BM356" i="65"/>
  <c r="BS117" i="65"/>
  <c r="CV198" i="65"/>
  <c r="BR198" i="65"/>
  <c r="BR202" i="65"/>
  <c r="CV282" i="65"/>
  <c r="BX282" i="65"/>
  <c r="BX362" i="65"/>
  <c r="CJ196" i="65"/>
  <c r="BL356" i="65"/>
  <c r="DB121" i="65"/>
  <c r="CJ356" i="65"/>
  <c r="CV121" i="65"/>
  <c r="K121" i="65" s="1"/>
  <c r="K161" i="65" s="1"/>
  <c r="CH196" i="65"/>
  <c r="CB198" i="65"/>
  <c r="CB202" i="65"/>
  <c r="CN202" i="65"/>
  <c r="CN362" i="65"/>
  <c r="BP198" i="65"/>
  <c r="BJ362" i="65"/>
  <c r="AH255" i="65"/>
  <c r="AD173" i="65"/>
  <c r="AG250" i="65"/>
  <c r="AG92" i="65"/>
  <c r="AG174" i="65"/>
  <c r="AD175" i="65"/>
  <c r="Z332" i="65"/>
  <c r="Z334" i="65"/>
  <c r="AA92" i="65"/>
  <c r="AC133" i="65"/>
  <c r="G106" i="65"/>
  <c r="G93" i="65"/>
  <c r="X30" i="33"/>
  <c r="X33" i="33" s="1"/>
  <c r="W28" i="33"/>
  <c r="W22" i="33" s="1"/>
  <c r="X32" i="33"/>
  <c r="H93" i="65"/>
  <c r="AD133" i="65"/>
  <c r="H106" i="65"/>
  <c r="S19" i="59"/>
  <c r="S19" i="46"/>
  <c r="T13" i="33"/>
  <c r="T7" i="33" s="1"/>
  <c r="U15" i="33"/>
  <c r="U18" i="33" s="1"/>
  <c r="U17" i="33"/>
  <c r="J189" i="65"/>
  <c r="J176" i="65"/>
  <c r="AF216" i="65"/>
  <c r="AB211" i="65"/>
  <c r="F171" i="65"/>
  <c r="F184" i="65"/>
  <c r="T116" i="59"/>
  <c r="T120" i="59" s="1"/>
  <c r="S114" i="59"/>
  <c r="S111" i="59" s="1"/>
  <c r="T119" i="59"/>
  <c r="AA212" i="65"/>
  <c r="E185" i="65"/>
  <c r="E172" i="65"/>
  <c r="AE291" i="65"/>
  <c r="I251" i="65"/>
  <c r="I264" i="65"/>
  <c r="L344" i="65"/>
  <c r="AH371" i="65"/>
  <c r="L331" i="65"/>
  <c r="D349" i="65"/>
  <c r="Z376" i="65"/>
  <c r="D336" i="65"/>
  <c r="DE277" i="65"/>
  <c r="CA277" i="65"/>
  <c r="CM202" i="65"/>
  <c r="DE117" i="65"/>
  <c r="DE282" i="65"/>
  <c r="DE118" i="65"/>
  <c r="CX121" i="65"/>
  <c r="CF198" i="65"/>
  <c r="DD282" i="65"/>
  <c r="DD196" i="65"/>
  <c r="CX356" i="65"/>
  <c r="BN198" i="65"/>
  <c r="CX282" i="65"/>
  <c r="CE118" i="65"/>
  <c r="BG119" i="65"/>
  <c r="CQ198" i="65"/>
  <c r="BS198" i="65"/>
  <c r="BS202" i="65"/>
  <c r="DC36" i="65"/>
  <c r="H96" i="65"/>
  <c r="H109" i="65"/>
  <c r="AD136" i="65"/>
  <c r="BY362" i="65"/>
  <c r="BS356" i="65"/>
  <c r="BF357" i="65"/>
  <c r="BF120" i="65"/>
  <c r="BF116" i="65"/>
  <c r="CH202" i="65"/>
  <c r="I202" i="65" s="1"/>
  <c r="I242" i="65" s="1"/>
  <c r="DA121" i="65"/>
  <c r="CN118" i="65"/>
  <c r="CN198" i="65"/>
  <c r="CI202" i="65"/>
  <c r="CI197" i="65"/>
  <c r="BD122" i="65"/>
  <c r="D122" i="65" s="1"/>
  <c r="D162" i="65" s="1"/>
  <c r="BP197" i="65"/>
  <c r="BV197" i="65"/>
  <c r="CU196" i="65"/>
  <c r="BD282" i="65"/>
  <c r="CB118" i="65"/>
  <c r="BV282" i="65"/>
  <c r="CB362" i="65"/>
  <c r="BQ202" i="65"/>
  <c r="F202" i="65" s="1"/>
  <c r="F242" i="65" s="1"/>
  <c r="BQ277" i="65"/>
  <c r="F277" i="65" s="1"/>
  <c r="F317" i="65" s="1"/>
  <c r="BE40" i="65"/>
  <c r="CI362" i="65"/>
  <c r="G418" i="65"/>
  <c r="AC250" i="65"/>
  <c r="AG94" i="65"/>
  <c r="AG253" i="65"/>
  <c r="AB174" i="65"/>
  <c r="AG175" i="65"/>
  <c r="AB332" i="65"/>
  <c r="D51" i="64"/>
  <c r="D37" i="64"/>
  <c r="M51" i="64"/>
  <c r="L51" i="64"/>
  <c r="Q51" i="64"/>
  <c r="P51" i="64"/>
  <c r="N51" i="64"/>
  <c r="O51" i="64"/>
  <c r="C35" i="64"/>
  <c r="C193" i="63"/>
  <c r="C65" i="63"/>
  <c r="C104" i="63"/>
  <c r="AB334" i="65"/>
  <c r="AA93" i="65"/>
  <c r="P99" i="46"/>
  <c r="P96" i="46" s="1"/>
  <c r="Q101" i="46"/>
  <c r="Q105" i="46" s="1"/>
  <c r="Q104" i="46"/>
  <c r="AC131" i="65"/>
  <c r="G91" i="65"/>
  <c r="G104" i="65"/>
  <c r="AD135" i="65"/>
  <c r="H95" i="65"/>
  <c r="H108" i="65"/>
  <c r="Z216" i="65"/>
  <c r="D189" i="65"/>
  <c r="D176" i="65"/>
  <c r="J171" i="65"/>
  <c r="AF211" i="65"/>
  <c r="J184" i="65"/>
  <c r="H185" i="65"/>
  <c r="H172" i="65"/>
  <c r="AD212" i="65"/>
  <c r="AF291" i="65"/>
  <c r="J251" i="65"/>
  <c r="J264" i="65"/>
  <c r="K331" i="65"/>
  <c r="AG371" i="65"/>
  <c r="K344" i="65"/>
  <c r="C87" i="63"/>
  <c r="CY202" i="65"/>
  <c r="CG197" i="65"/>
  <c r="BI356" i="65"/>
  <c r="CX362" i="65"/>
  <c r="DD277" i="65"/>
  <c r="CF121" i="65"/>
  <c r="BZ122" i="65"/>
  <c r="BN202" i="65"/>
  <c r="BN196" i="65"/>
  <c r="BN357" i="65"/>
  <c r="CF356" i="65"/>
  <c r="BY357" i="65"/>
  <c r="BM198" i="65"/>
  <c r="BS282" i="65"/>
  <c r="BF117" i="65"/>
  <c r="DB282" i="65"/>
  <c r="CD197" i="65"/>
  <c r="CP197" i="65"/>
  <c r="BL37" i="65"/>
  <c r="DB356" i="65"/>
  <c r="CP357" i="65"/>
  <c r="CI196" i="65"/>
  <c r="CZ119" i="65"/>
  <c r="BD357" i="65"/>
  <c r="BV122" i="65"/>
  <c r="DA356" i="65"/>
  <c r="DA122" i="65"/>
  <c r="BW362" i="65"/>
  <c r="G362" i="65" s="1"/>
  <c r="G402" i="65" s="1"/>
  <c r="CH277" i="65"/>
  <c r="I277" i="65" s="1"/>
  <c r="I317" i="65" s="1"/>
  <c r="DA120" i="65"/>
  <c r="CN277" i="65"/>
  <c r="J277" i="65" s="1"/>
  <c r="J317" i="65" s="1"/>
  <c r="BV277" i="65"/>
  <c r="G277" i="65" s="1"/>
  <c r="G317" i="65" s="1"/>
  <c r="AB90" i="65"/>
  <c r="AE250" i="65"/>
  <c r="Z335" i="65"/>
  <c r="AG93" i="65"/>
  <c r="AH253" i="65"/>
  <c r="Z174" i="65"/>
  <c r="V29" i="52"/>
  <c r="V35" i="52" s="1"/>
  <c r="V32" i="52"/>
  <c r="AG332" i="65"/>
  <c r="AF334" i="65"/>
  <c r="AA95" i="65"/>
  <c r="H104" i="65"/>
  <c r="AD131" i="65"/>
  <c r="H91" i="65"/>
  <c r="D178" i="61"/>
  <c r="C140" i="61"/>
  <c r="C141" i="61" s="1"/>
  <c r="C143" i="61" s="1"/>
  <c r="C145" i="61" s="1"/>
  <c r="C161" i="61"/>
  <c r="D147" i="64"/>
  <c r="C130" i="61"/>
  <c r="C78" i="61"/>
  <c r="D155" i="61"/>
  <c r="C136" i="61"/>
  <c r="T94" i="46"/>
  <c r="T102" i="46" s="1"/>
  <c r="T7" i="52"/>
  <c r="T64" i="46"/>
  <c r="T72" i="46" s="1"/>
  <c r="T49" i="46"/>
  <c r="T57" i="46" s="1"/>
  <c r="T23" i="52" s="1"/>
  <c r="T28" i="52" s="1"/>
  <c r="T109" i="46"/>
  <c r="T117" i="46" s="1"/>
  <c r="T34" i="46"/>
  <c r="T42" i="46" s="1"/>
  <c r="T22" i="52" s="1"/>
  <c r="T27" i="52" s="1"/>
  <c r="T27" i="46"/>
  <c r="T21" i="52" s="1"/>
  <c r="T26" i="52" s="1"/>
  <c r="T79" i="46"/>
  <c r="T87" i="46" s="1"/>
  <c r="L189" i="65"/>
  <c r="L176" i="65"/>
  <c r="AH216" i="65"/>
  <c r="L184" i="65"/>
  <c r="AH211" i="65"/>
  <c r="L171" i="65"/>
  <c r="J185" i="65"/>
  <c r="J172" i="65"/>
  <c r="AF212" i="65"/>
  <c r="AG291" i="65"/>
  <c r="K264" i="65"/>
  <c r="K251" i="65"/>
  <c r="Z371" i="65"/>
  <c r="D344" i="65"/>
  <c r="D331" i="65"/>
  <c r="C83" i="63"/>
  <c r="BI196" i="65"/>
  <c r="BO202" i="65"/>
  <c r="CG118" i="65"/>
  <c r="BI282" i="65"/>
  <c r="BT282" i="65"/>
  <c r="CX198" i="65"/>
  <c r="CF197" i="65"/>
  <c r="CR202" i="65"/>
  <c r="DD118" i="65"/>
  <c r="BG362" i="65"/>
  <c r="CE119" i="65"/>
  <c r="J106" i="65"/>
  <c r="J93" i="65"/>
  <c r="AF133" i="65"/>
  <c r="CK282" i="65"/>
  <c r="CP202" i="65"/>
  <c r="CD362" i="65"/>
  <c r="DB122" i="65"/>
  <c r="DB41" i="65"/>
  <c r="BF198" i="65"/>
  <c r="D198" i="65" s="1"/>
  <c r="D238" i="65" s="1"/>
  <c r="CC362" i="65"/>
  <c r="CI198" i="65"/>
  <c r="BD117" i="65"/>
  <c r="BJ357" i="65"/>
  <c r="CZ198" i="65"/>
  <c r="BV116" i="65"/>
  <c r="CT196" i="65"/>
  <c r="BW196" i="65"/>
  <c r="BD198" i="65"/>
  <c r="BW197" i="65"/>
  <c r="CU202" i="65"/>
  <c r="R13" i="52"/>
  <c r="R60" i="46"/>
  <c r="AB92" i="65"/>
  <c r="AB250" i="65"/>
  <c r="AD335" i="65"/>
  <c r="AG91" i="65"/>
  <c r="AA253" i="65"/>
  <c r="AC332" i="65"/>
  <c r="R11" i="52"/>
  <c r="R30" i="46"/>
  <c r="N62" i="8"/>
  <c r="K63" i="8"/>
  <c r="K72" i="8"/>
  <c r="AG334" i="65"/>
  <c r="AA91" i="65"/>
  <c r="U13" i="38"/>
  <c r="U7" i="38" s="1"/>
  <c r="V15" i="38"/>
  <c r="V18" i="38"/>
  <c r="T101" i="59"/>
  <c r="T105" i="59" s="1"/>
  <c r="T104" i="59"/>
  <c r="S99" i="59"/>
  <c r="S96" i="59" s="1"/>
  <c r="M63" i="8"/>
  <c r="M72" i="8"/>
  <c r="M73" i="8" s="1"/>
  <c r="T64" i="59"/>
  <c r="T49" i="59"/>
  <c r="T94" i="59"/>
  <c r="T34" i="59"/>
  <c r="T79" i="59"/>
  <c r="T109" i="59"/>
  <c r="T117" i="59" s="1"/>
  <c r="AE216" i="65"/>
  <c r="I176" i="65"/>
  <c r="I189" i="65"/>
  <c r="K171" i="65"/>
  <c r="K184" i="65"/>
  <c r="AG211" i="65"/>
  <c r="E81" i="64"/>
  <c r="L108" i="65"/>
  <c r="L95" i="65"/>
  <c r="AH135" i="65"/>
  <c r="AA291" i="65"/>
  <c r="E251" i="65"/>
  <c r="E264" i="65"/>
  <c r="AB371" i="65"/>
  <c r="F344" i="65"/>
  <c r="F331" i="65"/>
  <c r="AD370" i="65"/>
  <c r="H343" i="65"/>
  <c r="H330" i="65"/>
  <c r="CA121" i="65"/>
  <c r="BI362" i="65"/>
  <c r="CA119" i="65"/>
  <c r="CA197" i="65"/>
  <c r="CM198" i="65"/>
  <c r="BO277" i="65"/>
  <c r="CY196" i="65"/>
  <c r="CR198" i="65"/>
  <c r="CR196" i="65"/>
  <c r="CX277" i="65"/>
  <c r="BZ120" i="65"/>
  <c r="CR362" i="65"/>
  <c r="CF282" i="65"/>
  <c r="CX357" i="65"/>
  <c r="CF118" i="65"/>
  <c r="BT117" i="65"/>
  <c r="BH118" i="65"/>
  <c r="BZ196" i="65"/>
  <c r="BY202" i="65"/>
  <c r="AA52" i="65"/>
  <c r="E12" i="65"/>
  <c r="E25" i="65"/>
  <c r="BY277" i="65"/>
  <c r="CE196" i="65"/>
  <c r="CQ357" i="65"/>
  <c r="BS197" i="65"/>
  <c r="CE117" i="65"/>
  <c r="AD134" i="65"/>
  <c r="H94" i="65"/>
  <c r="H107" i="65"/>
  <c r="BM362" i="65"/>
  <c r="BG120" i="65"/>
  <c r="BY116" i="65"/>
  <c r="BS357" i="65"/>
  <c r="BS277" i="65"/>
  <c r="CP356" i="65"/>
  <c r="DB357" i="65"/>
  <c r="CD116" i="65"/>
  <c r="CV277" i="65"/>
  <c r="BL277" i="65"/>
  <c r="BX116" i="65"/>
  <c r="CJ198" i="65"/>
  <c r="BX202" i="65"/>
  <c r="BR282" i="65"/>
  <c r="BV117" i="65"/>
  <c r="G117" i="65" s="1"/>
  <c r="G157" i="65" s="1"/>
  <c r="CI277" i="65"/>
  <c r="BQ356" i="65"/>
  <c r="BK197" i="65"/>
  <c r="DA277" i="65"/>
  <c r="CO196" i="65"/>
  <c r="J196" i="65" s="1"/>
  <c r="J236" i="65" s="1"/>
  <c r="BW116" i="65"/>
  <c r="CT357" i="65"/>
  <c r="K357" i="65" s="1"/>
  <c r="K397" i="65" s="1"/>
  <c r="BE282" i="65"/>
  <c r="CN356" i="65"/>
  <c r="BQ282" i="65"/>
  <c r="CC119" i="65"/>
  <c r="CB197" i="65"/>
  <c r="CO357" i="65"/>
  <c r="J357" i="65" s="1"/>
  <c r="J397" i="65" s="1"/>
  <c r="CZ357" i="65"/>
  <c r="P54" i="46"/>
  <c r="P51" i="46" s="1"/>
  <c r="Q56" i="46"/>
  <c r="Q59" i="46"/>
  <c r="AB96" i="65"/>
  <c r="AA250" i="65"/>
  <c r="AB335" i="65"/>
  <c r="AF254" i="65"/>
  <c r="AB253" i="65"/>
  <c r="AE332" i="65"/>
  <c r="P24" i="46"/>
  <c r="P21" i="46" s="1"/>
  <c r="Q26" i="46"/>
  <c r="Q29" i="46"/>
  <c r="AA334" i="65"/>
  <c r="AA94" i="65"/>
  <c r="U8" i="52"/>
  <c r="W16" i="38"/>
  <c r="W19" i="38"/>
  <c r="U60" i="33"/>
  <c r="U63" i="33" s="1"/>
  <c r="T58" i="33"/>
  <c r="T52" i="33" s="1"/>
  <c r="U62" i="33"/>
  <c r="D103" i="65"/>
  <c r="Z130" i="65"/>
  <c r="D90" i="65"/>
  <c r="U64" i="59"/>
  <c r="U72" i="59" s="1"/>
  <c r="U49" i="59"/>
  <c r="U57" i="59" s="1"/>
  <c r="U94" i="59"/>
  <c r="U102" i="59" s="1"/>
  <c r="U34" i="59"/>
  <c r="U42" i="59" s="1"/>
  <c r="U79" i="59"/>
  <c r="U87" i="59" s="1"/>
  <c r="U109" i="59"/>
  <c r="U117" i="59" s="1"/>
  <c r="U27" i="59"/>
  <c r="AH134" i="65"/>
  <c r="L94" i="65"/>
  <c r="L107" i="65"/>
  <c r="Z291" i="65"/>
  <c r="D251" i="65"/>
  <c r="D264" i="65"/>
  <c r="AD371" i="65"/>
  <c r="H331" i="65"/>
  <c r="H344" i="65"/>
  <c r="D343" i="65"/>
  <c r="D330" i="65"/>
  <c r="Z370" i="65"/>
  <c r="CS196" i="65"/>
  <c r="BI197" i="65"/>
  <c r="CA196" i="65"/>
  <c r="CA357" i="65"/>
  <c r="CS362" i="65"/>
  <c r="BI119" i="65"/>
  <c r="CG356" i="65"/>
  <c r="DE198" i="65"/>
  <c r="BN282" i="65"/>
  <c r="BH357" i="65"/>
  <c r="CF116" i="65"/>
  <c r="CQ277" i="65"/>
  <c r="BM37" i="65"/>
  <c r="AF132" i="65"/>
  <c r="J105" i="65"/>
  <c r="J92" i="65"/>
  <c r="CE282" i="65"/>
  <c r="CW277" i="65"/>
  <c r="BG202" i="65"/>
  <c r="BG196" i="65"/>
  <c r="CE122" i="65"/>
  <c r="DC41" i="65"/>
  <c r="BX356" i="65"/>
  <c r="CD118" i="65"/>
  <c r="BL38" i="65"/>
  <c r="CD356" i="65"/>
  <c r="BR117" i="65"/>
  <c r="CD202" i="65"/>
  <c r="CV202" i="65"/>
  <c r="BE121" i="65"/>
  <c r="CC197" i="65"/>
  <c r="CC202" i="65"/>
  <c r="BV118" i="65"/>
  <c r="BD362" i="65"/>
  <c r="D362" i="65" s="1"/>
  <c r="D402" i="65" s="1"/>
  <c r="BJ277" i="65"/>
  <c r="E277" i="65" s="1"/>
  <c r="E317" i="65" s="1"/>
  <c r="BD197" i="65"/>
  <c r="D197" i="65" s="1"/>
  <c r="D237" i="65" s="1"/>
  <c r="BV121" i="65"/>
  <c r="CO356" i="65"/>
  <c r="CU198" i="65"/>
  <c r="BK196" i="65"/>
  <c r="CB117" i="65"/>
  <c r="H117" i="65" s="1"/>
  <c r="H157" i="65" s="1"/>
  <c r="BD40" i="65"/>
  <c r="D40" i="65" s="1"/>
  <c r="D80" i="65" s="1"/>
  <c r="CZ362" i="65"/>
  <c r="L362" i="65" s="1"/>
  <c r="L402" i="65" s="1"/>
  <c r="BV120" i="65"/>
  <c r="BV356" i="65"/>
  <c r="BQ197" i="65"/>
  <c r="AB93" i="65"/>
  <c r="AD250" i="65"/>
  <c r="AC335" i="65"/>
  <c r="AA254" i="65"/>
  <c r="AD253" i="65"/>
  <c r="V33" i="52"/>
  <c r="AH332" i="65"/>
  <c r="S39" i="59"/>
  <c r="S36" i="59" s="1"/>
  <c r="T44" i="59"/>
  <c r="T41" i="59"/>
  <c r="T45" i="59" s="1"/>
  <c r="AD334" i="65"/>
  <c r="D107" i="65"/>
  <c r="Z134" i="65"/>
  <c r="D94" i="65"/>
  <c r="N106" i="11"/>
  <c r="K107" i="11"/>
  <c r="C6" i="56"/>
  <c r="U75" i="33"/>
  <c r="U78" i="33" s="1"/>
  <c r="T73" i="33"/>
  <c r="T67" i="33" s="1"/>
  <c r="U77" i="33"/>
  <c r="L105" i="65"/>
  <c r="AH132" i="65"/>
  <c r="L92" i="65"/>
  <c r="AD291" i="65"/>
  <c r="H264" i="65"/>
  <c r="H251" i="65"/>
  <c r="AE371" i="65"/>
  <c r="I344" i="65"/>
  <c r="I331" i="65"/>
  <c r="AE370" i="65"/>
  <c r="I330" i="65"/>
  <c r="I343" i="65"/>
  <c r="CA120" i="65"/>
  <c r="CS202" i="65"/>
  <c r="BO362" i="65"/>
  <c r="BI202" i="65"/>
  <c r="CG282" i="65"/>
  <c r="H282" i="65" s="1"/>
  <c r="H322" i="65" s="1"/>
  <c r="CG277" i="65"/>
  <c r="DE120" i="65"/>
  <c r="CG362" i="65"/>
  <c r="CG202" i="65"/>
  <c r="BT202" i="65"/>
  <c r="BZ282" i="65"/>
  <c r="CL362" i="65"/>
  <c r="DD119" i="65"/>
  <c r="BH119" i="65"/>
  <c r="CR357" i="65"/>
  <c r="CL277" i="65"/>
  <c r="DC202" i="65"/>
  <c r="L202" i="65" s="1"/>
  <c r="L242" i="65" s="1"/>
  <c r="BG357" i="65"/>
  <c r="CK198" i="65"/>
  <c r="BG118" i="65"/>
  <c r="DC117" i="65"/>
  <c r="CQ119" i="65"/>
  <c r="CE116" i="65"/>
  <c r="BL362" i="65"/>
  <c r="BR357" i="65"/>
  <c r="DB198" i="65"/>
  <c r="L198" i="65" s="1"/>
  <c r="L238" i="65" s="1"/>
  <c r="CV196" i="65"/>
  <c r="BR356" i="65"/>
  <c r="CP282" i="65"/>
  <c r="CD117" i="65"/>
  <c r="CJ202" i="65"/>
  <c r="BF121" i="65"/>
  <c r="BX117" i="65"/>
  <c r="BD119" i="65"/>
  <c r="DA36" i="65"/>
  <c r="BD118" i="65"/>
  <c r="D118" i="65" s="1"/>
  <c r="D158" i="65" s="1"/>
  <c r="CH357" i="65"/>
  <c r="I357" i="65" s="1"/>
  <c r="I397" i="65" s="1"/>
  <c r="BW118" i="65"/>
  <c r="DA119" i="65"/>
  <c r="BW282" i="65"/>
  <c r="BD196" i="65"/>
  <c r="BK38" i="65"/>
  <c r="E38" i="65" s="1"/>
  <c r="E78" i="65" s="1"/>
  <c r="DA357" i="65"/>
  <c r="CB357" i="65"/>
  <c r="H357" i="65" s="1"/>
  <c r="H397" i="65" s="1"/>
  <c r="BW356" i="65"/>
  <c r="W112" i="38"/>
  <c r="W115" i="38"/>
  <c r="AB94" i="65"/>
  <c r="AH250" i="65"/>
  <c r="AE335" i="65"/>
  <c r="AG254" i="65"/>
  <c r="Z253" i="65"/>
  <c r="V34" i="52"/>
  <c r="AD332" i="65"/>
  <c r="AH296" i="65"/>
  <c r="L256" i="65"/>
  <c r="L269" i="65"/>
  <c r="D96" i="65"/>
  <c r="Z136" i="65"/>
  <c r="D109" i="65"/>
  <c r="T59" i="59"/>
  <c r="S54" i="59"/>
  <c r="S51" i="59" s="1"/>
  <c r="T56" i="59"/>
  <c r="T60" i="59" s="1"/>
  <c r="AH130" i="65"/>
  <c r="L103" i="65"/>
  <c r="L90" i="65"/>
  <c r="AA371" i="65"/>
  <c r="E331" i="65"/>
  <c r="E344" i="65"/>
  <c r="L330" i="65"/>
  <c r="AH370" i="65"/>
  <c r="L343" i="65"/>
  <c r="CS198" i="65"/>
  <c r="CA282" i="65"/>
  <c r="BI357" i="65"/>
  <c r="BU198" i="65"/>
  <c r="BU202" i="65"/>
  <c r="CY282" i="65"/>
  <c r="CM362" i="65"/>
  <c r="BH277" i="65"/>
  <c r="H120" i="65"/>
  <c r="H160" i="65" s="1"/>
  <c r="CL282" i="65"/>
  <c r="BZ116" i="65"/>
  <c r="BT357" i="65"/>
  <c r="BH197" i="65"/>
  <c r="BG282" i="65"/>
  <c r="DC122" i="65"/>
  <c r="BY122" i="65"/>
  <c r="CK196" i="65"/>
  <c r="CW282" i="65"/>
  <c r="CK277" i="65"/>
  <c r="F26" i="65"/>
  <c r="F13" i="65"/>
  <c r="AB53" i="65"/>
  <c r="BM282" i="65"/>
  <c r="BY121" i="65"/>
  <c r="CW357" i="65"/>
  <c r="BF118" i="65"/>
  <c r="BR362" i="65"/>
  <c r="CD196" i="65"/>
  <c r="BX119" i="65"/>
  <c r="BK357" i="65"/>
  <c r="CZ121" i="65"/>
  <c r="L121" i="65" s="1"/>
  <c r="L161" i="65" s="1"/>
  <c r="BD121" i="65"/>
  <c r="D121" i="65" s="1"/>
  <c r="D161" i="65" s="1"/>
  <c r="CC118" i="65"/>
  <c r="CC357" i="65"/>
  <c r="BV119" i="65"/>
  <c r="BQ362" i="65"/>
  <c r="BE120" i="65"/>
  <c r="BW202" i="65"/>
  <c r="G202" i="65" s="1"/>
  <c r="G242" i="65" s="1"/>
  <c r="CC116" i="65"/>
  <c r="H116" i="65" s="1"/>
  <c r="H156" i="65" s="1"/>
  <c r="CZ277" i="65"/>
  <c r="L277" i="65" s="1"/>
  <c r="L317" i="65" s="1"/>
  <c r="CB196" i="65"/>
  <c r="CU356" i="65"/>
  <c r="CT362" i="65"/>
  <c r="CZ117" i="65"/>
  <c r="CH356" i="65"/>
  <c r="I356" i="65" s="1"/>
  <c r="I396" i="65" s="1"/>
  <c r="BE356" i="65"/>
  <c r="D356" i="65" s="1"/>
  <c r="D396" i="65" s="1"/>
  <c r="CN119" i="65"/>
  <c r="J119" i="65" s="1"/>
  <c r="J159" i="65" s="1"/>
  <c r="CT282" i="65"/>
  <c r="BQ117" i="65"/>
  <c r="F117" i="65" s="1"/>
  <c r="F157" i="65" s="1"/>
  <c r="BJ202" i="65"/>
  <c r="E202" i="65" s="1"/>
  <c r="E242" i="65" s="1"/>
  <c r="CH282" i="65"/>
  <c r="I282" i="65" s="1"/>
  <c r="I322" i="65" s="1"/>
  <c r="CC196" i="65"/>
  <c r="V111" i="38"/>
  <c r="U109" i="38"/>
  <c r="U103" i="38" s="1"/>
  <c r="V114" i="38"/>
  <c r="AB95" i="65"/>
  <c r="AF252" i="65"/>
  <c r="AH335" i="65"/>
  <c r="Z254" i="65"/>
  <c r="AC253" i="65"/>
  <c r="P39" i="46"/>
  <c r="P36" i="46" s="1"/>
  <c r="Q41" i="46"/>
  <c r="Q44" i="46"/>
  <c r="AE95" i="65"/>
  <c r="AF96" i="65"/>
  <c r="T12" i="59"/>
  <c r="T15" i="59" s="1"/>
  <c r="S10" i="59"/>
  <c r="S7" i="59" s="1"/>
  <c r="T14" i="59"/>
  <c r="T27" i="59" l="1"/>
  <c r="T87" i="59"/>
  <c r="T72" i="59"/>
  <c r="H334" i="65"/>
  <c r="H347" i="65"/>
  <c r="AD374" i="65"/>
  <c r="CG360" i="65"/>
  <c r="CD360" i="65"/>
  <c r="CE360" i="65"/>
  <c r="CC360" i="65"/>
  <c r="CF360" i="65"/>
  <c r="CB360" i="65"/>
  <c r="T60" i="33"/>
  <c r="T63" i="33" s="1"/>
  <c r="S58" i="33"/>
  <c r="S52" i="33" s="1"/>
  <c r="T62" i="33"/>
  <c r="H383" i="65"/>
  <c r="H370" i="65"/>
  <c r="AX343" i="65"/>
  <c r="AX396" i="65"/>
  <c r="AX383" i="65"/>
  <c r="AX370" i="65"/>
  <c r="AX356" i="65"/>
  <c r="AX330" i="65"/>
  <c r="R99" i="59"/>
  <c r="R96" i="59" s="1"/>
  <c r="S104" i="59"/>
  <c r="S101" i="59"/>
  <c r="S105" i="59" s="1"/>
  <c r="AD375" i="65"/>
  <c r="H348" i="65"/>
  <c r="H335" i="65"/>
  <c r="CB361" i="65"/>
  <c r="CG361" i="65"/>
  <c r="CD361" i="65"/>
  <c r="CF361" i="65"/>
  <c r="CE361" i="65"/>
  <c r="CC361" i="65"/>
  <c r="C181" i="61"/>
  <c r="C81" i="61"/>
  <c r="C162" i="61"/>
  <c r="K93" i="65"/>
  <c r="AG133" i="65"/>
  <c r="K106" i="65"/>
  <c r="CV119" i="65"/>
  <c r="CT119" i="65"/>
  <c r="CX119" i="65"/>
  <c r="CW119" i="65"/>
  <c r="CY119" i="65"/>
  <c r="CU119" i="65"/>
  <c r="J211" i="65"/>
  <c r="J224" i="65"/>
  <c r="AB374" i="65"/>
  <c r="F347" i="65"/>
  <c r="F334" i="65"/>
  <c r="BU360" i="65"/>
  <c r="BR360" i="65"/>
  <c r="BQ360" i="65"/>
  <c r="BS360" i="65"/>
  <c r="BP360" i="65"/>
  <c r="BT360" i="65"/>
  <c r="H118" i="65"/>
  <c r="H158" i="65" s="1"/>
  <c r="S109" i="59"/>
  <c r="S34" i="59"/>
  <c r="S49" i="59"/>
  <c r="S94" i="59"/>
  <c r="S79" i="59"/>
  <c r="S64" i="59"/>
  <c r="K263" i="65"/>
  <c r="K250" i="65"/>
  <c r="AG290" i="65"/>
  <c r="CV276" i="65"/>
  <c r="CW276" i="65"/>
  <c r="CU276" i="65"/>
  <c r="CT276" i="65"/>
  <c r="CX276" i="65"/>
  <c r="CY276" i="65"/>
  <c r="G346" i="65"/>
  <c r="AC373" i="65"/>
  <c r="G333" i="65"/>
  <c r="BY359" i="65"/>
  <c r="BZ359" i="65"/>
  <c r="CA359" i="65"/>
  <c r="BW359" i="65"/>
  <c r="BV359" i="65"/>
  <c r="BX359" i="65"/>
  <c r="AH215" i="65"/>
  <c r="L188" i="65"/>
  <c r="L175" i="65"/>
  <c r="DC201" i="65"/>
  <c r="CZ201" i="65"/>
  <c r="DB201" i="65"/>
  <c r="DD201" i="65"/>
  <c r="DA201" i="65"/>
  <c r="DE201" i="65"/>
  <c r="D196" i="65"/>
  <c r="D236" i="65" s="1"/>
  <c r="H277" i="65"/>
  <c r="H317" i="65" s="1"/>
  <c r="O127" i="46"/>
  <c r="O124" i="46" s="1"/>
  <c r="P129" i="46"/>
  <c r="P132" i="46" s="1"/>
  <c r="P131" i="46"/>
  <c r="I309" i="65"/>
  <c r="I296" i="65"/>
  <c r="E173" i="65"/>
  <c r="AA213" i="65"/>
  <c r="E186" i="65"/>
  <c r="BJ199" i="65"/>
  <c r="BL199" i="65"/>
  <c r="BM199" i="65"/>
  <c r="BN199" i="65"/>
  <c r="BK199" i="65"/>
  <c r="BO199" i="65"/>
  <c r="L223" i="65"/>
  <c r="L210" i="65"/>
  <c r="H15" i="65"/>
  <c r="AD55" i="65"/>
  <c r="H28" i="65"/>
  <c r="CB41" i="65"/>
  <c r="CC41" i="65"/>
  <c r="CD41" i="65"/>
  <c r="CE41" i="65"/>
  <c r="CF41" i="65"/>
  <c r="CG41" i="65"/>
  <c r="J24" i="65"/>
  <c r="AF51" i="65"/>
  <c r="J11" i="65"/>
  <c r="CO37" i="65"/>
  <c r="CQ37" i="65"/>
  <c r="CN37" i="65"/>
  <c r="J37" i="65" s="1"/>
  <c r="J77" i="65" s="1"/>
  <c r="CS37" i="65"/>
  <c r="CP37" i="65"/>
  <c r="CR37" i="65"/>
  <c r="E26" i="65"/>
  <c r="E13" i="65"/>
  <c r="AA53" i="65"/>
  <c r="BK39" i="65"/>
  <c r="BM39" i="65"/>
  <c r="BO39" i="65"/>
  <c r="BJ39" i="65"/>
  <c r="BL39" i="65"/>
  <c r="BN39" i="65"/>
  <c r="AA56" i="65"/>
  <c r="E29" i="65"/>
  <c r="E16" i="65"/>
  <c r="BK42" i="65"/>
  <c r="BL42" i="65"/>
  <c r="BJ42" i="65"/>
  <c r="BO42" i="65"/>
  <c r="BM42" i="65"/>
  <c r="BN42" i="65"/>
  <c r="E196" i="65"/>
  <c r="E236" i="65" s="1"/>
  <c r="K376" i="65"/>
  <c r="K389" i="65"/>
  <c r="J107" i="65"/>
  <c r="AF134" i="65"/>
  <c r="J94" i="65"/>
  <c r="CS120" i="65"/>
  <c r="CR120" i="65"/>
  <c r="CO120" i="65"/>
  <c r="CN120" i="65"/>
  <c r="CP120" i="65"/>
  <c r="CQ120" i="65"/>
  <c r="AD292" i="65"/>
  <c r="H265" i="65"/>
  <c r="H252" i="65"/>
  <c r="CF278" i="65"/>
  <c r="CC278" i="65"/>
  <c r="CG278" i="65"/>
  <c r="CB278" i="65"/>
  <c r="CE278" i="65"/>
  <c r="CD278" i="65"/>
  <c r="L146" i="65"/>
  <c r="L133" i="65"/>
  <c r="K268" i="65"/>
  <c r="K255" i="65"/>
  <c r="AG295" i="65"/>
  <c r="CY281" i="65"/>
  <c r="CV281" i="65"/>
  <c r="CX281" i="65"/>
  <c r="CW281" i="65"/>
  <c r="CT281" i="65"/>
  <c r="CU281" i="65"/>
  <c r="I376" i="65"/>
  <c r="I389" i="65"/>
  <c r="J108" i="65"/>
  <c r="AF135" i="65"/>
  <c r="J95" i="65"/>
  <c r="CQ121" i="65"/>
  <c r="CN121" i="65"/>
  <c r="CS121" i="65"/>
  <c r="CO121" i="65"/>
  <c r="CR121" i="65"/>
  <c r="CP121" i="65"/>
  <c r="G357" i="65"/>
  <c r="G397" i="65" s="1"/>
  <c r="J96" i="65"/>
  <c r="AF136" i="65"/>
  <c r="J109" i="65"/>
  <c r="CN122" i="65"/>
  <c r="CP122" i="65"/>
  <c r="CS122" i="65"/>
  <c r="CR122" i="65"/>
  <c r="CQ122" i="65"/>
  <c r="CO122" i="65"/>
  <c r="AT277" i="65"/>
  <c r="AT251" i="65"/>
  <c r="D304" i="65"/>
  <c r="AT317" i="65"/>
  <c r="AT304" i="65"/>
  <c r="AT291" i="65"/>
  <c r="AT264" i="65"/>
  <c r="D291" i="65"/>
  <c r="Q13" i="52"/>
  <c r="Q60" i="46"/>
  <c r="K211" i="65"/>
  <c r="K224" i="65"/>
  <c r="AB290" i="65"/>
  <c r="F263" i="65"/>
  <c r="F250" i="65"/>
  <c r="BU276" i="65"/>
  <c r="BP276" i="65"/>
  <c r="BQ276" i="65"/>
  <c r="BS276" i="65"/>
  <c r="BR276" i="65"/>
  <c r="BT276" i="65"/>
  <c r="L224" i="65"/>
  <c r="L211" i="65"/>
  <c r="D348" i="65"/>
  <c r="D335" i="65"/>
  <c r="Z375" i="65"/>
  <c r="BI361" i="65"/>
  <c r="BG361" i="65"/>
  <c r="BD361" i="65"/>
  <c r="BF361" i="65"/>
  <c r="BE361" i="65"/>
  <c r="BH361" i="65"/>
  <c r="D219" i="63"/>
  <c r="C106" i="63"/>
  <c r="C110" i="63" s="1"/>
  <c r="D282" i="65"/>
  <c r="D322" i="65" s="1"/>
  <c r="H149" i="65"/>
  <c r="H136" i="65"/>
  <c r="AD213" i="65"/>
  <c r="H173" i="65"/>
  <c r="H186" i="65"/>
  <c r="CE199" i="65"/>
  <c r="CB199" i="65"/>
  <c r="CG199" i="65"/>
  <c r="CD199" i="65"/>
  <c r="CF199" i="65"/>
  <c r="CC199" i="65"/>
  <c r="AB210" i="65"/>
  <c r="F170" i="65"/>
  <c r="F183" i="65"/>
  <c r="BS196" i="65"/>
  <c r="BQ196" i="65"/>
  <c r="BR196" i="65"/>
  <c r="BP196" i="65"/>
  <c r="BT196" i="65"/>
  <c r="BU196" i="65"/>
  <c r="AD214" i="65"/>
  <c r="H187" i="65"/>
  <c r="H174" i="65"/>
  <c r="CB200" i="65"/>
  <c r="CF200" i="65"/>
  <c r="CD200" i="65"/>
  <c r="CE200" i="65"/>
  <c r="CG200" i="65"/>
  <c r="CC200" i="65"/>
  <c r="G130" i="65"/>
  <c r="AW130" i="65"/>
  <c r="AW90" i="65"/>
  <c r="G143" i="65"/>
  <c r="AW103" i="65"/>
  <c r="AW156" i="65"/>
  <c r="AW143" i="65"/>
  <c r="AW116" i="65"/>
  <c r="F357" i="65"/>
  <c r="F397" i="65" s="1"/>
  <c r="C106" i="64"/>
  <c r="AF295" i="65"/>
  <c r="J255" i="65"/>
  <c r="J268" i="65"/>
  <c r="CS281" i="65"/>
  <c r="CO281" i="65"/>
  <c r="CP281" i="65"/>
  <c r="CN281" i="65"/>
  <c r="J281" i="65" s="1"/>
  <c r="J321" i="65" s="1"/>
  <c r="CR281" i="65"/>
  <c r="CQ281" i="65"/>
  <c r="L26" i="65"/>
  <c r="AH53" i="65"/>
  <c r="L13" i="65"/>
  <c r="DD39" i="65"/>
  <c r="DE39" i="65"/>
  <c r="DA39" i="65"/>
  <c r="DC39" i="65"/>
  <c r="CZ39" i="65"/>
  <c r="DB39" i="65"/>
  <c r="AG53" i="65"/>
  <c r="K26" i="65"/>
  <c r="K13" i="65"/>
  <c r="CX39" i="65"/>
  <c r="CY39" i="65"/>
  <c r="CU39" i="65"/>
  <c r="CV39" i="65"/>
  <c r="CW39" i="65"/>
  <c r="CT39" i="65"/>
  <c r="AA50" i="65"/>
  <c r="E23" i="65"/>
  <c r="E10" i="65"/>
  <c r="BL36" i="65"/>
  <c r="BO36" i="65"/>
  <c r="BM36" i="65"/>
  <c r="BK36" i="65"/>
  <c r="BN36" i="65"/>
  <c r="BJ36" i="65"/>
  <c r="L29" i="65"/>
  <c r="AH56" i="65"/>
  <c r="L16" i="65"/>
  <c r="CZ42" i="65"/>
  <c r="DA42" i="65"/>
  <c r="DB42" i="65"/>
  <c r="DD42" i="65"/>
  <c r="DC42" i="65"/>
  <c r="DE42" i="65"/>
  <c r="K362" i="65"/>
  <c r="K402" i="65" s="1"/>
  <c r="K135" i="65"/>
  <c r="K148" i="65"/>
  <c r="C73" i="64"/>
  <c r="E54" i="64"/>
  <c r="L55" i="65"/>
  <c r="L68" i="65"/>
  <c r="L131" i="65"/>
  <c r="L144" i="65"/>
  <c r="I96" i="65"/>
  <c r="AE136" i="65"/>
  <c r="I109" i="65"/>
  <c r="CH122" i="65"/>
  <c r="CI122" i="65"/>
  <c r="CM122" i="65"/>
  <c r="CK122" i="65"/>
  <c r="CJ122" i="65"/>
  <c r="CL122" i="65"/>
  <c r="K210" i="65"/>
  <c r="K223" i="65"/>
  <c r="O54" i="46"/>
  <c r="O51" i="46" s="1"/>
  <c r="P56" i="46"/>
  <c r="P59" i="46"/>
  <c r="H147" i="65"/>
  <c r="H134" i="65"/>
  <c r="AB132" i="65"/>
  <c r="F92" i="65"/>
  <c r="F105" i="65"/>
  <c r="BS118" i="65"/>
  <c r="BP118" i="65"/>
  <c r="BR118" i="65"/>
  <c r="BU118" i="65"/>
  <c r="BQ118" i="65"/>
  <c r="BT118" i="65"/>
  <c r="D149" i="64"/>
  <c r="D150" i="64" s="1"/>
  <c r="D61" i="64" s="1"/>
  <c r="D63" i="64" s="1"/>
  <c r="D76" i="64" s="1"/>
  <c r="D131" i="64"/>
  <c r="I250" i="65"/>
  <c r="AE290" i="65"/>
  <c r="I263" i="65"/>
  <c r="CL276" i="65"/>
  <c r="CH276" i="65"/>
  <c r="CI276" i="65"/>
  <c r="CM276" i="65"/>
  <c r="CJ276" i="65"/>
  <c r="CK276" i="65"/>
  <c r="C67" i="63"/>
  <c r="D65" i="63" s="1"/>
  <c r="E225" i="65"/>
  <c r="E212" i="65"/>
  <c r="AU172" i="65"/>
  <c r="AU238" i="65"/>
  <c r="AU225" i="65"/>
  <c r="AU198" i="65"/>
  <c r="AU185" i="65"/>
  <c r="AU212" i="65"/>
  <c r="H146" i="65"/>
  <c r="H133" i="65"/>
  <c r="AH295" i="65"/>
  <c r="L255" i="65"/>
  <c r="L268" i="65"/>
  <c r="DE281" i="65"/>
  <c r="DA281" i="65"/>
  <c r="DD281" i="65"/>
  <c r="CZ281" i="65"/>
  <c r="DB281" i="65"/>
  <c r="DC281" i="65"/>
  <c r="K103" i="65"/>
  <c r="K90" i="65"/>
  <c r="AG130" i="65"/>
  <c r="CV116" i="65"/>
  <c r="CW116" i="65"/>
  <c r="CY116" i="65"/>
  <c r="CU116" i="65"/>
  <c r="CX116" i="65"/>
  <c r="CT116" i="65"/>
  <c r="K116" i="65" s="1"/>
  <c r="K156" i="65" s="1"/>
  <c r="G210" i="65"/>
  <c r="AW223" i="65"/>
  <c r="G223" i="65"/>
  <c r="AW236" i="65"/>
  <c r="AW210" i="65"/>
  <c r="AW170" i="65"/>
  <c r="AW183" i="65"/>
  <c r="AW196" i="65"/>
  <c r="E296" i="65"/>
  <c r="E309" i="65"/>
  <c r="AU322" i="65"/>
  <c r="AU309" i="65"/>
  <c r="AU296" i="65"/>
  <c r="AU282" i="65"/>
  <c r="AU269" i="65"/>
  <c r="AU256" i="65"/>
  <c r="O10" i="46"/>
  <c r="O7" i="46" s="1"/>
  <c r="P12" i="46"/>
  <c r="P15" i="46" s="1"/>
  <c r="P14" i="46"/>
  <c r="X32" i="38"/>
  <c r="X35" i="38"/>
  <c r="E224" i="65"/>
  <c r="AU224" i="65"/>
  <c r="AU211" i="65"/>
  <c r="AU197" i="65"/>
  <c r="E211" i="65"/>
  <c r="AU237" i="65"/>
  <c r="AU171" i="65"/>
  <c r="AU184" i="65"/>
  <c r="K28" i="65"/>
  <c r="K15" i="65"/>
  <c r="AG55" i="65"/>
  <c r="CY41" i="65"/>
  <c r="CW41" i="65"/>
  <c r="CT41" i="65"/>
  <c r="CX41" i="65"/>
  <c r="CU41" i="65"/>
  <c r="CV41" i="65"/>
  <c r="Z55" i="65"/>
  <c r="D28" i="65"/>
  <c r="D15" i="65"/>
  <c r="BF41" i="65"/>
  <c r="BE41" i="65"/>
  <c r="BD41" i="65"/>
  <c r="BI41" i="65"/>
  <c r="BG41" i="65"/>
  <c r="BH41" i="65"/>
  <c r="I26" i="65"/>
  <c r="AE53" i="65"/>
  <c r="I13" i="65"/>
  <c r="CK39" i="65"/>
  <c r="CJ39" i="65"/>
  <c r="CI39" i="65"/>
  <c r="CH39" i="65"/>
  <c r="CL39" i="65"/>
  <c r="CM39" i="65"/>
  <c r="H27" i="65"/>
  <c r="AD54" i="65"/>
  <c r="H14" i="65"/>
  <c r="CC40" i="65"/>
  <c r="CF40" i="65"/>
  <c r="CD40" i="65"/>
  <c r="CE40" i="65"/>
  <c r="CG40" i="65"/>
  <c r="CB40" i="65"/>
  <c r="G212" i="65"/>
  <c r="G225" i="65"/>
  <c r="T93" i="38"/>
  <c r="T87" i="38" s="1"/>
  <c r="U95" i="38"/>
  <c r="U98" i="38"/>
  <c r="L118" i="65"/>
  <c r="L158" i="65" s="1"/>
  <c r="D202" i="65"/>
  <c r="D242" i="65" s="1"/>
  <c r="D54" i="65"/>
  <c r="D67" i="65"/>
  <c r="AT67" i="65"/>
  <c r="AT14" i="65"/>
  <c r="AT27" i="65"/>
  <c r="AT54" i="65"/>
  <c r="AT40" i="65"/>
  <c r="AT80" i="65"/>
  <c r="H291" i="65"/>
  <c r="H304" i="65"/>
  <c r="S44" i="59"/>
  <c r="S41" i="59"/>
  <c r="S45" i="59" s="1"/>
  <c r="R39" i="59"/>
  <c r="R36" i="59" s="1"/>
  <c r="L357" i="65"/>
  <c r="L397" i="65" s="1"/>
  <c r="F371" i="65"/>
  <c r="F384" i="65"/>
  <c r="AV344" i="65"/>
  <c r="AV331" i="65"/>
  <c r="AV397" i="65"/>
  <c r="AV384" i="65"/>
  <c r="AV371" i="65"/>
  <c r="AV357" i="65"/>
  <c r="L216" i="65"/>
  <c r="L229" i="65"/>
  <c r="F90" i="65"/>
  <c r="F103" i="65"/>
  <c r="AB130" i="65"/>
  <c r="BR116" i="65"/>
  <c r="BQ116" i="65"/>
  <c r="BU116" i="65"/>
  <c r="BP116" i="65"/>
  <c r="BT116" i="65"/>
  <c r="BS116" i="65"/>
  <c r="H197" i="65"/>
  <c r="H237" i="65" s="1"/>
  <c r="D193" i="63"/>
  <c r="C146" i="63"/>
  <c r="C84" i="63"/>
  <c r="C170" i="63"/>
  <c r="C147" i="64"/>
  <c r="D163" i="63"/>
  <c r="D164" i="63" s="1"/>
  <c r="AB372" i="65"/>
  <c r="F345" i="65"/>
  <c r="F332" i="65"/>
  <c r="BU358" i="65"/>
  <c r="BQ358" i="65"/>
  <c r="BP358" i="65"/>
  <c r="F358" i="65" s="1"/>
  <c r="F398" i="65" s="1"/>
  <c r="BR358" i="65"/>
  <c r="BS358" i="65"/>
  <c r="BT358" i="65"/>
  <c r="G197" i="65"/>
  <c r="G237" i="65" s="1"/>
  <c r="E362" i="65"/>
  <c r="E402" i="65" s="1"/>
  <c r="F229" i="65"/>
  <c r="F216" i="65"/>
  <c r="E252" i="65"/>
  <c r="E265" i="65"/>
  <c r="AA292" i="65"/>
  <c r="BL278" i="65"/>
  <c r="BK278" i="65"/>
  <c r="BO278" i="65"/>
  <c r="BJ278" i="65"/>
  <c r="BN278" i="65"/>
  <c r="BM278" i="65"/>
  <c r="AA136" i="65"/>
  <c r="E109" i="65"/>
  <c r="E96" i="65"/>
  <c r="BL122" i="65"/>
  <c r="BK122" i="65"/>
  <c r="BO122" i="65"/>
  <c r="BJ122" i="65"/>
  <c r="BN122" i="65"/>
  <c r="BM122" i="65"/>
  <c r="D212" i="65"/>
  <c r="D225" i="65"/>
  <c r="AT198" i="65"/>
  <c r="AT172" i="65"/>
  <c r="AT238" i="65"/>
  <c r="AT185" i="65"/>
  <c r="AT212" i="65"/>
  <c r="AT225" i="65"/>
  <c r="F265" i="65"/>
  <c r="AB292" i="65"/>
  <c r="F252" i="65"/>
  <c r="BU278" i="65"/>
  <c r="BS278" i="65"/>
  <c r="BT278" i="65"/>
  <c r="BR278" i="65"/>
  <c r="BQ278" i="65"/>
  <c r="BP278" i="65"/>
  <c r="F278" i="65" s="1"/>
  <c r="F318" i="65" s="1"/>
  <c r="L212" i="65"/>
  <c r="L225" i="65"/>
  <c r="V29" i="38"/>
  <c r="V23" i="38" s="1"/>
  <c r="W31" i="38"/>
  <c r="W34" i="38"/>
  <c r="K202" i="65"/>
  <c r="K242" i="65" s="1"/>
  <c r="H25" i="65"/>
  <c r="AD52" i="65"/>
  <c r="H12" i="65"/>
  <c r="CF38" i="65"/>
  <c r="CD38" i="65"/>
  <c r="CC38" i="65"/>
  <c r="CB38" i="65"/>
  <c r="CE38" i="65"/>
  <c r="CG38" i="65"/>
  <c r="D25" i="65"/>
  <c r="Z52" i="65"/>
  <c r="D12" i="65"/>
  <c r="BH38" i="65"/>
  <c r="BE38" i="65"/>
  <c r="BF38" i="65"/>
  <c r="BG38" i="65"/>
  <c r="BI38" i="65"/>
  <c r="BD38" i="65"/>
  <c r="G11" i="65"/>
  <c r="AC51" i="65"/>
  <c r="G24" i="65"/>
  <c r="BZ37" i="65"/>
  <c r="BY37" i="65"/>
  <c r="CA37" i="65"/>
  <c r="BV37" i="65"/>
  <c r="BX37" i="65"/>
  <c r="BW37" i="65"/>
  <c r="L14" i="65"/>
  <c r="L27" i="65"/>
  <c r="AH54" i="65"/>
  <c r="DA40" i="65"/>
  <c r="CZ40" i="65"/>
  <c r="DD40" i="65"/>
  <c r="DC40" i="65"/>
  <c r="DE40" i="65"/>
  <c r="DB40" i="65"/>
  <c r="V96" i="38"/>
  <c r="V99" i="38"/>
  <c r="R84" i="59"/>
  <c r="R81" i="59" s="1"/>
  <c r="S89" i="59"/>
  <c r="S86" i="59"/>
  <c r="S90" i="59" s="1"/>
  <c r="L196" i="65"/>
  <c r="L236" i="65" s="1"/>
  <c r="AT104" i="65"/>
  <c r="D144" i="65"/>
  <c r="D131" i="65"/>
  <c r="AT131" i="65"/>
  <c r="AT91" i="65"/>
  <c r="AT144" i="65"/>
  <c r="AT157" i="65"/>
  <c r="AT117" i="65"/>
  <c r="L332" i="65"/>
  <c r="L345" i="65"/>
  <c r="AH372" i="65"/>
  <c r="DC358" i="65"/>
  <c r="DD358" i="65"/>
  <c r="DB358" i="65"/>
  <c r="DA358" i="65"/>
  <c r="CZ358" i="65"/>
  <c r="DE358" i="65"/>
  <c r="L134" i="65"/>
  <c r="L147" i="65"/>
  <c r="T8" i="52"/>
  <c r="V16" i="38"/>
  <c r="V19" i="38"/>
  <c r="E35" i="64"/>
  <c r="C37" i="64"/>
  <c r="C51" i="64"/>
  <c r="O50" i="64"/>
  <c r="M50" i="64"/>
  <c r="Q50" i="64"/>
  <c r="N50" i="64"/>
  <c r="L50" i="64"/>
  <c r="P50" i="64"/>
  <c r="K175" i="65"/>
  <c r="AG215" i="65"/>
  <c r="K188" i="65"/>
  <c r="CY201" i="65"/>
  <c r="CU201" i="65"/>
  <c r="CW201" i="65"/>
  <c r="CV201" i="65"/>
  <c r="CT201" i="65"/>
  <c r="CX201" i="65"/>
  <c r="F197" i="65"/>
  <c r="F237" i="65" s="1"/>
  <c r="S116" i="59"/>
  <c r="S120" i="59" s="1"/>
  <c r="R114" i="59"/>
  <c r="R111" i="59" s="1"/>
  <c r="S119" i="59"/>
  <c r="F198" i="65"/>
  <c r="F238" i="65" s="1"/>
  <c r="D263" i="65"/>
  <c r="Z290" i="65"/>
  <c r="D250" i="65"/>
  <c r="BF276" i="65"/>
  <c r="BG276" i="65"/>
  <c r="BD276" i="65"/>
  <c r="BE276" i="65"/>
  <c r="BH276" i="65"/>
  <c r="BI276" i="65"/>
  <c r="AC374" i="65"/>
  <c r="G334" i="65"/>
  <c r="G347" i="65"/>
  <c r="BW360" i="65"/>
  <c r="BY360" i="65"/>
  <c r="BZ360" i="65"/>
  <c r="BV360" i="65"/>
  <c r="CA360" i="65"/>
  <c r="BX360" i="65"/>
  <c r="AE52" i="65"/>
  <c r="I12" i="65"/>
  <c r="I25" i="65"/>
  <c r="CH38" i="65"/>
  <c r="CJ38" i="65"/>
  <c r="CK38" i="65"/>
  <c r="CL38" i="65"/>
  <c r="CM38" i="65"/>
  <c r="CI38" i="65"/>
  <c r="L11" i="65"/>
  <c r="L24" i="65"/>
  <c r="AH51" i="65"/>
  <c r="CZ37" i="65"/>
  <c r="L37" i="65" s="1"/>
  <c r="L77" i="65" s="1"/>
  <c r="DD37" i="65"/>
  <c r="DE37" i="65"/>
  <c r="DC37" i="65"/>
  <c r="DB37" i="65"/>
  <c r="DA37" i="65"/>
  <c r="H24" i="65"/>
  <c r="H11" i="65"/>
  <c r="AD51" i="65"/>
  <c r="CF37" i="65"/>
  <c r="CE37" i="65"/>
  <c r="CG37" i="65"/>
  <c r="CC37" i="65"/>
  <c r="CD37" i="65"/>
  <c r="CB37" i="65"/>
  <c r="H37" i="65" s="1"/>
  <c r="H77" i="65" s="1"/>
  <c r="AB56" i="65"/>
  <c r="F29" i="65"/>
  <c r="F16" i="65"/>
  <c r="BU42" i="65"/>
  <c r="BP42" i="65"/>
  <c r="BR42" i="65"/>
  <c r="BS42" i="65"/>
  <c r="BQ42" i="65"/>
  <c r="BT42" i="65"/>
  <c r="D116" i="65"/>
  <c r="D156" i="65" s="1"/>
  <c r="C141" i="63"/>
  <c r="C147" i="63"/>
  <c r="C149" i="63" s="1"/>
  <c r="C151" i="63" s="1"/>
  <c r="AF213" i="65"/>
  <c r="J186" i="65"/>
  <c r="J173" i="65"/>
  <c r="CR199" i="65"/>
  <c r="CN199" i="65"/>
  <c r="CO199" i="65"/>
  <c r="CQ199" i="65"/>
  <c r="CS199" i="65"/>
  <c r="CP199" i="65"/>
  <c r="J103" i="65"/>
  <c r="AF130" i="65"/>
  <c r="J90" i="65"/>
  <c r="CO116" i="65"/>
  <c r="CP116" i="65"/>
  <c r="CR116" i="65"/>
  <c r="CN116" i="65"/>
  <c r="CQ116" i="65"/>
  <c r="CS116" i="65"/>
  <c r="E223" i="65"/>
  <c r="AU196" i="65"/>
  <c r="AU183" i="65"/>
  <c r="E210" i="65"/>
  <c r="AU170" i="65"/>
  <c r="AU223" i="65"/>
  <c r="AU210" i="65"/>
  <c r="AU236" i="65"/>
  <c r="U105" i="33"/>
  <c r="U108" i="33" s="1"/>
  <c r="T103" i="33"/>
  <c r="T97" i="33" s="1"/>
  <c r="U107" i="33"/>
  <c r="G370" i="65"/>
  <c r="G383" i="65"/>
  <c r="AW343" i="65"/>
  <c r="AW396" i="65"/>
  <c r="AW356" i="65"/>
  <c r="AW330" i="65"/>
  <c r="AW383" i="65"/>
  <c r="AW370" i="65"/>
  <c r="L132" i="65"/>
  <c r="L145" i="65"/>
  <c r="AA134" i="65"/>
  <c r="E94" i="65"/>
  <c r="E107" i="65"/>
  <c r="BK120" i="65"/>
  <c r="BJ120" i="65"/>
  <c r="BL120" i="65"/>
  <c r="BN120" i="65"/>
  <c r="BO120" i="65"/>
  <c r="BM120" i="65"/>
  <c r="T13" i="38"/>
  <c r="T7" i="38" s="1"/>
  <c r="U15" i="38"/>
  <c r="U18" i="38"/>
  <c r="D148" i="64"/>
  <c r="D140" i="61"/>
  <c r="D141" i="61" s="1"/>
  <c r="D143" i="61" s="1"/>
  <c r="D161" i="61"/>
  <c r="C117" i="61"/>
  <c r="C122" i="61"/>
  <c r="D152" i="61"/>
  <c r="D151" i="61"/>
  <c r="C133" i="61"/>
  <c r="D88" i="61"/>
  <c r="C137" i="61" s="1"/>
  <c r="D120" i="64" s="1"/>
  <c r="D128" i="64" s="1"/>
  <c r="C118" i="61"/>
  <c r="D78" i="61"/>
  <c r="D229" i="65"/>
  <c r="AT216" i="65"/>
  <c r="D216" i="65"/>
  <c r="AT189" i="65"/>
  <c r="AT242" i="65"/>
  <c r="AT202" i="65"/>
  <c r="AT229" i="65"/>
  <c r="AT176" i="65"/>
  <c r="F174" i="65"/>
  <c r="AB214" i="65"/>
  <c r="F187" i="65"/>
  <c r="BT200" i="65"/>
  <c r="BQ200" i="65"/>
  <c r="BP200" i="65"/>
  <c r="BS200" i="65"/>
  <c r="BU200" i="65"/>
  <c r="BR200" i="65"/>
  <c r="W30" i="33"/>
  <c r="W33" i="33" s="1"/>
  <c r="V28" i="33"/>
  <c r="V22" i="33" s="1"/>
  <c r="W32" i="33"/>
  <c r="J362" i="65"/>
  <c r="J402" i="65" s="1"/>
  <c r="E376" i="65"/>
  <c r="AU376" i="65"/>
  <c r="AU362" i="65"/>
  <c r="AU336" i="65"/>
  <c r="AU349" i="65"/>
  <c r="AU389" i="65"/>
  <c r="E389" i="65"/>
  <c r="AU402" i="65"/>
  <c r="H132" i="65"/>
  <c r="H145" i="65"/>
  <c r="K173" i="65"/>
  <c r="AG213" i="65"/>
  <c r="K186" i="65"/>
  <c r="CT199" i="65"/>
  <c r="CW199" i="65"/>
  <c r="CY199" i="65"/>
  <c r="CV199" i="65"/>
  <c r="CX199" i="65"/>
  <c r="CU199" i="65"/>
  <c r="E332" i="65"/>
  <c r="AA372" i="65"/>
  <c r="E345" i="65"/>
  <c r="BK358" i="65"/>
  <c r="BL358" i="65"/>
  <c r="BO358" i="65"/>
  <c r="BM358" i="65"/>
  <c r="BN358" i="65"/>
  <c r="BJ358" i="65"/>
  <c r="G145" i="65"/>
  <c r="G132" i="65"/>
  <c r="AT210" i="65"/>
  <c r="D210" i="65"/>
  <c r="AT183" i="65"/>
  <c r="AT236" i="65"/>
  <c r="D223" i="65"/>
  <c r="AT196" i="65"/>
  <c r="AT223" i="65"/>
  <c r="AT170" i="65"/>
  <c r="P71" i="46"/>
  <c r="P75" i="46" s="1"/>
  <c r="O69" i="46"/>
  <c r="O66" i="46" s="1"/>
  <c r="P74" i="46"/>
  <c r="AE134" i="65"/>
  <c r="I94" i="65"/>
  <c r="I107" i="65"/>
  <c r="CJ120" i="65"/>
  <c r="CL120" i="65"/>
  <c r="CI120" i="65"/>
  <c r="CM120" i="65"/>
  <c r="CH120" i="65"/>
  <c r="CK120" i="65"/>
  <c r="I362" i="65"/>
  <c r="I402" i="65" s="1"/>
  <c r="L197" i="65"/>
  <c r="L237" i="65" s="1"/>
  <c r="D10" i="65"/>
  <c r="D23" i="65"/>
  <c r="Z50" i="65"/>
  <c r="BF36" i="65"/>
  <c r="BE36" i="65"/>
  <c r="BD36" i="65"/>
  <c r="BG36" i="65"/>
  <c r="BH36" i="65"/>
  <c r="BI36" i="65"/>
  <c r="L12" i="65"/>
  <c r="L25" i="65"/>
  <c r="AH52" i="65"/>
  <c r="CZ38" i="65"/>
  <c r="DB38" i="65"/>
  <c r="DC38" i="65"/>
  <c r="DA38" i="65"/>
  <c r="DE38" i="65"/>
  <c r="DD38" i="65"/>
  <c r="F11" i="65"/>
  <c r="F24" i="65"/>
  <c r="AB51" i="65"/>
  <c r="BQ37" i="65"/>
  <c r="BT37" i="65"/>
  <c r="BU37" i="65"/>
  <c r="BR37" i="65"/>
  <c r="BP37" i="65"/>
  <c r="BS37" i="65"/>
  <c r="AE56" i="65"/>
  <c r="I16" i="65"/>
  <c r="I29" i="65"/>
  <c r="CH42" i="65"/>
  <c r="CM42" i="65"/>
  <c r="CI42" i="65"/>
  <c r="CK42" i="65"/>
  <c r="CJ42" i="65"/>
  <c r="CL42" i="65"/>
  <c r="L41" i="65"/>
  <c r="L81" i="65" s="1"/>
  <c r="AC295" i="65"/>
  <c r="G255" i="65"/>
  <c r="G268" i="65"/>
  <c r="CA281" i="65"/>
  <c r="BZ281" i="65"/>
  <c r="BW281" i="65"/>
  <c r="BY281" i="65"/>
  <c r="BV281" i="65"/>
  <c r="BX281" i="65"/>
  <c r="C111" i="63"/>
  <c r="U32" i="52"/>
  <c r="U29" i="52"/>
  <c r="U35" i="52" s="1"/>
  <c r="G421" i="65"/>
  <c r="H266" i="65"/>
  <c r="AD293" i="65"/>
  <c r="H253" i="65"/>
  <c r="CC279" i="65"/>
  <c r="CF279" i="65"/>
  <c r="CB279" i="65"/>
  <c r="CD279" i="65"/>
  <c r="CG279" i="65"/>
  <c r="CE279" i="65"/>
  <c r="AA374" i="65"/>
  <c r="E347" i="65"/>
  <c r="E334" i="65"/>
  <c r="BO360" i="65"/>
  <c r="BL360" i="65"/>
  <c r="BK360" i="65"/>
  <c r="BJ360" i="65"/>
  <c r="BM360" i="65"/>
  <c r="BN360" i="65"/>
  <c r="AU291" i="65"/>
  <c r="AU264" i="65"/>
  <c r="E304" i="65"/>
  <c r="AU304" i="65"/>
  <c r="AU317" i="65"/>
  <c r="AU277" i="65"/>
  <c r="AU251" i="65"/>
  <c r="E291" i="65"/>
  <c r="I216" i="65"/>
  <c r="I229" i="65"/>
  <c r="AA131" i="65"/>
  <c r="E104" i="65"/>
  <c r="E91" i="65"/>
  <c r="BK117" i="65"/>
  <c r="BO117" i="65"/>
  <c r="BL117" i="65"/>
  <c r="BM117" i="65"/>
  <c r="BJ117" i="65"/>
  <c r="BN117" i="65"/>
  <c r="J133" i="65"/>
  <c r="J146" i="65"/>
  <c r="C195" i="63"/>
  <c r="C85" i="63"/>
  <c r="L120" i="65"/>
  <c r="L160" i="65" s="1"/>
  <c r="AG293" i="65"/>
  <c r="K253" i="65"/>
  <c r="K266" i="65"/>
  <c r="CW279" i="65"/>
  <c r="CV279" i="65"/>
  <c r="CT279" i="65"/>
  <c r="CY279" i="65"/>
  <c r="CU279" i="65"/>
  <c r="CX279" i="65"/>
  <c r="J202" i="65"/>
  <c r="J242" i="65" s="1"/>
  <c r="H255" i="65"/>
  <c r="H268" i="65"/>
  <c r="AD295" i="65"/>
  <c r="CE281" i="65"/>
  <c r="CC281" i="65"/>
  <c r="CF281" i="65"/>
  <c r="CB281" i="65"/>
  <c r="CG281" i="65"/>
  <c r="CD281" i="65"/>
  <c r="AW171" i="65"/>
  <c r="AW211" i="65"/>
  <c r="G224" i="65"/>
  <c r="G211" i="65"/>
  <c r="AW237" i="65"/>
  <c r="AW184" i="65"/>
  <c r="AW197" i="65"/>
  <c r="AW224" i="65"/>
  <c r="AF215" i="65"/>
  <c r="J188" i="65"/>
  <c r="J175" i="65"/>
  <c r="CP201" i="65"/>
  <c r="CO201" i="65"/>
  <c r="CS201" i="65"/>
  <c r="CN201" i="65"/>
  <c r="CQ201" i="65"/>
  <c r="CR201" i="65"/>
  <c r="AE213" i="65"/>
  <c r="I186" i="65"/>
  <c r="I173" i="65"/>
  <c r="CK199" i="65"/>
  <c r="CL199" i="65"/>
  <c r="CJ199" i="65"/>
  <c r="CH199" i="65"/>
  <c r="CM199" i="65"/>
  <c r="CI199" i="65"/>
  <c r="H119" i="65"/>
  <c r="H159" i="65" s="1"/>
  <c r="K216" i="65"/>
  <c r="K229" i="65"/>
  <c r="G10" i="65"/>
  <c r="G23" i="65"/>
  <c r="AC50" i="65"/>
  <c r="BZ36" i="65"/>
  <c r="CA36" i="65"/>
  <c r="BY36" i="65"/>
  <c r="BV36" i="65"/>
  <c r="BW36" i="65"/>
  <c r="BX36" i="65"/>
  <c r="H23" i="65"/>
  <c r="AD50" i="65"/>
  <c r="H10" i="65"/>
  <c r="CC36" i="65"/>
  <c r="CG36" i="65"/>
  <c r="CF36" i="65"/>
  <c r="CB36" i="65"/>
  <c r="CD36" i="65"/>
  <c r="CE36" i="65"/>
  <c r="AF55" i="65"/>
  <c r="J28" i="65"/>
  <c r="J15" i="65"/>
  <c r="CO41" i="65"/>
  <c r="CQ41" i="65"/>
  <c r="CS41" i="65"/>
  <c r="CP41" i="65"/>
  <c r="CR41" i="65"/>
  <c r="CN41" i="65"/>
  <c r="H29" i="65"/>
  <c r="H16" i="65"/>
  <c r="AD56" i="65"/>
  <c r="CD42" i="65"/>
  <c r="CC42" i="65"/>
  <c r="CB42" i="65"/>
  <c r="CF42" i="65"/>
  <c r="CG42" i="65"/>
  <c r="CE42" i="65"/>
  <c r="H210" i="65"/>
  <c r="AX170" i="65"/>
  <c r="AX183" i="65"/>
  <c r="AX196" i="65"/>
  <c r="H223" i="65"/>
  <c r="AX210" i="65"/>
  <c r="AX223" i="65"/>
  <c r="AX236" i="65"/>
  <c r="F309" i="65"/>
  <c r="F296" i="65"/>
  <c r="AA294" i="65"/>
  <c r="E267" i="65"/>
  <c r="E254" i="65"/>
  <c r="BL280" i="65"/>
  <c r="BM280" i="65"/>
  <c r="BK280" i="65"/>
  <c r="BO280" i="65"/>
  <c r="BJ280" i="65"/>
  <c r="BN280" i="65"/>
  <c r="K277" i="65"/>
  <c r="K317" i="65" s="1"/>
  <c r="L135" i="65"/>
  <c r="L148" i="65"/>
  <c r="K334" i="65"/>
  <c r="AG374" i="65"/>
  <c r="K347" i="65"/>
  <c r="CW360" i="65"/>
  <c r="CX360" i="65"/>
  <c r="CU360" i="65"/>
  <c r="CV360" i="65"/>
  <c r="CY360" i="65"/>
  <c r="CT360" i="65"/>
  <c r="T29" i="52"/>
  <c r="T35" i="52" s="1"/>
  <c r="T32" i="52"/>
  <c r="H144" i="65"/>
  <c r="H131" i="65"/>
  <c r="K384" i="65"/>
  <c r="K371" i="65"/>
  <c r="AG134" i="65"/>
  <c r="K107" i="65"/>
  <c r="K94" i="65"/>
  <c r="CV120" i="65"/>
  <c r="CT120" i="65"/>
  <c r="CY120" i="65"/>
  <c r="CW120" i="65"/>
  <c r="CU120" i="65"/>
  <c r="CX120" i="65"/>
  <c r="K120" i="65" s="1"/>
  <c r="K160" i="65" s="1"/>
  <c r="J198" i="65"/>
  <c r="J238" i="65" s="1"/>
  <c r="L346" i="65"/>
  <c r="L333" i="65"/>
  <c r="AH373" i="65"/>
  <c r="DC359" i="65"/>
  <c r="CZ359" i="65"/>
  <c r="DE359" i="65"/>
  <c r="DB359" i="65"/>
  <c r="DD359" i="65"/>
  <c r="DA359" i="65"/>
  <c r="G384" i="65"/>
  <c r="G371" i="65"/>
  <c r="AW357" i="65"/>
  <c r="AW371" i="65"/>
  <c r="AW397" i="65"/>
  <c r="AW331" i="65"/>
  <c r="AW344" i="65"/>
  <c r="AW384" i="65"/>
  <c r="I198" i="65"/>
  <c r="I238" i="65" s="1"/>
  <c r="G376" i="65"/>
  <c r="G389" i="65"/>
  <c r="L174" i="65"/>
  <c r="L187" i="65"/>
  <c r="AH214" i="65"/>
  <c r="CZ200" i="65"/>
  <c r="DD200" i="65"/>
  <c r="DA200" i="65"/>
  <c r="DB200" i="65"/>
  <c r="DC200" i="65"/>
  <c r="DE200" i="65"/>
  <c r="I210" i="65"/>
  <c r="I223" i="65"/>
  <c r="AB295" i="65"/>
  <c r="F255" i="65"/>
  <c r="F268" i="65"/>
  <c r="BR281" i="65"/>
  <c r="BS281" i="65"/>
  <c r="BT281" i="65"/>
  <c r="BQ281" i="65"/>
  <c r="BU281" i="65"/>
  <c r="BP281" i="65"/>
  <c r="S71" i="59"/>
  <c r="S75" i="59" s="1"/>
  <c r="R69" i="59"/>
  <c r="R66" i="59" s="1"/>
  <c r="S74" i="59"/>
  <c r="J118" i="65"/>
  <c r="J158" i="65" s="1"/>
  <c r="E370" i="65"/>
  <c r="E383" i="65"/>
  <c r="AU356" i="65"/>
  <c r="AU396" i="65"/>
  <c r="AU370" i="65"/>
  <c r="AU330" i="65"/>
  <c r="AU343" i="65"/>
  <c r="AU383" i="65"/>
  <c r="J309" i="65"/>
  <c r="J296" i="65"/>
  <c r="AC55" i="65"/>
  <c r="G15" i="65"/>
  <c r="G28" i="65"/>
  <c r="BW41" i="65"/>
  <c r="CA41" i="65"/>
  <c r="BZ41" i="65"/>
  <c r="BV41" i="65"/>
  <c r="G41" i="65" s="1"/>
  <c r="G81" i="65" s="1"/>
  <c r="BX41" i="65"/>
  <c r="BY41" i="65"/>
  <c r="AG51" i="65"/>
  <c r="K24" i="65"/>
  <c r="K11" i="65"/>
  <c r="CV37" i="65"/>
  <c r="CW37" i="65"/>
  <c r="CY37" i="65"/>
  <c r="CT37" i="65"/>
  <c r="CX37" i="65"/>
  <c r="CU37" i="65"/>
  <c r="E14" i="65"/>
  <c r="E27" i="65"/>
  <c r="AA54" i="65"/>
  <c r="BN40" i="65"/>
  <c r="BM40" i="65"/>
  <c r="BO40" i="65"/>
  <c r="BJ40" i="65"/>
  <c r="BK40" i="65"/>
  <c r="BL40" i="65"/>
  <c r="S88" i="33"/>
  <c r="S82" i="33" s="1"/>
  <c r="T90" i="33"/>
  <c r="T93" i="33" s="1"/>
  <c r="T92" i="33"/>
  <c r="AE132" i="65"/>
  <c r="I92" i="65"/>
  <c r="I105" i="65"/>
  <c r="CJ118" i="65"/>
  <c r="CL118" i="65"/>
  <c r="CM118" i="65"/>
  <c r="CI118" i="65"/>
  <c r="CH118" i="65"/>
  <c r="CK118" i="65"/>
  <c r="I266" i="65"/>
  <c r="AE293" i="65"/>
  <c r="I253" i="65"/>
  <c r="CL279" i="65"/>
  <c r="CM279" i="65"/>
  <c r="CH279" i="65"/>
  <c r="CI279" i="65"/>
  <c r="CK279" i="65"/>
  <c r="CJ279" i="65"/>
  <c r="L309" i="65"/>
  <c r="L296" i="65"/>
  <c r="O39" i="46"/>
  <c r="O36" i="46" s="1"/>
  <c r="P41" i="46"/>
  <c r="P44" i="46"/>
  <c r="T75" i="33"/>
  <c r="T78" i="33" s="1"/>
  <c r="S73" i="33"/>
  <c r="S67" i="33" s="1"/>
  <c r="T77" i="33"/>
  <c r="G348" i="65"/>
  <c r="AC375" i="65"/>
  <c r="G335" i="65"/>
  <c r="BY361" i="65"/>
  <c r="BW361" i="65"/>
  <c r="CA361" i="65"/>
  <c r="BV361" i="65"/>
  <c r="BX361" i="65"/>
  <c r="BZ361" i="65"/>
  <c r="Q11" i="52"/>
  <c r="Q30" i="46"/>
  <c r="J356" i="65"/>
  <c r="J396" i="65" s="1"/>
  <c r="K73" i="8"/>
  <c r="N72" i="8"/>
  <c r="G196" i="65"/>
  <c r="G236" i="65" s="1"/>
  <c r="T33" i="52"/>
  <c r="H135" i="65"/>
  <c r="H148" i="65"/>
  <c r="G263" i="65"/>
  <c r="G250" i="65"/>
  <c r="AC290" i="65"/>
  <c r="CA276" i="65"/>
  <c r="BZ276" i="65"/>
  <c r="BV276" i="65"/>
  <c r="BW276" i="65"/>
  <c r="BX276" i="65"/>
  <c r="BY276" i="65"/>
  <c r="AT402" i="65"/>
  <c r="AT336" i="65"/>
  <c r="D376" i="65"/>
  <c r="D389" i="65"/>
  <c r="AT389" i="65"/>
  <c r="AT376" i="65"/>
  <c r="AT362" i="65"/>
  <c r="AT349" i="65"/>
  <c r="F224" i="65"/>
  <c r="AV171" i="65"/>
  <c r="AV211" i="65"/>
  <c r="F211" i="65"/>
  <c r="AV224" i="65"/>
  <c r="AV237" i="65"/>
  <c r="AV197" i="65"/>
  <c r="AV184" i="65"/>
  <c r="H198" i="65"/>
  <c r="H238" i="65" s="1"/>
  <c r="I333" i="65"/>
  <c r="AE373" i="65"/>
  <c r="I346" i="65"/>
  <c r="CH359" i="65"/>
  <c r="CJ359" i="65"/>
  <c r="CI359" i="65"/>
  <c r="CK359" i="65"/>
  <c r="CL359" i="65"/>
  <c r="CM359" i="65"/>
  <c r="G148" i="65"/>
  <c r="G135" i="65"/>
  <c r="L116" i="65"/>
  <c r="L156" i="65" s="1"/>
  <c r="E229" i="65"/>
  <c r="E216" i="65"/>
  <c r="K109" i="65"/>
  <c r="K96" i="65"/>
  <c r="AG136" i="65"/>
  <c r="CU122" i="65"/>
  <c r="CV122" i="65"/>
  <c r="CW122" i="65"/>
  <c r="CX122" i="65"/>
  <c r="CY122" i="65"/>
  <c r="CT122" i="65"/>
  <c r="K122" i="65" s="1"/>
  <c r="K162" i="65" s="1"/>
  <c r="G134" i="65"/>
  <c r="G147" i="65"/>
  <c r="H356" i="65"/>
  <c r="H396" i="65" s="1"/>
  <c r="I11" i="65"/>
  <c r="AE51" i="65"/>
  <c r="I24" i="65"/>
  <c r="CM37" i="65"/>
  <c r="CK37" i="65"/>
  <c r="CL37" i="65"/>
  <c r="CI37" i="65"/>
  <c r="CH37" i="65"/>
  <c r="CJ37" i="65"/>
  <c r="AG52" i="65"/>
  <c r="K12" i="65"/>
  <c r="K25" i="65"/>
  <c r="CW38" i="65"/>
  <c r="CX38" i="65"/>
  <c r="CU38" i="65"/>
  <c r="CY38" i="65"/>
  <c r="CT38" i="65"/>
  <c r="K38" i="65" s="1"/>
  <c r="K78" i="65" s="1"/>
  <c r="CV38" i="65"/>
  <c r="E15" i="65"/>
  <c r="E28" i="65"/>
  <c r="AA55" i="65"/>
  <c r="BM41" i="65"/>
  <c r="BN41" i="65"/>
  <c r="BL41" i="65"/>
  <c r="BO41" i="65"/>
  <c r="E41" i="65" s="1"/>
  <c r="E81" i="65" s="1"/>
  <c r="BJ41" i="65"/>
  <c r="BK41" i="65"/>
  <c r="K29" i="65"/>
  <c r="AG56" i="65"/>
  <c r="K16" i="65"/>
  <c r="CT42" i="65"/>
  <c r="CW42" i="65"/>
  <c r="CX42" i="65"/>
  <c r="CY42" i="65"/>
  <c r="CV42" i="65"/>
  <c r="CU42" i="65"/>
  <c r="AE131" i="65"/>
  <c r="I104" i="65"/>
  <c r="I91" i="65"/>
  <c r="CH117" i="65"/>
  <c r="CL117" i="65"/>
  <c r="CI117" i="65"/>
  <c r="CJ117" i="65"/>
  <c r="CK117" i="65"/>
  <c r="CM117" i="65"/>
  <c r="K370" i="65"/>
  <c r="K383" i="65"/>
  <c r="J210" i="65"/>
  <c r="J223" i="65"/>
  <c r="F188" i="65"/>
  <c r="F175" i="65"/>
  <c r="AB215" i="65"/>
  <c r="BQ201" i="65"/>
  <c r="BP201" i="65"/>
  <c r="BS201" i="65"/>
  <c r="BR201" i="65"/>
  <c r="BU201" i="65"/>
  <c r="BT201" i="65"/>
  <c r="W45" i="33"/>
  <c r="W48" i="33" s="1"/>
  <c r="V43" i="33"/>
  <c r="V37" i="33" s="1"/>
  <c r="W47" i="33"/>
  <c r="H254" i="65"/>
  <c r="H267" i="65"/>
  <c r="AD294" i="65"/>
  <c r="CF280" i="65"/>
  <c r="CC280" i="65"/>
  <c r="CD280" i="65"/>
  <c r="CG280" i="65"/>
  <c r="CE280" i="65"/>
  <c r="CB280" i="65"/>
  <c r="U33" i="52"/>
  <c r="D136" i="65"/>
  <c r="D149" i="65"/>
  <c r="L383" i="65"/>
  <c r="L370" i="65"/>
  <c r="AD372" i="65"/>
  <c r="H345" i="65"/>
  <c r="H332" i="65"/>
  <c r="CD358" i="65"/>
  <c r="CG358" i="65"/>
  <c r="CE358" i="65"/>
  <c r="H358" i="65" s="1"/>
  <c r="H398" i="65" s="1"/>
  <c r="CF358" i="65"/>
  <c r="CC358" i="65"/>
  <c r="CB358" i="65"/>
  <c r="Z293" i="65"/>
  <c r="D253" i="65"/>
  <c r="D266" i="65"/>
  <c r="BD279" i="65"/>
  <c r="BI279" i="65"/>
  <c r="BG279" i="65"/>
  <c r="BF279" i="65"/>
  <c r="BE279" i="65"/>
  <c r="BH279" i="65"/>
  <c r="I335" i="65"/>
  <c r="I348" i="65"/>
  <c r="AE375" i="65"/>
  <c r="CJ361" i="65"/>
  <c r="CH361" i="65"/>
  <c r="CI361" i="65"/>
  <c r="CM361" i="65"/>
  <c r="CK361" i="65"/>
  <c r="CL361" i="65"/>
  <c r="H250" i="65"/>
  <c r="H263" i="65"/>
  <c r="AD290" i="65"/>
  <c r="CF276" i="65"/>
  <c r="CB276" i="65"/>
  <c r="CE276" i="65"/>
  <c r="CC276" i="65"/>
  <c r="CD276" i="65"/>
  <c r="CG276" i="65"/>
  <c r="AT370" i="65"/>
  <c r="AT343" i="65"/>
  <c r="D383" i="65"/>
  <c r="D370" i="65"/>
  <c r="AT356" i="65"/>
  <c r="AT383" i="65"/>
  <c r="AT396" i="65"/>
  <c r="AT330" i="65"/>
  <c r="O24" i="46"/>
  <c r="O21" i="46" s="1"/>
  <c r="P26" i="46"/>
  <c r="P29" i="46"/>
  <c r="K196" i="65"/>
  <c r="K236" i="65" s="1"/>
  <c r="AT357" i="65"/>
  <c r="AT344" i="65"/>
  <c r="AT371" i="65"/>
  <c r="D371" i="65"/>
  <c r="D384" i="65"/>
  <c r="AT384" i="65"/>
  <c r="AT397" i="65"/>
  <c r="AT331" i="65"/>
  <c r="AA135" i="65"/>
  <c r="E95" i="65"/>
  <c r="E108" i="65"/>
  <c r="BO121" i="65"/>
  <c r="BL121" i="65"/>
  <c r="BN121" i="65"/>
  <c r="BK121" i="65"/>
  <c r="BJ121" i="65"/>
  <c r="BM121" i="65"/>
  <c r="L122" i="65"/>
  <c r="L162" i="65" s="1"/>
  <c r="D56" i="64"/>
  <c r="J229" i="65"/>
  <c r="J216" i="65"/>
  <c r="G133" i="65"/>
  <c r="G146" i="65"/>
  <c r="I196" i="65"/>
  <c r="I236" i="65" s="1"/>
  <c r="D346" i="65"/>
  <c r="Z373" i="65"/>
  <c r="D333" i="65"/>
  <c r="BG359" i="65"/>
  <c r="BH359" i="65"/>
  <c r="BE359" i="65"/>
  <c r="BI359" i="65"/>
  <c r="BF359" i="65"/>
  <c r="BD359" i="65"/>
  <c r="K252" i="65"/>
  <c r="AG292" i="65"/>
  <c r="K265" i="65"/>
  <c r="CU278" i="65"/>
  <c r="CT278" i="65"/>
  <c r="CV278" i="65"/>
  <c r="CW278" i="65"/>
  <c r="CX278" i="65"/>
  <c r="CY278" i="65"/>
  <c r="I224" i="65"/>
  <c r="I211" i="65"/>
  <c r="R127" i="59"/>
  <c r="R124" i="59" s="1"/>
  <c r="S131" i="59"/>
  <c r="S129" i="59"/>
  <c r="S132" i="59" s="1"/>
  <c r="K198" i="65"/>
  <c r="K238" i="65" s="1"/>
  <c r="AT184" i="65"/>
  <c r="D224" i="65"/>
  <c r="D211" i="65"/>
  <c r="AT197" i="65"/>
  <c r="AT224" i="65"/>
  <c r="AT237" i="65"/>
  <c r="AT171" i="65"/>
  <c r="AT211" i="65"/>
  <c r="D175" i="65"/>
  <c r="Z215" i="65"/>
  <c r="D188" i="65"/>
  <c r="BH201" i="65"/>
  <c r="BE201" i="65"/>
  <c r="BI201" i="65"/>
  <c r="BF201" i="65"/>
  <c r="BD201" i="65"/>
  <c r="BG201" i="65"/>
  <c r="AF53" i="65"/>
  <c r="J26" i="65"/>
  <c r="J13" i="65"/>
  <c r="CS39" i="65"/>
  <c r="CO39" i="65"/>
  <c r="CQ39" i="65"/>
  <c r="CR39" i="65"/>
  <c r="CN39" i="65"/>
  <c r="CP39" i="65"/>
  <c r="J27" i="65"/>
  <c r="J14" i="65"/>
  <c r="AF54" i="65"/>
  <c r="CP40" i="65"/>
  <c r="CR40" i="65"/>
  <c r="CS40" i="65"/>
  <c r="CQ40" i="65"/>
  <c r="CO40" i="65"/>
  <c r="CN40" i="65"/>
  <c r="AB54" i="65"/>
  <c r="F27" i="65"/>
  <c r="F14" i="65"/>
  <c r="BR40" i="65"/>
  <c r="BT40" i="65"/>
  <c r="BU40" i="65"/>
  <c r="BP40" i="65"/>
  <c r="BS40" i="65"/>
  <c r="BQ40" i="65"/>
  <c r="AE133" i="65"/>
  <c r="I93" i="65"/>
  <c r="I106" i="65"/>
  <c r="CK119" i="65"/>
  <c r="CJ119" i="65"/>
  <c r="CI119" i="65"/>
  <c r="CH119" i="65"/>
  <c r="CL119" i="65"/>
  <c r="CM119" i="65"/>
  <c r="AT132" i="65"/>
  <c r="D145" i="65"/>
  <c r="D132" i="65"/>
  <c r="AT118" i="65"/>
  <c r="AT158" i="65"/>
  <c r="AT105" i="65"/>
  <c r="AT92" i="65"/>
  <c r="AT145" i="65"/>
  <c r="J253" i="65"/>
  <c r="J266" i="65"/>
  <c r="AF293" i="65"/>
  <c r="CP279" i="65"/>
  <c r="CN279" i="65"/>
  <c r="CR279" i="65"/>
  <c r="CQ279" i="65"/>
  <c r="CS279" i="65"/>
  <c r="CO279" i="65"/>
  <c r="K348" i="65"/>
  <c r="AG375" i="65"/>
  <c r="K335" i="65"/>
  <c r="CU361" i="65"/>
  <c r="CY361" i="65"/>
  <c r="CV361" i="65"/>
  <c r="CX361" i="65"/>
  <c r="CT361" i="65"/>
  <c r="CW361" i="65"/>
  <c r="I95" i="65"/>
  <c r="I108" i="65"/>
  <c r="AE135" i="65"/>
  <c r="CI121" i="65"/>
  <c r="CL121" i="65"/>
  <c r="CH121" i="65"/>
  <c r="CM121" i="65"/>
  <c r="CK121" i="65"/>
  <c r="CJ121" i="65"/>
  <c r="G119" i="65"/>
  <c r="G159" i="65" s="1"/>
  <c r="L117" i="65"/>
  <c r="L157" i="65" s="1"/>
  <c r="H196" i="65"/>
  <c r="H236" i="65" s="1"/>
  <c r="C28" i="56"/>
  <c r="C26" i="56"/>
  <c r="E29" i="56"/>
  <c r="D27" i="56"/>
  <c r="C25" i="56"/>
  <c r="I19" i="56"/>
  <c r="I17" i="56"/>
  <c r="D29" i="56"/>
  <c r="C27" i="56"/>
  <c r="H19" i="56"/>
  <c r="H17" i="56"/>
  <c r="C29" i="56"/>
  <c r="G19" i="56"/>
  <c r="G17" i="56"/>
  <c r="I26" i="56"/>
  <c r="F19" i="56"/>
  <c r="F17" i="56"/>
  <c r="I28" i="56"/>
  <c r="H26" i="56"/>
  <c r="E19" i="56"/>
  <c r="E17" i="56"/>
  <c r="H28" i="56"/>
  <c r="G26" i="56"/>
  <c r="D19" i="56"/>
  <c r="D17" i="56"/>
  <c r="G28" i="56"/>
  <c r="F26" i="56"/>
  <c r="C19" i="56"/>
  <c r="C17" i="56"/>
  <c r="F28" i="56"/>
  <c r="E26" i="56"/>
  <c r="E28" i="56"/>
  <c r="D26" i="56"/>
  <c r="I20" i="56"/>
  <c r="I18" i="56"/>
  <c r="I16" i="56"/>
  <c r="D28" i="56"/>
  <c r="H20" i="56"/>
  <c r="H18" i="56"/>
  <c r="H16" i="56"/>
  <c r="I25" i="56"/>
  <c r="G20" i="56"/>
  <c r="G18" i="56"/>
  <c r="G16" i="56"/>
  <c r="I27" i="56"/>
  <c r="H25" i="56"/>
  <c r="F20" i="56"/>
  <c r="F18" i="56"/>
  <c r="F16" i="56"/>
  <c r="I29" i="56"/>
  <c r="H27" i="56"/>
  <c r="G25" i="56"/>
  <c r="E20" i="56"/>
  <c r="E18" i="56"/>
  <c r="E16" i="56"/>
  <c r="H29" i="56"/>
  <c r="G27" i="56"/>
  <c r="F25" i="56"/>
  <c r="D20" i="56"/>
  <c r="D18" i="56"/>
  <c r="D16" i="56"/>
  <c r="G29" i="56"/>
  <c r="F27" i="56"/>
  <c r="E25" i="56"/>
  <c r="C20" i="56"/>
  <c r="C18" i="56"/>
  <c r="C16" i="56"/>
  <c r="F29" i="56"/>
  <c r="E27" i="56"/>
  <c r="D25" i="56"/>
  <c r="AB133" i="65"/>
  <c r="F93" i="65"/>
  <c r="F106" i="65"/>
  <c r="BU119" i="65"/>
  <c r="BQ119" i="65"/>
  <c r="BR119" i="65"/>
  <c r="BT119" i="65"/>
  <c r="BS119" i="65"/>
  <c r="BP119" i="65"/>
  <c r="F119" i="65" s="1"/>
  <c r="F159" i="65" s="1"/>
  <c r="I345" i="65"/>
  <c r="AE372" i="65"/>
  <c r="I332" i="65"/>
  <c r="CJ358" i="65"/>
  <c r="CM358" i="65"/>
  <c r="CI358" i="65"/>
  <c r="I358" i="65" s="1"/>
  <c r="I398" i="65" s="1"/>
  <c r="CL358" i="65"/>
  <c r="CH358" i="65"/>
  <c r="CK358" i="65"/>
  <c r="E52" i="65"/>
  <c r="E65" i="65"/>
  <c r="AU38" i="65"/>
  <c r="AU65" i="65"/>
  <c r="AU25" i="65"/>
  <c r="AU12" i="65"/>
  <c r="AU52" i="65"/>
  <c r="AU78" i="65"/>
  <c r="T42" i="59"/>
  <c r="T34" i="52"/>
  <c r="J347" i="65"/>
  <c r="AF374" i="65"/>
  <c r="J334" i="65"/>
  <c r="CS360" i="65"/>
  <c r="CQ360" i="65"/>
  <c r="CN360" i="65"/>
  <c r="CR360" i="65"/>
  <c r="CO360" i="65"/>
  <c r="CP360" i="65"/>
  <c r="L356" i="65"/>
  <c r="L396" i="65" s="1"/>
  <c r="E92" i="65"/>
  <c r="AA132" i="65"/>
  <c r="E105" i="65"/>
  <c r="BK118" i="65"/>
  <c r="BJ118" i="65"/>
  <c r="BL118" i="65"/>
  <c r="BM118" i="65"/>
  <c r="BO118" i="65"/>
  <c r="BN118" i="65"/>
  <c r="F333" i="65"/>
  <c r="F346" i="65"/>
  <c r="AB373" i="65"/>
  <c r="BP359" i="65"/>
  <c r="BR359" i="65"/>
  <c r="BU359" i="65"/>
  <c r="BT359" i="65"/>
  <c r="BS359" i="65"/>
  <c r="BQ359" i="65"/>
  <c r="I197" i="65"/>
  <c r="I237" i="65" s="1"/>
  <c r="F131" i="65"/>
  <c r="AV117" i="65"/>
  <c r="F144" i="65"/>
  <c r="AV104" i="65"/>
  <c r="AV157" i="65"/>
  <c r="AV144" i="65"/>
  <c r="AV131" i="65"/>
  <c r="AV91" i="65"/>
  <c r="J384" i="65"/>
  <c r="J371" i="65"/>
  <c r="J250" i="65"/>
  <c r="J263" i="65"/>
  <c r="AF290" i="65"/>
  <c r="CP276" i="65"/>
  <c r="CS276" i="65"/>
  <c r="CO276" i="65"/>
  <c r="CN276" i="65"/>
  <c r="CQ276" i="65"/>
  <c r="CR276" i="65"/>
  <c r="F376" i="65"/>
  <c r="F389" i="65"/>
  <c r="J282" i="65"/>
  <c r="J322" i="65" s="1"/>
  <c r="E187" i="65"/>
  <c r="AA214" i="65"/>
  <c r="E174" i="65"/>
  <c r="BO200" i="65"/>
  <c r="BK200" i="65"/>
  <c r="BM200" i="65"/>
  <c r="BL200" i="65"/>
  <c r="BN200" i="65"/>
  <c r="BJ200" i="65"/>
  <c r="H376" i="65"/>
  <c r="H389" i="65"/>
  <c r="G149" i="65"/>
  <c r="G136" i="65"/>
  <c r="G409" i="65"/>
  <c r="D24" i="65"/>
  <c r="D11" i="65"/>
  <c r="Z51" i="65"/>
  <c r="BF37" i="65"/>
  <c r="BI37" i="65"/>
  <c r="BG37" i="65"/>
  <c r="BH37" i="65"/>
  <c r="BD37" i="65"/>
  <c r="BE37" i="65"/>
  <c r="AC54" i="65"/>
  <c r="G14" i="65"/>
  <c r="G27" i="65"/>
  <c r="BX40" i="65"/>
  <c r="CA40" i="65"/>
  <c r="BZ40" i="65"/>
  <c r="BW40" i="65"/>
  <c r="BV40" i="65"/>
  <c r="BY40" i="65"/>
  <c r="AE215" i="65"/>
  <c r="I175" i="65"/>
  <c r="I188" i="65"/>
  <c r="CK201" i="65"/>
  <c r="CH201" i="65"/>
  <c r="CI201" i="65"/>
  <c r="CL201" i="65"/>
  <c r="CJ201" i="65"/>
  <c r="CM201" i="65"/>
  <c r="R24" i="59"/>
  <c r="R21" i="59" s="1"/>
  <c r="S26" i="59"/>
  <c r="S30" i="59" s="1"/>
  <c r="S29" i="59"/>
  <c r="F356" i="65"/>
  <c r="F396" i="65" s="1"/>
  <c r="E64" i="65"/>
  <c r="AU77" i="65"/>
  <c r="AU11" i="65"/>
  <c r="AU64" i="65"/>
  <c r="E51" i="65"/>
  <c r="AU51" i="65"/>
  <c r="AU37" i="65"/>
  <c r="AU24" i="65"/>
  <c r="J389" i="65"/>
  <c r="J376" i="65"/>
  <c r="P116" i="46"/>
  <c r="P120" i="46" s="1"/>
  <c r="O114" i="46"/>
  <c r="O111" i="46" s="1"/>
  <c r="P119" i="46"/>
  <c r="AE294" i="65"/>
  <c r="I254" i="65"/>
  <c r="I267" i="65"/>
  <c r="CK280" i="65"/>
  <c r="CM280" i="65"/>
  <c r="CI280" i="65"/>
  <c r="CL280" i="65"/>
  <c r="CH280" i="65"/>
  <c r="CJ280" i="65"/>
  <c r="I280" i="65" s="1"/>
  <c r="I320" i="65" s="1"/>
  <c r="G118" i="65"/>
  <c r="G158" i="65" s="1"/>
  <c r="Z292" i="65"/>
  <c r="D252" i="65"/>
  <c r="D265" i="65"/>
  <c r="BF278" i="65"/>
  <c r="BD278" i="65"/>
  <c r="BE278" i="65"/>
  <c r="BH278" i="65"/>
  <c r="BI278" i="65"/>
  <c r="BG278" i="65"/>
  <c r="I143" i="65"/>
  <c r="I130" i="65"/>
  <c r="K282" i="65"/>
  <c r="K322" i="65" s="1"/>
  <c r="L335" i="65"/>
  <c r="AH375" i="65"/>
  <c r="L348" i="65"/>
  <c r="CZ361" i="65"/>
  <c r="DE361" i="65"/>
  <c r="DA361" i="65"/>
  <c r="DC361" i="65"/>
  <c r="DD361" i="65"/>
  <c r="DB361" i="65"/>
  <c r="J252" i="65"/>
  <c r="J265" i="65"/>
  <c r="AF292" i="65"/>
  <c r="CR278" i="65"/>
  <c r="CS278" i="65"/>
  <c r="CO278" i="65"/>
  <c r="CP278" i="65"/>
  <c r="CN278" i="65"/>
  <c r="CQ278" i="65"/>
  <c r="AH290" i="65"/>
  <c r="L250" i="65"/>
  <c r="L263" i="65"/>
  <c r="CZ276" i="65"/>
  <c r="DA276" i="65"/>
  <c r="DB276" i="65"/>
  <c r="DC276" i="65"/>
  <c r="DD276" i="65"/>
  <c r="DE276" i="65"/>
  <c r="F108" i="65"/>
  <c r="AB135" i="65"/>
  <c r="F95" i="65"/>
  <c r="BU121" i="65"/>
  <c r="BR121" i="65"/>
  <c r="BQ121" i="65"/>
  <c r="BS121" i="65"/>
  <c r="BT121" i="65"/>
  <c r="BP121" i="65"/>
  <c r="L130" i="65"/>
  <c r="L143" i="65"/>
  <c r="F107" i="65"/>
  <c r="AB134" i="65"/>
  <c r="F94" i="65"/>
  <c r="BU120" i="65"/>
  <c r="BQ120" i="65"/>
  <c r="BP120" i="65"/>
  <c r="BR120" i="65"/>
  <c r="BS120" i="65"/>
  <c r="BT120" i="65"/>
  <c r="J145" i="65"/>
  <c r="J132" i="65"/>
  <c r="F253" i="65"/>
  <c r="F266" i="65"/>
  <c r="AB293" i="65"/>
  <c r="BQ279" i="65"/>
  <c r="BP279" i="65"/>
  <c r="BR279" i="65"/>
  <c r="BS279" i="65"/>
  <c r="BT279" i="65"/>
  <c r="BU279" i="65"/>
  <c r="G116" i="65"/>
  <c r="G156" i="65" s="1"/>
  <c r="T102" i="59"/>
  <c r="K332" i="65"/>
  <c r="AG372" i="65"/>
  <c r="K345" i="65"/>
  <c r="CY358" i="65"/>
  <c r="CU358" i="65"/>
  <c r="K358" i="65" s="1"/>
  <c r="K398" i="65" s="1"/>
  <c r="CW358" i="65"/>
  <c r="CV358" i="65"/>
  <c r="CX358" i="65"/>
  <c r="CT358" i="65"/>
  <c r="J291" i="65"/>
  <c r="J304" i="65"/>
  <c r="AW131" i="65"/>
  <c r="AW117" i="65"/>
  <c r="AW104" i="65"/>
  <c r="G144" i="65"/>
  <c r="G131" i="65"/>
  <c r="AW144" i="65"/>
  <c r="AW157" i="65"/>
  <c r="AW91" i="65"/>
  <c r="D38" i="64"/>
  <c r="D39" i="64"/>
  <c r="L384" i="65"/>
  <c r="L371" i="65"/>
  <c r="Z374" i="65"/>
  <c r="D334" i="65"/>
  <c r="D347" i="65"/>
  <c r="BH360" i="65"/>
  <c r="BE360" i="65"/>
  <c r="BD360" i="65"/>
  <c r="BI360" i="65"/>
  <c r="BF360" i="65"/>
  <c r="BG360" i="65"/>
  <c r="J346" i="65"/>
  <c r="AF373" i="65"/>
  <c r="J333" i="65"/>
  <c r="CN359" i="65"/>
  <c r="CO359" i="65"/>
  <c r="CQ359" i="65"/>
  <c r="CR359" i="65"/>
  <c r="CS359" i="65"/>
  <c r="CP359" i="65"/>
  <c r="L304" i="65"/>
  <c r="L291" i="65"/>
  <c r="AA130" i="65"/>
  <c r="E103" i="65"/>
  <c r="E90" i="65"/>
  <c r="BL116" i="65"/>
  <c r="BJ116" i="65"/>
  <c r="BN116" i="65"/>
  <c r="BM116" i="65"/>
  <c r="BK116" i="65"/>
  <c r="BO116" i="65"/>
  <c r="K296" i="65"/>
  <c r="K309" i="65"/>
  <c r="AB213" i="65"/>
  <c r="F173" i="65"/>
  <c r="F186" i="65"/>
  <c r="BS199" i="65"/>
  <c r="BP199" i="65"/>
  <c r="BQ199" i="65"/>
  <c r="BR199" i="65"/>
  <c r="BU199" i="65"/>
  <c r="BT199" i="65"/>
  <c r="AE374" i="65"/>
  <c r="I334" i="65"/>
  <c r="I347" i="65"/>
  <c r="CK360" i="65"/>
  <c r="CI360" i="65"/>
  <c r="CH360" i="65"/>
  <c r="CL360" i="65"/>
  <c r="CM360" i="65"/>
  <c r="CJ360" i="65"/>
  <c r="L389" i="65"/>
  <c r="L376" i="65"/>
  <c r="L254" i="65"/>
  <c r="AH294" i="65"/>
  <c r="L267" i="65"/>
  <c r="DB280" i="65"/>
  <c r="DD280" i="65"/>
  <c r="DE280" i="65"/>
  <c r="DC280" i="65"/>
  <c r="CZ280" i="65"/>
  <c r="L280" i="65" s="1"/>
  <c r="L320" i="65" s="1"/>
  <c r="DA280" i="65"/>
  <c r="I212" i="65"/>
  <c r="I225" i="65"/>
  <c r="G12" i="65"/>
  <c r="AC52" i="65"/>
  <c r="G25" i="65"/>
  <c r="BW38" i="65"/>
  <c r="CA38" i="65"/>
  <c r="BV38" i="65"/>
  <c r="BX38" i="65"/>
  <c r="G38" i="65" s="1"/>
  <c r="G78" i="65" s="1"/>
  <c r="BY38" i="65"/>
  <c r="BZ38" i="65"/>
  <c r="AE50" i="65"/>
  <c r="I23" i="65"/>
  <c r="I10" i="65"/>
  <c r="CJ36" i="65"/>
  <c r="CK36" i="65"/>
  <c r="CL36" i="65"/>
  <c r="CM36" i="65"/>
  <c r="CI36" i="65"/>
  <c r="CH36" i="65"/>
  <c r="AG54" i="65"/>
  <c r="K14" i="65"/>
  <c r="K27" i="65"/>
  <c r="CV40" i="65"/>
  <c r="CT40" i="65"/>
  <c r="CU40" i="65"/>
  <c r="CW40" i="65"/>
  <c r="CX40" i="65"/>
  <c r="CY40" i="65"/>
  <c r="J187" i="65"/>
  <c r="AF214" i="65"/>
  <c r="J174" i="65"/>
  <c r="CR200" i="65"/>
  <c r="CN200" i="65"/>
  <c r="CO200" i="65"/>
  <c r="CS200" i="65"/>
  <c r="CQ200" i="65"/>
  <c r="CP200" i="65"/>
  <c r="J383" i="65"/>
  <c r="J370" i="65"/>
  <c r="J348" i="65"/>
  <c r="J335" i="65"/>
  <c r="AF375" i="65"/>
  <c r="CS361" i="65"/>
  <c r="CN361" i="65"/>
  <c r="CR361" i="65"/>
  <c r="CO361" i="65"/>
  <c r="CP361" i="65"/>
  <c r="CQ361" i="65"/>
  <c r="D146" i="65"/>
  <c r="AT133" i="65"/>
  <c r="AT93" i="65"/>
  <c r="AT146" i="65"/>
  <c r="D133" i="65"/>
  <c r="AT159" i="65"/>
  <c r="AT119" i="65"/>
  <c r="AT106" i="65"/>
  <c r="G173" i="65"/>
  <c r="AC213" i="65"/>
  <c r="G186" i="65"/>
  <c r="BY199" i="65"/>
  <c r="BX199" i="65"/>
  <c r="CA199" i="65"/>
  <c r="BV199" i="65"/>
  <c r="BZ199" i="65"/>
  <c r="BW199" i="65"/>
  <c r="AC293" i="65"/>
  <c r="G253" i="65"/>
  <c r="G266" i="65"/>
  <c r="BZ279" i="65"/>
  <c r="BW279" i="65"/>
  <c r="BX279" i="65"/>
  <c r="CA279" i="65"/>
  <c r="BV279" i="65"/>
  <c r="BY279" i="65"/>
  <c r="AU331" i="65"/>
  <c r="AU397" i="65"/>
  <c r="AU371" i="65"/>
  <c r="AU384" i="65"/>
  <c r="E371" i="65"/>
  <c r="E384" i="65"/>
  <c r="AU344" i="65"/>
  <c r="AU357" i="65"/>
  <c r="G356" i="65"/>
  <c r="G396" i="65" s="1"/>
  <c r="AF294" i="65"/>
  <c r="J267" i="65"/>
  <c r="J254" i="65"/>
  <c r="CO280" i="65"/>
  <c r="CN280" i="65"/>
  <c r="CP280" i="65"/>
  <c r="CS280" i="65"/>
  <c r="CQ280" i="65"/>
  <c r="CR280" i="65"/>
  <c r="T57" i="59"/>
  <c r="E357" i="65"/>
  <c r="E397" i="65" s="1"/>
  <c r="K304" i="65"/>
  <c r="K291" i="65"/>
  <c r="D357" i="65"/>
  <c r="D397" i="65" s="1"/>
  <c r="H225" i="65"/>
  <c r="H212" i="65"/>
  <c r="D53" i="64"/>
  <c r="Z372" i="65"/>
  <c r="D332" i="65"/>
  <c r="D345" i="65"/>
  <c r="BE358" i="65"/>
  <c r="BD358" i="65"/>
  <c r="D358" i="65" s="1"/>
  <c r="D398" i="65" s="1"/>
  <c r="BG358" i="65"/>
  <c r="BF358" i="65"/>
  <c r="BI358" i="65"/>
  <c r="BH358" i="65"/>
  <c r="AA373" i="65"/>
  <c r="E346" i="65"/>
  <c r="E333" i="65"/>
  <c r="BJ359" i="65"/>
  <c r="BK359" i="65"/>
  <c r="BL359" i="65"/>
  <c r="BM359" i="65"/>
  <c r="BN359" i="65"/>
  <c r="BO359" i="65"/>
  <c r="D268" i="65"/>
  <c r="Z295" i="65"/>
  <c r="D255" i="65"/>
  <c r="BD281" i="65"/>
  <c r="BF281" i="65"/>
  <c r="BI281" i="65"/>
  <c r="BH281" i="65"/>
  <c r="BE281" i="65"/>
  <c r="BG281" i="65"/>
  <c r="K356" i="65"/>
  <c r="K396" i="65" s="1"/>
  <c r="H121" i="65"/>
  <c r="H161" i="65" s="1"/>
  <c r="H216" i="65"/>
  <c r="H229" i="65"/>
  <c r="G252" i="65"/>
  <c r="AC292" i="65"/>
  <c r="G265" i="65"/>
  <c r="BY278" i="65"/>
  <c r="BV278" i="65"/>
  <c r="BZ278" i="65"/>
  <c r="BW278" i="65"/>
  <c r="CA278" i="65"/>
  <c r="BX278" i="65"/>
  <c r="F28" i="65"/>
  <c r="AB55" i="65"/>
  <c r="F15" i="65"/>
  <c r="BU41" i="65"/>
  <c r="BT41" i="65"/>
  <c r="BP41" i="65"/>
  <c r="BS41" i="65"/>
  <c r="BR41" i="65"/>
  <c r="BQ41" i="65"/>
  <c r="AB52" i="65"/>
  <c r="F25" i="65"/>
  <c r="F12" i="65"/>
  <c r="BR38" i="65"/>
  <c r="BT38" i="65"/>
  <c r="BU38" i="65"/>
  <c r="BP38" i="65"/>
  <c r="BS38" i="65"/>
  <c r="BQ38" i="65"/>
  <c r="I14" i="65"/>
  <c r="I27" i="65"/>
  <c r="AE54" i="65"/>
  <c r="CK40" i="65"/>
  <c r="CL40" i="65"/>
  <c r="CM40" i="65"/>
  <c r="CJ40" i="65"/>
  <c r="CH40" i="65"/>
  <c r="CI40" i="65"/>
  <c r="AB294" i="65"/>
  <c r="F254" i="65"/>
  <c r="F267" i="65"/>
  <c r="BU280" i="65"/>
  <c r="BQ280" i="65"/>
  <c r="BS280" i="65"/>
  <c r="BT280" i="65"/>
  <c r="BP280" i="65"/>
  <c r="BR280" i="65"/>
  <c r="D309" i="65"/>
  <c r="AT269" i="65"/>
  <c r="AT282" i="65"/>
  <c r="AT256" i="65"/>
  <c r="AT322" i="65"/>
  <c r="AT296" i="65"/>
  <c r="AT309" i="65"/>
  <c r="D296" i="65"/>
  <c r="E175" i="65"/>
  <c r="E188" i="65"/>
  <c r="AA215" i="65"/>
  <c r="BM201" i="65"/>
  <c r="BJ201" i="65"/>
  <c r="BK201" i="65"/>
  <c r="E201" i="65" s="1"/>
  <c r="E241" i="65" s="1"/>
  <c r="BO201" i="65"/>
  <c r="BL201" i="65"/>
  <c r="BN201" i="65"/>
  <c r="K197" i="65"/>
  <c r="K237" i="65" s="1"/>
  <c r="I252" i="65"/>
  <c r="I265" i="65"/>
  <c r="AE292" i="65"/>
  <c r="CH278" i="65"/>
  <c r="I278" i="65" s="1"/>
  <c r="I318" i="65" s="1"/>
  <c r="CL278" i="65"/>
  <c r="CI278" i="65"/>
  <c r="CM278" i="65"/>
  <c r="CJ278" i="65"/>
  <c r="CK278" i="65"/>
  <c r="F383" i="65"/>
  <c r="F370" i="65"/>
  <c r="AV330" i="65"/>
  <c r="AV396" i="65"/>
  <c r="AV356" i="65"/>
  <c r="AV370" i="65"/>
  <c r="AV383" i="65"/>
  <c r="AV343" i="65"/>
  <c r="E268" i="65"/>
  <c r="E255" i="65"/>
  <c r="AA295" i="65"/>
  <c r="BM281" i="65"/>
  <c r="BL281" i="65"/>
  <c r="BO281" i="65"/>
  <c r="BJ281" i="65"/>
  <c r="BN281" i="65"/>
  <c r="BK281" i="65"/>
  <c r="U34" i="52"/>
  <c r="AG294" i="65"/>
  <c r="K254" i="65"/>
  <c r="K267" i="65"/>
  <c r="CT280" i="65"/>
  <c r="CV280" i="65"/>
  <c r="K280" i="65" s="1"/>
  <c r="K320" i="65" s="1"/>
  <c r="CX280" i="65"/>
  <c r="CW280" i="65"/>
  <c r="CU280" i="65"/>
  <c r="CY280" i="65"/>
  <c r="T109" i="38"/>
  <c r="T103" i="38" s="1"/>
  <c r="U111" i="38"/>
  <c r="U114" i="38"/>
  <c r="F53" i="65"/>
  <c r="F66" i="65"/>
  <c r="AV13" i="65"/>
  <c r="AV39" i="65"/>
  <c r="AV66" i="65"/>
  <c r="AV79" i="65"/>
  <c r="AV26" i="65"/>
  <c r="AV53" i="65"/>
  <c r="S59" i="59"/>
  <c r="S56" i="59"/>
  <c r="S60" i="59" s="1"/>
  <c r="R54" i="59"/>
  <c r="R51" i="59" s="1"/>
  <c r="D119" i="65"/>
  <c r="D159" i="65" s="1"/>
  <c r="I370" i="65"/>
  <c r="I383" i="65"/>
  <c r="H202" i="65"/>
  <c r="H242" i="65" s="1"/>
  <c r="AT156" i="65"/>
  <c r="AT103" i="65"/>
  <c r="AT90" i="65"/>
  <c r="AT143" i="65"/>
  <c r="AT130" i="65"/>
  <c r="AT116" i="65"/>
  <c r="D143" i="65"/>
  <c r="D130" i="65"/>
  <c r="AB375" i="65"/>
  <c r="F335" i="65"/>
  <c r="F348" i="65"/>
  <c r="BR361" i="65"/>
  <c r="BP361" i="65"/>
  <c r="BT361" i="65"/>
  <c r="BS361" i="65"/>
  <c r="BU361" i="65"/>
  <c r="BQ361" i="65"/>
  <c r="G121" i="65"/>
  <c r="G161" i="65" s="1"/>
  <c r="AC372" i="65"/>
  <c r="G345" i="65"/>
  <c r="G332" i="65"/>
  <c r="BV358" i="65"/>
  <c r="G358" i="65" s="1"/>
  <c r="G398" i="65" s="1"/>
  <c r="BZ358" i="65"/>
  <c r="BY358" i="65"/>
  <c r="CA358" i="65"/>
  <c r="BX358" i="65"/>
  <c r="BW358" i="65"/>
  <c r="D117" i="65"/>
  <c r="D157" i="65" s="1"/>
  <c r="J225" i="65"/>
  <c r="J212" i="65"/>
  <c r="L119" i="65"/>
  <c r="L159" i="65" s="1"/>
  <c r="AD215" i="65"/>
  <c r="H175" i="65"/>
  <c r="H188" i="65"/>
  <c r="CB201" i="65"/>
  <c r="CE201" i="65"/>
  <c r="CG201" i="65"/>
  <c r="CC201" i="65"/>
  <c r="CF201" i="65"/>
  <c r="CD201" i="65"/>
  <c r="F212" i="65"/>
  <c r="F225" i="65"/>
  <c r="AV225" i="65"/>
  <c r="AV172" i="65"/>
  <c r="AV212" i="65"/>
  <c r="AV238" i="65"/>
  <c r="AV198" i="65"/>
  <c r="AV185" i="65"/>
  <c r="G304" i="65"/>
  <c r="G291" i="65"/>
  <c r="AW277" i="65"/>
  <c r="AW291" i="65"/>
  <c r="AW264" i="65"/>
  <c r="AW251" i="65"/>
  <c r="AW317" i="65"/>
  <c r="AW304" i="65"/>
  <c r="G122" i="65"/>
  <c r="G162" i="65" s="1"/>
  <c r="G229" i="65"/>
  <c r="G216" i="65"/>
  <c r="U64" i="38"/>
  <c r="U67" i="38"/>
  <c r="D162" i="63"/>
  <c r="AF131" i="65"/>
  <c r="J104" i="65"/>
  <c r="J91" i="65"/>
  <c r="CO117" i="65"/>
  <c r="CP117" i="65"/>
  <c r="CN117" i="65"/>
  <c r="CS117" i="65"/>
  <c r="CQ117" i="65"/>
  <c r="CR117" i="65"/>
  <c r="AF50" i="65"/>
  <c r="J23" i="65"/>
  <c r="J10" i="65"/>
  <c r="CP36" i="65"/>
  <c r="CO36" i="65"/>
  <c r="CS36" i="65"/>
  <c r="CN36" i="65"/>
  <c r="CR36" i="65"/>
  <c r="CQ36" i="65"/>
  <c r="G13" i="65"/>
  <c r="AC53" i="65"/>
  <c r="G26" i="65"/>
  <c r="BZ39" i="65"/>
  <c r="CA39" i="65"/>
  <c r="BY39" i="65"/>
  <c r="BW39" i="65"/>
  <c r="G39" i="65" s="1"/>
  <c r="G79" i="65" s="1"/>
  <c r="BV39" i="65"/>
  <c r="BX39" i="65"/>
  <c r="J16" i="65"/>
  <c r="AF56" i="65"/>
  <c r="J29" i="65"/>
  <c r="CR42" i="65"/>
  <c r="CN42" i="65"/>
  <c r="CP42" i="65"/>
  <c r="CQ42" i="65"/>
  <c r="CO42" i="65"/>
  <c r="CS42" i="65"/>
  <c r="L252" i="65"/>
  <c r="L265" i="65"/>
  <c r="AH292" i="65"/>
  <c r="DD278" i="65"/>
  <c r="DE278" i="65"/>
  <c r="DB278" i="65"/>
  <c r="DC278" i="65"/>
  <c r="CZ278" i="65"/>
  <c r="DA278" i="65"/>
  <c r="F362" i="65"/>
  <c r="F402" i="65" s="1"/>
  <c r="G187" i="65"/>
  <c r="AC214" i="65"/>
  <c r="G174" i="65"/>
  <c r="CA200" i="65"/>
  <c r="BV200" i="65"/>
  <c r="BX200" i="65"/>
  <c r="BY200" i="65"/>
  <c r="BW200" i="65"/>
  <c r="BZ200" i="65"/>
  <c r="D277" i="65"/>
  <c r="D317" i="65" s="1"/>
  <c r="D135" i="65"/>
  <c r="D148" i="65"/>
  <c r="L360" i="65"/>
  <c r="L400" i="65" s="1"/>
  <c r="I384" i="65"/>
  <c r="I371" i="65"/>
  <c r="S12" i="59"/>
  <c r="S15" i="59" s="1"/>
  <c r="R10" i="59"/>
  <c r="R7" i="59" s="1"/>
  <c r="S14" i="59"/>
  <c r="V112" i="38"/>
  <c r="V115" i="38"/>
  <c r="D147" i="65"/>
  <c r="D134" i="65"/>
  <c r="H384" i="65"/>
  <c r="H371" i="65"/>
  <c r="AX344" i="65"/>
  <c r="AX384" i="65"/>
  <c r="AX397" i="65"/>
  <c r="AX371" i="65"/>
  <c r="AX331" i="65"/>
  <c r="AX357" i="65"/>
  <c r="E263" i="65"/>
  <c r="E250" i="65"/>
  <c r="AA290" i="65"/>
  <c r="BO276" i="65"/>
  <c r="BM276" i="65"/>
  <c r="BK276" i="65"/>
  <c r="BN276" i="65"/>
  <c r="BL276" i="65"/>
  <c r="BJ276" i="65"/>
  <c r="E253" i="65"/>
  <c r="E266" i="65"/>
  <c r="AA293" i="65"/>
  <c r="BM279" i="65"/>
  <c r="BK279" i="65"/>
  <c r="BN279" i="65"/>
  <c r="BO279" i="65"/>
  <c r="BJ279" i="65"/>
  <c r="BL279" i="65"/>
  <c r="D119" i="64"/>
  <c r="D127" i="64" s="1"/>
  <c r="D147" i="61"/>
  <c r="D174" i="65"/>
  <c r="Z214" i="65"/>
  <c r="D187" i="65"/>
  <c r="BH200" i="65"/>
  <c r="BI200" i="65"/>
  <c r="BE200" i="65"/>
  <c r="BG200" i="65"/>
  <c r="BF200" i="65"/>
  <c r="BD200" i="65"/>
  <c r="O99" i="46"/>
  <c r="O96" i="46" s="1"/>
  <c r="P101" i="46"/>
  <c r="P105" i="46" s="1"/>
  <c r="P104" i="46"/>
  <c r="H362" i="65"/>
  <c r="H402" i="65" s="1"/>
  <c r="R19" i="59"/>
  <c r="R19" i="46"/>
  <c r="S13" i="33"/>
  <c r="S7" i="33" s="1"/>
  <c r="T15" i="33"/>
  <c r="T18" i="33" s="1"/>
  <c r="T17" i="33"/>
  <c r="AG214" i="65"/>
  <c r="K187" i="65"/>
  <c r="K174" i="65"/>
  <c r="CX200" i="65"/>
  <c r="CT200" i="65"/>
  <c r="CU200" i="65"/>
  <c r="CW200" i="65"/>
  <c r="CV200" i="65"/>
  <c r="CY200" i="65"/>
  <c r="H333" i="65"/>
  <c r="AD373" i="65"/>
  <c r="H346" i="65"/>
  <c r="CD359" i="65"/>
  <c r="CB359" i="65"/>
  <c r="CE359" i="65"/>
  <c r="CF359" i="65"/>
  <c r="CG359" i="65"/>
  <c r="CC359" i="65"/>
  <c r="C67" i="61"/>
  <c r="D67" i="61" s="1"/>
  <c r="D65" i="61"/>
  <c r="D63" i="61"/>
  <c r="D66" i="61"/>
  <c r="K225" i="65"/>
  <c r="K212" i="65"/>
  <c r="L36" i="65"/>
  <c r="L76" i="65" s="1"/>
  <c r="G175" i="65"/>
  <c r="AC215" i="65"/>
  <c r="G188" i="65"/>
  <c r="BW201" i="65"/>
  <c r="BZ201" i="65"/>
  <c r="BX201" i="65"/>
  <c r="BY201" i="65"/>
  <c r="CA201" i="65"/>
  <c r="BV201" i="65"/>
  <c r="G201" i="65" s="1"/>
  <c r="G241" i="65" s="1"/>
  <c r="E37" i="65"/>
  <c r="E77" i="65" s="1"/>
  <c r="S61" i="38"/>
  <c r="S55" i="38" s="1"/>
  <c r="T63" i="38"/>
  <c r="T66" i="38"/>
  <c r="U79" i="38"/>
  <c r="T77" i="38"/>
  <c r="T71" i="38" s="1"/>
  <c r="U82" i="38"/>
  <c r="D13" i="65"/>
  <c r="Z53" i="65"/>
  <c r="D26" i="65"/>
  <c r="BF39" i="65"/>
  <c r="BE39" i="65"/>
  <c r="BD39" i="65"/>
  <c r="BG39" i="65"/>
  <c r="BI39" i="65"/>
  <c r="BH39" i="65"/>
  <c r="AB50" i="65"/>
  <c r="F23" i="65"/>
  <c r="F10" i="65"/>
  <c r="BS36" i="65"/>
  <c r="BQ36" i="65"/>
  <c r="BT36" i="65"/>
  <c r="BU36" i="65"/>
  <c r="BR36" i="65"/>
  <c r="BP36" i="65"/>
  <c r="K10" i="65"/>
  <c r="AG50" i="65"/>
  <c r="K23" i="65"/>
  <c r="CX36" i="65"/>
  <c r="CY36" i="65"/>
  <c r="CT36" i="65"/>
  <c r="K36" i="65" s="1"/>
  <c r="K76" i="65" s="1"/>
  <c r="CU36" i="65"/>
  <c r="CV36" i="65"/>
  <c r="CW36" i="65"/>
  <c r="D29" i="65"/>
  <c r="D16" i="65"/>
  <c r="Z56" i="65"/>
  <c r="BF42" i="65"/>
  <c r="BG42" i="65"/>
  <c r="BD42" i="65"/>
  <c r="BH42" i="65"/>
  <c r="BI42" i="65"/>
  <c r="BE42" i="65"/>
  <c r="AH213" i="65"/>
  <c r="L173" i="65"/>
  <c r="L186" i="65"/>
  <c r="DD199" i="65"/>
  <c r="DB199" i="65"/>
  <c r="DE199" i="65"/>
  <c r="DC199" i="65"/>
  <c r="CZ199" i="65"/>
  <c r="DA199" i="65"/>
  <c r="W47" i="38"/>
  <c r="V45" i="38"/>
  <c r="V39" i="38" s="1"/>
  <c r="W50" i="38"/>
  <c r="AC294" i="65"/>
  <c r="G267" i="65"/>
  <c r="G254" i="65"/>
  <c r="BV280" i="65"/>
  <c r="BW280" i="65"/>
  <c r="CA280" i="65"/>
  <c r="BZ280" i="65"/>
  <c r="BX280" i="65"/>
  <c r="BY280" i="65"/>
  <c r="O84" i="46"/>
  <c r="O81" i="46" s="1"/>
  <c r="P86" i="46"/>
  <c r="P90" i="46" s="1"/>
  <c r="P89" i="46"/>
  <c r="L50" i="65"/>
  <c r="L63" i="65"/>
  <c r="H296" i="65"/>
  <c r="H309" i="65"/>
  <c r="L149" i="65"/>
  <c r="L136" i="65"/>
  <c r="Q12" i="52"/>
  <c r="Q45" i="46"/>
  <c r="Z294" i="65"/>
  <c r="D254" i="65"/>
  <c r="D267" i="65"/>
  <c r="BH280" i="65"/>
  <c r="BG280" i="65"/>
  <c r="BF280" i="65"/>
  <c r="BD280" i="65"/>
  <c r="BE280" i="65"/>
  <c r="BI280" i="65"/>
  <c r="AB136" i="65"/>
  <c r="F96" i="65"/>
  <c r="F109" i="65"/>
  <c r="BQ122" i="65"/>
  <c r="BT122" i="65"/>
  <c r="BU122" i="65"/>
  <c r="BR122" i="65"/>
  <c r="BS122" i="65"/>
  <c r="BP122" i="65"/>
  <c r="F122" i="65" s="1"/>
  <c r="F162" i="65" s="1"/>
  <c r="AG131" i="65"/>
  <c r="K91" i="65"/>
  <c r="K104" i="65"/>
  <c r="CW117" i="65"/>
  <c r="CX117" i="65"/>
  <c r="CU117" i="65"/>
  <c r="CT117" i="65"/>
  <c r="CV117" i="65"/>
  <c r="CY117" i="65"/>
  <c r="F282" i="65"/>
  <c r="F322" i="65" s="1"/>
  <c r="AH293" i="65"/>
  <c r="L266" i="65"/>
  <c r="L253" i="65"/>
  <c r="DC279" i="65"/>
  <c r="DB279" i="65"/>
  <c r="DA279" i="65"/>
  <c r="DD279" i="65"/>
  <c r="DE279" i="65"/>
  <c r="CZ279" i="65"/>
  <c r="E106" i="65"/>
  <c r="E93" i="65"/>
  <c r="AA133" i="65"/>
  <c r="BM119" i="65"/>
  <c r="BO119" i="65"/>
  <c r="BJ119" i="65"/>
  <c r="BN119" i="65"/>
  <c r="BK119" i="65"/>
  <c r="BL119" i="65"/>
  <c r="G282" i="65"/>
  <c r="G322" i="65" s="1"/>
  <c r="I304" i="65"/>
  <c r="I291" i="65"/>
  <c r="S7" i="52"/>
  <c r="S79" i="46"/>
  <c r="S87" i="46" s="1"/>
  <c r="S109" i="46"/>
  <c r="S117" i="46" s="1"/>
  <c r="S49" i="46"/>
  <c r="S57" i="46" s="1"/>
  <c r="S23" i="52" s="1"/>
  <c r="S28" i="52" s="1"/>
  <c r="S64" i="46"/>
  <c r="S72" i="46" s="1"/>
  <c r="S94" i="46"/>
  <c r="S102" i="46" s="1"/>
  <c r="S34" i="46"/>
  <c r="S42" i="46" s="1"/>
  <c r="S22" i="52" s="1"/>
  <c r="S27" i="52" s="1"/>
  <c r="S27" i="46"/>
  <c r="S21" i="52" s="1"/>
  <c r="S26" i="52" s="1"/>
  <c r="K92" i="65"/>
  <c r="AG132" i="65"/>
  <c r="K105" i="65"/>
  <c r="CX118" i="65"/>
  <c r="CU118" i="65"/>
  <c r="CT118" i="65"/>
  <c r="CY118" i="65"/>
  <c r="CW118" i="65"/>
  <c r="CV118" i="65"/>
  <c r="K346" i="65"/>
  <c r="K333" i="65"/>
  <c r="AG373" i="65"/>
  <c r="CX359" i="65"/>
  <c r="CV359" i="65"/>
  <c r="CT359" i="65"/>
  <c r="CU359" i="65"/>
  <c r="CW359" i="65"/>
  <c r="CY359" i="65"/>
  <c r="H224" i="65"/>
  <c r="H211" i="65"/>
  <c r="AF372" i="65"/>
  <c r="J332" i="65"/>
  <c r="J345" i="65"/>
  <c r="CQ358" i="65"/>
  <c r="CN358" i="65"/>
  <c r="CR358" i="65"/>
  <c r="CO358" i="65"/>
  <c r="CP358" i="65"/>
  <c r="CS358" i="65"/>
  <c r="G120" i="65"/>
  <c r="G160" i="65" s="1"/>
  <c r="AX143" i="65"/>
  <c r="AX90" i="65"/>
  <c r="AX103" i="65"/>
  <c r="AX130" i="65"/>
  <c r="H130" i="65"/>
  <c r="AX156" i="65"/>
  <c r="AX116" i="65"/>
  <c r="H143" i="65"/>
  <c r="E356" i="65"/>
  <c r="E396" i="65" s="1"/>
  <c r="AV277" i="65"/>
  <c r="AV251" i="65"/>
  <c r="AV291" i="65"/>
  <c r="AV264" i="65"/>
  <c r="AV317" i="65"/>
  <c r="F291" i="65"/>
  <c r="AV304" i="65"/>
  <c r="F304" i="65"/>
  <c r="I174" i="65"/>
  <c r="I187" i="65"/>
  <c r="AE214" i="65"/>
  <c r="CI200" i="65"/>
  <c r="CJ200" i="65"/>
  <c r="CM200" i="65"/>
  <c r="CH200" i="65"/>
  <c r="CK200" i="65"/>
  <c r="CL200" i="65"/>
  <c r="V80" i="38"/>
  <c r="V83" i="38"/>
  <c r="J25" i="65"/>
  <c r="J12" i="65"/>
  <c r="AF52" i="65"/>
  <c r="CS38" i="65"/>
  <c r="CN38" i="65"/>
  <c r="CP38" i="65"/>
  <c r="CQ38" i="65"/>
  <c r="CR38" i="65"/>
  <c r="CO38" i="65"/>
  <c r="I28" i="65"/>
  <c r="AE55" i="65"/>
  <c r="I15" i="65"/>
  <c r="CI41" i="65"/>
  <c r="CL41" i="65"/>
  <c r="CK41" i="65"/>
  <c r="CH41" i="65"/>
  <c r="I41" i="65" s="1"/>
  <c r="I81" i="65" s="1"/>
  <c r="CJ41" i="65"/>
  <c r="CM41" i="65"/>
  <c r="AD53" i="65"/>
  <c r="H13" i="65"/>
  <c r="H26" i="65"/>
  <c r="CE39" i="65"/>
  <c r="CF39" i="65"/>
  <c r="CG39" i="65"/>
  <c r="CB39" i="65"/>
  <c r="CD39" i="65"/>
  <c r="CC39" i="65"/>
  <c r="AC56" i="65"/>
  <c r="G29" i="65"/>
  <c r="G16" i="65"/>
  <c r="BX42" i="65"/>
  <c r="BY42" i="65"/>
  <c r="CA42" i="65"/>
  <c r="BZ42" i="65"/>
  <c r="BV42" i="65"/>
  <c r="BW42" i="65"/>
  <c r="I255" i="65"/>
  <c r="I268" i="65"/>
  <c r="AE295" i="65"/>
  <c r="CM281" i="65"/>
  <c r="CH281" i="65"/>
  <c r="CJ281" i="65"/>
  <c r="CL281" i="65"/>
  <c r="CK281" i="65"/>
  <c r="CI281" i="65"/>
  <c r="X48" i="38"/>
  <c r="X51" i="38"/>
  <c r="E335" i="65"/>
  <c r="E348" i="65"/>
  <c r="AA375" i="65"/>
  <c r="BN361" i="65"/>
  <c r="BM361" i="65"/>
  <c r="BO361" i="65"/>
  <c r="BJ361" i="65"/>
  <c r="BL361" i="65"/>
  <c r="BK361" i="65"/>
  <c r="G309" i="65"/>
  <c r="G296" i="65"/>
  <c r="D173" i="65"/>
  <c r="Z213" i="65"/>
  <c r="D186" i="65"/>
  <c r="BG199" i="65"/>
  <c r="BD199" i="65"/>
  <c r="BF199" i="65"/>
  <c r="BE199" i="65"/>
  <c r="BH199" i="65"/>
  <c r="BI199" i="65"/>
  <c r="E198" i="65"/>
  <c r="E238" i="65" s="1"/>
  <c r="E197" i="65"/>
  <c r="E237" i="65" s="1"/>
  <c r="L387" i="65"/>
  <c r="L374" i="65"/>
  <c r="D213" i="65" l="1"/>
  <c r="AT186" i="65"/>
  <c r="D226" i="65"/>
  <c r="AT239" i="65"/>
  <c r="AT213" i="65"/>
  <c r="AT199" i="65"/>
  <c r="AT173" i="65"/>
  <c r="AT226" i="65"/>
  <c r="E375" i="65"/>
  <c r="AU361" i="65"/>
  <c r="AU401" i="65"/>
  <c r="E388" i="65"/>
  <c r="AU335" i="65"/>
  <c r="AU348" i="65"/>
  <c r="AU375" i="65"/>
  <c r="AU388" i="65"/>
  <c r="K144" i="65"/>
  <c r="K131" i="65"/>
  <c r="J69" i="65"/>
  <c r="J56" i="65"/>
  <c r="E308" i="65"/>
  <c r="E295" i="65"/>
  <c r="AU308" i="65"/>
  <c r="AU281" i="65"/>
  <c r="AU321" i="65"/>
  <c r="AU295" i="65"/>
  <c r="AU268" i="65"/>
  <c r="AU255" i="65"/>
  <c r="D281" i="65"/>
  <c r="D321" i="65" s="1"/>
  <c r="G226" i="65"/>
  <c r="G213" i="65"/>
  <c r="J388" i="65"/>
  <c r="J375" i="65"/>
  <c r="I387" i="65"/>
  <c r="I374" i="65"/>
  <c r="F293" i="65"/>
  <c r="F306" i="65"/>
  <c r="AV293" i="65"/>
  <c r="AV279" i="65"/>
  <c r="AV253" i="65"/>
  <c r="AV319" i="65"/>
  <c r="AV306" i="65"/>
  <c r="AV266" i="65"/>
  <c r="J278" i="65"/>
  <c r="J318" i="65" s="1"/>
  <c r="F67" i="65"/>
  <c r="F54" i="65"/>
  <c r="D386" i="65"/>
  <c r="D373" i="65"/>
  <c r="AT373" i="65"/>
  <c r="AT359" i="65"/>
  <c r="AT386" i="65"/>
  <c r="AT399" i="65"/>
  <c r="AT333" i="65"/>
  <c r="AT346" i="65"/>
  <c r="I361" i="65"/>
  <c r="I401" i="65" s="1"/>
  <c r="L200" i="65"/>
  <c r="L240" i="65" s="1"/>
  <c r="H50" i="65"/>
  <c r="H63" i="65"/>
  <c r="AX23" i="65"/>
  <c r="AX50" i="65"/>
  <c r="AX63" i="65"/>
  <c r="AX76" i="65"/>
  <c r="AX10" i="65"/>
  <c r="AX36" i="65"/>
  <c r="K306" i="65"/>
  <c r="K293" i="65"/>
  <c r="AU358" i="65"/>
  <c r="AU398" i="65"/>
  <c r="AU332" i="65"/>
  <c r="AU385" i="65"/>
  <c r="AU345" i="65"/>
  <c r="E372" i="65"/>
  <c r="E385" i="65"/>
  <c r="AU372" i="65"/>
  <c r="J199" i="65"/>
  <c r="J239" i="65" s="1"/>
  <c r="G360" i="65"/>
  <c r="G400" i="65" s="1"/>
  <c r="S93" i="38"/>
  <c r="S87" i="38" s="1"/>
  <c r="T95" i="38"/>
  <c r="T98" i="38"/>
  <c r="H54" i="65"/>
  <c r="H67" i="65"/>
  <c r="K130" i="65"/>
  <c r="K143" i="65"/>
  <c r="E226" i="65"/>
  <c r="AU239" i="65"/>
  <c r="AU199" i="65"/>
  <c r="AU173" i="65"/>
  <c r="E213" i="65"/>
  <c r="AU213" i="65"/>
  <c r="AU186" i="65"/>
  <c r="AU226" i="65"/>
  <c r="L201" i="65"/>
  <c r="L241" i="65" s="1"/>
  <c r="S117" i="59"/>
  <c r="H361" i="65"/>
  <c r="H401" i="65" s="1"/>
  <c r="N99" i="46"/>
  <c r="N96" i="46" s="1"/>
  <c r="O101" i="46"/>
  <c r="O105" i="46" s="1"/>
  <c r="O104" i="46"/>
  <c r="L278" i="65"/>
  <c r="L318" i="65" s="1"/>
  <c r="H215" i="65"/>
  <c r="H228" i="65"/>
  <c r="I292" i="65"/>
  <c r="I305" i="65"/>
  <c r="F52" i="65"/>
  <c r="F65" i="65"/>
  <c r="AV65" i="65"/>
  <c r="AV38" i="65"/>
  <c r="AV52" i="65"/>
  <c r="AV25" i="65"/>
  <c r="AV12" i="65"/>
  <c r="AV78" i="65"/>
  <c r="G279" i="65"/>
  <c r="G319" i="65" s="1"/>
  <c r="AT265" i="65"/>
  <c r="AT305" i="65"/>
  <c r="AT278" i="65"/>
  <c r="AT252" i="65"/>
  <c r="D292" i="65"/>
  <c r="D305" i="65"/>
  <c r="AT318" i="65"/>
  <c r="AT292" i="65"/>
  <c r="E200" i="65"/>
  <c r="E240" i="65" s="1"/>
  <c r="F386" i="65"/>
  <c r="AV399" i="65"/>
  <c r="AV346" i="65"/>
  <c r="F373" i="65"/>
  <c r="AV373" i="65"/>
  <c r="AV386" i="65"/>
  <c r="AV333" i="65"/>
  <c r="AV359" i="65"/>
  <c r="J360" i="65"/>
  <c r="J400" i="65" s="1"/>
  <c r="I119" i="65"/>
  <c r="I159" i="65" s="1"/>
  <c r="J40" i="65"/>
  <c r="J80" i="65" s="1"/>
  <c r="K65" i="65"/>
  <c r="K52" i="65"/>
  <c r="J41" i="65"/>
  <c r="J81" i="65" s="1"/>
  <c r="H279" i="65"/>
  <c r="H319" i="65" s="1"/>
  <c r="D81" i="61"/>
  <c r="D204" i="61"/>
  <c r="D87" i="61" s="1"/>
  <c r="D100" i="64" s="1"/>
  <c r="D102" i="64" s="1"/>
  <c r="AV105" i="65"/>
  <c r="AV132" i="65"/>
  <c r="F145" i="65"/>
  <c r="AV92" i="65"/>
  <c r="AV158" i="65"/>
  <c r="AV118" i="65"/>
  <c r="AV145" i="65"/>
  <c r="F132" i="65"/>
  <c r="E73" i="64"/>
  <c r="K281" i="65"/>
  <c r="K321" i="65" s="1"/>
  <c r="J147" i="65"/>
  <c r="J134" i="65"/>
  <c r="R14" i="59"/>
  <c r="Q10" i="59"/>
  <c r="Q7" i="59" s="1"/>
  <c r="R12" i="59"/>
  <c r="R15" i="59" s="1"/>
  <c r="R56" i="59"/>
  <c r="R60" i="59" s="1"/>
  <c r="Q54" i="59"/>
  <c r="Q51" i="59" s="1"/>
  <c r="R59" i="59"/>
  <c r="I40" i="65"/>
  <c r="I80" i="65" s="1"/>
  <c r="G292" i="65"/>
  <c r="AW252" i="65"/>
  <c r="G305" i="65"/>
  <c r="AW292" i="65"/>
  <c r="AW318" i="65"/>
  <c r="AW265" i="65"/>
  <c r="AW305" i="65"/>
  <c r="AW278" i="65"/>
  <c r="J280" i="65"/>
  <c r="J320" i="65" s="1"/>
  <c r="J214" i="65"/>
  <c r="J227" i="65"/>
  <c r="F147" i="65"/>
  <c r="F134" i="65"/>
  <c r="R29" i="59"/>
  <c r="R26" i="59"/>
  <c r="R30" i="59" s="1"/>
  <c r="Q24" i="59"/>
  <c r="Q21" i="59" s="1"/>
  <c r="F133" i="65"/>
  <c r="F146" i="65"/>
  <c r="I148" i="65"/>
  <c r="I135" i="65"/>
  <c r="J53" i="65"/>
  <c r="J66" i="65"/>
  <c r="I388" i="65"/>
  <c r="I375" i="65"/>
  <c r="G361" i="65"/>
  <c r="G401" i="65" s="1"/>
  <c r="I118" i="65"/>
  <c r="I158" i="65" s="1"/>
  <c r="J201" i="65"/>
  <c r="J241" i="65" s="1"/>
  <c r="C196" i="63"/>
  <c r="D36" i="65"/>
  <c r="D76" i="65" s="1"/>
  <c r="F200" i="65"/>
  <c r="F240" i="65" s="1"/>
  <c r="D107" i="64"/>
  <c r="E120" i="65"/>
  <c r="E160" i="65" s="1"/>
  <c r="F69" i="65"/>
  <c r="F56" i="65"/>
  <c r="L51" i="65"/>
  <c r="L64" i="65"/>
  <c r="R116" i="59"/>
  <c r="R120" i="59" s="1"/>
  <c r="Q114" i="59"/>
  <c r="Q111" i="59" s="1"/>
  <c r="R119" i="59"/>
  <c r="H52" i="65"/>
  <c r="H65" i="65"/>
  <c r="E305" i="65"/>
  <c r="AU305" i="65"/>
  <c r="AU265" i="65"/>
  <c r="E292" i="65"/>
  <c r="AU278" i="65"/>
  <c r="AU292" i="65"/>
  <c r="AU252" i="65"/>
  <c r="AU318" i="65"/>
  <c r="L56" i="65"/>
  <c r="L69" i="65"/>
  <c r="AV250" i="65"/>
  <c r="AV290" i="65"/>
  <c r="AV276" i="65"/>
  <c r="AV263" i="65"/>
  <c r="AV303" i="65"/>
  <c r="F290" i="65"/>
  <c r="AV316" i="65"/>
  <c r="F303" i="65"/>
  <c r="E293" i="65"/>
  <c r="AU279" i="65"/>
  <c r="AU306" i="65"/>
  <c r="AU253" i="65"/>
  <c r="AU266" i="65"/>
  <c r="AU319" i="65"/>
  <c r="AU293" i="65"/>
  <c r="E306" i="65"/>
  <c r="J50" i="65"/>
  <c r="J63" i="65"/>
  <c r="F148" i="65"/>
  <c r="F135" i="65"/>
  <c r="J276" i="65"/>
  <c r="J316" i="65" s="1"/>
  <c r="J279" i="65"/>
  <c r="J319" i="65" s="1"/>
  <c r="K278" i="65"/>
  <c r="K318" i="65" s="1"/>
  <c r="U43" i="33"/>
  <c r="U37" i="33" s="1"/>
  <c r="V45" i="33"/>
  <c r="V48" i="33" s="1"/>
  <c r="V47" i="33"/>
  <c r="I117" i="65"/>
  <c r="I157" i="65" s="1"/>
  <c r="I37" i="65"/>
  <c r="I77" i="65" s="1"/>
  <c r="I359" i="65"/>
  <c r="I399" i="65" s="1"/>
  <c r="E54" i="65"/>
  <c r="E67" i="65"/>
  <c r="AU14" i="65"/>
  <c r="AU54" i="65"/>
  <c r="AU27" i="65"/>
  <c r="AU67" i="65"/>
  <c r="AU80" i="65"/>
  <c r="AU40" i="65"/>
  <c r="L227" i="65"/>
  <c r="L214" i="65"/>
  <c r="K374" i="65"/>
  <c r="K387" i="65"/>
  <c r="G295" i="65"/>
  <c r="G308" i="65"/>
  <c r="I147" i="65"/>
  <c r="I134" i="65"/>
  <c r="D38" i="65"/>
  <c r="D78" i="65" s="1"/>
  <c r="F116" i="65"/>
  <c r="F156" i="65" s="1"/>
  <c r="D68" i="65"/>
  <c r="D55" i="65"/>
  <c r="I276" i="65"/>
  <c r="I316" i="65" s="1"/>
  <c r="J121" i="65"/>
  <c r="J161" i="65" s="1"/>
  <c r="K276" i="65"/>
  <c r="K316" i="65" s="1"/>
  <c r="F360" i="65"/>
  <c r="F400" i="65" s="1"/>
  <c r="K200" i="65"/>
  <c r="K240" i="65" s="1"/>
  <c r="AT334" i="65"/>
  <c r="AT347" i="65"/>
  <c r="D387" i="65"/>
  <c r="D374" i="65"/>
  <c r="AT387" i="65"/>
  <c r="AT400" i="65"/>
  <c r="AT360" i="65"/>
  <c r="AT374" i="65"/>
  <c r="J292" i="65"/>
  <c r="J305" i="65"/>
  <c r="G54" i="65"/>
  <c r="G67" i="65"/>
  <c r="J306" i="65"/>
  <c r="J293" i="65"/>
  <c r="F308" i="65"/>
  <c r="F295" i="65"/>
  <c r="H295" i="65"/>
  <c r="H308" i="65"/>
  <c r="AU157" i="65"/>
  <c r="E131" i="65"/>
  <c r="AU117" i="65"/>
  <c r="AU91" i="65"/>
  <c r="E144" i="65"/>
  <c r="AU144" i="65"/>
  <c r="AU131" i="65"/>
  <c r="AU104" i="65"/>
  <c r="F51" i="65"/>
  <c r="AV64" i="65"/>
  <c r="AV24" i="65"/>
  <c r="AV51" i="65"/>
  <c r="AV11" i="65"/>
  <c r="AV37" i="65"/>
  <c r="AV77" i="65"/>
  <c r="F64" i="65"/>
  <c r="C135" i="61"/>
  <c r="D118" i="64" s="1"/>
  <c r="D126" i="64" s="1"/>
  <c r="C134" i="61"/>
  <c r="D117" i="64" s="1"/>
  <c r="D125" i="64" s="1"/>
  <c r="D116" i="64"/>
  <c r="D124" i="64" s="1"/>
  <c r="J226" i="65"/>
  <c r="J213" i="65"/>
  <c r="C53" i="64"/>
  <c r="E51" i="64"/>
  <c r="L40" i="65"/>
  <c r="L80" i="65" s="1"/>
  <c r="I39" i="65"/>
  <c r="I79" i="65" s="1"/>
  <c r="F223" i="65"/>
  <c r="F210" i="65"/>
  <c r="AV210" i="65"/>
  <c r="AV170" i="65"/>
  <c r="AV183" i="65"/>
  <c r="AV196" i="65"/>
  <c r="AV223" i="65"/>
  <c r="AV236" i="65"/>
  <c r="E69" i="65"/>
  <c r="E56" i="65"/>
  <c r="AU42" i="65"/>
  <c r="AU56" i="65"/>
  <c r="AU16" i="65"/>
  <c r="AU69" i="65"/>
  <c r="AU29" i="65"/>
  <c r="D39" i="65"/>
  <c r="D79" i="65" s="1"/>
  <c r="G280" i="65"/>
  <c r="G320" i="65" s="1"/>
  <c r="K63" i="65"/>
  <c r="K50" i="65"/>
  <c r="D200" i="65"/>
  <c r="D240" i="65" s="1"/>
  <c r="F41" i="65"/>
  <c r="F81" i="65" s="1"/>
  <c r="AT268" i="65"/>
  <c r="AT308" i="65"/>
  <c r="D295" i="65"/>
  <c r="AT321" i="65"/>
  <c r="AT255" i="65"/>
  <c r="AT295" i="65"/>
  <c r="AT281" i="65"/>
  <c r="D308" i="65"/>
  <c r="I50" i="65"/>
  <c r="I63" i="65"/>
  <c r="AY63" i="65"/>
  <c r="F199" i="65"/>
  <c r="F239" i="65" s="1"/>
  <c r="L276" i="65"/>
  <c r="L316" i="65" s="1"/>
  <c r="J374" i="65"/>
  <c r="J387" i="65"/>
  <c r="I386" i="65"/>
  <c r="I373" i="65"/>
  <c r="G36" i="65"/>
  <c r="G76" i="65" s="1"/>
  <c r="J215" i="65"/>
  <c r="J228" i="65"/>
  <c r="AZ228" i="65"/>
  <c r="H293" i="65"/>
  <c r="H306" i="65"/>
  <c r="C39" i="64"/>
  <c r="E39" i="64" s="1"/>
  <c r="C38" i="64"/>
  <c r="E37" i="64"/>
  <c r="L54" i="65"/>
  <c r="L67" i="65"/>
  <c r="E122" i="65"/>
  <c r="E162" i="65" s="1"/>
  <c r="F143" i="65"/>
  <c r="AV90" i="65"/>
  <c r="AV143" i="65"/>
  <c r="F130" i="65"/>
  <c r="AV130" i="65"/>
  <c r="AV103" i="65"/>
  <c r="AV156" i="65"/>
  <c r="AV116" i="65"/>
  <c r="I290" i="65"/>
  <c r="I303" i="65"/>
  <c r="K66" i="65"/>
  <c r="K53" i="65"/>
  <c r="BA26" i="65"/>
  <c r="BA66" i="65"/>
  <c r="BA79" i="65"/>
  <c r="BA53" i="65"/>
  <c r="BA13" i="65"/>
  <c r="S60" i="33"/>
  <c r="S63" i="33" s="1"/>
  <c r="R58" i="33"/>
  <c r="R52" i="33" s="1"/>
  <c r="S62" i="33"/>
  <c r="J358" i="65"/>
  <c r="J398" i="65" s="1"/>
  <c r="K359" i="65"/>
  <c r="K399" i="65" s="1"/>
  <c r="G69" i="65"/>
  <c r="G56" i="65"/>
  <c r="AW16" i="65"/>
  <c r="AW29" i="65"/>
  <c r="AW82" i="65"/>
  <c r="AW56" i="65"/>
  <c r="AW42" i="65"/>
  <c r="AW69" i="65"/>
  <c r="I200" i="65"/>
  <c r="I240" i="65" s="1"/>
  <c r="L293" i="65"/>
  <c r="L306" i="65"/>
  <c r="E276" i="65"/>
  <c r="E316" i="65" s="1"/>
  <c r="L292" i="65"/>
  <c r="L305" i="65"/>
  <c r="I54" i="65"/>
  <c r="I67" i="65"/>
  <c r="AY14" i="65"/>
  <c r="J294" i="65"/>
  <c r="J307" i="65"/>
  <c r="E116" i="65"/>
  <c r="E156" i="65" s="1"/>
  <c r="K385" i="65"/>
  <c r="K372" i="65"/>
  <c r="E227" i="65"/>
  <c r="E214" i="65"/>
  <c r="AU187" i="65"/>
  <c r="AU240" i="65"/>
  <c r="AU174" i="65"/>
  <c r="AU200" i="65"/>
  <c r="AU214" i="65"/>
  <c r="AU227" i="65"/>
  <c r="K361" i="65"/>
  <c r="K401" i="65" s="1"/>
  <c r="D201" i="65"/>
  <c r="D241" i="65" s="1"/>
  <c r="E121" i="65"/>
  <c r="E161" i="65" s="1"/>
  <c r="I144" i="65"/>
  <c r="I131" i="65"/>
  <c r="E68" i="65"/>
  <c r="E55" i="65"/>
  <c r="AU68" i="65"/>
  <c r="AU41" i="65"/>
  <c r="K37" i="65"/>
  <c r="K77" i="65" s="1"/>
  <c r="AU254" i="65"/>
  <c r="AU307" i="65"/>
  <c r="AU294" i="65"/>
  <c r="AU280" i="65"/>
  <c r="AU320" i="65"/>
  <c r="E307" i="65"/>
  <c r="E294" i="65"/>
  <c r="AU267" i="65"/>
  <c r="AT23" i="65"/>
  <c r="AT36" i="65"/>
  <c r="D50" i="65"/>
  <c r="AT50" i="65"/>
  <c r="D63" i="65"/>
  <c r="AT10" i="65"/>
  <c r="AT76" i="65"/>
  <c r="AT63" i="65"/>
  <c r="G451" i="65"/>
  <c r="AV16" i="65" s="1"/>
  <c r="O71" i="46"/>
  <c r="O75" i="46" s="1"/>
  <c r="N69" i="46"/>
  <c r="N66" i="46" s="1"/>
  <c r="O74" i="46"/>
  <c r="F227" i="65"/>
  <c r="F214" i="65"/>
  <c r="AV187" i="65"/>
  <c r="AV240" i="65"/>
  <c r="AV174" i="65"/>
  <c r="AV200" i="65"/>
  <c r="AV227" i="65"/>
  <c r="G387" i="65"/>
  <c r="G374" i="65"/>
  <c r="K201" i="65"/>
  <c r="K241" i="65" s="1"/>
  <c r="L281" i="65"/>
  <c r="L321" i="65" s="1"/>
  <c r="E36" i="65"/>
  <c r="E76" i="65" s="1"/>
  <c r="AZ121" i="65"/>
  <c r="AZ95" i="65"/>
  <c r="AZ161" i="65"/>
  <c r="J135" i="65"/>
  <c r="J148" i="65"/>
  <c r="K308" i="65"/>
  <c r="K295" i="65"/>
  <c r="H278" i="65"/>
  <c r="H318" i="65" s="1"/>
  <c r="J51" i="65"/>
  <c r="AZ51" i="65"/>
  <c r="AZ64" i="65"/>
  <c r="J64" i="65"/>
  <c r="AZ24" i="65"/>
  <c r="I68" i="65"/>
  <c r="I55" i="65"/>
  <c r="AY55" i="65"/>
  <c r="AY41" i="65"/>
  <c r="AY28" i="65"/>
  <c r="AY68" i="65"/>
  <c r="AY15" i="65"/>
  <c r="AY81" i="65"/>
  <c r="J385" i="65"/>
  <c r="J372" i="65"/>
  <c r="K386" i="65"/>
  <c r="K373" i="65"/>
  <c r="E119" i="65"/>
  <c r="E159" i="65" s="1"/>
  <c r="F36" i="65"/>
  <c r="F76" i="65" s="1"/>
  <c r="D66" i="65"/>
  <c r="D53" i="65"/>
  <c r="AT13" i="65"/>
  <c r="AT66" i="65"/>
  <c r="AT53" i="65"/>
  <c r="AT79" i="65"/>
  <c r="AT39" i="65"/>
  <c r="AT26" i="65"/>
  <c r="G200" i="65"/>
  <c r="G240" i="65" s="1"/>
  <c r="J117" i="65"/>
  <c r="J157" i="65" s="1"/>
  <c r="G463" i="65"/>
  <c r="AV133" i="65" s="1"/>
  <c r="F280" i="65"/>
  <c r="F320" i="65" s="1"/>
  <c r="I201" i="65"/>
  <c r="I241" i="65" s="1"/>
  <c r="J303" i="65"/>
  <c r="J290" i="65"/>
  <c r="I146" i="65"/>
  <c r="I133" i="65"/>
  <c r="AY159" i="65"/>
  <c r="AY119" i="65"/>
  <c r="AY133" i="65"/>
  <c r="AY106" i="65"/>
  <c r="J54" i="65"/>
  <c r="J67" i="65"/>
  <c r="AZ54" i="65"/>
  <c r="AZ67" i="65"/>
  <c r="AZ40" i="65"/>
  <c r="R131" i="59"/>
  <c r="R129" i="59"/>
  <c r="R132" i="59" s="1"/>
  <c r="Q127" i="59"/>
  <c r="Q124" i="59" s="1"/>
  <c r="K305" i="65"/>
  <c r="K292" i="65"/>
  <c r="H276" i="65"/>
  <c r="H316" i="65" s="1"/>
  <c r="H385" i="65"/>
  <c r="H372" i="65"/>
  <c r="G388" i="65"/>
  <c r="G375" i="65"/>
  <c r="I279" i="65"/>
  <c r="I319" i="65" s="1"/>
  <c r="G55" i="65"/>
  <c r="G68" i="65"/>
  <c r="AW68" i="65"/>
  <c r="AW81" i="65"/>
  <c r="AW15" i="65"/>
  <c r="AW28" i="65"/>
  <c r="AW41" i="65"/>
  <c r="AW55" i="65"/>
  <c r="L38" i="65"/>
  <c r="L78" i="65" s="1"/>
  <c r="K199" i="65"/>
  <c r="K239" i="65" s="1"/>
  <c r="E134" i="65"/>
  <c r="E147" i="65"/>
  <c r="AU120" i="65"/>
  <c r="AU147" i="65"/>
  <c r="J116" i="65"/>
  <c r="J156" i="65" s="1"/>
  <c r="AV398" i="65"/>
  <c r="F372" i="65"/>
  <c r="F385" i="65"/>
  <c r="AV332" i="65"/>
  <c r="AV358" i="65"/>
  <c r="AV372" i="65"/>
  <c r="AV385" i="65"/>
  <c r="AV345" i="65"/>
  <c r="K41" i="65"/>
  <c r="K81" i="65" s="1"/>
  <c r="D57" i="64"/>
  <c r="D75" i="64" s="1"/>
  <c r="D132" i="64"/>
  <c r="D133" i="64"/>
  <c r="D141" i="64" s="1"/>
  <c r="D139" i="64"/>
  <c r="M54" i="64"/>
  <c r="L54" i="64"/>
  <c r="Q54" i="64"/>
  <c r="P54" i="64"/>
  <c r="O54" i="64"/>
  <c r="N54" i="64"/>
  <c r="L39" i="65"/>
  <c r="L79" i="65" s="1"/>
  <c r="J308" i="65"/>
  <c r="J295" i="65"/>
  <c r="E39" i="65"/>
  <c r="E79" i="65" s="1"/>
  <c r="L228" i="65"/>
  <c r="L215" i="65"/>
  <c r="BB175" i="65"/>
  <c r="BB241" i="65"/>
  <c r="BB215" i="65"/>
  <c r="BB201" i="65"/>
  <c r="BB228" i="65"/>
  <c r="BB188" i="65"/>
  <c r="K290" i="65"/>
  <c r="K303" i="65"/>
  <c r="K119" i="65"/>
  <c r="K159" i="65" s="1"/>
  <c r="K214" i="65"/>
  <c r="K227" i="65"/>
  <c r="BA240" i="65"/>
  <c r="BA187" i="65"/>
  <c r="BA214" i="65"/>
  <c r="BA174" i="65"/>
  <c r="BA200" i="65"/>
  <c r="BA227" i="65"/>
  <c r="K307" i="65"/>
  <c r="K294" i="65"/>
  <c r="AT345" i="65"/>
  <c r="AT358" i="65"/>
  <c r="AT385" i="65"/>
  <c r="D372" i="65"/>
  <c r="D385" i="65"/>
  <c r="AT332" i="65"/>
  <c r="AT372" i="65"/>
  <c r="AT398" i="65"/>
  <c r="G293" i="65"/>
  <c r="G306" i="65"/>
  <c r="K40" i="65"/>
  <c r="K80" i="65" s="1"/>
  <c r="J359" i="65"/>
  <c r="J399" i="65" s="1"/>
  <c r="E118" i="65"/>
  <c r="E158" i="65" s="1"/>
  <c r="I385" i="65"/>
  <c r="I372" i="65"/>
  <c r="P11" i="52"/>
  <c r="P30" i="46"/>
  <c r="J68" i="65"/>
  <c r="J55" i="65"/>
  <c r="AZ41" i="65"/>
  <c r="AZ28" i="65"/>
  <c r="AZ15" i="65"/>
  <c r="AZ55" i="65"/>
  <c r="AZ81" i="65"/>
  <c r="AZ68" i="65"/>
  <c r="AW10" i="65"/>
  <c r="G63" i="65"/>
  <c r="AW36" i="65"/>
  <c r="AW23" i="65"/>
  <c r="G50" i="65"/>
  <c r="AW63" i="65"/>
  <c r="AW50" i="65"/>
  <c r="AW76" i="65"/>
  <c r="G464" i="65"/>
  <c r="BB227" i="65" s="1"/>
  <c r="C121" i="61"/>
  <c r="D108" i="64"/>
  <c r="D153" i="63"/>
  <c r="C119" i="64"/>
  <c r="AT38" i="65"/>
  <c r="D65" i="65"/>
  <c r="AT12" i="65"/>
  <c r="AT65" i="65"/>
  <c r="AT25" i="65"/>
  <c r="AT52" i="65"/>
  <c r="AT78" i="65"/>
  <c r="D52" i="65"/>
  <c r="W32" i="38"/>
  <c r="W35" i="38"/>
  <c r="C84" i="64"/>
  <c r="E106" i="64"/>
  <c r="H200" i="65"/>
  <c r="H240" i="65" s="1"/>
  <c r="H375" i="65"/>
  <c r="H388" i="65"/>
  <c r="I281" i="65"/>
  <c r="I321" i="65" s="1"/>
  <c r="G215" i="65"/>
  <c r="G228" i="65"/>
  <c r="AW188" i="65"/>
  <c r="AW241" i="65"/>
  <c r="AW215" i="65"/>
  <c r="AW175" i="65"/>
  <c r="H39" i="65"/>
  <c r="H79" i="65" s="1"/>
  <c r="AV149" i="65"/>
  <c r="AV122" i="65"/>
  <c r="AV96" i="65"/>
  <c r="F149" i="65"/>
  <c r="F136" i="65"/>
  <c r="AV109" i="65"/>
  <c r="AV162" i="65"/>
  <c r="D42" i="65"/>
  <c r="D82" i="65" s="1"/>
  <c r="H359" i="65"/>
  <c r="H399" i="65" s="1"/>
  <c r="D214" i="65"/>
  <c r="D227" i="65"/>
  <c r="AT227" i="65"/>
  <c r="AT200" i="65"/>
  <c r="AT240" i="65"/>
  <c r="AT174" i="65"/>
  <c r="AT187" i="65"/>
  <c r="AT214" i="65"/>
  <c r="G66" i="65"/>
  <c r="G53" i="65"/>
  <c r="AW53" i="65"/>
  <c r="AW13" i="65"/>
  <c r="AW39" i="65"/>
  <c r="AW26" i="65"/>
  <c r="AW79" i="65"/>
  <c r="AW66" i="65"/>
  <c r="F361" i="65"/>
  <c r="F401" i="65" s="1"/>
  <c r="F68" i="65"/>
  <c r="F55" i="65"/>
  <c r="AV68" i="65"/>
  <c r="AV41" i="65"/>
  <c r="AV81" i="65"/>
  <c r="AV15" i="65"/>
  <c r="AV55" i="65"/>
  <c r="AV28" i="65"/>
  <c r="AV173" i="65"/>
  <c r="F226" i="65"/>
  <c r="F213" i="65"/>
  <c r="AV213" i="65"/>
  <c r="AV226" i="65"/>
  <c r="AV199" i="65"/>
  <c r="AV239" i="65"/>
  <c r="AV186" i="65"/>
  <c r="D37" i="65"/>
  <c r="D77" i="65" s="1"/>
  <c r="D359" i="65"/>
  <c r="D399" i="65" s="1"/>
  <c r="N24" i="46"/>
  <c r="N21" i="46" s="1"/>
  <c r="O26" i="46"/>
  <c r="O29" i="46"/>
  <c r="H303" i="65"/>
  <c r="H290" i="65"/>
  <c r="AX263" i="65"/>
  <c r="AX303" i="65"/>
  <c r="AX290" i="65"/>
  <c r="AX250" i="65"/>
  <c r="AX276" i="65"/>
  <c r="AX316" i="65"/>
  <c r="F201" i="65"/>
  <c r="F241" i="65" s="1"/>
  <c r="I64" i="65"/>
  <c r="I51" i="65"/>
  <c r="AY11" i="65"/>
  <c r="AY51" i="65"/>
  <c r="AY64" i="65"/>
  <c r="AY24" i="65"/>
  <c r="AY77" i="65"/>
  <c r="AY37" i="65"/>
  <c r="AY132" i="65"/>
  <c r="AY145" i="65"/>
  <c r="AY158" i="65"/>
  <c r="AY92" i="65"/>
  <c r="I145" i="65"/>
  <c r="I132" i="65"/>
  <c r="AY105" i="65"/>
  <c r="AY118" i="65"/>
  <c r="K147" i="65"/>
  <c r="K134" i="65"/>
  <c r="BA147" i="65"/>
  <c r="BA94" i="65"/>
  <c r="BA120" i="65"/>
  <c r="I199" i="65"/>
  <c r="I239" i="65" s="1"/>
  <c r="I42" i="65"/>
  <c r="I82" i="65" s="1"/>
  <c r="E358" i="65"/>
  <c r="E398" i="65" s="1"/>
  <c r="K226" i="65"/>
  <c r="K213" i="65"/>
  <c r="BA199" i="65"/>
  <c r="BA239" i="65"/>
  <c r="BA186" i="65"/>
  <c r="BA173" i="65"/>
  <c r="BA226" i="65"/>
  <c r="BA213" i="65"/>
  <c r="T105" i="33"/>
  <c r="T108" i="33" s="1"/>
  <c r="S103" i="33"/>
  <c r="S97" i="33" s="1"/>
  <c r="T107" i="33"/>
  <c r="H64" i="65"/>
  <c r="H51" i="65"/>
  <c r="AX37" i="65"/>
  <c r="AX64" i="65"/>
  <c r="AX51" i="65"/>
  <c r="AX77" i="65"/>
  <c r="AX24" i="65"/>
  <c r="AX11" i="65"/>
  <c r="L358" i="65"/>
  <c r="L398" i="65" s="1"/>
  <c r="U29" i="38"/>
  <c r="U23" i="38" s="1"/>
  <c r="V31" i="38"/>
  <c r="V34" i="38"/>
  <c r="AV252" i="65"/>
  <c r="AV318" i="65"/>
  <c r="AV278" i="65"/>
  <c r="F305" i="65"/>
  <c r="AV305" i="65"/>
  <c r="F292" i="65"/>
  <c r="AV292" i="65"/>
  <c r="AV265" i="65"/>
  <c r="E147" i="64"/>
  <c r="C131" i="64"/>
  <c r="C149" i="64"/>
  <c r="Q39" i="59"/>
  <c r="Q36" i="59" s="1"/>
  <c r="R41" i="59"/>
  <c r="R45" i="59" s="1"/>
  <c r="R44" i="59"/>
  <c r="H40" i="65"/>
  <c r="H80" i="65" s="1"/>
  <c r="I53" i="65"/>
  <c r="I66" i="65"/>
  <c r="AY13" i="65"/>
  <c r="AY53" i="65"/>
  <c r="AY79" i="65"/>
  <c r="AY66" i="65"/>
  <c r="AY26" i="65"/>
  <c r="AY39" i="65"/>
  <c r="N10" i="46"/>
  <c r="N7" i="46" s="1"/>
  <c r="O12" i="46"/>
  <c r="O15" i="46" s="1"/>
  <c r="O14" i="46"/>
  <c r="H199" i="65"/>
  <c r="H239" i="65" s="1"/>
  <c r="H305" i="65"/>
  <c r="H292" i="65"/>
  <c r="G359" i="65"/>
  <c r="G399" i="65" s="1"/>
  <c r="K117" i="65"/>
  <c r="K157" i="65" s="1"/>
  <c r="E143" i="65"/>
  <c r="AU143" i="65"/>
  <c r="AU116" i="65"/>
  <c r="AU130" i="65"/>
  <c r="E130" i="65"/>
  <c r="AU156" i="65"/>
  <c r="AU90" i="65"/>
  <c r="AU103" i="65"/>
  <c r="J373" i="65"/>
  <c r="J386" i="65"/>
  <c r="D215" i="65"/>
  <c r="D228" i="65"/>
  <c r="AT175" i="65"/>
  <c r="AT228" i="65"/>
  <c r="AT188" i="65"/>
  <c r="AT241" i="65"/>
  <c r="AT201" i="65"/>
  <c r="AT215" i="65"/>
  <c r="G468" i="65"/>
  <c r="AY387" i="65" s="1"/>
  <c r="BA96" i="65"/>
  <c r="BA122" i="65"/>
  <c r="BA109" i="65"/>
  <c r="K136" i="65"/>
  <c r="BA162" i="65"/>
  <c r="K149" i="65"/>
  <c r="S75" i="33"/>
  <c r="S78" i="33" s="1"/>
  <c r="R73" i="33"/>
  <c r="R67" i="33" s="1"/>
  <c r="S77" i="33"/>
  <c r="R74" i="59"/>
  <c r="R71" i="59"/>
  <c r="R75" i="59" s="1"/>
  <c r="Q69" i="59"/>
  <c r="Q66" i="59" s="1"/>
  <c r="H42" i="65"/>
  <c r="H82" i="65" s="1"/>
  <c r="E360" i="65"/>
  <c r="E400" i="65" s="1"/>
  <c r="D146" i="61"/>
  <c r="D145" i="61"/>
  <c r="AZ90" i="65"/>
  <c r="AZ116" i="65"/>
  <c r="J143" i="65"/>
  <c r="J130" i="65"/>
  <c r="AZ103" i="65"/>
  <c r="AZ156" i="65"/>
  <c r="I38" i="65"/>
  <c r="I78" i="65" s="1"/>
  <c r="D276" i="65"/>
  <c r="D316" i="65" s="1"/>
  <c r="K68" i="65"/>
  <c r="K55" i="65"/>
  <c r="BA81" i="65"/>
  <c r="BA28" i="65"/>
  <c r="BA68" i="65"/>
  <c r="BA55" i="65"/>
  <c r="BA41" i="65"/>
  <c r="BA15" i="65"/>
  <c r="I122" i="65"/>
  <c r="I162" i="65" s="1"/>
  <c r="J122" i="65"/>
  <c r="J162" i="65" s="1"/>
  <c r="H41" i="65"/>
  <c r="H81" i="65" s="1"/>
  <c r="E199" i="65"/>
  <c r="E239" i="65" s="1"/>
  <c r="S27" i="59"/>
  <c r="AV347" i="65"/>
  <c r="AV360" i="65"/>
  <c r="F374" i="65"/>
  <c r="AV387" i="65"/>
  <c r="AV374" i="65"/>
  <c r="AV400" i="65"/>
  <c r="AV334" i="65"/>
  <c r="F387" i="65"/>
  <c r="K133" i="65"/>
  <c r="K146" i="65"/>
  <c r="BA133" i="65"/>
  <c r="BA106" i="65"/>
  <c r="BA119" i="65"/>
  <c r="BA146" i="65"/>
  <c r="BA159" i="65"/>
  <c r="H360" i="65"/>
  <c r="H400" i="65" s="1"/>
  <c r="G42" i="65"/>
  <c r="G82" i="65" s="1"/>
  <c r="BB186" i="65"/>
  <c r="BB226" i="65"/>
  <c r="L213" i="65"/>
  <c r="BB173" i="65"/>
  <c r="L226" i="65"/>
  <c r="BB213" i="65"/>
  <c r="BB239" i="65"/>
  <c r="BB199" i="65"/>
  <c r="G294" i="65"/>
  <c r="G307" i="65"/>
  <c r="I295" i="65"/>
  <c r="I308" i="65"/>
  <c r="AY308" i="65"/>
  <c r="AY321" i="65"/>
  <c r="AY281" i="65"/>
  <c r="W48" i="38"/>
  <c r="W51" i="38"/>
  <c r="D69" i="65"/>
  <c r="D56" i="65"/>
  <c r="AT56" i="65"/>
  <c r="AT29" i="65"/>
  <c r="AT16" i="65"/>
  <c r="AT42" i="65"/>
  <c r="AT82" i="65"/>
  <c r="AT69" i="65"/>
  <c r="T79" i="38"/>
  <c r="S77" i="38"/>
  <c r="S71" i="38" s="1"/>
  <c r="T82" i="38"/>
  <c r="Q19" i="59"/>
  <c r="Q19" i="46"/>
  <c r="S15" i="33"/>
  <c r="S18" i="33" s="1"/>
  <c r="R13" i="33"/>
  <c r="R7" i="33" s="1"/>
  <c r="S17" i="33"/>
  <c r="J36" i="65"/>
  <c r="J76" i="65" s="1"/>
  <c r="E215" i="65"/>
  <c r="E228" i="65"/>
  <c r="AU188" i="65"/>
  <c r="AU201" i="65"/>
  <c r="AU241" i="65"/>
  <c r="AU215" i="65"/>
  <c r="AU175" i="65"/>
  <c r="AU228" i="65"/>
  <c r="F38" i="65"/>
  <c r="F78" i="65" s="1"/>
  <c r="D70" i="64"/>
  <c r="D64" i="64"/>
  <c r="D65" i="64" s="1"/>
  <c r="D55" i="64"/>
  <c r="G199" i="65"/>
  <c r="G239" i="65" s="1"/>
  <c r="I294" i="65"/>
  <c r="I307" i="65"/>
  <c r="I215" i="65"/>
  <c r="I228" i="65"/>
  <c r="AY201" i="65"/>
  <c r="AY228" i="65"/>
  <c r="AY215" i="65"/>
  <c r="AY188" i="65"/>
  <c r="AY175" i="65"/>
  <c r="AY241" i="65"/>
  <c r="AT64" i="65"/>
  <c r="AT24" i="65"/>
  <c r="D51" i="65"/>
  <c r="AT77" i="65"/>
  <c r="AT37" i="65"/>
  <c r="AT11" i="65"/>
  <c r="D64" i="65"/>
  <c r="AT51" i="65"/>
  <c r="AU145" i="65"/>
  <c r="AU118" i="65"/>
  <c r="AU92" i="65"/>
  <c r="AU158" i="65"/>
  <c r="E145" i="65"/>
  <c r="E132" i="65"/>
  <c r="AU132" i="65"/>
  <c r="AU105" i="65"/>
  <c r="D279" i="65"/>
  <c r="D319" i="65" s="1"/>
  <c r="F228" i="65"/>
  <c r="F215" i="65"/>
  <c r="AV228" i="65"/>
  <c r="AV215" i="65"/>
  <c r="AV188" i="65"/>
  <c r="AV175" i="65"/>
  <c r="AV241" i="65"/>
  <c r="AV201" i="65"/>
  <c r="G276" i="65"/>
  <c r="G316" i="65" s="1"/>
  <c r="L359" i="65"/>
  <c r="L399" i="65" s="1"/>
  <c r="H36" i="65"/>
  <c r="H76" i="65" s="1"/>
  <c r="K279" i="65"/>
  <c r="K319" i="65" s="1"/>
  <c r="G281" i="65"/>
  <c r="G321" i="65" s="1"/>
  <c r="AU149" i="65"/>
  <c r="E149" i="65"/>
  <c r="AU162" i="65"/>
  <c r="E136" i="65"/>
  <c r="AU96" i="65"/>
  <c r="AU109" i="65"/>
  <c r="AU136" i="65"/>
  <c r="AU122" i="65"/>
  <c r="C89" i="63"/>
  <c r="C88" i="63"/>
  <c r="C92" i="63" s="1"/>
  <c r="C171" i="63" s="1"/>
  <c r="L295" i="65"/>
  <c r="BB295" i="65"/>
  <c r="L308" i="65"/>
  <c r="BB308" i="65"/>
  <c r="BB321" i="65"/>
  <c r="BB281" i="65"/>
  <c r="P13" i="52"/>
  <c r="P60" i="46"/>
  <c r="H227" i="65"/>
  <c r="H214" i="65"/>
  <c r="AX200" i="65"/>
  <c r="AX214" i="65"/>
  <c r="AX187" i="65"/>
  <c r="AX227" i="65"/>
  <c r="AX174" i="65"/>
  <c r="AX240" i="65"/>
  <c r="E53" i="65"/>
  <c r="E66" i="65"/>
  <c r="AU26" i="65"/>
  <c r="AU79" i="65"/>
  <c r="AU39" i="65"/>
  <c r="AU13" i="65"/>
  <c r="AU66" i="65"/>
  <c r="AU53" i="65"/>
  <c r="S72" i="59"/>
  <c r="Q99" i="59"/>
  <c r="Q96" i="59" s="1"/>
  <c r="R104" i="59"/>
  <c r="R101" i="59"/>
  <c r="R105" i="59" s="1"/>
  <c r="K132" i="65"/>
  <c r="K145" i="65"/>
  <c r="BA118" i="65"/>
  <c r="BA105" i="65"/>
  <c r="BA92" i="65"/>
  <c r="BA158" i="65"/>
  <c r="BA132" i="65"/>
  <c r="BA145" i="65"/>
  <c r="AT280" i="65"/>
  <c r="D294" i="65"/>
  <c r="AT254" i="65"/>
  <c r="D307" i="65"/>
  <c r="AT294" i="65"/>
  <c r="AT267" i="65"/>
  <c r="AT320" i="65"/>
  <c r="AT307" i="65"/>
  <c r="S33" i="52"/>
  <c r="J38" i="65"/>
  <c r="J78" i="65" s="1"/>
  <c r="D280" i="65"/>
  <c r="D320" i="65" s="1"/>
  <c r="L199" i="65"/>
  <c r="L239" i="65" s="1"/>
  <c r="U80" i="38"/>
  <c r="U83" i="38"/>
  <c r="R7" i="52"/>
  <c r="R49" i="46"/>
  <c r="R57" i="46" s="1"/>
  <c r="R23" i="52" s="1"/>
  <c r="R28" i="52" s="1"/>
  <c r="R109" i="46"/>
  <c r="R117" i="46" s="1"/>
  <c r="R64" i="46"/>
  <c r="R72" i="46" s="1"/>
  <c r="R94" i="46"/>
  <c r="R102" i="46" s="1"/>
  <c r="R79" i="46"/>
  <c r="R87" i="46" s="1"/>
  <c r="R34" i="46"/>
  <c r="R42" i="46" s="1"/>
  <c r="R22" i="52" s="1"/>
  <c r="R27" i="52" s="1"/>
  <c r="R27" i="46"/>
  <c r="R21" i="52" s="1"/>
  <c r="R26" i="52" s="1"/>
  <c r="AU290" i="65"/>
  <c r="E290" i="65"/>
  <c r="AU316" i="65"/>
  <c r="AU263" i="65"/>
  <c r="AU250" i="65"/>
  <c r="AU303" i="65"/>
  <c r="AU276" i="65"/>
  <c r="E303" i="65"/>
  <c r="J131" i="65"/>
  <c r="J144" i="65"/>
  <c r="AZ117" i="65"/>
  <c r="AZ91" i="65"/>
  <c r="AZ131" i="65"/>
  <c r="AZ144" i="65"/>
  <c r="AZ157" i="65"/>
  <c r="AZ104" i="65"/>
  <c r="E281" i="65"/>
  <c r="E321" i="65" s="1"/>
  <c r="E359" i="65"/>
  <c r="E399" i="65" s="1"/>
  <c r="J200" i="65"/>
  <c r="J240" i="65" s="1"/>
  <c r="K54" i="65"/>
  <c r="K67" i="65"/>
  <c r="BA27" i="65"/>
  <c r="BA54" i="65"/>
  <c r="BA67" i="65"/>
  <c r="BA14" i="65"/>
  <c r="BA80" i="65"/>
  <c r="BA40" i="65"/>
  <c r="I360" i="65"/>
  <c r="I400" i="65" s="1"/>
  <c r="L361" i="65"/>
  <c r="L401" i="65" s="1"/>
  <c r="K388" i="65"/>
  <c r="K375" i="65"/>
  <c r="BA335" i="65"/>
  <c r="BA388" i="65"/>
  <c r="F40" i="65"/>
  <c r="F80" i="65" s="1"/>
  <c r="K42" i="65"/>
  <c r="K82" i="65" s="1"/>
  <c r="S90" i="33"/>
  <c r="S93" i="33" s="1"/>
  <c r="R88" i="33"/>
  <c r="R82" i="33" s="1"/>
  <c r="S92" i="33"/>
  <c r="I226" i="65"/>
  <c r="I213" i="65"/>
  <c r="AY226" i="65"/>
  <c r="AY186" i="65"/>
  <c r="AY199" i="65"/>
  <c r="AY173" i="65"/>
  <c r="AY213" i="65"/>
  <c r="AY239" i="65"/>
  <c r="I120" i="65"/>
  <c r="I160" i="65" s="1"/>
  <c r="BA228" i="65"/>
  <c r="K228" i="65"/>
  <c r="K215" i="65"/>
  <c r="BA201" i="65"/>
  <c r="BA241" i="65"/>
  <c r="BA215" i="65"/>
  <c r="BA188" i="65"/>
  <c r="BA175" i="65"/>
  <c r="R89" i="59"/>
  <c r="R86" i="59"/>
  <c r="R90" i="59" s="1"/>
  <c r="Q84" i="59"/>
  <c r="Q81" i="59" s="1"/>
  <c r="O56" i="46"/>
  <c r="N54" i="46"/>
  <c r="N51" i="46" s="1"/>
  <c r="O59" i="46"/>
  <c r="AY162" i="65"/>
  <c r="AY149" i="65"/>
  <c r="I136" i="65"/>
  <c r="I149" i="65"/>
  <c r="AY109" i="65"/>
  <c r="AY96" i="65"/>
  <c r="AY122" i="65"/>
  <c r="AY136" i="65"/>
  <c r="L42" i="65"/>
  <c r="L82" i="65" s="1"/>
  <c r="AU50" i="65"/>
  <c r="AU36" i="65"/>
  <c r="E63" i="65"/>
  <c r="AU23" i="65"/>
  <c r="E50" i="65"/>
  <c r="AU63" i="65"/>
  <c r="AU10" i="65"/>
  <c r="AU76" i="65"/>
  <c r="D361" i="65"/>
  <c r="D401" i="65" s="1"/>
  <c r="AZ162" i="65"/>
  <c r="AZ122" i="65"/>
  <c r="J149" i="65"/>
  <c r="AZ96" i="65"/>
  <c r="AZ136" i="65"/>
  <c r="J136" i="65"/>
  <c r="AZ109" i="65"/>
  <c r="AZ149" i="65"/>
  <c r="J120" i="65"/>
  <c r="J160" i="65" s="1"/>
  <c r="O129" i="46"/>
  <c r="O132" i="46" s="1"/>
  <c r="N127" i="46"/>
  <c r="N124" i="46" s="1"/>
  <c r="O131" i="46"/>
  <c r="S87" i="59"/>
  <c r="S32" i="52"/>
  <c r="S29" i="52"/>
  <c r="S35" i="52" s="1"/>
  <c r="AU106" i="65"/>
  <c r="AU146" i="65"/>
  <c r="E146" i="65"/>
  <c r="E133" i="65"/>
  <c r="AU119" i="65"/>
  <c r="AU159" i="65"/>
  <c r="AU93" i="65"/>
  <c r="AU133" i="65"/>
  <c r="V47" i="38"/>
  <c r="U45" i="38"/>
  <c r="U39" i="38" s="1"/>
  <c r="V50" i="38"/>
  <c r="R109" i="59"/>
  <c r="R117" i="59" s="1"/>
  <c r="R34" i="59"/>
  <c r="R49" i="59"/>
  <c r="R57" i="59" s="1"/>
  <c r="R79" i="59"/>
  <c r="R64" i="59"/>
  <c r="R94" i="59"/>
  <c r="G227" i="65"/>
  <c r="G214" i="65"/>
  <c r="AW187" i="65"/>
  <c r="AW227" i="65"/>
  <c r="AW174" i="65"/>
  <c r="AW240" i="65"/>
  <c r="AW214" i="65"/>
  <c r="AW200" i="65"/>
  <c r="J42" i="65"/>
  <c r="J82" i="65" s="1"/>
  <c r="G278" i="65"/>
  <c r="G318" i="65" s="1"/>
  <c r="I36" i="65"/>
  <c r="I76" i="65" s="1"/>
  <c r="G52" i="65"/>
  <c r="G65" i="65"/>
  <c r="AW52" i="65"/>
  <c r="AW65" i="65"/>
  <c r="AW25" i="65"/>
  <c r="AW78" i="65"/>
  <c r="AW12" i="65"/>
  <c r="AW38" i="65"/>
  <c r="BB290" i="65"/>
  <c r="L303" i="65"/>
  <c r="L290" i="65"/>
  <c r="D278" i="65"/>
  <c r="D318" i="65" s="1"/>
  <c r="O116" i="46"/>
  <c r="O120" i="46" s="1"/>
  <c r="N114" i="46"/>
  <c r="N111" i="46" s="1"/>
  <c r="O119" i="46"/>
  <c r="G40" i="65"/>
  <c r="G80" i="65" s="1"/>
  <c r="F359" i="65"/>
  <c r="F399" i="65" s="1"/>
  <c r="E135" i="65"/>
  <c r="E148" i="65"/>
  <c r="AU161" i="65"/>
  <c r="AU135" i="65"/>
  <c r="AU108" i="65"/>
  <c r="AU121" i="65"/>
  <c r="AU148" i="65"/>
  <c r="AU95" i="65"/>
  <c r="P12" i="52"/>
  <c r="P45" i="46"/>
  <c r="L373" i="65"/>
  <c r="L386" i="65"/>
  <c r="BB399" i="65"/>
  <c r="BB333" i="65"/>
  <c r="BB346" i="65"/>
  <c r="BB386" i="65"/>
  <c r="BB359" i="65"/>
  <c r="H56" i="65"/>
  <c r="H69" i="65"/>
  <c r="AX29" i="65"/>
  <c r="AX16" i="65"/>
  <c r="AX82" i="65"/>
  <c r="AX42" i="65"/>
  <c r="AX56" i="65"/>
  <c r="AX69" i="65"/>
  <c r="E117" i="65"/>
  <c r="E157" i="65" s="1"/>
  <c r="AU334" i="65"/>
  <c r="AU347" i="65"/>
  <c r="AU374" i="65"/>
  <c r="AU387" i="65"/>
  <c r="AU400" i="65"/>
  <c r="E387" i="65"/>
  <c r="E374" i="65"/>
  <c r="AU360" i="65"/>
  <c r="I69" i="65"/>
  <c r="I56" i="65"/>
  <c r="AY16" i="65"/>
  <c r="AY82" i="65"/>
  <c r="AY69" i="65"/>
  <c r="AY42" i="65"/>
  <c r="AY56" i="65"/>
  <c r="AY29" i="65"/>
  <c r="L52" i="65"/>
  <c r="L65" i="65"/>
  <c r="BB52" i="65"/>
  <c r="BB78" i="65"/>
  <c r="BB25" i="65"/>
  <c r="BB38" i="65"/>
  <c r="BB12" i="65"/>
  <c r="BB65" i="65"/>
  <c r="U28" i="33"/>
  <c r="U22" i="33" s="1"/>
  <c r="V30" i="33"/>
  <c r="V33" i="33" s="1"/>
  <c r="V32" i="33"/>
  <c r="S8" i="52"/>
  <c r="S34" i="52" s="1"/>
  <c r="U16" i="38"/>
  <c r="U19" i="38"/>
  <c r="I65" i="65"/>
  <c r="I52" i="65"/>
  <c r="AY65" i="65"/>
  <c r="AY52" i="65"/>
  <c r="AY12" i="65"/>
  <c r="AY25" i="65"/>
  <c r="AY38" i="65"/>
  <c r="AY78" i="65"/>
  <c r="G37" i="65"/>
  <c r="G77" i="65" s="1"/>
  <c r="H38" i="65"/>
  <c r="H78" i="65" s="1"/>
  <c r="C129" i="63"/>
  <c r="D84" i="63"/>
  <c r="C148" i="64"/>
  <c r="E148" i="64" s="1"/>
  <c r="D170" i="63"/>
  <c r="D146" i="63"/>
  <c r="D147" i="63" s="1"/>
  <c r="D149" i="63" s="1"/>
  <c r="D159" i="63"/>
  <c r="C216" i="63"/>
  <c r="C136" i="63"/>
  <c r="C115" i="64" s="1"/>
  <c r="C123" i="64" s="1"/>
  <c r="C133" i="63"/>
  <c r="C137" i="63"/>
  <c r="C130" i="63"/>
  <c r="D160" i="63"/>
  <c r="D161" i="63"/>
  <c r="D67" i="63"/>
  <c r="C69" i="63"/>
  <c r="D69" i="63" s="1"/>
  <c r="D68" i="63"/>
  <c r="D64" i="63"/>
  <c r="D66" i="63"/>
  <c r="F118" i="65"/>
  <c r="F158" i="65" s="1"/>
  <c r="K39" i="65"/>
  <c r="K79" i="65" s="1"/>
  <c r="L66" i="65"/>
  <c r="L53" i="65"/>
  <c r="BB26" i="65"/>
  <c r="BB66" i="65"/>
  <c r="BB39" i="65"/>
  <c r="BB13" i="65"/>
  <c r="BB53" i="65"/>
  <c r="BB79" i="65"/>
  <c r="H226" i="65"/>
  <c r="H213" i="65"/>
  <c r="AX226" i="65"/>
  <c r="AX199" i="65"/>
  <c r="AX213" i="65"/>
  <c r="AX186" i="65"/>
  <c r="AX239" i="65"/>
  <c r="AX173" i="65"/>
  <c r="S102" i="59"/>
  <c r="H374" i="65"/>
  <c r="H387" i="65"/>
  <c r="AX387" i="65"/>
  <c r="AX347" i="65"/>
  <c r="AX400" i="65"/>
  <c r="AX360" i="65"/>
  <c r="AX334" i="65"/>
  <c r="AX374" i="65"/>
  <c r="G372" i="65"/>
  <c r="G385" i="65"/>
  <c r="AW398" i="65"/>
  <c r="AW332" i="65"/>
  <c r="AW358" i="65"/>
  <c r="AW345" i="65"/>
  <c r="AW372" i="65"/>
  <c r="AW385" i="65"/>
  <c r="E361" i="65"/>
  <c r="E401" i="65" s="1"/>
  <c r="D199" i="65"/>
  <c r="D239" i="65" s="1"/>
  <c r="L279" i="65"/>
  <c r="L319" i="65" s="1"/>
  <c r="T64" i="38"/>
  <c r="T67" i="38"/>
  <c r="H386" i="65"/>
  <c r="H373" i="65"/>
  <c r="AX399" i="65"/>
  <c r="AX373" i="65"/>
  <c r="AX333" i="65"/>
  <c r="AX386" i="65"/>
  <c r="AX346" i="65"/>
  <c r="AX359" i="65"/>
  <c r="E279" i="65"/>
  <c r="E319" i="65" s="1"/>
  <c r="H201" i="65"/>
  <c r="H241" i="65" s="1"/>
  <c r="AV375" i="65"/>
  <c r="AV388" i="65"/>
  <c r="AV401" i="65"/>
  <c r="AV335" i="65"/>
  <c r="AV348" i="65"/>
  <c r="F375" i="65"/>
  <c r="F388" i="65"/>
  <c r="U112" i="38"/>
  <c r="U115" i="38"/>
  <c r="F307" i="65"/>
  <c r="F294" i="65"/>
  <c r="AV307" i="65"/>
  <c r="AV320" i="65"/>
  <c r="AV267" i="65"/>
  <c r="AV254" i="65"/>
  <c r="AV280" i="65"/>
  <c r="AV294" i="65"/>
  <c r="J361" i="65"/>
  <c r="J401" i="65" s="1"/>
  <c r="L307" i="65"/>
  <c r="L294" i="65"/>
  <c r="BB254" i="65"/>
  <c r="BB320" i="65"/>
  <c r="BB307" i="65"/>
  <c r="BB294" i="65"/>
  <c r="BB280" i="65"/>
  <c r="BB267" i="65"/>
  <c r="F279" i="65"/>
  <c r="F319" i="65" s="1"/>
  <c r="F120" i="65"/>
  <c r="F160" i="65" s="1"/>
  <c r="L375" i="65"/>
  <c r="L388" i="65"/>
  <c r="BB348" i="65"/>
  <c r="BB361" i="65"/>
  <c r="BB335" i="65"/>
  <c r="BB401" i="65"/>
  <c r="J39" i="65"/>
  <c r="J79" i="65" s="1"/>
  <c r="AT266" i="65"/>
  <c r="D293" i="65"/>
  <c r="AT306" i="65"/>
  <c r="D306" i="65"/>
  <c r="AT253" i="65"/>
  <c r="AT279" i="65"/>
  <c r="AT319" i="65"/>
  <c r="AT293" i="65"/>
  <c r="H280" i="65"/>
  <c r="H320" i="65" s="1"/>
  <c r="K69" i="65"/>
  <c r="K56" i="65"/>
  <c r="BA29" i="65"/>
  <c r="BA56" i="65"/>
  <c r="BA42" i="65"/>
  <c r="BA69" i="65"/>
  <c r="BA16" i="65"/>
  <c r="G290" i="65"/>
  <c r="AW250" i="65"/>
  <c r="G303" i="65"/>
  <c r="AW290" i="65"/>
  <c r="AW276" i="65"/>
  <c r="AW316" i="65"/>
  <c r="AW263" i="65"/>
  <c r="AW303" i="65"/>
  <c r="N39" i="46"/>
  <c r="N36" i="46" s="1"/>
  <c r="O41" i="46"/>
  <c r="O44" i="46"/>
  <c r="I293" i="65"/>
  <c r="I306" i="65"/>
  <c r="AY293" i="65"/>
  <c r="AY279" i="65"/>
  <c r="AY266" i="65"/>
  <c r="AY253" i="65"/>
  <c r="AY306" i="65"/>
  <c r="AY319" i="65"/>
  <c r="K64" i="65"/>
  <c r="K51" i="65"/>
  <c r="BA11" i="65"/>
  <c r="BA64" i="65"/>
  <c r="BA37" i="65"/>
  <c r="BA24" i="65"/>
  <c r="BA51" i="65"/>
  <c r="BA77" i="65"/>
  <c r="F281" i="65"/>
  <c r="F321" i="65" s="1"/>
  <c r="H281" i="65"/>
  <c r="H321" i="65" s="1"/>
  <c r="S13" i="38"/>
  <c r="S7" i="38" s="1"/>
  <c r="T15" i="38"/>
  <c r="T18" i="38"/>
  <c r="F42" i="65"/>
  <c r="F82" i="65" s="1"/>
  <c r="AT303" i="65"/>
  <c r="AT276" i="65"/>
  <c r="D290" i="65"/>
  <c r="D303" i="65"/>
  <c r="AT263" i="65"/>
  <c r="AT250" i="65"/>
  <c r="AT316" i="65"/>
  <c r="AT290" i="65"/>
  <c r="G467" i="65"/>
  <c r="AY305" i="65" s="1"/>
  <c r="L385" i="65"/>
  <c r="L372" i="65"/>
  <c r="BB345" i="65"/>
  <c r="BB372" i="65"/>
  <c r="BB332" i="65"/>
  <c r="BB358" i="65"/>
  <c r="BB385" i="65"/>
  <c r="BB398" i="65"/>
  <c r="E278" i="65"/>
  <c r="E318" i="65" s="1"/>
  <c r="D41" i="65"/>
  <c r="D81" i="65" s="1"/>
  <c r="F196" i="65"/>
  <c r="F236" i="65" s="1"/>
  <c r="F276" i="65"/>
  <c r="F316" i="65" s="1"/>
  <c r="S57" i="59"/>
  <c r="C84" i="61"/>
  <c r="C85" i="61"/>
  <c r="I227" i="65"/>
  <c r="I214" i="65"/>
  <c r="AY240" i="65"/>
  <c r="AY187" i="65"/>
  <c r="AY200" i="65"/>
  <c r="AY227" i="65"/>
  <c r="AY174" i="65"/>
  <c r="AY214" i="65"/>
  <c r="K118" i="65"/>
  <c r="K158" i="65" s="1"/>
  <c r="H66" i="65"/>
  <c r="H53" i="65"/>
  <c r="AX26" i="65"/>
  <c r="AX66" i="65"/>
  <c r="AX39" i="65"/>
  <c r="AX53" i="65"/>
  <c r="AX79" i="65"/>
  <c r="AX13" i="65"/>
  <c r="J65" i="65"/>
  <c r="J52" i="65"/>
  <c r="AZ25" i="65"/>
  <c r="AZ78" i="65"/>
  <c r="AZ12" i="65"/>
  <c r="AZ65" i="65"/>
  <c r="AZ38" i="65"/>
  <c r="AZ52" i="65"/>
  <c r="O86" i="46"/>
  <c r="O90" i="46" s="1"/>
  <c r="N84" i="46"/>
  <c r="N81" i="46" s="1"/>
  <c r="O89" i="46"/>
  <c r="AV36" i="65"/>
  <c r="AV10" i="65"/>
  <c r="AV50" i="65"/>
  <c r="F63" i="65"/>
  <c r="F50" i="65"/>
  <c r="AV63" i="65"/>
  <c r="AV23" i="65"/>
  <c r="AV76" i="65"/>
  <c r="R61" i="38"/>
  <c r="R55" i="38" s="1"/>
  <c r="S63" i="38"/>
  <c r="S66" i="38"/>
  <c r="T111" i="38"/>
  <c r="S109" i="38"/>
  <c r="S103" i="38" s="1"/>
  <c r="T114" i="38"/>
  <c r="AU399" i="65"/>
  <c r="AU386" i="65"/>
  <c r="E373" i="65"/>
  <c r="AU333" i="65"/>
  <c r="AU346" i="65"/>
  <c r="E386" i="65"/>
  <c r="AU359" i="65"/>
  <c r="AU373" i="65"/>
  <c r="D360" i="65"/>
  <c r="D400" i="65" s="1"/>
  <c r="F121" i="65"/>
  <c r="F161" i="65" s="1"/>
  <c r="I121" i="65"/>
  <c r="I161" i="65" s="1"/>
  <c r="H307" i="65"/>
  <c r="AX307" i="65"/>
  <c r="AX267" i="65"/>
  <c r="AX320" i="65"/>
  <c r="AX280" i="65"/>
  <c r="H294" i="65"/>
  <c r="AX294" i="65"/>
  <c r="AX254" i="65"/>
  <c r="E40" i="65"/>
  <c r="E80" i="65" s="1"/>
  <c r="K360" i="65"/>
  <c r="K400" i="65" s="1"/>
  <c r="E280" i="65"/>
  <c r="E320" i="65" s="1"/>
  <c r="F37" i="65"/>
  <c r="F77" i="65" s="1"/>
  <c r="C56" i="64"/>
  <c r="G51" i="65"/>
  <c r="G64" i="65"/>
  <c r="AW11" i="65"/>
  <c r="AW77" i="65"/>
  <c r="AW64" i="65"/>
  <c r="AW24" i="65"/>
  <c r="AW37" i="65"/>
  <c r="AW51" i="65"/>
  <c r="U96" i="38"/>
  <c r="U99" i="38"/>
  <c r="AT335" i="65"/>
  <c r="D388" i="65"/>
  <c r="D375" i="65"/>
  <c r="AT348" i="65"/>
  <c r="AT375" i="65"/>
  <c r="AT401" i="65"/>
  <c r="AT388" i="65"/>
  <c r="AT361" i="65"/>
  <c r="E42" i="65"/>
  <c r="E82" i="65" s="1"/>
  <c r="H55" i="65"/>
  <c r="H68" i="65"/>
  <c r="AX15" i="65"/>
  <c r="AX28" i="65"/>
  <c r="AX81" i="65"/>
  <c r="AX41" i="65"/>
  <c r="AX55" i="65"/>
  <c r="AX68" i="65"/>
  <c r="AW333" i="65"/>
  <c r="G373" i="65"/>
  <c r="AW359" i="65"/>
  <c r="AW346" i="65"/>
  <c r="G386" i="65"/>
  <c r="AW386" i="65"/>
  <c r="AW399" i="65"/>
  <c r="AW373" i="65"/>
  <c r="S42" i="59"/>
  <c r="R87" i="59" l="1"/>
  <c r="R72" i="59"/>
  <c r="R102" i="59"/>
  <c r="R27" i="59"/>
  <c r="D89" i="63"/>
  <c r="C108" i="64" s="1"/>
  <c r="D88" i="63"/>
  <c r="D85" i="63"/>
  <c r="Q109" i="59"/>
  <c r="Q34" i="59"/>
  <c r="Q49" i="59"/>
  <c r="Q79" i="59"/>
  <c r="Q64" i="59"/>
  <c r="Q94" i="59"/>
  <c r="AX265" i="65"/>
  <c r="V32" i="38"/>
  <c r="V35" i="38"/>
  <c r="AW319" i="65"/>
  <c r="BA267" i="65"/>
  <c r="BA303" i="65"/>
  <c r="AZ321" i="65"/>
  <c r="D136" i="64"/>
  <c r="D144" i="64" s="1"/>
  <c r="D134" i="64"/>
  <c r="D142" i="64" s="1"/>
  <c r="D135" i="64"/>
  <c r="D143" i="64" s="1"/>
  <c r="D140" i="64"/>
  <c r="AW401" i="65"/>
  <c r="BA265" i="65"/>
  <c r="AZ250" i="65"/>
  <c r="AZ358" i="65"/>
  <c r="AZ320" i="65"/>
  <c r="BB265" i="65"/>
  <c r="AZ374" i="65"/>
  <c r="AZ63" i="65"/>
  <c r="BB11" i="65"/>
  <c r="D85" i="64"/>
  <c r="AZ66" i="65"/>
  <c r="AV119" i="65"/>
  <c r="AV160" i="65"/>
  <c r="D148" i="61"/>
  <c r="D86" i="61"/>
  <c r="D97" i="64" s="1"/>
  <c r="D99" i="64" s="1"/>
  <c r="D85" i="61"/>
  <c r="D84" i="61"/>
  <c r="D154" i="61" s="1"/>
  <c r="D93" i="64"/>
  <c r="AX175" i="65"/>
  <c r="AX14" i="65"/>
  <c r="AV27" i="65"/>
  <c r="AW186" i="65"/>
  <c r="AZ56" i="65"/>
  <c r="C132" i="63"/>
  <c r="U30" i="33"/>
  <c r="U33" i="33" s="1"/>
  <c r="T28" i="33"/>
  <c r="T22" i="33" s="1"/>
  <c r="U32" i="33"/>
  <c r="R90" i="33"/>
  <c r="R93" i="33" s="1"/>
  <c r="Q88" i="33"/>
  <c r="Q82" i="33" s="1"/>
  <c r="R92" i="33"/>
  <c r="D71" i="64"/>
  <c r="D77" i="64"/>
  <c r="D78" i="64" s="1"/>
  <c r="D74" i="64"/>
  <c r="D72" i="64"/>
  <c r="AX376" i="65"/>
  <c r="BA331" i="65"/>
  <c r="BB330" i="65"/>
  <c r="AZ371" i="65"/>
  <c r="AZ349" i="65"/>
  <c r="BB334" i="65"/>
  <c r="BA397" i="65"/>
  <c r="AZ397" i="65"/>
  <c r="AV402" i="65"/>
  <c r="AY330" i="65"/>
  <c r="AY336" i="65"/>
  <c r="BA371" i="65"/>
  <c r="BA356" i="65"/>
  <c r="AZ384" i="65"/>
  <c r="AV389" i="65"/>
  <c r="AY343" i="65"/>
  <c r="AY402" i="65"/>
  <c r="BA357" i="65"/>
  <c r="BB396" i="65"/>
  <c r="AZ344" i="65"/>
  <c r="AV349" i="65"/>
  <c r="AX336" i="65"/>
  <c r="BB344" i="65"/>
  <c r="AY396" i="65"/>
  <c r="BB347" i="65"/>
  <c r="BB387" i="65"/>
  <c r="BB374" i="65"/>
  <c r="AY376" i="65"/>
  <c r="BA344" i="65"/>
  <c r="AW376" i="65"/>
  <c r="BB356" i="65"/>
  <c r="AZ331" i="65"/>
  <c r="AV362" i="65"/>
  <c r="AX389" i="65"/>
  <c r="AY383" i="65"/>
  <c r="AY384" i="65"/>
  <c r="AY397" i="65"/>
  <c r="BA362" i="65"/>
  <c r="AY349" i="65"/>
  <c r="BA384" i="65"/>
  <c r="AW389" i="65"/>
  <c r="BA330" i="65"/>
  <c r="BB343" i="65"/>
  <c r="AZ357" i="65"/>
  <c r="AV376" i="65"/>
  <c r="AX349" i="65"/>
  <c r="AZ370" i="65"/>
  <c r="AY370" i="65"/>
  <c r="AY331" i="65"/>
  <c r="BA349" i="65"/>
  <c r="AY362" i="65"/>
  <c r="AW349" i="65"/>
  <c r="BA370" i="65"/>
  <c r="BB370" i="65"/>
  <c r="AV336" i="65"/>
  <c r="AX402" i="65"/>
  <c r="BB371" i="65"/>
  <c r="AY356" i="65"/>
  <c r="AY344" i="65"/>
  <c r="BA376" i="65"/>
  <c r="AY389" i="65"/>
  <c r="AW402" i="65"/>
  <c r="BA343" i="65"/>
  <c r="BB383" i="65"/>
  <c r="AX362" i="65"/>
  <c r="BB331" i="65"/>
  <c r="AY357" i="65"/>
  <c r="AW362" i="65"/>
  <c r="BA396" i="65"/>
  <c r="BB384" i="65"/>
  <c r="AZ330" i="65"/>
  <c r="AW336" i="65"/>
  <c r="BA383" i="65"/>
  <c r="BB357" i="65"/>
  <c r="BB349" i="65"/>
  <c r="AZ383" i="65"/>
  <c r="AY371" i="65"/>
  <c r="BA389" i="65"/>
  <c r="BB397" i="65"/>
  <c r="BB376" i="65"/>
  <c r="AZ396" i="65"/>
  <c r="BA402" i="65"/>
  <c r="AZ362" i="65"/>
  <c r="AZ343" i="65"/>
  <c r="BA336" i="65"/>
  <c r="AZ402" i="65"/>
  <c r="BB362" i="65"/>
  <c r="AZ356" i="65"/>
  <c r="AZ336" i="65"/>
  <c r="BB389" i="65"/>
  <c r="AZ389" i="65"/>
  <c r="BB402" i="65"/>
  <c r="AZ376" i="65"/>
  <c r="BB336" i="65"/>
  <c r="BB400" i="65"/>
  <c r="BB360" i="65"/>
  <c r="AX278" i="65"/>
  <c r="U31" i="38"/>
  <c r="T29" i="38"/>
  <c r="T23" i="38" s="1"/>
  <c r="U34" i="38"/>
  <c r="BA280" i="65"/>
  <c r="BA250" i="65"/>
  <c r="AZ295" i="65"/>
  <c r="AW348" i="65"/>
  <c r="BA252" i="65"/>
  <c r="AZ263" i="65"/>
  <c r="AZ254" i="65"/>
  <c r="BB305" i="65"/>
  <c r="AZ400" i="65"/>
  <c r="AV255" i="65"/>
  <c r="AY94" i="65"/>
  <c r="BA400" i="65"/>
  <c r="BB51" i="65"/>
  <c r="AZ53" i="65"/>
  <c r="AV106" i="65"/>
  <c r="AX188" i="65"/>
  <c r="AX80" i="65"/>
  <c r="AV80" i="65"/>
  <c r="AY400" i="65"/>
  <c r="AW239" i="65"/>
  <c r="AZ29" i="65"/>
  <c r="R77" i="38"/>
  <c r="R71" i="38" s="1"/>
  <c r="S79" i="38"/>
  <c r="S82" i="38"/>
  <c r="AY345" i="65"/>
  <c r="BA290" i="65"/>
  <c r="AZ268" i="65"/>
  <c r="AW375" i="65"/>
  <c r="BA292" i="65"/>
  <c r="AZ280" i="65"/>
  <c r="BB252" i="65"/>
  <c r="AZ387" i="65"/>
  <c r="AX321" i="65"/>
  <c r="AZ293" i="65"/>
  <c r="AZ252" i="65"/>
  <c r="AY160" i="65"/>
  <c r="BA387" i="65"/>
  <c r="BB77" i="65"/>
  <c r="AZ39" i="65"/>
  <c r="AV93" i="65"/>
  <c r="AZ120" i="65"/>
  <c r="AX241" i="65"/>
  <c r="AX40" i="65"/>
  <c r="AV54" i="65"/>
  <c r="AY347" i="65"/>
  <c r="AW226" i="65"/>
  <c r="AZ69" i="65"/>
  <c r="T80" i="38"/>
  <c r="T83" i="38"/>
  <c r="P69" i="59"/>
  <c r="P66" i="59" s="1"/>
  <c r="Q74" i="59"/>
  <c r="Q71" i="59"/>
  <c r="Q75" i="59" s="1"/>
  <c r="P39" i="59"/>
  <c r="P36" i="59" s="1"/>
  <c r="Q41" i="59"/>
  <c r="Q45" i="59" s="1"/>
  <c r="Q44" i="59"/>
  <c r="AY398" i="65"/>
  <c r="AW306" i="65"/>
  <c r="BA316" i="65"/>
  <c r="AZ308" i="65"/>
  <c r="AW335" i="65"/>
  <c r="BA318" i="65"/>
  <c r="BA346" i="65"/>
  <c r="AZ135" i="65"/>
  <c r="AZ267" i="65"/>
  <c r="BB292" i="65"/>
  <c r="AX253" i="65"/>
  <c r="AX281" i="65"/>
  <c r="AZ319" i="65"/>
  <c r="AZ292" i="65"/>
  <c r="AY147" i="65"/>
  <c r="BA360" i="65"/>
  <c r="AV121" i="65"/>
  <c r="BB29" i="65"/>
  <c r="AX65" i="65"/>
  <c r="BB37" i="65"/>
  <c r="AZ79" i="65"/>
  <c r="AV159" i="65"/>
  <c r="AZ214" i="65"/>
  <c r="BA78" i="65"/>
  <c r="AX228" i="65"/>
  <c r="AX67" i="65"/>
  <c r="AV14" i="65"/>
  <c r="AY360" i="65"/>
  <c r="AW173" i="65"/>
  <c r="AZ16" i="65"/>
  <c r="AY295" i="65"/>
  <c r="E149" i="64"/>
  <c r="C150" i="64"/>
  <c r="AX335" i="65"/>
  <c r="AY332" i="65"/>
  <c r="AW279" i="65"/>
  <c r="BA320" i="65"/>
  <c r="AZ281" i="65"/>
  <c r="AW361" i="65"/>
  <c r="BA278" i="65"/>
  <c r="BA359" i="65"/>
  <c r="BA268" i="65"/>
  <c r="AY117" i="65"/>
  <c r="AZ294" i="65"/>
  <c r="BB278" i="65"/>
  <c r="AX319" i="65"/>
  <c r="AY359" i="65"/>
  <c r="AX295" i="65"/>
  <c r="AZ306" i="65"/>
  <c r="AZ318" i="65"/>
  <c r="AY120" i="65"/>
  <c r="BA334" i="65"/>
  <c r="AV108" i="65"/>
  <c r="BB16" i="65"/>
  <c r="AX52" i="65"/>
  <c r="AZ13" i="65"/>
  <c r="AZ187" i="65"/>
  <c r="BA38" i="65"/>
  <c r="AX54" i="65"/>
  <c r="BA279" i="65"/>
  <c r="AY374" i="65"/>
  <c r="AW199" i="65"/>
  <c r="AZ82" i="65"/>
  <c r="C57" i="64"/>
  <c r="C133" i="64"/>
  <c r="E131" i="64"/>
  <c r="C132" i="64"/>
  <c r="C139" i="64"/>
  <c r="E139" i="64" s="1"/>
  <c r="L53" i="64"/>
  <c r="Q53" i="64"/>
  <c r="P53" i="64"/>
  <c r="O53" i="64"/>
  <c r="N53" i="64"/>
  <c r="M53" i="64"/>
  <c r="AX375" i="65"/>
  <c r="AY372" i="65"/>
  <c r="BA305" i="65"/>
  <c r="BB146" i="65"/>
  <c r="AX122" i="65"/>
  <c r="BB117" i="65"/>
  <c r="AX93" i="65"/>
  <c r="BB132" i="65"/>
  <c r="AX118" i="65"/>
  <c r="AW94" i="65"/>
  <c r="AT135" i="65"/>
  <c r="BB93" i="65"/>
  <c r="AX96" i="65"/>
  <c r="BB104" i="65"/>
  <c r="AX119" i="65"/>
  <c r="BB105" i="65"/>
  <c r="AX158" i="65"/>
  <c r="AW147" i="65"/>
  <c r="AT108" i="65"/>
  <c r="AT94" i="65"/>
  <c r="BB162" i="65"/>
  <c r="AX133" i="65"/>
  <c r="BB158" i="65"/>
  <c r="AW148" i="65"/>
  <c r="AW134" i="65"/>
  <c r="AT121" i="65"/>
  <c r="AT107" i="65"/>
  <c r="BB133" i="65"/>
  <c r="AX159" i="65"/>
  <c r="AX145" i="65"/>
  <c r="AW135" i="65"/>
  <c r="AW107" i="65"/>
  <c r="AT120" i="65"/>
  <c r="BB136" i="65"/>
  <c r="BB106" i="65"/>
  <c r="BB118" i="65"/>
  <c r="AX132" i="65"/>
  <c r="BB119" i="65"/>
  <c r="BB108" i="65"/>
  <c r="AW121" i="65"/>
  <c r="BB103" i="65"/>
  <c r="BB159" i="65"/>
  <c r="BB145" i="65"/>
  <c r="AZ133" i="65"/>
  <c r="BB148" i="65"/>
  <c r="AW95" i="65"/>
  <c r="BB143" i="65"/>
  <c r="AT147" i="65"/>
  <c r="BB149" i="65"/>
  <c r="BB92" i="65"/>
  <c r="AW158" i="65"/>
  <c r="AZ93" i="65"/>
  <c r="BB95" i="65"/>
  <c r="AW93" i="65"/>
  <c r="AY116" i="65"/>
  <c r="AZ132" i="65"/>
  <c r="AT134" i="65"/>
  <c r="BA135" i="65"/>
  <c r="AX107" i="65"/>
  <c r="BB160" i="65"/>
  <c r="AW118" i="65"/>
  <c r="AZ159" i="65"/>
  <c r="BB161" i="65"/>
  <c r="AX91" i="65"/>
  <c r="AW108" i="65"/>
  <c r="AW119" i="65"/>
  <c r="AW149" i="65"/>
  <c r="BB156" i="65"/>
  <c r="AZ118" i="65"/>
  <c r="AT160" i="65"/>
  <c r="BB96" i="65"/>
  <c r="BA108" i="65"/>
  <c r="AX147" i="65"/>
  <c r="BB134" i="65"/>
  <c r="AZ119" i="65"/>
  <c r="BB135" i="65"/>
  <c r="AX144" i="65"/>
  <c r="AX95" i="65"/>
  <c r="AW161" i="65"/>
  <c r="AT109" i="65"/>
  <c r="AW106" i="65"/>
  <c r="AW136" i="65"/>
  <c r="BB90" i="65"/>
  <c r="AZ92" i="65"/>
  <c r="BB122" i="65"/>
  <c r="BA161" i="65"/>
  <c r="BB91" i="65"/>
  <c r="AX134" i="65"/>
  <c r="BB107" i="65"/>
  <c r="AZ106" i="65"/>
  <c r="BB121" i="65"/>
  <c r="AX104" i="65"/>
  <c r="AX108" i="65"/>
  <c r="AT136" i="65"/>
  <c r="AW146" i="65"/>
  <c r="AW122" i="65"/>
  <c r="AY130" i="65"/>
  <c r="BB130" i="65"/>
  <c r="AZ158" i="65"/>
  <c r="BB109" i="65"/>
  <c r="BA148" i="65"/>
  <c r="AX120" i="65"/>
  <c r="AW132" i="65"/>
  <c r="AZ146" i="65"/>
  <c r="AX157" i="65"/>
  <c r="AX161" i="65"/>
  <c r="AT149" i="65"/>
  <c r="AW133" i="65"/>
  <c r="AW162" i="65"/>
  <c r="AY90" i="65"/>
  <c r="BB116" i="65"/>
  <c r="AZ145" i="65"/>
  <c r="AX109" i="65"/>
  <c r="BA121" i="65"/>
  <c r="BB157" i="65"/>
  <c r="AX94" i="65"/>
  <c r="AW145" i="65"/>
  <c r="AX131" i="65"/>
  <c r="AX148" i="65"/>
  <c r="AT122" i="65"/>
  <c r="AW159" i="65"/>
  <c r="AW96" i="65"/>
  <c r="AY103" i="65"/>
  <c r="AZ105" i="65"/>
  <c r="AT148" i="65"/>
  <c r="AX162" i="65"/>
  <c r="BA95" i="65"/>
  <c r="AX160" i="65"/>
  <c r="BB147" i="65"/>
  <c r="AX92" i="65"/>
  <c r="AW105" i="65"/>
  <c r="AX117" i="65"/>
  <c r="AX135" i="65"/>
  <c r="AW120" i="65"/>
  <c r="AT96" i="65"/>
  <c r="AW109" i="65"/>
  <c r="AY143" i="65"/>
  <c r="AX149" i="65"/>
  <c r="BB131" i="65"/>
  <c r="AX146" i="65"/>
  <c r="BB94" i="65"/>
  <c r="AX105" i="65"/>
  <c r="AW92" i="65"/>
  <c r="AX121" i="65"/>
  <c r="AY156" i="65"/>
  <c r="AT161" i="65"/>
  <c r="AX136" i="65"/>
  <c r="BB144" i="65"/>
  <c r="AX106" i="65"/>
  <c r="BB120" i="65"/>
  <c r="AW160" i="65"/>
  <c r="AT162" i="65"/>
  <c r="AT95" i="65"/>
  <c r="BA373" i="65"/>
  <c r="BA308" i="65"/>
  <c r="AY91" i="65"/>
  <c r="AZ307" i="65"/>
  <c r="AX279" i="65"/>
  <c r="AY386" i="65"/>
  <c r="AX268" i="65"/>
  <c r="AZ279" i="65"/>
  <c r="AZ265" i="65"/>
  <c r="AY107" i="65"/>
  <c r="BA374" i="65"/>
  <c r="AV95" i="65"/>
  <c r="BB69" i="65"/>
  <c r="AX25" i="65"/>
  <c r="AZ26" i="65"/>
  <c r="AV146" i="65"/>
  <c r="AZ174" i="65"/>
  <c r="BA65" i="65"/>
  <c r="AX201" i="65"/>
  <c r="BA266" i="65"/>
  <c r="AZ42" i="65"/>
  <c r="C95" i="63"/>
  <c r="C197" i="63"/>
  <c r="AY307" i="65"/>
  <c r="AW307" i="65"/>
  <c r="AX401" i="65"/>
  <c r="AY385" i="65"/>
  <c r="BA399" i="65"/>
  <c r="BA295" i="65"/>
  <c r="AY157" i="65"/>
  <c r="AX293" i="65"/>
  <c r="AY333" i="65"/>
  <c r="C70" i="64"/>
  <c r="E53" i="64"/>
  <c r="C55" i="64"/>
  <c r="AX308" i="65"/>
  <c r="AZ253" i="65"/>
  <c r="AZ278" i="65"/>
  <c r="AY134" i="65"/>
  <c r="BA347" i="65"/>
  <c r="AV148" i="65"/>
  <c r="BB82" i="65"/>
  <c r="AX38" i="65"/>
  <c r="AV82" i="65"/>
  <c r="AZ240" i="65"/>
  <c r="Q59" i="59"/>
  <c r="Q56" i="59"/>
  <c r="Q60" i="59" s="1"/>
  <c r="P54" i="59"/>
  <c r="P51" i="59" s="1"/>
  <c r="BA25" i="65"/>
  <c r="AX215" i="65"/>
  <c r="BA253" i="65"/>
  <c r="BA348" i="65"/>
  <c r="AY254" i="65"/>
  <c r="AW254" i="65"/>
  <c r="R75" i="33"/>
  <c r="R78" i="33" s="1"/>
  <c r="Q73" i="33"/>
  <c r="Q67" i="33" s="1"/>
  <c r="R77" i="33"/>
  <c r="M10" i="46"/>
  <c r="M7" i="46" s="1"/>
  <c r="N12" i="46"/>
  <c r="N15" i="46" s="1"/>
  <c r="N14" i="46"/>
  <c r="AX388" i="65"/>
  <c r="AY358" i="65"/>
  <c r="AX332" i="65"/>
  <c r="AY93" i="65"/>
  <c r="BA321" i="65"/>
  <c r="AW374" i="65"/>
  <c r="AY104" i="65"/>
  <c r="BA398" i="65"/>
  <c r="BB318" i="65"/>
  <c r="AY276" i="65"/>
  <c r="AX306" i="65"/>
  <c r="AY23" i="65"/>
  <c r="AU82" i="65"/>
  <c r="AZ226" i="65"/>
  <c r="AX255" i="65"/>
  <c r="AZ266" i="65"/>
  <c r="AZ305" i="65"/>
  <c r="AT15" i="65"/>
  <c r="AV135" i="65"/>
  <c r="BB56" i="65"/>
  <c r="AX12" i="65"/>
  <c r="AV56" i="65"/>
  <c r="AZ227" i="65"/>
  <c r="BA12" i="65"/>
  <c r="BA293" i="65"/>
  <c r="AZ375" i="65"/>
  <c r="C116" i="64"/>
  <c r="C138" i="63"/>
  <c r="C117" i="64" s="1"/>
  <c r="C139" i="63"/>
  <c r="C118" i="64" s="1"/>
  <c r="D99" i="63"/>
  <c r="C140" i="63" s="1"/>
  <c r="C120" i="64" s="1"/>
  <c r="C143" i="63"/>
  <c r="N116" i="46"/>
  <c r="N120" i="46" s="1"/>
  <c r="M114" i="46"/>
  <c r="M111" i="46" s="1"/>
  <c r="N119" i="46"/>
  <c r="BA361" i="65"/>
  <c r="AY294" i="65"/>
  <c r="AW280" i="65"/>
  <c r="AX348" i="65"/>
  <c r="AX372" i="65"/>
  <c r="Q131" i="59"/>
  <c r="P127" i="59"/>
  <c r="P124" i="59" s="1"/>
  <c r="Q129" i="59"/>
  <c r="Q132" i="59" s="1"/>
  <c r="AY146" i="65"/>
  <c r="BA281" i="65"/>
  <c r="AW360" i="65"/>
  <c r="N71" i="46"/>
  <c r="N75" i="46" s="1"/>
  <c r="M69" i="46"/>
  <c r="M66" i="46" s="1"/>
  <c r="N74" i="46"/>
  <c r="AY131" i="65"/>
  <c r="BA345" i="65"/>
  <c r="AY303" i="65"/>
  <c r="BB40" i="65"/>
  <c r="AX266" i="65"/>
  <c r="AY346" i="65"/>
  <c r="AY50" i="65"/>
  <c r="BA36" i="65"/>
  <c r="AZ186" i="65"/>
  <c r="AT41" i="65"/>
  <c r="AV161" i="65"/>
  <c r="BB42" i="65"/>
  <c r="AX78" i="65"/>
  <c r="AV29" i="65"/>
  <c r="AY348" i="65"/>
  <c r="AY161" i="65"/>
  <c r="Q29" i="59"/>
  <c r="P24" i="59"/>
  <c r="P21" i="59" s="1"/>
  <c r="Q26" i="59"/>
  <c r="Q30" i="59" s="1"/>
  <c r="AZ200" i="65"/>
  <c r="BA52" i="65"/>
  <c r="AY265" i="65"/>
  <c r="BA143" i="65"/>
  <c r="T96" i="38"/>
  <c r="T99" i="38"/>
  <c r="BA306" i="65"/>
  <c r="AZ388" i="65"/>
  <c r="BA157" i="65"/>
  <c r="S64" i="38"/>
  <c r="S67" i="38"/>
  <c r="R8" i="52"/>
  <c r="R33" i="52" s="1"/>
  <c r="T16" i="38"/>
  <c r="T19" i="38"/>
  <c r="BA375" i="65"/>
  <c r="AY320" i="65"/>
  <c r="AW267" i="65"/>
  <c r="BA134" i="65"/>
  <c r="AV136" i="65"/>
  <c r="AX361" i="65"/>
  <c r="AX385" i="65"/>
  <c r="BA333" i="65"/>
  <c r="BA255" i="65"/>
  <c r="AW387" i="65"/>
  <c r="AY144" i="65"/>
  <c r="BA372" i="65"/>
  <c r="AY67" i="65"/>
  <c r="BB279" i="65"/>
  <c r="AY263" i="65"/>
  <c r="BB14" i="65"/>
  <c r="AY36" i="65"/>
  <c r="BA50" i="65"/>
  <c r="AZ199" i="65"/>
  <c r="AT68" i="65"/>
  <c r="AW321" i="65"/>
  <c r="BB240" i="65"/>
  <c r="AY401" i="65"/>
  <c r="AY108" i="65"/>
  <c r="Q12" i="59"/>
  <c r="Q15" i="59" s="1"/>
  <c r="P10" i="59"/>
  <c r="P7" i="59" s="1"/>
  <c r="Q14" i="59"/>
  <c r="AY292" i="65"/>
  <c r="BA116" i="65"/>
  <c r="R93" i="38"/>
  <c r="R87" i="38" s="1"/>
  <c r="S95" i="38"/>
  <c r="S98" i="38"/>
  <c r="BA319" i="65"/>
  <c r="AZ361" i="65"/>
  <c r="BA91" i="65"/>
  <c r="S15" i="38"/>
  <c r="R13" i="38"/>
  <c r="R7" i="38" s="1"/>
  <c r="S18" i="38"/>
  <c r="BB373" i="65"/>
  <c r="N56" i="46"/>
  <c r="M54" i="46"/>
  <c r="M51" i="46" s="1"/>
  <c r="N59" i="46"/>
  <c r="BA401" i="65"/>
  <c r="R29" i="52"/>
  <c r="P99" i="59"/>
  <c r="P96" i="59" s="1"/>
  <c r="Q104" i="59"/>
  <c r="Q101" i="59"/>
  <c r="Q105" i="59" s="1"/>
  <c r="AY267" i="65"/>
  <c r="AW294" i="65"/>
  <c r="AZ346" i="65"/>
  <c r="AX345" i="65"/>
  <c r="BA386" i="65"/>
  <c r="AW347" i="65"/>
  <c r="BA82" i="65"/>
  <c r="BB50" i="65"/>
  <c r="BB63" i="65"/>
  <c r="BB15" i="65"/>
  <c r="BB28" i="65"/>
  <c r="BB81" i="65"/>
  <c r="BB23" i="65"/>
  <c r="BB68" i="65"/>
  <c r="BB41" i="65"/>
  <c r="BB10" i="65"/>
  <c r="BB55" i="65"/>
  <c r="BB36" i="65"/>
  <c r="BB76" i="65"/>
  <c r="BA332" i="65"/>
  <c r="AY27" i="65"/>
  <c r="BB253" i="65"/>
  <c r="AY250" i="65"/>
  <c r="BB67" i="65"/>
  <c r="AY373" i="65"/>
  <c r="AY76" i="65"/>
  <c r="BA63" i="65"/>
  <c r="AZ173" i="65"/>
  <c r="AV321" i="65"/>
  <c r="AW40" i="65"/>
  <c r="AT28" i="65"/>
  <c r="AW255" i="65"/>
  <c r="BB174" i="65"/>
  <c r="AV69" i="65"/>
  <c r="AY388" i="65"/>
  <c r="AY148" i="65"/>
  <c r="BA117" i="65"/>
  <c r="BB303" i="65"/>
  <c r="R42" i="59"/>
  <c r="O13" i="52"/>
  <c r="O60" i="46"/>
  <c r="AY280" i="65"/>
  <c r="AW320" i="65"/>
  <c r="AZ386" i="65"/>
  <c r="O11" i="52"/>
  <c r="O30" i="46"/>
  <c r="C127" i="64"/>
  <c r="E127" i="64" s="1"/>
  <c r="E119" i="64"/>
  <c r="AX398" i="65"/>
  <c r="AZ276" i="65"/>
  <c r="AZ398" i="65"/>
  <c r="AW334" i="65"/>
  <c r="AY80" i="65"/>
  <c r="BB319" i="65"/>
  <c r="AY316" i="65"/>
  <c r="BB80" i="65"/>
  <c r="AZ188" i="65"/>
  <c r="AY399" i="65"/>
  <c r="AY10" i="65"/>
  <c r="BA76" i="65"/>
  <c r="AZ213" i="65"/>
  <c r="AV295" i="65"/>
  <c r="AW14" i="65"/>
  <c r="AT81" i="65"/>
  <c r="AW295" i="65"/>
  <c r="BB200" i="65"/>
  <c r="AZ10" i="65"/>
  <c r="AV42" i="65"/>
  <c r="AY335" i="65"/>
  <c r="AY95" i="65"/>
  <c r="AV147" i="65"/>
  <c r="AZ147" i="65"/>
  <c r="AY252" i="65"/>
  <c r="M99" i="46"/>
  <c r="M96" i="46" s="1"/>
  <c r="N101" i="46"/>
  <c r="N105" i="46" s="1"/>
  <c r="N104" i="46"/>
  <c r="BA156" i="65"/>
  <c r="AZ348" i="65"/>
  <c r="BA104" i="65"/>
  <c r="S111" i="38"/>
  <c r="R109" i="38"/>
  <c r="R103" i="38" s="1"/>
  <c r="S114" i="38"/>
  <c r="BB316" i="65"/>
  <c r="N129" i="46"/>
  <c r="N132" i="46" s="1"/>
  <c r="M127" i="46"/>
  <c r="M124" i="46" s="1"/>
  <c r="N131" i="46"/>
  <c r="P84" i="59"/>
  <c r="P81" i="59" s="1"/>
  <c r="Q89" i="59"/>
  <c r="Q86" i="59"/>
  <c r="Q90" i="59" s="1"/>
  <c r="AZ373" i="65"/>
  <c r="AX318" i="65"/>
  <c r="R103" i="33"/>
  <c r="R97" i="33" s="1"/>
  <c r="S105" i="33"/>
  <c r="S108" i="33" s="1"/>
  <c r="S107" i="33"/>
  <c r="M24" i="46"/>
  <c r="M21" i="46" s="1"/>
  <c r="N26" i="46"/>
  <c r="N29" i="46"/>
  <c r="D58" i="64"/>
  <c r="D60" i="64" s="1"/>
  <c r="AU107" i="65"/>
  <c r="AX358" i="65"/>
  <c r="AZ303" i="65"/>
  <c r="AZ345" i="65"/>
  <c r="AZ108" i="65"/>
  <c r="AW400" i="65"/>
  <c r="AU15" i="65"/>
  <c r="BA385" i="65"/>
  <c r="AY54" i="65"/>
  <c r="BB266" i="65"/>
  <c r="AY290" i="65"/>
  <c r="BB27" i="65"/>
  <c r="AZ241" i="65"/>
  <c r="AZ334" i="65"/>
  <c r="BA10" i="65"/>
  <c r="AZ239" i="65"/>
  <c r="AV281" i="65"/>
  <c r="AW54" i="65"/>
  <c r="AT55" i="65"/>
  <c r="AW268" i="65"/>
  <c r="BB214" i="65"/>
  <c r="AZ76" i="65"/>
  <c r="Q116" i="59"/>
  <c r="Q120" i="59" s="1"/>
  <c r="P114" i="59"/>
  <c r="P111" i="59" s="1"/>
  <c r="Q119" i="59"/>
  <c r="AY375" i="65"/>
  <c r="AY121" i="65"/>
  <c r="AV94" i="65"/>
  <c r="AZ134" i="65"/>
  <c r="AY278" i="65"/>
  <c r="BA90" i="65"/>
  <c r="BA144" i="65"/>
  <c r="E56" i="64"/>
  <c r="BB388" i="65"/>
  <c r="AV361" i="65"/>
  <c r="D151" i="63"/>
  <c r="D152" i="63"/>
  <c r="BB276" i="65"/>
  <c r="P19" i="59"/>
  <c r="P19" i="46"/>
  <c r="R15" i="33"/>
  <c r="R18" i="33" s="1"/>
  <c r="Q13" i="33"/>
  <c r="Q7" i="33" s="1"/>
  <c r="R17" i="33"/>
  <c r="BA93" i="65"/>
  <c r="AZ143" i="65"/>
  <c r="BA149" i="65"/>
  <c r="AZ399" i="65"/>
  <c r="AX252" i="65"/>
  <c r="BA107" i="65"/>
  <c r="AW228" i="65"/>
  <c r="D111" i="64"/>
  <c r="AW293" i="65"/>
  <c r="BA307" i="65"/>
  <c r="AU134" i="65"/>
  <c r="AZ14" i="65"/>
  <c r="AZ290" i="65"/>
  <c r="AZ372" i="65"/>
  <c r="AZ77" i="65"/>
  <c r="AU55" i="65"/>
  <c r="AY40" i="65"/>
  <c r="BB293" i="65"/>
  <c r="Q58" i="33"/>
  <c r="Q52" i="33" s="1"/>
  <c r="R60" i="33"/>
  <c r="R63" i="33" s="1"/>
  <c r="R62" i="33"/>
  <c r="BB54" i="65"/>
  <c r="AZ215" i="65"/>
  <c r="AZ360" i="65"/>
  <c r="BA23" i="65"/>
  <c r="AV308" i="65"/>
  <c r="AW67" i="65"/>
  <c r="AW308" i="65"/>
  <c r="BB187" i="65"/>
  <c r="AZ50" i="65"/>
  <c r="AY361" i="65"/>
  <c r="AY135" i="65"/>
  <c r="AV120" i="65"/>
  <c r="AZ107" i="65"/>
  <c r="BA103" i="65"/>
  <c r="AZ335" i="65"/>
  <c r="BA131" i="65"/>
  <c r="N86" i="46"/>
  <c r="N90" i="46" s="1"/>
  <c r="M84" i="46"/>
  <c r="M81" i="46" s="1"/>
  <c r="N89" i="46"/>
  <c r="Q61" i="38"/>
  <c r="Q55" i="38" s="1"/>
  <c r="R63" i="38"/>
  <c r="R66" i="38"/>
  <c r="BA264" i="65"/>
  <c r="AX251" i="65"/>
  <c r="AZ282" i="65"/>
  <c r="BB309" i="65"/>
  <c r="BA322" i="65"/>
  <c r="AX256" i="65"/>
  <c r="AY304" i="65"/>
  <c r="AW309" i="65"/>
  <c r="AW322" i="65"/>
  <c r="AX322" i="65"/>
  <c r="AX296" i="65"/>
  <c r="AW269" i="65"/>
  <c r="AX304" i="65"/>
  <c r="AZ309" i="65"/>
  <c r="BA256" i="65"/>
  <c r="AY317" i="65"/>
  <c r="AY264" i="65"/>
  <c r="AW296" i="65"/>
  <c r="AX264" i="65"/>
  <c r="AZ296" i="65"/>
  <c r="BB304" i="65"/>
  <c r="BA282" i="65"/>
  <c r="AX282" i="65"/>
  <c r="AX277" i="65"/>
  <c r="AV256" i="65"/>
  <c r="AZ251" i="65"/>
  <c r="BB317" i="65"/>
  <c r="BA269" i="65"/>
  <c r="AY251" i="65"/>
  <c r="AV269" i="65"/>
  <c r="AZ291" i="65"/>
  <c r="BB264" i="65"/>
  <c r="BA309" i="65"/>
  <c r="AY277" i="65"/>
  <c r="AV322" i="65"/>
  <c r="AZ256" i="65"/>
  <c r="AZ304" i="65"/>
  <c r="BA296" i="65"/>
  <c r="AX269" i="65"/>
  <c r="AY296" i="65"/>
  <c r="AV282" i="65"/>
  <c r="AZ269" i="65"/>
  <c r="AZ264" i="65"/>
  <c r="BA277" i="65"/>
  <c r="AW282" i="65"/>
  <c r="AY322" i="65"/>
  <c r="AV309" i="65"/>
  <c r="AZ322" i="65"/>
  <c r="AZ317" i="65"/>
  <c r="BA317" i="65"/>
  <c r="AV296" i="65"/>
  <c r="AZ277" i="65"/>
  <c r="BA304" i="65"/>
  <c r="BA291" i="65"/>
  <c r="AY282" i="65"/>
  <c r="BA251" i="65"/>
  <c r="AW256" i="65"/>
  <c r="AY309" i="65"/>
  <c r="BB322" i="65"/>
  <c r="AY256" i="65"/>
  <c r="BB296" i="65"/>
  <c r="AY269" i="65"/>
  <c r="BB282" i="65"/>
  <c r="BB291" i="65"/>
  <c r="AX317" i="65"/>
  <c r="BB256" i="65"/>
  <c r="BB251" i="65"/>
  <c r="AX291" i="65"/>
  <c r="BB269" i="65"/>
  <c r="BB277" i="65"/>
  <c r="AY291" i="65"/>
  <c r="AX309" i="65"/>
  <c r="O12" i="52"/>
  <c r="O45" i="46"/>
  <c r="BB375" i="65"/>
  <c r="BB263" i="65"/>
  <c r="T45" i="38"/>
  <c r="T39" i="38" s="1"/>
  <c r="U47" i="38"/>
  <c r="U50" i="38"/>
  <c r="BB268" i="65"/>
  <c r="AY255" i="65"/>
  <c r="AZ130" i="65"/>
  <c r="BA136" i="65"/>
  <c r="AZ359" i="65"/>
  <c r="AX305" i="65"/>
  <c r="BA160" i="65"/>
  <c r="AW201" i="65"/>
  <c r="E84" i="64"/>
  <c r="D117" i="61"/>
  <c r="D119" i="61"/>
  <c r="D120" i="61"/>
  <c r="AW253" i="65"/>
  <c r="BA294" i="65"/>
  <c r="BA276" i="65"/>
  <c r="AU94" i="65"/>
  <c r="AZ27" i="65"/>
  <c r="AZ316" i="65"/>
  <c r="AZ385" i="65"/>
  <c r="AZ11" i="65"/>
  <c r="AU28" i="65"/>
  <c r="BA358" i="65"/>
  <c r="BB306" i="65"/>
  <c r="AZ201" i="65"/>
  <c r="AV268" i="65"/>
  <c r="AW27" i="65"/>
  <c r="AW281" i="65"/>
  <c r="T43" i="33"/>
  <c r="T37" i="33" s="1"/>
  <c r="U45" i="33"/>
  <c r="U48" i="33" s="1"/>
  <c r="U47" i="33"/>
  <c r="AZ23" i="65"/>
  <c r="BB24" i="65"/>
  <c r="AV107" i="65"/>
  <c r="AZ160" i="65"/>
  <c r="D162" i="61"/>
  <c r="BA130" i="65"/>
  <c r="AV67" i="65"/>
  <c r="AZ401" i="65"/>
  <c r="T112" i="38"/>
  <c r="T115" i="38"/>
  <c r="N41" i="46"/>
  <c r="M39" i="46"/>
  <c r="M36" i="46" s="1"/>
  <c r="N44" i="46"/>
  <c r="BB250" i="65"/>
  <c r="V48" i="38"/>
  <c r="V51" i="38"/>
  <c r="BB255" i="65"/>
  <c r="D59" i="64"/>
  <c r="Q7" i="52"/>
  <c r="Q94" i="46"/>
  <c r="Q102" i="46" s="1"/>
  <c r="Q49" i="46"/>
  <c r="Q57" i="46" s="1"/>
  <c r="Q23" i="52" s="1"/>
  <c r="Q28" i="52" s="1"/>
  <c r="Q27" i="46"/>
  <c r="Q21" i="52" s="1"/>
  <c r="Q26" i="52" s="1"/>
  <c r="Q64" i="46"/>
  <c r="Q72" i="46" s="1"/>
  <c r="Q109" i="46"/>
  <c r="Q117" i="46" s="1"/>
  <c r="Q79" i="46"/>
  <c r="Q87" i="46" s="1"/>
  <c r="Q34" i="46"/>
  <c r="Q42" i="46" s="1"/>
  <c r="Q22" i="52" s="1"/>
  <c r="Q27" i="52" s="1"/>
  <c r="AY268" i="65"/>
  <c r="AZ333" i="65"/>
  <c r="AX292" i="65"/>
  <c r="AZ184" i="65"/>
  <c r="BA223" i="65"/>
  <c r="BB172" i="65"/>
  <c r="BA202" i="65"/>
  <c r="AU189" i="65"/>
  <c r="AZ170" i="65"/>
  <c r="AZ216" i="65"/>
  <c r="AY225" i="65"/>
  <c r="AX212" i="65"/>
  <c r="BA198" i="65"/>
  <c r="AZ197" i="65"/>
  <c r="BA170" i="65"/>
  <c r="BB212" i="65"/>
  <c r="BA242" i="65"/>
  <c r="AU242" i="65"/>
  <c r="AZ223" i="65"/>
  <c r="AZ242" i="65"/>
  <c r="AX198" i="65"/>
  <c r="BA185" i="65"/>
  <c r="AX184" i="65"/>
  <c r="AX224" i="65"/>
  <c r="AZ224" i="65"/>
  <c r="BA183" i="65"/>
  <c r="BB176" i="65"/>
  <c r="BB185" i="65"/>
  <c r="BA189" i="65"/>
  <c r="AU202" i="65"/>
  <c r="AZ189" i="65"/>
  <c r="AY171" i="65"/>
  <c r="AX185" i="65"/>
  <c r="BA225" i="65"/>
  <c r="AZ237" i="65"/>
  <c r="BB242" i="65"/>
  <c r="BB238" i="65"/>
  <c r="BA229" i="65"/>
  <c r="AZ176" i="65"/>
  <c r="AY211" i="65"/>
  <c r="AX225" i="65"/>
  <c r="BA238" i="65"/>
  <c r="AX197" i="65"/>
  <c r="AZ211" i="65"/>
  <c r="BB189" i="65"/>
  <c r="BB198" i="65"/>
  <c r="BA176" i="65"/>
  <c r="AZ202" i="65"/>
  <c r="AY184" i="65"/>
  <c r="BA172" i="65"/>
  <c r="AX237" i="65"/>
  <c r="AX211" i="65"/>
  <c r="BB202" i="65"/>
  <c r="AV242" i="65"/>
  <c r="BB225" i="65"/>
  <c r="AY189" i="65"/>
  <c r="AY223" i="65"/>
  <c r="AY197" i="65"/>
  <c r="AZ238" i="65"/>
  <c r="BB216" i="65"/>
  <c r="AV189" i="65"/>
  <c r="AY229" i="65"/>
  <c r="AY170" i="65"/>
  <c r="AY237" i="65"/>
  <c r="AX189" i="65"/>
  <c r="AX171" i="65"/>
  <c r="AW202" i="65"/>
  <c r="BB223" i="65"/>
  <c r="BA171" i="65"/>
  <c r="BB229" i="65"/>
  <c r="AV229" i="65"/>
  <c r="AY242" i="65"/>
  <c r="AY210" i="65"/>
  <c r="AY224" i="65"/>
  <c r="AX202" i="65"/>
  <c r="AZ225" i="65"/>
  <c r="BB183" i="65"/>
  <c r="BA211" i="65"/>
  <c r="BB197" i="65"/>
  <c r="AV202" i="65"/>
  <c r="AY216" i="65"/>
  <c r="AY183" i="65"/>
  <c r="AX242" i="65"/>
  <c r="AZ198" i="65"/>
  <c r="BB210" i="65"/>
  <c r="BA224" i="65"/>
  <c r="BB237" i="65"/>
  <c r="AW212" i="65"/>
  <c r="AV176" i="65"/>
  <c r="AY202" i="65"/>
  <c r="AY196" i="65"/>
  <c r="AX229" i="65"/>
  <c r="AZ172" i="65"/>
  <c r="BA197" i="65"/>
  <c r="BB171" i="65"/>
  <c r="AW185" i="65"/>
  <c r="AV216" i="65"/>
  <c r="AY176" i="65"/>
  <c r="AY236" i="65"/>
  <c r="AX176" i="65"/>
  <c r="AZ212" i="65"/>
  <c r="AW229" i="65"/>
  <c r="BB196" i="65"/>
  <c r="BA237" i="65"/>
  <c r="BB184" i="65"/>
  <c r="AW238" i="65"/>
  <c r="AY198" i="65"/>
  <c r="AX216" i="65"/>
  <c r="BB236" i="65"/>
  <c r="BA184" i="65"/>
  <c r="BB224" i="65"/>
  <c r="AW172" i="65"/>
  <c r="AZ210" i="65"/>
  <c r="AY212" i="65"/>
  <c r="AZ185" i="65"/>
  <c r="AW242" i="65"/>
  <c r="BB170" i="65"/>
  <c r="BB211" i="65"/>
  <c r="BA196" i="65"/>
  <c r="AW225" i="65"/>
  <c r="AU216" i="65"/>
  <c r="AZ196" i="65"/>
  <c r="AY172" i="65"/>
  <c r="AW189" i="65"/>
  <c r="BA210" i="65"/>
  <c r="AW198" i="65"/>
  <c r="AU229" i="65"/>
  <c r="AZ183" i="65"/>
  <c r="AY185" i="65"/>
  <c r="AX172" i="65"/>
  <c r="AW216" i="65"/>
  <c r="AZ171" i="65"/>
  <c r="BA236" i="65"/>
  <c r="BA216" i="65"/>
  <c r="AU176" i="65"/>
  <c r="AZ236" i="65"/>
  <c r="AZ229" i="65"/>
  <c r="AY238" i="65"/>
  <c r="AX238" i="65"/>
  <c r="AW176" i="65"/>
  <c r="BA212" i="65"/>
  <c r="AW266" i="65"/>
  <c r="BA254" i="65"/>
  <c r="BA263" i="65"/>
  <c r="AZ255" i="65"/>
  <c r="AU160" i="65"/>
  <c r="AW388" i="65"/>
  <c r="AZ80" i="65"/>
  <c r="AZ332" i="65"/>
  <c r="AZ37" i="65"/>
  <c r="AZ148" i="65"/>
  <c r="AV214" i="65"/>
  <c r="AU81" i="65"/>
  <c r="BA39" i="65"/>
  <c r="AZ175" i="65"/>
  <c r="AZ347" i="65"/>
  <c r="AW80" i="65"/>
  <c r="AZ36" i="65"/>
  <c r="BB64" i="65"/>
  <c r="D118" i="61"/>
  <c r="AV134" i="65"/>
  <c r="AZ94" i="65"/>
  <c r="AY318" i="65"/>
  <c r="AX27" i="65"/>
  <c r="AV40" i="65"/>
  <c r="AY334" i="65"/>
  <c r="AW213" i="65"/>
  <c r="Q72" i="59" l="1"/>
  <c r="L84" i="46"/>
  <c r="L81" i="46" s="1"/>
  <c r="M86" i="46"/>
  <c r="M90" i="46" s="1"/>
  <c r="M89" i="46"/>
  <c r="D47" i="64"/>
  <c r="D46" i="64"/>
  <c r="D43" i="64"/>
  <c r="D112" i="64"/>
  <c r="O84" i="59"/>
  <c r="O81" i="59" s="1"/>
  <c r="P89" i="59"/>
  <c r="P86" i="59"/>
  <c r="P90" i="59" s="1"/>
  <c r="N13" i="52"/>
  <c r="N60" i="46"/>
  <c r="P129" i="59"/>
  <c r="P132" i="59" s="1"/>
  <c r="P131" i="59"/>
  <c r="O127" i="59"/>
  <c r="O124" i="59" s="1"/>
  <c r="D130" i="63"/>
  <c r="D131" i="63"/>
  <c r="D128" i="63"/>
  <c r="D44" i="64"/>
  <c r="D129" i="63"/>
  <c r="M129" i="46"/>
  <c r="M132" i="46" s="1"/>
  <c r="L127" i="46"/>
  <c r="L124" i="46" s="1"/>
  <c r="M131" i="46"/>
  <c r="C59" i="64"/>
  <c r="E59" i="64" s="1"/>
  <c r="E55" i="64"/>
  <c r="T31" i="38"/>
  <c r="S29" i="38"/>
  <c r="S23" i="38" s="1"/>
  <c r="T34" i="38"/>
  <c r="Q34" i="52"/>
  <c r="R15" i="38"/>
  <c r="Q13" i="38"/>
  <c r="Q7" i="38" s="1"/>
  <c r="R18" i="38"/>
  <c r="U32" i="38"/>
  <c r="U35" i="38"/>
  <c r="P58" i="33"/>
  <c r="P52" i="33" s="1"/>
  <c r="Q60" i="33"/>
  <c r="Q63" i="33" s="1"/>
  <c r="Q62" i="33"/>
  <c r="Q8" i="52"/>
  <c r="S16" i="38"/>
  <c r="S19" i="38"/>
  <c r="C58" i="64"/>
  <c r="Q32" i="52"/>
  <c r="Q29" i="52"/>
  <c r="Q35" i="52" s="1"/>
  <c r="O54" i="59"/>
  <c r="O51" i="59" s="1"/>
  <c r="P59" i="59"/>
  <c r="P56" i="59"/>
  <c r="P60" i="59" s="1"/>
  <c r="C71" i="64"/>
  <c r="C74" i="64"/>
  <c r="C72" i="64"/>
  <c r="Q27" i="59"/>
  <c r="Q109" i="38"/>
  <c r="Q103" i="38" s="1"/>
  <c r="R111" i="38"/>
  <c r="R114" i="38"/>
  <c r="C135" i="64"/>
  <c r="C136" i="64"/>
  <c r="C134" i="64"/>
  <c r="E132" i="64"/>
  <c r="C140" i="64"/>
  <c r="E140" i="64" s="1"/>
  <c r="Q102" i="59"/>
  <c r="N11" i="52"/>
  <c r="N30" i="46"/>
  <c r="S112" i="38"/>
  <c r="S115" i="38"/>
  <c r="P26" i="59"/>
  <c r="P30" i="59" s="1"/>
  <c r="O24" i="59"/>
  <c r="O21" i="59" s="1"/>
  <c r="P29" i="59"/>
  <c r="E70" i="64"/>
  <c r="D95" i="64"/>
  <c r="D96" i="64"/>
  <c r="M26" i="46"/>
  <c r="L24" i="46"/>
  <c r="L21" i="46" s="1"/>
  <c r="M29" i="46"/>
  <c r="M116" i="46"/>
  <c r="M120" i="46" s="1"/>
  <c r="L114" i="46"/>
  <c r="L111" i="46" s="1"/>
  <c r="M119" i="46"/>
  <c r="E133" i="64"/>
  <c r="C141" i="64"/>
  <c r="E141" i="64" s="1"/>
  <c r="Q87" i="59"/>
  <c r="O19" i="59"/>
  <c r="Q15" i="33"/>
  <c r="Q18" i="33" s="1"/>
  <c r="P13" i="33"/>
  <c r="P7" i="33" s="1"/>
  <c r="Q17" i="33"/>
  <c r="S96" i="38"/>
  <c r="S99" i="38"/>
  <c r="C75" i="64"/>
  <c r="E57" i="64"/>
  <c r="E150" i="64"/>
  <c r="C61" i="64"/>
  <c r="Q57" i="59"/>
  <c r="S43" i="33"/>
  <c r="S37" i="33" s="1"/>
  <c r="T45" i="33"/>
  <c r="T48" i="33" s="1"/>
  <c r="T47" i="33"/>
  <c r="O99" i="59"/>
  <c r="O96" i="59" s="1"/>
  <c r="P104" i="59"/>
  <c r="P101" i="59"/>
  <c r="P105" i="59" s="1"/>
  <c r="R95" i="38"/>
  <c r="Q93" i="38"/>
  <c r="Q87" i="38" s="1"/>
  <c r="R98" i="38"/>
  <c r="M71" i="46"/>
  <c r="M75" i="46" s="1"/>
  <c r="L69" i="46"/>
  <c r="L66" i="46" s="1"/>
  <c r="M74" i="46"/>
  <c r="S80" i="38"/>
  <c r="S83" i="38"/>
  <c r="Q42" i="59"/>
  <c r="P7" i="52"/>
  <c r="P94" i="46"/>
  <c r="P102" i="46" s="1"/>
  <c r="P27" i="46"/>
  <c r="P21" i="52" s="1"/>
  <c r="P26" i="52" s="1"/>
  <c r="P49" i="46"/>
  <c r="P57" i="46" s="1"/>
  <c r="P23" i="52" s="1"/>
  <c r="P28" i="52" s="1"/>
  <c r="P109" i="46"/>
  <c r="P117" i="46" s="1"/>
  <c r="P64" i="46"/>
  <c r="P72" i="46" s="1"/>
  <c r="P79" i="46"/>
  <c r="P87" i="46" s="1"/>
  <c r="P34" i="46"/>
  <c r="P42" i="46" s="1"/>
  <c r="P22" i="52" s="1"/>
  <c r="P27" i="52" s="1"/>
  <c r="R105" i="33"/>
  <c r="R108" i="33" s="1"/>
  <c r="Q103" i="33"/>
  <c r="Q97" i="33" s="1"/>
  <c r="R107" i="33"/>
  <c r="R35" i="52"/>
  <c r="E120" i="64"/>
  <c r="C128" i="64"/>
  <c r="E128" i="64" s="1"/>
  <c r="M12" i="46"/>
  <c r="M15" i="46" s="1"/>
  <c r="L10" i="46"/>
  <c r="L7" i="46" s="1"/>
  <c r="M14" i="46"/>
  <c r="R79" i="38"/>
  <c r="Q77" i="38"/>
  <c r="Q71" i="38" s="1"/>
  <c r="R82" i="38"/>
  <c r="Q90" i="33"/>
  <c r="Q93" i="33" s="1"/>
  <c r="P88" i="33"/>
  <c r="P82" i="33" s="1"/>
  <c r="Q92" i="33"/>
  <c r="Q117" i="59"/>
  <c r="M41" i="46"/>
  <c r="L39" i="46"/>
  <c r="L36" i="46" s="1"/>
  <c r="M44" i="46"/>
  <c r="D121" i="61"/>
  <c r="P109" i="59"/>
  <c r="P34" i="59"/>
  <c r="P49" i="59"/>
  <c r="P94" i="59"/>
  <c r="P79" i="59"/>
  <c r="P64" i="59"/>
  <c r="R32" i="52"/>
  <c r="E118" i="64"/>
  <c r="C126" i="64"/>
  <c r="E126" i="64" s="1"/>
  <c r="P44" i="59"/>
  <c r="P41" i="59"/>
  <c r="P45" i="59" s="1"/>
  <c r="O39" i="59"/>
  <c r="O36" i="59" s="1"/>
  <c r="R34" i="52"/>
  <c r="N12" i="52"/>
  <c r="N45" i="46"/>
  <c r="R64" i="38"/>
  <c r="R67" i="38"/>
  <c r="P116" i="59"/>
  <c r="P120" i="59" s="1"/>
  <c r="O114" i="59"/>
  <c r="O111" i="59" s="1"/>
  <c r="P119" i="59"/>
  <c r="L99" i="46"/>
  <c r="L96" i="46" s="1"/>
  <c r="M101" i="46"/>
  <c r="M105" i="46" s="1"/>
  <c r="M104" i="46"/>
  <c r="E117" i="64"/>
  <c r="C125" i="64"/>
  <c r="E125" i="64" s="1"/>
  <c r="Q75" i="33"/>
  <c r="Q78" i="33" s="1"/>
  <c r="P73" i="33"/>
  <c r="P67" i="33" s="1"/>
  <c r="Q77" i="33"/>
  <c r="D232" i="63"/>
  <c r="D98" i="63" s="1"/>
  <c r="C100" i="64" s="1"/>
  <c r="Q33" i="52"/>
  <c r="U48" i="38"/>
  <c r="U51" i="38"/>
  <c r="Q63" i="38"/>
  <c r="P61" i="38"/>
  <c r="P55" i="38" s="1"/>
  <c r="Q66" i="38"/>
  <c r="P12" i="59"/>
  <c r="P15" i="59" s="1"/>
  <c r="O10" i="59"/>
  <c r="O7" i="59" s="1"/>
  <c r="P14" i="59"/>
  <c r="C124" i="64"/>
  <c r="E124" i="64" s="1"/>
  <c r="E116" i="64"/>
  <c r="T30" i="33"/>
  <c r="T33" i="33" s="1"/>
  <c r="S28" i="33"/>
  <c r="S22" i="33" s="1"/>
  <c r="T32" i="33"/>
  <c r="C107" i="64"/>
  <c r="D92" i="63"/>
  <c r="T47" i="38"/>
  <c r="S45" i="38"/>
  <c r="S39" i="38" s="1"/>
  <c r="T50" i="38"/>
  <c r="D45" i="64"/>
  <c r="M56" i="46"/>
  <c r="L54" i="46"/>
  <c r="L51" i="46" s="1"/>
  <c r="M59" i="46"/>
  <c r="P71" i="59"/>
  <c r="P75" i="59" s="1"/>
  <c r="O69" i="59"/>
  <c r="O66" i="59" s="1"/>
  <c r="P74" i="59"/>
  <c r="D86" i="64"/>
  <c r="Q82" i="64"/>
  <c r="P82" i="64"/>
  <c r="O82" i="64"/>
  <c r="L82" i="64"/>
  <c r="N82" i="64"/>
  <c r="M82" i="64"/>
  <c r="E108" i="64"/>
  <c r="P27" i="59" l="1"/>
  <c r="P42" i="59"/>
  <c r="P87" i="59"/>
  <c r="P102" i="59"/>
  <c r="O56" i="59"/>
  <c r="O60" i="59" s="1"/>
  <c r="N54" i="59"/>
  <c r="N51" i="59" s="1"/>
  <c r="O59" i="59"/>
  <c r="K114" i="46"/>
  <c r="K111" i="46" s="1"/>
  <c r="L116" i="46"/>
  <c r="L120" i="46" s="1"/>
  <c r="L119" i="46"/>
  <c r="S31" i="38"/>
  <c r="R29" i="38"/>
  <c r="R23" i="38" s="1"/>
  <c r="S34" i="38"/>
  <c r="N99" i="59"/>
  <c r="N96" i="59" s="1"/>
  <c r="O101" i="59"/>
  <c r="O105" i="59" s="1"/>
  <c r="O104" i="59"/>
  <c r="O116" i="59"/>
  <c r="O120" i="59" s="1"/>
  <c r="N114" i="59"/>
  <c r="N111" i="59" s="1"/>
  <c r="O119" i="59"/>
  <c r="T32" i="38"/>
  <c r="T35" i="38"/>
  <c r="L101" i="46"/>
  <c r="L105" i="46" s="1"/>
  <c r="K99" i="46"/>
  <c r="K96" i="46" s="1"/>
  <c r="L104" i="46"/>
  <c r="L56" i="46"/>
  <c r="K54" i="46"/>
  <c r="K51" i="46" s="1"/>
  <c r="L59" i="46"/>
  <c r="Q64" i="38"/>
  <c r="Q67" i="38"/>
  <c r="C142" i="64"/>
  <c r="E142" i="64" s="1"/>
  <c r="E134" i="64"/>
  <c r="E58" i="64"/>
  <c r="C60" i="64"/>
  <c r="E60" i="64" s="1"/>
  <c r="P90" i="33"/>
  <c r="P93" i="33" s="1"/>
  <c r="O88" i="33"/>
  <c r="O82" i="33" s="1"/>
  <c r="P92" i="33"/>
  <c r="R43" i="33"/>
  <c r="R37" i="33" s="1"/>
  <c r="S45" i="33"/>
  <c r="S48" i="33" s="1"/>
  <c r="S47" i="33"/>
  <c r="E136" i="64"/>
  <c r="C144" i="64"/>
  <c r="E144" i="64" s="1"/>
  <c r="O89" i="59"/>
  <c r="N84" i="59"/>
  <c r="N81" i="59" s="1"/>
  <c r="O86" i="59"/>
  <c r="O90" i="59" s="1"/>
  <c r="O109" i="59"/>
  <c r="O34" i="59"/>
  <c r="O94" i="59"/>
  <c r="O64" i="59"/>
  <c r="O72" i="59" s="1"/>
  <c r="O49" i="59"/>
  <c r="O79" i="59"/>
  <c r="L12" i="46"/>
  <c r="L15" i="46" s="1"/>
  <c r="K10" i="46"/>
  <c r="K7" i="46" s="1"/>
  <c r="L14" i="46"/>
  <c r="M11" i="52"/>
  <c r="M30" i="46"/>
  <c r="E135" i="64"/>
  <c r="C143" i="64"/>
  <c r="E143" i="64" s="1"/>
  <c r="O129" i="59"/>
  <c r="O132" i="59" s="1"/>
  <c r="N127" i="59"/>
  <c r="N124" i="59" s="1"/>
  <c r="O131" i="59"/>
  <c r="M13" i="52"/>
  <c r="M60" i="46"/>
  <c r="L129" i="46"/>
  <c r="L132" i="46" s="1"/>
  <c r="K127" i="46"/>
  <c r="K124" i="46" s="1"/>
  <c r="L131" i="46"/>
  <c r="D87" i="64"/>
  <c r="D103" i="64"/>
  <c r="D90" i="64"/>
  <c r="O71" i="59"/>
  <c r="O75" i="59" s="1"/>
  <c r="N69" i="59"/>
  <c r="N66" i="59" s="1"/>
  <c r="O74" i="59"/>
  <c r="P29" i="52"/>
  <c r="P72" i="59"/>
  <c r="P57" i="59"/>
  <c r="R45" i="38"/>
  <c r="R39" i="38" s="1"/>
  <c r="S47" i="38"/>
  <c r="S50" i="38"/>
  <c r="R112" i="38"/>
  <c r="R115" i="38"/>
  <c r="P8" i="52"/>
  <c r="P33" i="52" s="1"/>
  <c r="R16" i="38"/>
  <c r="R19" i="38"/>
  <c r="P77" i="38"/>
  <c r="P71" i="38" s="1"/>
  <c r="Q79" i="38"/>
  <c r="Q82" i="38"/>
  <c r="R80" i="38"/>
  <c r="R83" i="38"/>
  <c r="L26" i="46"/>
  <c r="K24" i="46"/>
  <c r="K21" i="46" s="1"/>
  <c r="L29" i="46"/>
  <c r="L41" i="46"/>
  <c r="K39" i="46"/>
  <c r="K36" i="46" s="1"/>
  <c r="L44" i="46"/>
  <c r="Q105" i="33"/>
  <c r="Q108" i="33" s="1"/>
  <c r="P103" i="33"/>
  <c r="P97" i="33" s="1"/>
  <c r="Q107" i="33"/>
  <c r="E71" i="64"/>
  <c r="E72" i="64"/>
  <c r="E74" i="64"/>
  <c r="Q111" i="38"/>
  <c r="P109" i="38"/>
  <c r="P103" i="38" s="1"/>
  <c r="Q114" i="38"/>
  <c r="P63" i="38"/>
  <c r="O61" i="38"/>
  <c r="O55" i="38" s="1"/>
  <c r="P66" i="38"/>
  <c r="C102" i="64"/>
  <c r="E102" i="64" s="1"/>
  <c r="E100" i="64"/>
  <c r="O41" i="59"/>
  <c r="O45" i="59" s="1"/>
  <c r="O44" i="59"/>
  <c r="N39" i="59"/>
  <c r="N36" i="59" s="1"/>
  <c r="M12" i="52"/>
  <c r="M45" i="46"/>
  <c r="P93" i="38"/>
  <c r="P87" i="38" s="1"/>
  <c r="Q95" i="38"/>
  <c r="Q98" i="38"/>
  <c r="P15" i="33"/>
  <c r="P18" i="33" s="1"/>
  <c r="O13" i="33"/>
  <c r="O7" i="33" s="1"/>
  <c r="P17" i="33"/>
  <c r="O58" i="33"/>
  <c r="O52" i="33" s="1"/>
  <c r="P60" i="33"/>
  <c r="P63" i="33" s="1"/>
  <c r="P62" i="33"/>
  <c r="Q18" i="38"/>
  <c r="Q15" i="38"/>
  <c r="P13" i="38"/>
  <c r="P7" i="38" s="1"/>
  <c r="C63" i="64"/>
  <c r="E61" i="64"/>
  <c r="T48" i="38"/>
  <c r="T51" i="38"/>
  <c r="L71" i="46"/>
  <c r="L75" i="46" s="1"/>
  <c r="K69" i="46"/>
  <c r="K66" i="46" s="1"/>
  <c r="L74" i="46"/>
  <c r="D96" i="63"/>
  <c r="D95" i="63"/>
  <c r="G410" i="65" s="1"/>
  <c r="G411" i="65" s="1"/>
  <c r="G407" i="65"/>
  <c r="C93" i="64"/>
  <c r="D97" i="63"/>
  <c r="C97" i="64" s="1"/>
  <c r="D158" i="63"/>
  <c r="D154" i="63"/>
  <c r="E107" i="64"/>
  <c r="C85" i="64"/>
  <c r="C111" i="64"/>
  <c r="S30" i="33"/>
  <c r="S33" i="33" s="1"/>
  <c r="R28" i="33"/>
  <c r="R22" i="33" s="1"/>
  <c r="S32" i="33"/>
  <c r="R96" i="38"/>
  <c r="R99" i="38"/>
  <c r="O26" i="59"/>
  <c r="O30" i="59" s="1"/>
  <c r="N24" i="59"/>
  <c r="N21" i="59" s="1"/>
  <c r="O29" i="59"/>
  <c r="D132" i="63"/>
  <c r="N10" i="59"/>
  <c r="N7" i="59" s="1"/>
  <c r="O12" i="59"/>
  <c r="O15" i="59" s="1"/>
  <c r="O14" i="59"/>
  <c r="P117" i="59"/>
  <c r="D88" i="64"/>
  <c r="D171" i="63"/>
  <c r="O73" i="33"/>
  <c r="O67" i="33" s="1"/>
  <c r="P75" i="33"/>
  <c r="P78" i="33" s="1"/>
  <c r="P77" i="33"/>
  <c r="O19" i="46"/>
  <c r="K84" i="46"/>
  <c r="K81" i="46" s="1"/>
  <c r="L86" i="46"/>
  <c r="L90" i="46" s="1"/>
  <c r="L89" i="46"/>
  <c r="O57" i="59" l="1"/>
  <c r="O87" i="59"/>
  <c r="O27" i="59"/>
  <c r="O75" i="33"/>
  <c r="O78" i="33" s="1"/>
  <c r="N73" i="33"/>
  <c r="N67" i="33" s="1"/>
  <c r="O77" i="33"/>
  <c r="P95" i="38"/>
  <c r="O93" i="38"/>
  <c r="O87" i="38" s="1"/>
  <c r="P98" i="38"/>
  <c r="N14" i="59"/>
  <c r="M10" i="59"/>
  <c r="M7" i="59" s="1"/>
  <c r="N12" i="59"/>
  <c r="N15" i="59" s="1"/>
  <c r="N104" i="59"/>
  <c r="N101" i="59"/>
  <c r="N105" i="59" s="1"/>
  <c r="M99" i="59"/>
  <c r="M96" i="59" s="1"/>
  <c r="O8" i="52"/>
  <c r="Q16" i="38"/>
  <c r="Q19" i="38"/>
  <c r="O117" i="59"/>
  <c r="M114" i="59"/>
  <c r="M111" i="59" s="1"/>
  <c r="N116" i="59"/>
  <c r="N120" i="59" s="1"/>
  <c r="N119" i="59"/>
  <c r="Q29" i="38"/>
  <c r="Q23" i="38" s="1"/>
  <c r="R31" i="38"/>
  <c r="R34" i="38"/>
  <c r="O90" i="33"/>
  <c r="O93" i="33" s="1"/>
  <c r="N88" i="33"/>
  <c r="N82" i="33" s="1"/>
  <c r="O92" i="33"/>
  <c r="C43" i="64"/>
  <c r="E43" i="64" s="1"/>
  <c r="E111" i="64"/>
  <c r="C47" i="64"/>
  <c r="E47" i="64" s="1"/>
  <c r="C112" i="64"/>
  <c r="C46" i="64"/>
  <c r="E46" i="64" s="1"/>
  <c r="C45" i="64"/>
  <c r="E45" i="64" s="1"/>
  <c r="P105" i="33"/>
  <c r="P108" i="33" s="1"/>
  <c r="O103" i="33"/>
  <c r="O97" i="33" s="1"/>
  <c r="P107" i="33"/>
  <c r="P15" i="38"/>
  <c r="O13" i="38"/>
  <c r="O7" i="38" s="1"/>
  <c r="P18" i="38"/>
  <c r="R47" i="38"/>
  <c r="Q45" i="38"/>
  <c r="Q39" i="38" s="1"/>
  <c r="R50" i="38"/>
  <c r="K26" i="46"/>
  <c r="J24" i="46"/>
  <c r="J21" i="46" s="1"/>
  <c r="K29" i="46"/>
  <c r="M84" i="59"/>
  <c r="M81" i="59" s="1"/>
  <c r="N89" i="59"/>
  <c r="N86" i="59"/>
  <c r="N90" i="59" s="1"/>
  <c r="S32" i="38"/>
  <c r="S35" i="38"/>
  <c r="E63" i="64"/>
  <c r="C76" i="64"/>
  <c r="C64" i="64"/>
  <c r="M39" i="59"/>
  <c r="M36" i="59" s="1"/>
  <c r="N44" i="59"/>
  <c r="N41" i="59"/>
  <c r="N45" i="59" s="1"/>
  <c r="K41" i="46"/>
  <c r="J39" i="46"/>
  <c r="J36" i="46" s="1"/>
  <c r="K44" i="46"/>
  <c r="L12" i="52"/>
  <c r="L45" i="46"/>
  <c r="J54" i="46"/>
  <c r="J51" i="46" s="1"/>
  <c r="K56" i="46"/>
  <c r="K59" i="46"/>
  <c r="C44" i="64"/>
  <c r="E44" i="64" s="1"/>
  <c r="P35" i="52"/>
  <c r="L13" i="52"/>
  <c r="L60" i="46"/>
  <c r="E85" i="64"/>
  <c r="Q81" i="64"/>
  <c r="N81" i="64"/>
  <c r="M81" i="64"/>
  <c r="L81" i="64"/>
  <c r="O81" i="64"/>
  <c r="C86" i="64"/>
  <c r="P81" i="64"/>
  <c r="O102" i="59"/>
  <c r="N58" i="33"/>
  <c r="N52" i="33" s="1"/>
  <c r="O60" i="33"/>
  <c r="O63" i="33" s="1"/>
  <c r="O62" i="33"/>
  <c r="J84" i="46"/>
  <c r="J81" i="46" s="1"/>
  <c r="K86" i="46"/>
  <c r="K90" i="46" s="1"/>
  <c r="K89" i="46"/>
  <c r="K116" i="46"/>
  <c r="K120" i="46" s="1"/>
  <c r="J114" i="46"/>
  <c r="J111" i="46" s="1"/>
  <c r="K119" i="46"/>
  <c r="Q96" i="38"/>
  <c r="Q99" i="38"/>
  <c r="O42" i="59"/>
  <c r="E97" i="64"/>
  <c r="C99" i="64"/>
  <c r="E99" i="64" s="1"/>
  <c r="N131" i="59"/>
  <c r="N129" i="59"/>
  <c r="N132" i="59" s="1"/>
  <c r="M127" i="59"/>
  <c r="M124" i="59" s="1"/>
  <c r="N26" i="59"/>
  <c r="N30" i="59" s="1"/>
  <c r="N29" i="59"/>
  <c r="M24" i="59"/>
  <c r="M21" i="59" s="1"/>
  <c r="P32" i="52"/>
  <c r="N19" i="46"/>
  <c r="O109" i="38"/>
  <c r="O103" i="38" s="1"/>
  <c r="P111" i="38"/>
  <c r="P114" i="38"/>
  <c r="N74" i="59"/>
  <c r="M69" i="59"/>
  <c r="M66" i="59" s="1"/>
  <c r="N71" i="59"/>
  <c r="N75" i="59" s="1"/>
  <c r="J99" i="46"/>
  <c r="J96" i="46" s="1"/>
  <c r="K101" i="46"/>
  <c r="K105" i="46" s="1"/>
  <c r="K104" i="46"/>
  <c r="R30" i="33"/>
  <c r="R33" i="33" s="1"/>
  <c r="Q28" i="33"/>
  <c r="Q22" i="33" s="1"/>
  <c r="R32" i="33"/>
  <c r="S48" i="38"/>
  <c r="S51" i="38"/>
  <c r="P34" i="52"/>
  <c r="G422" i="65"/>
  <c r="G423" i="65" s="1"/>
  <c r="G419" i="65"/>
  <c r="G420" i="65" s="1"/>
  <c r="G425" i="65"/>
  <c r="G426" i="65" s="1"/>
  <c r="G408" i="65"/>
  <c r="L11" i="52"/>
  <c r="L30" i="46"/>
  <c r="M19" i="59"/>
  <c r="M19" i="46"/>
  <c r="O15" i="33"/>
  <c r="O18" i="33" s="1"/>
  <c r="N13" i="33"/>
  <c r="N7" i="33" s="1"/>
  <c r="O17" i="33"/>
  <c r="J69" i="46"/>
  <c r="J66" i="46" s="1"/>
  <c r="K71" i="46"/>
  <c r="K75" i="46" s="1"/>
  <c r="K74" i="46"/>
  <c r="N19" i="59"/>
  <c r="Q112" i="38"/>
  <c r="Q115" i="38"/>
  <c r="Q80" i="38"/>
  <c r="Q83" i="38"/>
  <c r="N56" i="59"/>
  <c r="N60" i="59" s="1"/>
  <c r="M54" i="59"/>
  <c r="M51" i="59" s="1"/>
  <c r="N59" i="59"/>
  <c r="K129" i="46"/>
  <c r="K132" i="46" s="1"/>
  <c r="J127" i="46"/>
  <c r="J124" i="46" s="1"/>
  <c r="K131" i="46"/>
  <c r="E93" i="64"/>
  <c r="C96" i="64"/>
  <c r="C95" i="64"/>
  <c r="E95" i="64" s="1"/>
  <c r="N61" i="38"/>
  <c r="N55" i="38" s="1"/>
  <c r="O63" i="38"/>
  <c r="O66" i="38"/>
  <c r="P64" i="38"/>
  <c r="P67" i="38"/>
  <c r="O79" i="46"/>
  <c r="O87" i="46" s="1"/>
  <c r="O7" i="52"/>
  <c r="O49" i="46"/>
  <c r="O57" i="46" s="1"/>
  <c r="O23" i="52" s="1"/>
  <c r="O28" i="52" s="1"/>
  <c r="O34" i="46"/>
  <c r="O42" i="46" s="1"/>
  <c r="O22" i="52" s="1"/>
  <c r="O27" i="52" s="1"/>
  <c r="O109" i="46"/>
  <c r="O117" i="46" s="1"/>
  <c r="O64" i="46"/>
  <c r="O72" i="46" s="1"/>
  <c r="O94" i="46"/>
  <c r="O102" i="46" s="1"/>
  <c r="O27" i="46"/>
  <c r="O21" i="52" s="1"/>
  <c r="O26" i="52" s="1"/>
  <c r="P79" i="38"/>
  <c r="O77" i="38"/>
  <c r="O71" i="38" s="1"/>
  <c r="P82" i="38"/>
  <c r="K12" i="46"/>
  <c r="K15" i="46" s="1"/>
  <c r="J10" i="46"/>
  <c r="J7" i="46" s="1"/>
  <c r="K14" i="46"/>
  <c r="Q43" i="33"/>
  <c r="Q37" i="33" s="1"/>
  <c r="R45" i="33"/>
  <c r="R48" i="33" s="1"/>
  <c r="R47" i="33"/>
  <c r="M104" i="59" l="1"/>
  <c r="M101" i="59"/>
  <c r="M105" i="59" s="1"/>
  <c r="L99" i="59"/>
  <c r="L96" i="59" s="1"/>
  <c r="N49" i="59"/>
  <c r="N57" i="59" s="1"/>
  <c r="N34" i="59"/>
  <c r="N42" i="59" s="1"/>
  <c r="N109" i="59"/>
  <c r="N117" i="59" s="1"/>
  <c r="N79" i="59"/>
  <c r="N87" i="59" s="1"/>
  <c r="N64" i="59"/>
  <c r="N72" i="59" s="1"/>
  <c r="N94" i="59"/>
  <c r="N102" i="59" s="1"/>
  <c r="N27" i="59"/>
  <c r="M13" i="33"/>
  <c r="M7" i="33" s="1"/>
  <c r="N15" i="33"/>
  <c r="N18" i="33" s="1"/>
  <c r="N17" i="33"/>
  <c r="L84" i="59"/>
  <c r="L81" i="59" s="1"/>
  <c r="M86" i="59"/>
  <c r="M90" i="59" s="1"/>
  <c r="M89" i="59"/>
  <c r="P43" i="33"/>
  <c r="P37" i="33" s="1"/>
  <c r="Q45" i="33"/>
  <c r="Q48" i="33" s="1"/>
  <c r="Q47" i="33"/>
  <c r="I84" i="46"/>
  <c r="I81" i="46" s="1"/>
  <c r="J86" i="46"/>
  <c r="J90" i="46" s="1"/>
  <c r="J89" i="46"/>
  <c r="J56" i="46"/>
  <c r="I54" i="46"/>
  <c r="I51" i="46" s="1"/>
  <c r="J59" i="46"/>
  <c r="J101" i="46"/>
  <c r="J105" i="46" s="1"/>
  <c r="I99" i="46"/>
  <c r="I96" i="46" s="1"/>
  <c r="J104" i="46"/>
  <c r="N90" i="33"/>
  <c r="N93" i="33" s="1"/>
  <c r="M88" i="33"/>
  <c r="M82" i="33" s="1"/>
  <c r="N92" i="33"/>
  <c r="L10" i="59"/>
  <c r="L7" i="59" s="1"/>
  <c r="M14" i="59"/>
  <c r="M12" i="59"/>
  <c r="M15" i="59" s="1"/>
  <c r="K13" i="52"/>
  <c r="K60" i="46"/>
  <c r="M94" i="59"/>
  <c r="M79" i="59"/>
  <c r="M49" i="59"/>
  <c r="M64" i="59"/>
  <c r="M34" i="59"/>
  <c r="M109" i="59"/>
  <c r="M27" i="59"/>
  <c r="Q47" i="38"/>
  <c r="P45" i="38"/>
  <c r="P39" i="38" s="1"/>
  <c r="Q50" i="38"/>
  <c r="J12" i="46"/>
  <c r="J15" i="46" s="1"/>
  <c r="I10" i="46"/>
  <c r="I7" i="46" s="1"/>
  <c r="J14" i="46"/>
  <c r="R48" i="38"/>
  <c r="R51" i="38"/>
  <c r="M131" i="59"/>
  <c r="M129" i="59"/>
  <c r="M132" i="59" s="1"/>
  <c r="L127" i="59"/>
  <c r="L124" i="59" s="1"/>
  <c r="K11" i="52"/>
  <c r="K30" i="46"/>
  <c r="C88" i="64"/>
  <c r="E88" i="64" s="1"/>
  <c r="M56" i="59"/>
  <c r="M60" i="59" s="1"/>
  <c r="M59" i="59"/>
  <c r="L54" i="59"/>
  <c r="L51" i="59" s="1"/>
  <c r="R32" i="38"/>
  <c r="R35" i="38"/>
  <c r="O95" i="38"/>
  <c r="N93" i="38"/>
  <c r="N87" i="38" s="1"/>
  <c r="O98" i="38"/>
  <c r="M29" i="59"/>
  <c r="M26" i="59"/>
  <c r="M30" i="59" s="1"/>
  <c r="L24" i="59"/>
  <c r="L21" i="59" s="1"/>
  <c r="C87" i="64"/>
  <c r="E87" i="64" s="1"/>
  <c r="C90" i="64"/>
  <c r="E90" i="64" s="1"/>
  <c r="E86" i="64"/>
  <c r="C103" i="64"/>
  <c r="J129" i="46"/>
  <c r="J132" i="46" s="1"/>
  <c r="I127" i="46"/>
  <c r="I124" i="46" s="1"/>
  <c r="J131" i="46"/>
  <c r="K12" i="52"/>
  <c r="K45" i="46"/>
  <c r="O34" i="52"/>
  <c r="M44" i="59"/>
  <c r="M41" i="59"/>
  <c r="M45" i="59" s="1"/>
  <c r="L39" i="59"/>
  <c r="L36" i="59" s="1"/>
  <c r="O15" i="38"/>
  <c r="N13" i="38"/>
  <c r="N7" i="38" s="1"/>
  <c r="O18" i="38"/>
  <c r="Q31" i="38"/>
  <c r="P29" i="38"/>
  <c r="P23" i="38" s="1"/>
  <c r="Q34" i="38"/>
  <c r="P96" i="38"/>
  <c r="P99" i="38"/>
  <c r="O64" i="38"/>
  <c r="O67" i="38"/>
  <c r="I69" i="46"/>
  <c r="I66" i="46" s="1"/>
  <c r="J71" i="46"/>
  <c r="J75" i="46" s="1"/>
  <c r="J74" i="46"/>
  <c r="N77" i="38"/>
  <c r="N71" i="38" s="1"/>
  <c r="O79" i="38"/>
  <c r="O82" i="38"/>
  <c r="P80" i="38"/>
  <c r="P83" i="38"/>
  <c r="O32" i="52"/>
  <c r="O29" i="52"/>
  <c r="O35" i="52" s="1"/>
  <c r="M7" i="52"/>
  <c r="M109" i="46"/>
  <c r="M117" i="46" s="1"/>
  <c r="M27" i="46"/>
  <c r="M21" i="52" s="1"/>
  <c r="M26" i="52" s="1"/>
  <c r="M34" i="46"/>
  <c r="M42" i="46" s="1"/>
  <c r="M22" i="52" s="1"/>
  <c r="M27" i="52" s="1"/>
  <c r="M49" i="46"/>
  <c r="M57" i="46" s="1"/>
  <c r="M23" i="52" s="1"/>
  <c r="M28" i="52" s="1"/>
  <c r="M64" i="46"/>
  <c r="M72" i="46" s="1"/>
  <c r="M79" i="46"/>
  <c r="M87" i="46" s="1"/>
  <c r="M94" i="46"/>
  <c r="M102" i="46" s="1"/>
  <c r="J41" i="46"/>
  <c r="I39" i="46"/>
  <c r="I36" i="46" s="1"/>
  <c r="J44" i="46"/>
  <c r="L69" i="59"/>
  <c r="L66" i="59" s="1"/>
  <c r="M74" i="59"/>
  <c r="M71" i="59"/>
  <c r="M75" i="59" s="1"/>
  <c r="O33" i="52"/>
  <c r="P112" i="38"/>
  <c r="P115" i="38"/>
  <c r="I114" i="46"/>
  <c r="I111" i="46" s="1"/>
  <c r="J116" i="46"/>
  <c r="J120" i="46" s="1"/>
  <c r="J119" i="46"/>
  <c r="E64" i="64"/>
  <c r="C65" i="64"/>
  <c r="E65" i="64" s="1"/>
  <c r="N8" i="52"/>
  <c r="P16" i="38"/>
  <c r="P19" i="38"/>
  <c r="N63" i="38"/>
  <c r="M61" i="38"/>
  <c r="M55" i="38" s="1"/>
  <c r="N66" i="38"/>
  <c r="Q30" i="33"/>
  <c r="Q33" i="33" s="1"/>
  <c r="P28" i="33"/>
  <c r="P22" i="33" s="1"/>
  <c r="Q32" i="33"/>
  <c r="E76" i="64"/>
  <c r="E77" i="64" s="1"/>
  <c r="E78" i="64" s="1"/>
  <c r="C77" i="64"/>
  <c r="C78" i="64" s="1"/>
  <c r="M73" i="33"/>
  <c r="M67" i="33" s="1"/>
  <c r="N75" i="33"/>
  <c r="N78" i="33" s="1"/>
  <c r="N77" i="33"/>
  <c r="M58" i="33"/>
  <c r="M52" i="33" s="1"/>
  <c r="N60" i="33"/>
  <c r="N63" i="33" s="1"/>
  <c r="N62" i="33"/>
  <c r="J26" i="46"/>
  <c r="I24" i="46"/>
  <c r="I21" i="46" s="1"/>
  <c r="J29" i="46"/>
  <c r="O111" i="38"/>
  <c r="N109" i="38"/>
  <c r="N103" i="38" s="1"/>
  <c r="O114" i="38"/>
  <c r="N7" i="52"/>
  <c r="N27" i="46"/>
  <c r="N21" i="52" s="1"/>
  <c r="N26" i="52" s="1"/>
  <c r="N34" i="46"/>
  <c r="N42" i="46" s="1"/>
  <c r="N22" i="52" s="1"/>
  <c r="N27" i="52" s="1"/>
  <c r="N49" i="46"/>
  <c r="N57" i="46" s="1"/>
  <c r="N23" i="52" s="1"/>
  <c r="N28" i="52" s="1"/>
  <c r="N109" i="46"/>
  <c r="N117" i="46" s="1"/>
  <c r="N64" i="46"/>
  <c r="N72" i="46" s="1"/>
  <c r="N94" i="46"/>
  <c r="N102" i="46" s="1"/>
  <c r="N79" i="46"/>
  <c r="N87" i="46" s="1"/>
  <c r="N103" i="33"/>
  <c r="N97" i="33" s="1"/>
  <c r="L19" i="59" s="1"/>
  <c r="O105" i="33"/>
  <c r="O108" i="33" s="1"/>
  <c r="O107" i="33"/>
  <c r="M116" i="59"/>
  <c r="M120" i="59" s="1"/>
  <c r="L114" i="59"/>
  <c r="L111" i="59" s="1"/>
  <c r="M119" i="59"/>
  <c r="M102" i="59" l="1"/>
  <c r="M72" i="59"/>
  <c r="M87" i="59"/>
  <c r="M42" i="59"/>
  <c r="L94" i="59"/>
  <c r="L79" i="59"/>
  <c r="L49" i="59"/>
  <c r="L64" i="59"/>
  <c r="L34" i="59"/>
  <c r="L109" i="59"/>
  <c r="J12" i="52"/>
  <c r="J45" i="46"/>
  <c r="L89" i="59"/>
  <c r="L86" i="59"/>
  <c r="L90" i="59" s="1"/>
  <c r="K84" i="59"/>
  <c r="K81" i="59" s="1"/>
  <c r="L19" i="46"/>
  <c r="K54" i="59"/>
  <c r="K51" i="59" s="1"/>
  <c r="L56" i="59"/>
  <c r="L60" i="59" s="1"/>
  <c r="L59" i="59"/>
  <c r="I26" i="46"/>
  <c r="H24" i="46"/>
  <c r="H21" i="46" s="1"/>
  <c r="I29" i="46"/>
  <c r="I56" i="46"/>
  <c r="H54" i="46"/>
  <c r="H51" i="46" s="1"/>
  <c r="I59" i="46"/>
  <c r="I129" i="46"/>
  <c r="I132" i="46" s="1"/>
  <c r="H127" i="46"/>
  <c r="H124" i="46" s="1"/>
  <c r="I131" i="46"/>
  <c r="L73" i="33"/>
  <c r="L67" i="33" s="1"/>
  <c r="M75" i="33"/>
  <c r="M78" i="33" s="1"/>
  <c r="M77" i="33"/>
  <c r="M57" i="59"/>
  <c r="I101" i="46"/>
  <c r="I105" i="46" s="1"/>
  <c r="H99" i="46"/>
  <c r="H96" i="46" s="1"/>
  <c r="I104" i="46"/>
  <c r="P31" i="38"/>
  <c r="O29" i="38"/>
  <c r="O23" i="38" s="1"/>
  <c r="P34" i="38"/>
  <c r="Q48" i="38"/>
  <c r="Q51" i="38"/>
  <c r="H114" i="46"/>
  <c r="H111" i="46" s="1"/>
  <c r="I116" i="46"/>
  <c r="I120" i="46" s="1"/>
  <c r="I119" i="46"/>
  <c r="N105" i="33"/>
  <c r="N108" i="33" s="1"/>
  <c r="M103" i="33"/>
  <c r="M97" i="33" s="1"/>
  <c r="N107" i="33"/>
  <c r="M29" i="52"/>
  <c r="M35" i="52" s="1"/>
  <c r="M32" i="52"/>
  <c r="J13" i="52"/>
  <c r="J60" i="46"/>
  <c r="K24" i="59"/>
  <c r="K21" i="59" s="1"/>
  <c r="L26" i="59"/>
  <c r="L30" i="59" s="1"/>
  <c r="L29" i="59"/>
  <c r="H84" i="46"/>
  <c r="H81" i="46" s="1"/>
  <c r="I86" i="46"/>
  <c r="I90" i="46" s="1"/>
  <c r="I89" i="46"/>
  <c r="H69" i="46"/>
  <c r="H66" i="46" s="1"/>
  <c r="I71" i="46"/>
  <c r="I75" i="46" s="1"/>
  <c r="I74" i="46"/>
  <c r="L58" i="33"/>
  <c r="L52" i="33" s="1"/>
  <c r="M60" i="33"/>
  <c r="M63" i="33" s="1"/>
  <c r="M62" i="33"/>
  <c r="K127" i="59"/>
  <c r="K124" i="59" s="1"/>
  <c r="L131" i="59"/>
  <c r="L129" i="59"/>
  <c r="L132" i="59" s="1"/>
  <c r="Q32" i="38"/>
  <c r="Q35" i="38"/>
  <c r="P47" i="38"/>
  <c r="O45" i="38"/>
  <c r="O39" i="38" s="1"/>
  <c r="P50" i="38"/>
  <c r="M117" i="59"/>
  <c r="N32" i="52"/>
  <c r="N29" i="52"/>
  <c r="N35" i="52" s="1"/>
  <c r="M90" i="33"/>
  <c r="M93" i="33" s="1"/>
  <c r="L88" i="33"/>
  <c r="L82" i="33" s="1"/>
  <c r="M92" i="33"/>
  <c r="J11" i="52"/>
  <c r="J30" i="46"/>
  <c r="N33" i="52"/>
  <c r="P30" i="33"/>
  <c r="P33" i="33" s="1"/>
  <c r="O28" i="33"/>
  <c r="O22" i="33" s="1"/>
  <c r="P32" i="33"/>
  <c r="N15" i="38"/>
  <c r="M13" i="38"/>
  <c r="M7" i="38" s="1"/>
  <c r="N18" i="38"/>
  <c r="N111" i="38"/>
  <c r="M109" i="38"/>
  <c r="M103" i="38" s="1"/>
  <c r="N114" i="38"/>
  <c r="L74" i="59"/>
  <c r="L71" i="59"/>
  <c r="L75" i="59" s="1"/>
  <c r="K69" i="59"/>
  <c r="K66" i="59" s="1"/>
  <c r="L41" i="59"/>
  <c r="L45" i="59" s="1"/>
  <c r="L44" i="59"/>
  <c r="K39" i="59"/>
  <c r="K36" i="59" s="1"/>
  <c r="O43" i="33"/>
  <c r="O37" i="33" s="1"/>
  <c r="P45" i="33"/>
  <c r="P48" i="33" s="1"/>
  <c r="P47" i="33"/>
  <c r="K99" i="59"/>
  <c r="K96" i="59" s="1"/>
  <c r="L104" i="59"/>
  <c r="L101" i="59"/>
  <c r="L105" i="59" s="1"/>
  <c r="N34" i="52"/>
  <c r="M8" i="52"/>
  <c r="M33" i="52" s="1"/>
  <c r="O16" i="38"/>
  <c r="O19" i="38"/>
  <c r="O112" i="38"/>
  <c r="O115" i="38"/>
  <c r="M93" i="38"/>
  <c r="M87" i="38" s="1"/>
  <c r="N95" i="38"/>
  <c r="N98" i="38"/>
  <c r="I12" i="46"/>
  <c r="I15" i="46" s="1"/>
  <c r="H10" i="46"/>
  <c r="H7" i="46" s="1"/>
  <c r="I14" i="46"/>
  <c r="K10" i="59"/>
  <c r="K7" i="59" s="1"/>
  <c r="L14" i="59"/>
  <c r="L12" i="59"/>
  <c r="L15" i="59" s="1"/>
  <c r="L13" i="33"/>
  <c r="L7" i="33" s="1"/>
  <c r="M15" i="33"/>
  <c r="M18" i="33" s="1"/>
  <c r="M17" i="33"/>
  <c r="M63" i="38"/>
  <c r="L61" i="38"/>
  <c r="L55" i="38" s="1"/>
  <c r="M66" i="38"/>
  <c r="O80" i="38"/>
  <c r="O83" i="38"/>
  <c r="L116" i="59"/>
  <c r="L120" i="59" s="1"/>
  <c r="K114" i="59"/>
  <c r="K111" i="59" s="1"/>
  <c r="L119" i="59"/>
  <c r="N64" i="38"/>
  <c r="N67" i="38"/>
  <c r="I41" i="46"/>
  <c r="H39" i="46"/>
  <c r="H36" i="46" s="1"/>
  <c r="I44" i="46"/>
  <c r="M77" i="38"/>
  <c r="M71" i="38" s="1"/>
  <c r="N79" i="38"/>
  <c r="N82" i="38"/>
  <c r="O96" i="38"/>
  <c r="O99" i="38"/>
  <c r="L27" i="59" l="1"/>
  <c r="O30" i="33"/>
  <c r="O33" i="33" s="1"/>
  <c r="N28" i="33"/>
  <c r="N22" i="33" s="1"/>
  <c r="O32" i="33"/>
  <c r="N43" i="33"/>
  <c r="N37" i="33" s="1"/>
  <c r="O45" i="33"/>
  <c r="O48" i="33" s="1"/>
  <c r="O47" i="33"/>
  <c r="K89" i="59"/>
  <c r="K86" i="59"/>
  <c r="K90" i="59" s="1"/>
  <c r="J84" i="59"/>
  <c r="J81" i="59" s="1"/>
  <c r="N96" i="38"/>
  <c r="N99" i="38"/>
  <c r="K116" i="59"/>
  <c r="K120" i="59" s="1"/>
  <c r="J114" i="59"/>
  <c r="J111" i="59" s="1"/>
  <c r="K119" i="59"/>
  <c r="L7" i="52"/>
  <c r="L8" i="52" s="1"/>
  <c r="L79" i="46"/>
  <c r="L87" i="46" s="1"/>
  <c r="L27" i="46"/>
  <c r="L21" i="52" s="1"/>
  <c r="L26" i="52" s="1"/>
  <c r="L34" i="46"/>
  <c r="L42" i="46" s="1"/>
  <c r="L22" i="52" s="1"/>
  <c r="L27" i="52" s="1"/>
  <c r="L49" i="46"/>
  <c r="L57" i="46" s="1"/>
  <c r="L23" i="52" s="1"/>
  <c r="L28" i="52" s="1"/>
  <c r="L109" i="46"/>
  <c r="L117" i="46" s="1"/>
  <c r="L94" i="46"/>
  <c r="L102" i="46" s="1"/>
  <c r="L64" i="46"/>
  <c r="L72" i="46" s="1"/>
  <c r="M95" i="38"/>
  <c r="L93" i="38"/>
  <c r="L87" i="38" s="1"/>
  <c r="M98" i="38"/>
  <c r="H71" i="46"/>
  <c r="H75" i="46" s="1"/>
  <c r="H74" i="46"/>
  <c r="K58" i="33"/>
  <c r="K52" i="33" s="1"/>
  <c r="L60" i="33"/>
  <c r="L63" i="33" s="1"/>
  <c r="L62" i="33"/>
  <c r="L117" i="59"/>
  <c r="K59" i="59"/>
  <c r="K56" i="59"/>
  <c r="K60" i="59" s="1"/>
  <c r="J54" i="59"/>
  <c r="J51" i="59" s="1"/>
  <c r="H116" i="46"/>
  <c r="H120" i="46" s="1"/>
  <c r="H119" i="46"/>
  <c r="K13" i="33"/>
  <c r="K7" i="33" s="1"/>
  <c r="L15" i="33"/>
  <c r="L18" i="33" s="1"/>
  <c r="L17" i="33"/>
  <c r="H56" i="46"/>
  <c r="H59" i="46"/>
  <c r="L42" i="59"/>
  <c r="K12" i="59"/>
  <c r="K15" i="59" s="1"/>
  <c r="J10" i="59"/>
  <c r="J7" i="59" s="1"/>
  <c r="K14" i="59"/>
  <c r="H129" i="46"/>
  <c r="H132" i="46" s="1"/>
  <c r="H131" i="46"/>
  <c r="H86" i="46"/>
  <c r="H90" i="46" s="1"/>
  <c r="H89" i="46"/>
  <c r="I13" i="52"/>
  <c r="I60" i="46"/>
  <c r="L72" i="59"/>
  <c r="J39" i="59"/>
  <c r="J36" i="59" s="1"/>
  <c r="K44" i="59"/>
  <c r="K41" i="59"/>
  <c r="K45" i="59" s="1"/>
  <c r="L90" i="33"/>
  <c r="L93" i="33" s="1"/>
  <c r="K88" i="33"/>
  <c r="K82" i="33" s="1"/>
  <c r="L92" i="33"/>
  <c r="M64" i="38"/>
  <c r="M67" i="38"/>
  <c r="M15" i="38"/>
  <c r="L13" i="38"/>
  <c r="L7" i="38" s="1"/>
  <c r="M18" i="38"/>
  <c r="N45" i="38"/>
  <c r="N39" i="38" s="1"/>
  <c r="O47" i="38"/>
  <c r="O50" i="38"/>
  <c r="O31" i="38"/>
  <c r="N29" i="38"/>
  <c r="N23" i="38" s="1"/>
  <c r="O34" i="38"/>
  <c r="L57" i="59"/>
  <c r="H101" i="46"/>
  <c r="H105" i="46" s="1"/>
  <c r="H104" i="46"/>
  <c r="M105" i="33"/>
  <c r="M108" i="33" s="1"/>
  <c r="L103" i="33"/>
  <c r="L97" i="33" s="1"/>
  <c r="J19" i="59" s="1"/>
  <c r="M107" i="33"/>
  <c r="K73" i="33"/>
  <c r="K67" i="33" s="1"/>
  <c r="L75" i="33"/>
  <c r="L78" i="33" s="1"/>
  <c r="L77" i="33"/>
  <c r="M34" i="52"/>
  <c r="K19" i="46"/>
  <c r="N16" i="38"/>
  <c r="N19" i="38"/>
  <c r="P48" i="38"/>
  <c r="P51" i="38"/>
  <c r="P32" i="38"/>
  <c r="P35" i="38"/>
  <c r="H26" i="46"/>
  <c r="H29" i="46"/>
  <c r="L87" i="59"/>
  <c r="H12" i="46"/>
  <c r="H15" i="46" s="1"/>
  <c r="AD9" i="46"/>
  <c r="AD10" i="46"/>
  <c r="H14" i="46"/>
  <c r="J127" i="59"/>
  <c r="J124" i="59" s="1"/>
  <c r="K129" i="59"/>
  <c r="K132" i="59" s="1"/>
  <c r="K131" i="59"/>
  <c r="K71" i="59"/>
  <c r="K75" i="59" s="1"/>
  <c r="K74" i="59"/>
  <c r="J69" i="59"/>
  <c r="J66" i="59" s="1"/>
  <c r="L63" i="38"/>
  <c r="K61" i="38"/>
  <c r="K55" i="38" s="1"/>
  <c r="L66" i="38"/>
  <c r="N80" i="38"/>
  <c r="N83" i="38"/>
  <c r="M111" i="38"/>
  <c r="L109" i="38"/>
  <c r="L103" i="38" s="1"/>
  <c r="M114" i="38"/>
  <c r="L77" i="38"/>
  <c r="L71" i="38" s="1"/>
  <c r="M79" i="38"/>
  <c r="M82" i="38"/>
  <c r="N112" i="38"/>
  <c r="N115" i="38"/>
  <c r="H41" i="46"/>
  <c r="H44" i="46"/>
  <c r="K19" i="59"/>
  <c r="I12" i="52"/>
  <c r="I45" i="46"/>
  <c r="K101" i="59"/>
  <c r="K105" i="59" s="1"/>
  <c r="J99" i="59"/>
  <c r="J96" i="59" s="1"/>
  <c r="K104" i="59"/>
  <c r="K26" i="59"/>
  <c r="K30" i="59" s="1"/>
  <c r="K29" i="59"/>
  <c r="J24" i="59"/>
  <c r="J21" i="59" s="1"/>
  <c r="I11" i="52"/>
  <c r="I30" i="46"/>
  <c r="L102" i="59"/>
  <c r="J94" i="59" l="1"/>
  <c r="J79" i="59"/>
  <c r="J64" i="59"/>
  <c r="J109" i="59"/>
  <c r="J34" i="59"/>
  <c r="J49" i="59"/>
  <c r="I10" i="59"/>
  <c r="I7" i="59" s="1"/>
  <c r="J12" i="59"/>
  <c r="J15" i="59" s="1"/>
  <c r="J14" i="59"/>
  <c r="K109" i="38"/>
  <c r="K103" i="38" s="1"/>
  <c r="L111" i="38"/>
  <c r="L114" i="38"/>
  <c r="M80" i="38"/>
  <c r="M83" i="38"/>
  <c r="K77" i="38"/>
  <c r="K71" i="38" s="1"/>
  <c r="L79" i="38"/>
  <c r="L82" i="38"/>
  <c r="I24" i="59"/>
  <c r="I21" i="59" s="1"/>
  <c r="J26" i="59"/>
  <c r="J30" i="59" s="1"/>
  <c r="J29" i="59"/>
  <c r="M96" i="38"/>
  <c r="M99" i="38"/>
  <c r="H11" i="52"/>
  <c r="H30" i="46"/>
  <c r="I114" i="59"/>
  <c r="I111" i="59" s="1"/>
  <c r="J116" i="59"/>
  <c r="J120" i="59" s="1"/>
  <c r="J119" i="59"/>
  <c r="H13" i="52"/>
  <c r="H60" i="46"/>
  <c r="J61" i="38"/>
  <c r="J55" i="38" s="1"/>
  <c r="K63" i="38"/>
  <c r="K66" i="38"/>
  <c r="L64" i="38"/>
  <c r="L67" i="38"/>
  <c r="J41" i="59"/>
  <c r="J45" i="59" s="1"/>
  <c r="I39" i="59"/>
  <c r="I36" i="59" s="1"/>
  <c r="J44" i="59"/>
  <c r="O32" i="38"/>
  <c r="O35" i="38"/>
  <c r="K8" i="52"/>
  <c r="M16" i="38"/>
  <c r="M19" i="38"/>
  <c r="J101" i="59"/>
  <c r="J105" i="59" s="1"/>
  <c r="J104" i="59"/>
  <c r="I99" i="59"/>
  <c r="I96" i="59" s="1"/>
  <c r="I19" i="59"/>
  <c r="I19" i="46"/>
  <c r="J13" i="33"/>
  <c r="J7" i="33" s="1"/>
  <c r="K15" i="33"/>
  <c r="K18" i="33" s="1"/>
  <c r="K17" i="33"/>
  <c r="M43" i="33"/>
  <c r="M37" i="33" s="1"/>
  <c r="N45" i="33"/>
  <c r="N48" i="33" s="1"/>
  <c r="N47" i="33"/>
  <c r="L15" i="38"/>
  <c r="K13" i="38"/>
  <c r="K7" i="38" s="1"/>
  <c r="L18" i="38"/>
  <c r="K103" i="33"/>
  <c r="K97" i="33" s="1"/>
  <c r="L105" i="33"/>
  <c r="L108" i="33" s="1"/>
  <c r="L107" i="33"/>
  <c r="J88" i="33"/>
  <c r="J82" i="33" s="1"/>
  <c r="K90" i="33"/>
  <c r="K93" i="33" s="1"/>
  <c r="K92" i="33"/>
  <c r="K94" i="59"/>
  <c r="K102" i="59" s="1"/>
  <c r="K79" i="59"/>
  <c r="K87" i="59" s="1"/>
  <c r="K64" i="59"/>
  <c r="K72" i="59" s="1"/>
  <c r="K34" i="59"/>
  <c r="K42" i="59" s="1"/>
  <c r="K49" i="59"/>
  <c r="K57" i="59" s="1"/>
  <c r="K109" i="59"/>
  <c r="K117" i="59" s="1"/>
  <c r="K27" i="59"/>
  <c r="H12" i="52"/>
  <c r="H45" i="46"/>
  <c r="O48" i="38"/>
  <c r="O51" i="38"/>
  <c r="L34" i="52"/>
  <c r="J73" i="33"/>
  <c r="J67" i="33" s="1"/>
  <c r="K75" i="33"/>
  <c r="K78" i="33" s="1"/>
  <c r="K77" i="33"/>
  <c r="M112" i="38"/>
  <c r="M115" i="38"/>
  <c r="I84" i="59"/>
  <c r="I81" i="59" s="1"/>
  <c r="J89" i="59"/>
  <c r="J86" i="59"/>
  <c r="J90" i="59" s="1"/>
  <c r="I69" i="59"/>
  <c r="I66" i="59" s="1"/>
  <c r="J74" i="59"/>
  <c r="J71" i="59"/>
  <c r="J75" i="59" s="1"/>
  <c r="J19" i="46"/>
  <c r="K7" i="52"/>
  <c r="K79" i="46"/>
  <c r="K87" i="46" s="1"/>
  <c r="K27" i="46"/>
  <c r="K21" i="52" s="1"/>
  <c r="K26" i="52" s="1"/>
  <c r="K49" i="46"/>
  <c r="K57" i="46" s="1"/>
  <c r="K23" i="52" s="1"/>
  <c r="K28" i="52" s="1"/>
  <c r="K34" i="52" s="1"/>
  <c r="K109" i="46"/>
  <c r="K117" i="46" s="1"/>
  <c r="K94" i="46"/>
  <c r="K102" i="46" s="1"/>
  <c r="K64" i="46"/>
  <c r="K72" i="46" s="1"/>
  <c r="K34" i="46"/>
  <c r="K42" i="46" s="1"/>
  <c r="K22" i="52" s="1"/>
  <c r="K27" i="52" s="1"/>
  <c r="K33" i="52" s="1"/>
  <c r="N47" i="38"/>
  <c r="M45" i="38"/>
  <c r="M39" i="38" s="1"/>
  <c r="N50" i="38"/>
  <c r="J56" i="59"/>
  <c r="J60" i="59" s="1"/>
  <c r="I54" i="59"/>
  <c r="I51" i="59" s="1"/>
  <c r="J59" i="59"/>
  <c r="L33" i="52"/>
  <c r="N30" i="33"/>
  <c r="N33" i="33" s="1"/>
  <c r="M28" i="33"/>
  <c r="M22" i="33" s="1"/>
  <c r="N32" i="33"/>
  <c r="J58" i="33"/>
  <c r="J52" i="33" s="1"/>
  <c r="K60" i="33"/>
  <c r="K63" i="33" s="1"/>
  <c r="K62" i="33"/>
  <c r="K93" i="38"/>
  <c r="K87" i="38" s="1"/>
  <c r="L95" i="38"/>
  <c r="L98" i="38"/>
  <c r="N31" i="38"/>
  <c r="M29" i="38"/>
  <c r="M23" i="38" s="1"/>
  <c r="N34" i="38"/>
  <c r="J129" i="59"/>
  <c r="J132" i="59" s="1"/>
  <c r="J131" i="59"/>
  <c r="I127" i="59"/>
  <c r="I124" i="59" s="1"/>
  <c r="L32" i="52"/>
  <c r="L29" i="52"/>
  <c r="L35" i="52" s="1"/>
  <c r="J27" i="59" l="1"/>
  <c r="J57" i="59"/>
  <c r="K64" i="38"/>
  <c r="K67" i="38"/>
  <c r="I7" i="52"/>
  <c r="I109" i="46"/>
  <c r="I117" i="46" s="1"/>
  <c r="I94" i="46"/>
  <c r="I102" i="46" s="1"/>
  <c r="I79" i="46"/>
  <c r="I87" i="46" s="1"/>
  <c r="I49" i="46"/>
  <c r="I57" i="46" s="1"/>
  <c r="I23" i="52" s="1"/>
  <c r="I28" i="52" s="1"/>
  <c r="I64" i="46"/>
  <c r="I72" i="46" s="1"/>
  <c r="I34" i="46"/>
  <c r="I42" i="46" s="1"/>
  <c r="I22" i="52" s="1"/>
  <c r="I27" i="52" s="1"/>
  <c r="I27" i="46"/>
  <c r="I21" i="52" s="1"/>
  <c r="I26" i="52" s="1"/>
  <c r="L112" i="38"/>
  <c r="L115" i="38"/>
  <c r="I94" i="59"/>
  <c r="I102" i="59" s="1"/>
  <c r="I79" i="59"/>
  <c r="I87" i="59" s="1"/>
  <c r="I109" i="59"/>
  <c r="I64" i="59"/>
  <c r="I34" i="59"/>
  <c r="I49" i="59"/>
  <c r="L96" i="38"/>
  <c r="L99" i="38"/>
  <c r="K95" i="38"/>
  <c r="J93" i="38"/>
  <c r="J87" i="38" s="1"/>
  <c r="K98" i="38"/>
  <c r="M30" i="33"/>
  <c r="M33" i="33" s="1"/>
  <c r="L28" i="33"/>
  <c r="L22" i="33" s="1"/>
  <c r="M32" i="33"/>
  <c r="K29" i="52"/>
  <c r="K35" i="52" s="1"/>
  <c r="K32" i="52"/>
  <c r="N32" i="38"/>
  <c r="N35" i="38"/>
  <c r="J63" i="38"/>
  <c r="J66" i="38"/>
  <c r="J60" i="33"/>
  <c r="J63" i="33" s="1"/>
  <c r="J62" i="33"/>
  <c r="J7" i="52"/>
  <c r="J8" i="52" s="1"/>
  <c r="J64" i="46"/>
  <c r="J72" i="46" s="1"/>
  <c r="J94" i="46"/>
  <c r="J102" i="46" s="1"/>
  <c r="J79" i="46"/>
  <c r="J87" i="46" s="1"/>
  <c r="J109" i="46"/>
  <c r="J117" i="46" s="1"/>
  <c r="J49" i="46"/>
  <c r="J57" i="46" s="1"/>
  <c r="J23" i="52" s="1"/>
  <c r="J28" i="52" s="1"/>
  <c r="J34" i="46"/>
  <c r="J42" i="46" s="1"/>
  <c r="J22" i="52" s="1"/>
  <c r="J27" i="52" s="1"/>
  <c r="J27" i="46"/>
  <c r="J21" i="52" s="1"/>
  <c r="J26" i="52" s="1"/>
  <c r="I44" i="59"/>
  <c r="I41" i="59"/>
  <c r="I45" i="59" s="1"/>
  <c r="H39" i="59"/>
  <c r="H36" i="59" s="1"/>
  <c r="J42" i="59"/>
  <c r="J77" i="38"/>
  <c r="J71" i="38" s="1"/>
  <c r="K79" i="38"/>
  <c r="K82" i="38"/>
  <c r="I119" i="59"/>
  <c r="I116" i="59"/>
  <c r="H114" i="59"/>
  <c r="H111" i="59" s="1"/>
  <c r="J117" i="59"/>
  <c r="J103" i="33"/>
  <c r="J97" i="33" s="1"/>
  <c r="K105" i="33"/>
  <c r="K108" i="33" s="1"/>
  <c r="K107" i="33"/>
  <c r="I12" i="59"/>
  <c r="I15" i="59" s="1"/>
  <c r="I14" i="59"/>
  <c r="H10" i="59"/>
  <c r="H7" i="59" s="1"/>
  <c r="M45" i="33"/>
  <c r="M48" i="33" s="1"/>
  <c r="L43" i="33"/>
  <c r="L37" i="33" s="1"/>
  <c r="M47" i="33"/>
  <c r="I26" i="59"/>
  <c r="I30" i="59" s="1"/>
  <c r="H24" i="59"/>
  <c r="H21" i="59" s="1"/>
  <c r="I29" i="59"/>
  <c r="J72" i="59"/>
  <c r="I101" i="59"/>
  <c r="I105" i="59" s="1"/>
  <c r="I104" i="59"/>
  <c r="H99" i="59"/>
  <c r="H96" i="59" s="1"/>
  <c r="J90" i="33"/>
  <c r="J93" i="33" s="1"/>
  <c r="J92" i="33"/>
  <c r="J75" i="33"/>
  <c r="J78" i="33" s="1"/>
  <c r="J77" i="33"/>
  <c r="J109" i="38"/>
  <c r="J103" i="38" s="1"/>
  <c r="K111" i="38"/>
  <c r="K114" i="38"/>
  <c r="J13" i="38"/>
  <c r="J7" i="38" s="1"/>
  <c r="K15" i="38"/>
  <c r="K18" i="38"/>
  <c r="L16" i="38"/>
  <c r="L19" i="38"/>
  <c r="H127" i="59"/>
  <c r="H124" i="59" s="1"/>
  <c r="I131" i="59"/>
  <c r="I129" i="59"/>
  <c r="I132" i="59" s="1"/>
  <c r="H54" i="59"/>
  <c r="H51" i="59" s="1"/>
  <c r="I56" i="59"/>
  <c r="I60" i="59" s="1"/>
  <c r="I59" i="59"/>
  <c r="J87" i="59"/>
  <c r="N48" i="38"/>
  <c r="N51" i="38"/>
  <c r="H69" i="59"/>
  <c r="H66" i="59" s="1"/>
  <c r="I71" i="59"/>
  <c r="I75" i="59" s="1"/>
  <c r="I74" i="59"/>
  <c r="M31" i="38"/>
  <c r="L29" i="38"/>
  <c r="L23" i="38" s="1"/>
  <c r="M34" i="38"/>
  <c r="L45" i="38"/>
  <c r="L39" i="38" s="1"/>
  <c r="M47" i="38"/>
  <c r="M50" i="38"/>
  <c r="I89" i="59"/>
  <c r="I86" i="59"/>
  <c r="I90" i="59" s="1"/>
  <c r="H84" i="59"/>
  <c r="H81" i="59" s="1"/>
  <c r="H19" i="59"/>
  <c r="H19" i="46"/>
  <c r="J15" i="33"/>
  <c r="J18" i="33" s="1"/>
  <c r="J17" i="33"/>
  <c r="L80" i="38"/>
  <c r="L83" i="38"/>
  <c r="J102" i="59"/>
  <c r="I72" i="59" l="1"/>
  <c r="J79" i="38"/>
  <c r="J82" i="38"/>
  <c r="H71" i="59"/>
  <c r="H75" i="59" s="1"/>
  <c r="H74" i="59"/>
  <c r="M32" i="38"/>
  <c r="M35" i="38"/>
  <c r="H79" i="59"/>
  <c r="H109" i="59"/>
  <c r="H64" i="59"/>
  <c r="H72" i="59" s="1"/>
  <c r="H49" i="59"/>
  <c r="H94" i="59"/>
  <c r="H102" i="59" s="1"/>
  <c r="H34" i="59"/>
  <c r="J64" i="38"/>
  <c r="J67" i="38"/>
  <c r="H7" i="52"/>
  <c r="H109" i="46"/>
  <c r="H117" i="46" s="1"/>
  <c r="H94" i="46"/>
  <c r="H102" i="46" s="1"/>
  <c r="H79" i="46"/>
  <c r="H87" i="46" s="1"/>
  <c r="H34" i="46"/>
  <c r="H42" i="46" s="1"/>
  <c r="H22" i="52" s="1"/>
  <c r="H27" i="52" s="1"/>
  <c r="H49" i="46"/>
  <c r="H57" i="46" s="1"/>
  <c r="H23" i="52" s="1"/>
  <c r="H28" i="52" s="1"/>
  <c r="H27" i="46"/>
  <c r="H21" i="52" s="1"/>
  <c r="H64" i="46"/>
  <c r="H72" i="46" s="1"/>
  <c r="J34" i="52"/>
  <c r="J95" i="38"/>
  <c r="J98" i="38"/>
  <c r="H116" i="59"/>
  <c r="H119" i="59"/>
  <c r="J15" i="38"/>
  <c r="J18" i="38"/>
  <c r="H14" i="59"/>
  <c r="H12" i="59"/>
  <c r="H15" i="59" s="1"/>
  <c r="AD9" i="59"/>
  <c r="AD10" i="59"/>
  <c r="J111" i="38"/>
  <c r="J114" i="38"/>
  <c r="I29" i="52"/>
  <c r="H86" i="59"/>
  <c r="H90" i="59" s="1"/>
  <c r="H89" i="59"/>
  <c r="H56" i="59"/>
  <c r="H60" i="59" s="1"/>
  <c r="H59" i="59"/>
  <c r="H129" i="59"/>
  <c r="H132" i="59" s="1"/>
  <c r="H131" i="59"/>
  <c r="I27" i="59"/>
  <c r="H41" i="59"/>
  <c r="H45" i="59" s="1"/>
  <c r="H44" i="59"/>
  <c r="K112" i="38"/>
  <c r="K115" i="38"/>
  <c r="J33" i="52"/>
  <c r="H104" i="59"/>
  <c r="H101" i="59"/>
  <c r="H105" i="59" s="1"/>
  <c r="I117" i="59"/>
  <c r="I120" i="59"/>
  <c r="I57" i="59"/>
  <c r="I8" i="52"/>
  <c r="I32" i="52" s="1"/>
  <c r="K16" i="38"/>
  <c r="K19" i="38"/>
  <c r="L45" i="33"/>
  <c r="L48" i="33" s="1"/>
  <c r="K43" i="33"/>
  <c r="K37" i="33" s="1"/>
  <c r="L47" i="33"/>
  <c r="J29" i="52"/>
  <c r="J35" i="52" s="1"/>
  <c r="J32" i="52"/>
  <c r="L30" i="33"/>
  <c r="L33" i="33" s="1"/>
  <c r="K28" i="33"/>
  <c r="K22" i="33" s="1"/>
  <c r="L32" i="33"/>
  <c r="J105" i="33"/>
  <c r="J108" i="33" s="1"/>
  <c r="J107" i="33"/>
  <c r="K96" i="38"/>
  <c r="K99" i="38"/>
  <c r="M48" i="38"/>
  <c r="M51" i="38"/>
  <c r="L47" i="38"/>
  <c r="K45" i="38"/>
  <c r="K39" i="38" s="1"/>
  <c r="L50" i="38"/>
  <c r="L31" i="38"/>
  <c r="K29" i="38"/>
  <c r="K23" i="38" s="1"/>
  <c r="L34" i="38"/>
  <c r="H26" i="59"/>
  <c r="H30" i="59" s="1"/>
  <c r="H29" i="59"/>
  <c r="K80" i="38"/>
  <c r="K83" i="38"/>
  <c r="I42" i="59"/>
  <c r="H27" i="59" l="1"/>
  <c r="L48" i="38"/>
  <c r="L51" i="38"/>
  <c r="H42" i="59"/>
  <c r="K45" i="33"/>
  <c r="K48" i="33" s="1"/>
  <c r="J43" i="33"/>
  <c r="J37" i="33" s="1"/>
  <c r="K47" i="33"/>
  <c r="J96" i="38"/>
  <c r="J99" i="38"/>
  <c r="H87" i="59"/>
  <c r="J112" i="38"/>
  <c r="J115" i="38"/>
  <c r="J45" i="38"/>
  <c r="J39" i="38" s="1"/>
  <c r="K47" i="38"/>
  <c r="K50" i="38"/>
  <c r="H57" i="59"/>
  <c r="I34" i="52"/>
  <c r="H117" i="59"/>
  <c r="H120" i="59"/>
  <c r="I33" i="52"/>
  <c r="I35" i="52"/>
  <c r="C35" i="56"/>
  <c r="H26" i="52"/>
  <c r="K31" i="38"/>
  <c r="J29" i="38"/>
  <c r="J23" i="38" s="1"/>
  <c r="K34" i="38"/>
  <c r="L32" i="38"/>
  <c r="L35" i="38"/>
  <c r="H8" i="52"/>
  <c r="H34" i="52" s="1"/>
  <c r="J16" i="38"/>
  <c r="J19" i="38"/>
  <c r="H33" i="52"/>
  <c r="J28" i="33"/>
  <c r="J22" i="33" s="1"/>
  <c r="K30" i="33"/>
  <c r="K33" i="33" s="1"/>
  <c r="K32" i="33"/>
  <c r="J80" i="38"/>
  <c r="J83" i="38"/>
  <c r="J31" i="38" l="1"/>
  <c r="J34" i="38"/>
  <c r="K48" i="38"/>
  <c r="K51" i="38"/>
  <c r="K32" i="38"/>
  <c r="K35" i="38"/>
  <c r="J47" i="38"/>
  <c r="J50" i="38"/>
  <c r="H32" i="52"/>
  <c r="H29" i="52"/>
  <c r="H35" i="52" s="1"/>
  <c r="J45" i="33"/>
  <c r="J48" i="33" s="1"/>
  <c r="J47" i="33"/>
  <c r="J30" i="33"/>
  <c r="J33" i="33" s="1"/>
  <c r="AF27" i="33"/>
  <c r="AF28" i="33"/>
  <c r="J32" i="33"/>
  <c r="J48" i="38" l="1"/>
  <c r="J51" i="38"/>
  <c r="J32" i="38"/>
  <c r="AF32" i="38" s="1"/>
  <c r="J3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<sst xmlns="http://schemas.openxmlformats.org/spreadsheetml/2006/main" count="26422" uniqueCount="2814">
  <si>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</si>
  <si>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</si>
  <si>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</si>
  <si>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</si>
  <si>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</si>
  <si>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</si>
  <si>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</si>
  <si>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</si>
  <si>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</si>
  <si>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</si>
  <si>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</si>
  <si>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</si>
  <si>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</si>
  <si>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</si>
  <si>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</si>
  <si>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</si>
  <si>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</si>
  <si>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</si>
  <si>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</si>
  <si>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</si>
  <si>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</si>
  <si>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</si>
  <si>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</si>
  <si>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</si>
  <si>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</si>
  <si>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</si>
  <si>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</si>
  <si>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</si>
  <si>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</si>
  <si>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</si>
  <si>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</si>
  <si>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</si>
  <si>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</si>
  <si>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</si>
  <si>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</si>
  <si>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</si>
  <si>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</si>
  <si>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</si>
  <si>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</si>
  <si>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</si>
  <si>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</si>
  <si>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</si>
  <si>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</si>
  <si>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</si>
  <si>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</si>
  <si>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</si>
  <si>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</si>
  <si>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</si>
  <si>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</si>
  <si>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</si>
  <si>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</si>
  <si>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</si>
  <si>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</si>
  <si>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</si>
  <si>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</si>
  <si>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</si>
  <si>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</si>
  <si>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</si>
  <si>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</si>
  <si>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</si>
  <si>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</si>
  <si>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</si>
  <si>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</si>
  <si>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</si>
  <si>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</si>
  <si>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</si>
  <si>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</si>
  <si>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</si>
  <si>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</si>
  <si>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</si>
  <si>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</si>
  <si>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</si>
  <si>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</si>
  <si>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</si>
  <si>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</si>
  <si>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</si>
  <si>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</si>
  <si>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</si>
  <si>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</si>
  <si>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</si>
  <si>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</si>
  <si>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</si>
  <si>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</si>
  <si>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</si>
  <si>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</si>
  <si>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</si>
  <si>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</si>
  <si>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</si>
  <si>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</si>
  <si>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</si>
  <si>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</si>
  <si>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</si>
  <si>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</si>
  <si>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</si>
  <si>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</si>
  <si>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</si>
  <si>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</si>
  <si>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</si>
  <si>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</si>
  <si>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</si>
  <si>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</si>
  <si>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</si>
  <si>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</si>
  <si>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</si>
  <si>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</si>
  <si>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</si>
  <si>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</si>
  <si>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</si>
  <si>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</si>
  <si>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</si>
  <si>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</si>
  <si>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</si>
  <si>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</si>
  <si>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</si>
  <si>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</si>
  <si>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</si>
  <si>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</si>
  <si>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</si>
  <si>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</si>
  <si>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</si>
  <si>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</si>
  <si>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</si>
  <si>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</si>
  <si>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</si>
  <si>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</si>
  <si>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</si>
  <si>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</si>
  <si>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</si>
  <si>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</si>
  <si>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</si>
  <si>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</si>
  <si>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</si>
  <si>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</si>
  <si>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</si>
  <si>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</si>
  <si>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</si>
  <si>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</si>
  <si>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</si>
  <si>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</si>
  <si>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</si>
  <si>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</si>
  <si>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</si>
  <si>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</si>
  <si>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</si>
  <si>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</si>
  <si>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</si>
  <si>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</si>
  <si>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</si>
  <si>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</si>
  <si>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</si>
  <si>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</si>
  <si>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</si>
  <si>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</si>
  <si>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</si>
  <si>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</si>
  <si>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</si>
  <si>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</si>
  <si>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</si>
  <si>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</si>
  <si>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</si>
  <si>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</si>
  <si>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</si>
  <si>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</si>
  <si>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</si>
  <si>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</si>
  <si>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</si>
  <si>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</si>
  <si>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</si>
  <si>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</si>
  <si>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</si>
  <si>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</si>
  <si>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</si>
  <si>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</si>
  <si>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</si>
  <si>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</si>
  <si>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</si>
  <si>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</si>
  <si>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</si>
  <si>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</si>
  <si>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</si>
  <si>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</si>
  <si>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</si>
  <si>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</si>
  <si>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</si>
  <si>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</si>
  <si>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</si>
  <si>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</si>
  <si>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</si>
  <si>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</si>
  <si>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</si>
  <si>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</si>
  <si>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</si>
  <si>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</si>
  <si>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</si>
  <si>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</si>
  <si>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</si>
  <si>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</si>
  <si>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</si>
  <si>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</si>
  <si>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</si>
  <si>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</si>
  <si>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</si>
  <si>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</si>
  <si>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</si>
  <si>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</si>
  <si>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</si>
  <si>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</si>
  <si>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</si>
  <si>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</si>
  <si>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</si>
  <si>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</si>
  <si>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</si>
  <si>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</si>
  <si>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</si>
  <si>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</si>
  <si>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</si>
  <si>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</si>
  <si>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</si>
  <si>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</si>
  <si>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</si>
  <si>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</si>
  <si>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</si>
  <si>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</si>
  <si>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</si>
  <si>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</si>
  <si>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</si>
  <si>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</si>
  <si>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</si>
  <si>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</si>
  <si>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</si>
  <si>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</si>
  <si>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</si>
  <si>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</si>
  <si>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</si>
  <si>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</si>
  <si>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</si>
  <si>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</si>
  <si>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</si>
  <si>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</si>
  <si>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</si>
  <si>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</si>
  <si>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</si>
  <si>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</si>
  <si>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</si>
  <si>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</si>
  <si>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</si>
  <si>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</si>
  <si>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</si>
  <si>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</si>
  <si>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</si>
  <si>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</si>
  <si>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</si>
  <si>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</si>
  <si>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</si>
  <si>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</si>
  <si>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</si>
  <si>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</si>
  <si>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</si>
  <si>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</si>
  <si>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</si>
  <si>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</si>
  <si>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</si>
  <si>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</si>
  <si>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</si>
  <si>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</si>
  <si>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</si>
  <si>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</si>
  <si>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</si>
  <si>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</si>
  <si>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</si>
  <si>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</si>
  <si>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</si>
  <si>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</si>
  <si>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</si>
  <si>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</si>
  <si>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</si>
  <si>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</si>
  <si>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</si>
  <si>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</si>
  <si>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</si>
  <si>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</si>
  <si>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</si>
  <si>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</si>
  <si>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</si>
  <si>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</si>
  <si>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</si>
  <si>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</si>
  <si>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</si>
  <si>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</si>
  <si>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</si>
  <si>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</si>
  <si>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</si>
  <si>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</si>
  <si>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</si>
  <si>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</si>
  <si>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</si>
  <si>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</si>
  <si>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</si>
  <si>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</si>
  <si>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</si>
  <si>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</si>
  <si>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</si>
  <si>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</si>
  <si>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</si>
  <si>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</si>
  <si>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</si>
  <si>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</si>
  <si>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</si>
  <si>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</si>
  <si>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</si>
  <si>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</si>
  <si>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</si>
  <si>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</si>
  <si>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</si>
  <si>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</si>
  <si>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</si>
  <si>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</si>
  <si>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</si>
  <si>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</si>
  <si>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</si>
  <si>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</si>
  <si>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</si>
  <si>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</si>
  <si>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</si>
  <si>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</si>
  <si>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</si>
  <si>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</si>
  <si>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</si>
  <si>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</si>
  <si>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</si>
  <si>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</si>
  <si>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</si>
  <si>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</si>
  <si>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</si>
  <si>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</si>
  <si>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</si>
  <si>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</si>
  <si>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</si>
  <si>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</si>
  <si>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</si>
  <si>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</si>
  <si>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</si>
  <si>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</si>
  <si>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</si>
  <si>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</si>
  <si>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</si>
  <si>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</si>
  <si>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</si>
  <si>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</si>
  <si>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</si>
  <si>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</si>
  <si>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</si>
  <si>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</si>
  <si>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</si>
  <si>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</si>
  <si>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</si>
  <si>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</si>
  <si>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</si>
  <si>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</si>
  <si>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</si>
  <si>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</si>
  <si>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</si>
  <si>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</si>
  <si>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</si>
  <si>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</si>
  <si>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</si>
  <si>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</si>
  <si>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</si>
  <si>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</si>
  <si>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</si>
  <si>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</si>
  <si>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</si>
  <si>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</si>
  <si>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</si>
  <si>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</si>
  <si>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</si>
  <si>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</si>
  <si>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</si>
  <si>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</si>
  <si>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</si>
  <si>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</si>
  <si>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</si>
  <si>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</si>
  <si>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</si>
  <si>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</si>
  <si>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</si>
  <si>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</si>
  <si>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</si>
  <si>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</si>
  <si>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</si>
  <si>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</si>
  <si>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</si>
  <si>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</si>
  <si>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</si>
  <si>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</si>
  <si>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</si>
  <si>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</si>
  <si>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</si>
  <si>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</si>
  <si>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</si>
  <si>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</si>
  <si>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</si>
  <si>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</si>
  <si>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</si>
  <si>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</si>
  <si>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</si>
  <si>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</si>
  <si>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</si>
  <si>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</si>
  <si>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</si>
  <si>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</si>
  <si>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</si>
  <si>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</si>
  <si>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</si>
  <si>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</si>
  <si>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</si>
  <si>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</si>
  <si>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</si>
  <si>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</si>
  <si>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</si>
  <si>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</si>
  <si>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</si>
  <si>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</si>
  <si>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</si>
  <si>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</si>
  <si>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</si>
  <si>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</si>
  <si>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</si>
  <si>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</si>
  <si>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</si>
  <si>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</si>
  <si>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</si>
  <si>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</si>
  <si>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</si>
  <si>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</si>
  <si>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</si>
  <si>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</si>
  <si>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</si>
  <si>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</si>
  <si>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</si>
  <si>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</si>
  <si>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</si>
  <si>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</si>
  <si>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</si>
  <si>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</si>
  <si>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</si>
  <si>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</si>
  <si>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</si>
  <si>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</si>
  <si>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</si>
  <si>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</si>
  <si>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</si>
  <si>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</si>
  <si>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</si>
  <si>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</si>
  <si>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</si>
  <si>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</si>
  <si>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</si>
  <si>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</si>
  <si>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</si>
  <si>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</si>
  <si>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</si>
  <si>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</si>
  <si>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</si>
  <si>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</si>
  <si>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</si>
  <si>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</si>
  <si>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</si>
  <si>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</si>
  <si>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</si>
  <si>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</si>
  <si>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</si>
  <si>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</si>
  <si>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</si>
  <si>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</si>
  <si>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</si>
  <si>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</si>
  <si>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</si>
  <si>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</si>
  <si>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</si>
  <si>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</si>
  <si>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</si>
  <si>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</si>
  <si>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</si>
  <si>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</si>
  <si>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</si>
  <si>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</si>
  <si>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</si>
  <si>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</si>
  <si>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</si>
  <si>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</si>
  <si>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</si>
  <si>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</si>
  <si>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</si>
  <si>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</si>
  <si>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</si>
  <si>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</si>
  <si>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</si>
  <si>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</si>
  <si>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</si>
  <si>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</si>
  <si>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</si>
  <si>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</si>
  <si>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</si>
  <si>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</si>
  <si>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</si>
  <si>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</si>
  <si>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</si>
  <si>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</si>
  <si>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</si>
  <si>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</si>
  <si>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</si>
  <si>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</si>
  <si>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</si>
  <si>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</si>
  <si>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</si>
  <si>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</si>
  <si>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</si>
  <si>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</si>
  <si>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</si>
  <si>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</si>
  <si>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</si>
  <si>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</si>
  <si>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</si>
  <si>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</si>
  <si>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</si>
  <si>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</si>
  <si>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</si>
  <si>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</si>
  <si>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</si>
  <si>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</si>
  <si>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</si>
  <si>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</si>
  <si>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</si>
  <si>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</si>
  <si>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</si>
  <si>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</si>
  <si>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</si>
  <si>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</si>
  <si>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</si>
  <si>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</si>
  <si>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</si>
  <si>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</si>
  <si>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</si>
  <si>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</si>
  <si>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</si>
  <si>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</si>
  <si>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</si>
  <si>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</si>
  <si>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</si>
  <si>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</si>
  <si>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</si>
  <si>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</si>
  <si>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</si>
  <si>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</si>
  <si>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</si>
  <si>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</si>
  <si>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</si>
  <si>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</si>
  <si>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</si>
  <si>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</si>
  <si>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</si>
  <si>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</si>
  <si>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</si>
  <si>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</si>
  <si>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</si>
  <si>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</si>
  <si>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</si>
  <si>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</si>
  <si>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</si>
  <si>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</si>
  <si>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</si>
  <si>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</si>
  <si>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</si>
  <si>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</si>
  <si>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</si>
  <si>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</si>
  <si>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</si>
  <si>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</si>
  <si>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</si>
  <si>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</si>
  <si>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</si>
  <si>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</si>
  <si>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</si>
  <si>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</si>
  <si>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</si>
  <si>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</si>
  <si>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</si>
  <si>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</si>
  <si>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</si>
  <si>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</si>
  <si>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</si>
  <si>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</si>
  <si>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</si>
  <si>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</si>
  <si>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</si>
  <si>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</si>
  <si>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</si>
  <si>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</si>
  <si>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</si>
  <si>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</si>
  <si>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</si>
  <si>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</si>
  <si>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</si>
  <si>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</si>
  <si>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</si>
  <si>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</si>
  <si>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</si>
  <si>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</si>
  <si>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</si>
  <si>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</si>
  <si>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</si>
  <si>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</si>
  <si>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</si>
  <si>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</si>
  <si>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</si>
  <si>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</si>
  <si>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</si>
  <si>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</si>
  <si>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</si>
  <si>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</si>
  <si>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</si>
  <si>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</si>
  <si>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</si>
  <si>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</si>
  <si>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</si>
  <si>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</si>
  <si>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</si>
  <si>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</si>
  <si>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</si>
  <si>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</si>
  <si>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</si>
  <si>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</si>
  <si>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</si>
  <si>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</si>
  <si>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</si>
  <si>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</si>
  <si>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</si>
  <si>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</si>
  <si>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</si>
  <si>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</si>
  <si>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</si>
  <si>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</si>
  <si>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</si>
  <si>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</si>
  <si>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</si>
  <si>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</si>
  <si>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</si>
  <si>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</si>
  <si>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</si>
  <si>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</si>
  <si>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</si>
  <si>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</si>
  <si>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</si>
  <si>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</si>
  <si>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</si>
  <si>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</si>
  <si>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</si>
  <si>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</si>
  <si>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</si>
  <si>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</si>
  <si>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</si>
  <si>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</si>
  <si>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</si>
  <si>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</si>
  <si>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</si>
  <si>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</si>
  <si>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</si>
  <si>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</si>
  <si>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</si>
  <si>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</si>
  <si>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</si>
  <si>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</si>
  <si>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</si>
  <si>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</si>
  <si>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</si>
  <si>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</si>
  <si>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</si>
  <si>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</si>
  <si>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</si>
  <si>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</si>
  <si>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</si>
  <si>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</si>
  <si>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</si>
  <si>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</si>
  <si>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</si>
  <si>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</si>
  <si>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</si>
  <si>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</si>
  <si>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</si>
  <si>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</si>
  <si>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</si>
  <si>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</si>
  <si>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</si>
  <si>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</si>
  <si>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</si>
  <si>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</si>
  <si>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</si>
  <si>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</si>
  <si>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</si>
  <si>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</si>
  <si>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</si>
  <si>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</si>
  <si>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</si>
  <si>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</si>
  <si>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</si>
  <si>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</si>
  <si>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</si>
  <si>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</si>
  <si>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</si>
  <si>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</si>
  <si>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</si>
  <si>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</si>
  <si>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</si>
  <si>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</si>
  <si>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</si>
  <si>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</si>
  <si>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</si>
  <si>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</si>
  <si>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</si>
  <si>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</si>
  <si>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</si>
  <si>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</si>
  <si>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</si>
  <si>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</si>
  <si>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</si>
  <si>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</si>
  <si>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</si>
  <si>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</si>
  <si>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</si>
  <si>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</si>
  <si>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</si>
  <si>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</si>
  <si>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</si>
  <si>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</si>
  <si>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</si>
  <si>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</si>
  <si>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</si>
  <si>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</si>
  <si>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</si>
  <si>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</si>
  <si>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</si>
  <si>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</si>
  <si>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</si>
  <si>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</si>
  <si>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</si>
  <si>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</si>
  <si>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</si>
  <si>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</si>
  <si>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</si>
  <si>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</si>
  <si>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</si>
  <si>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</si>
  <si>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</si>
  <si>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</si>
  <si>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</si>
  <si>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</si>
  <si>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</si>
  <si>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</si>
  <si>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</si>
  <si>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</si>
  <si>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</si>
  <si>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</si>
  <si>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</si>
  <si>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</si>
  <si>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</si>
  <si>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</si>
  <si>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</si>
  <si>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</si>
  <si>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</si>
  <si>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</si>
  <si>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</si>
  <si>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</si>
  <si>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</si>
  <si>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</si>
  <si>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</si>
  <si>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</si>
  <si>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</si>
  <si>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</si>
  <si>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</si>
  <si>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</si>
  <si>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</si>
  <si>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</si>
  <si>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</si>
  <si>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</si>
  <si>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</si>
  <si>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</si>
  <si>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</si>
  <si>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</si>
  <si>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</si>
  <si>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</si>
  <si>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</si>
  <si>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</si>
  <si>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</si>
  <si>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</si>
  <si>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</si>
  <si>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</si>
  <si>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</si>
  <si>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</si>
  <si>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</si>
  <si>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</si>
  <si>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</si>
  <si>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</si>
  <si>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</si>
  <si>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</si>
  <si>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</si>
  <si>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</si>
  <si>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</si>
  <si>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</si>
  <si>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</si>
  <si>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</si>
  <si>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</si>
  <si>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</si>
  <si>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</si>
  <si>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</si>
  <si>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</si>
  <si>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</si>
  <si>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</si>
  <si>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</si>
  <si>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</si>
  <si>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</si>
  <si>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</si>
  <si>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</si>
  <si>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</si>
  <si>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</si>
  <si>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</si>
  <si>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</si>
  <si>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</si>
  <si>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</si>
  <si>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</si>
  <si>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</si>
  <si>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</si>
  <si>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</si>
  <si>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</si>
  <si>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</si>
  <si>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</si>
  <si>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</si>
  <si>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</si>
  <si>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</si>
  <si>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</si>
  <si>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</si>
  <si>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</si>
  <si>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</si>
  <si>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</si>
  <si>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</si>
  <si>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</si>
  <si>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</si>
  <si>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</si>
  <si>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</si>
  <si>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</si>
  <si>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</si>
  <si>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</si>
  <si>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</si>
  <si>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</si>
  <si>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</si>
  <si>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</si>
  <si>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</si>
  <si>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</si>
  <si>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</si>
  <si>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</si>
  <si>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</si>
  <si>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</si>
  <si>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</si>
  <si>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</si>
  <si>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</si>
  <si>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</si>
  <si>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</si>
  <si>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</si>
  <si>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</si>
  <si>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</si>
  <si>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</si>
  <si>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</si>
  <si>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</si>
  <si>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</si>
  <si>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</si>
  <si>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</si>
  <si>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</si>
  <si>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</si>
  <si>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</si>
  <si>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</si>
  <si>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</si>
  <si>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</si>
  <si>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</si>
  <si>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</si>
  <si>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</si>
  <si>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</si>
  <si>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</si>
  <si>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</si>
  <si>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</si>
  <si>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</si>
  <si>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</si>
  <si>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</si>
  <si>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</si>
  <si>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</si>
  <si>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</si>
  <si>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</si>
  <si>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</si>
  <si>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</si>
  <si>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</si>
  <si>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</si>
  <si>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</si>
  <si>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</si>
  <si>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</si>
  <si>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</si>
  <si>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</si>
  <si>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</si>
  <si>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</si>
  <si>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</si>
  <si>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</si>
  <si>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</si>
  <si>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</si>
  <si>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</si>
  <si>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</si>
  <si>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</si>
  <si>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</si>
  <si>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</si>
  <si>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</si>
  <si>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</si>
  <si>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</si>
  <si>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</si>
  <si>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</si>
  <si>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</si>
  <si>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</si>
  <si>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</si>
  <si>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</si>
  <si>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</si>
  <si>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</si>
  <si>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</si>
  <si>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</si>
  <si>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</si>
  <si>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</si>
  <si>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</si>
  <si>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</si>
  <si>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</si>
  <si>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</si>
  <si>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</si>
  <si>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</si>
  <si>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</si>
  <si>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</si>
  <si>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</si>
  <si>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</si>
  <si>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</si>
  <si>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</si>
  <si>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</si>
  <si>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</si>
  <si>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</si>
  <si>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</si>
  <si>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</si>
  <si>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</si>
  <si>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</si>
  <si>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</si>
  <si>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</si>
  <si>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</si>
  <si>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</si>
  <si>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</si>
  <si>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</si>
  <si>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</si>
  <si>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</si>
  <si>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</si>
  <si>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</si>
  <si>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</si>
  <si>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</si>
  <si>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</si>
  <si>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</si>
  <si>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</si>
  <si>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</si>
  <si>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</si>
  <si>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</si>
  <si>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</si>
  <si>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</si>
  <si>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</si>
  <si>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</si>
  <si>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</si>
  <si>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</si>
  <si>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</si>
  <si>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</si>
  <si>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</si>
  <si>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</si>
  <si>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</si>
  <si>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</si>
  <si>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</si>
  <si>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</si>
  <si>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</si>
  <si>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</si>
  <si>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</si>
  <si>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</si>
  <si>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</si>
  <si>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</si>
  <si>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</si>
  <si>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</si>
  <si>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</si>
  <si>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</si>
  <si>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</si>
  <si>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</si>
  <si>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</si>
  <si>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</si>
  <si>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</si>
  <si>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</si>
  <si>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</si>
  <si>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</si>
  <si>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</si>
  <si>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</si>
  <si>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</si>
  <si>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</si>
  <si>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</si>
  <si>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</si>
  <si>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</si>
  <si>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</si>
  <si>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</si>
  <si>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</si>
  <si>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</si>
  <si>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</si>
  <si>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</si>
  <si>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</si>
  <si>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</si>
  <si>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</si>
  <si>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</si>
  <si>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</si>
  <si>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</si>
  <si>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</si>
  <si>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</si>
  <si>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</si>
  <si>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</si>
  <si>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</si>
  <si>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</si>
  <si>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</si>
  <si>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</si>
  <si>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</si>
  <si>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</si>
  <si>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</si>
  <si>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</si>
  <si>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</si>
  <si>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</si>
  <si>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</si>
  <si>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</si>
  <si>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</si>
  <si>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</si>
  <si>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</si>
  <si>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</si>
  <si>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</si>
  <si>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</si>
  <si>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</si>
  <si>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</si>
  <si>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</si>
  <si>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</si>
  <si>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</si>
  <si>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</si>
  <si>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</si>
  <si>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</si>
  <si>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</si>
  <si>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</si>
  <si>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</si>
  <si>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</si>
  <si>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</si>
  <si>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</si>
  <si>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</si>
  <si>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</si>
  <si>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</si>
  <si>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</si>
  <si>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</si>
  <si>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</si>
  <si>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</si>
  <si>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</si>
  <si>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</si>
  <si>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</si>
  <si>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</si>
  <si>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</si>
  <si>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</si>
  <si>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</si>
  <si>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</si>
  <si>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</si>
  <si>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</si>
  <si>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</si>
  <si>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</si>
  <si>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</si>
  <si>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</si>
  <si>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</si>
  <si>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</si>
  <si>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</si>
  <si>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</si>
  <si>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</si>
  <si>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</si>
  <si>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</si>
  <si>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</si>
  <si>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</si>
  <si>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</si>
  <si>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</si>
  <si>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</si>
  <si>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</si>
  <si>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</si>
  <si>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</si>
  <si>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</si>
  <si>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</si>
  <si>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</si>
  <si>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</si>
  <si>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</si>
  <si>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</si>
  <si>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</si>
  <si>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</si>
  <si>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</si>
  <si>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</si>
  <si>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</si>
  <si>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</si>
  <si>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</si>
  <si>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</si>
  <si>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</si>
  <si>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</si>
  <si>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</si>
  <si>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</si>
  <si>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</si>
  <si>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</si>
  <si>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</si>
  <si>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</si>
  <si>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</si>
  <si>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</si>
  <si>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</si>
  <si>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</si>
  <si>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</si>
  <si>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</si>
  <si>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</si>
  <si>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</si>
  <si>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</si>
  <si>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</si>
  <si>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</si>
  <si>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</si>
  <si>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</si>
  <si>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</si>
  <si>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</si>
  <si>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</si>
  <si>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</si>
  <si>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</si>
  <si>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</si>
  <si>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</si>
  <si>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</si>
  <si>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</si>
  <si>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</si>
  <si>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</si>
  <si>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</si>
  <si>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</si>
  <si>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</si>
  <si>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</si>
  <si>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</si>
  <si>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</si>
  <si>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</si>
  <si>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</si>
  <si>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</si>
  <si>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</si>
  <si>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</si>
  <si>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</si>
  <si>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</si>
  <si>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</si>
  <si>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</si>
  <si>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</si>
  <si>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</si>
  <si>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</si>
  <si>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</si>
  <si>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</si>
  <si>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</si>
  <si>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</si>
  <si>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</si>
  <si>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</si>
  <si>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</si>
  <si>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</si>
  <si>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</si>
  <si>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</si>
  <si>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</si>
  <si>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</si>
  <si>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</si>
  <si>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</si>
  <si>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</si>
  <si>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</si>
  <si>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</si>
  <si>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</si>
  <si>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</si>
  <si>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</si>
  <si>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</si>
  <si>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</si>
  <si>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</si>
  <si>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</si>
  <si>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</si>
  <si>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</si>
  <si>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</si>
  <si>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</si>
  <si>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</si>
  <si>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</si>
  <si>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</si>
  <si>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</si>
  <si>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</si>
  <si>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</si>
  <si>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</si>
  <si>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</si>
  <si>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</si>
  <si>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</si>
  <si>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</si>
  <si>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</si>
  <si>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</si>
  <si>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</si>
  <si>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</si>
  <si>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</si>
  <si>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</si>
  <si>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</si>
  <si>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</si>
  <si>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</si>
  <si>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</si>
  <si>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</si>
  <si>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</si>
  <si>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</si>
  <si>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</si>
  <si>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</si>
  <si>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</si>
  <si>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</si>
  <si>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</si>
  <si>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</si>
  <si>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</si>
  <si>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</si>
  <si>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</si>
  <si>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</si>
  <si>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</si>
  <si>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</si>
  <si>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</si>
  <si>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</si>
  <si>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</si>
  <si>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</si>
  <si>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</si>
  <si>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</si>
  <si>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</si>
  <si>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</si>
  <si>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</si>
  <si>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</si>
  <si>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</si>
  <si>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</si>
  <si>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</si>
  <si>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</si>
  <si>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</si>
  <si>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</si>
  <si>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</si>
  <si>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</si>
  <si>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</si>
  <si>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</si>
  <si>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</si>
  <si>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</si>
  <si>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</si>
  <si>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</si>
  <si>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</si>
  <si>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</si>
  <si>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</si>
  <si>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</si>
  <si>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</si>
  <si>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</si>
  <si>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</si>
  <si>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</si>
  <si>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</si>
  <si>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</si>
  <si>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</si>
  <si>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</si>
  <si>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</si>
  <si>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</si>
  <si>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</si>
  <si>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</si>
  <si>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</si>
  <si>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</si>
  <si>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</si>
  <si>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</si>
  <si>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</si>
  <si>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</si>
  <si>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</si>
  <si>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</si>
  <si>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</si>
  <si>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</si>
  <si>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</si>
  <si>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</si>
  <si>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</si>
  <si>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</si>
  <si>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</si>
  <si>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</si>
  <si>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</si>
  <si>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</si>
  <si>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</si>
  <si>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</si>
  <si>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</si>
  <si>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</si>
  <si>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</si>
  <si>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</si>
  <si>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</si>
  <si>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</si>
  <si>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</si>
  <si>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</si>
  <si>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</si>
  <si>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</si>
  <si>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</si>
  <si>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</si>
  <si>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</si>
  <si>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</si>
  <si>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</si>
  <si>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</si>
  <si>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</si>
  <si>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</si>
  <si>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</si>
  <si>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</si>
  <si>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</si>
  <si>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</si>
  <si>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</si>
  <si>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</si>
  <si>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</si>
  <si>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</si>
  <si>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</si>
  <si>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</si>
  <si>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</si>
  <si>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</si>
  <si>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</si>
  <si>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</si>
  <si>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</si>
  <si>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</si>
  <si>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</si>
  <si>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</si>
  <si>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</si>
  <si>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</si>
  <si>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</si>
  <si>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</si>
  <si>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</si>
  <si>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</si>
  <si>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</si>
  <si>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</si>
  <si>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</si>
  <si>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</si>
  <si>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</si>
  <si>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</si>
  <si>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</si>
  <si>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</si>
  <si>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</si>
  <si>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</si>
  <si>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</si>
  <si>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</si>
  <si>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</si>
  <si>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</si>
  <si>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</si>
  <si>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</si>
  <si>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</si>
  <si>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</si>
  <si>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</si>
  <si>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</si>
  <si>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</si>
  <si>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</si>
  <si>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</si>
  <si>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</si>
  <si>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</si>
  <si>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</si>
  <si>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</si>
  <si>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</si>
  <si>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</si>
  <si>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</si>
  <si>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</si>
  <si>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</si>
  <si>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</si>
  <si>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</si>
  <si>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</si>
  <si>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</si>
  <si>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</si>
  <si>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</si>
  <si>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</si>
  <si>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</si>
  <si>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</si>
  <si>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</si>
  <si>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</si>
  <si>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</si>
  <si>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</si>
  <si>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</si>
  <si>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</si>
  <si>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</si>
  <si>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</si>
  <si>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</si>
  <si>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</si>
  <si>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</si>
  <si>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</si>
  <si>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</si>
  <si>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</si>
  <si>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</si>
  <si>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</si>
  <si>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</si>
  <si>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</si>
  <si>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</si>
  <si>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</si>
  <si>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</si>
  <si>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</si>
  <si>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</si>
  <si>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</si>
  <si>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</si>
  <si>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</si>
  <si>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</si>
  <si>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</si>
  <si>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</si>
  <si>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</si>
  <si>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</si>
  <si>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</si>
  <si>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</si>
  <si>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</si>
  <si>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</si>
  <si>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</si>
  <si>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</si>
  <si>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</si>
  <si>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</si>
  <si>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</si>
  <si>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</si>
  <si>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</si>
  <si>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</si>
  <si>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</si>
  <si>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</si>
  <si>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</si>
  <si>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</si>
  <si>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</si>
  <si>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</si>
  <si>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</si>
  <si>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</si>
  <si>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</si>
  <si>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</si>
  <si>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</si>
  <si>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</si>
  <si>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</si>
  <si>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</si>
  <si>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</si>
  <si>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</si>
  <si>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</si>
  <si>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</si>
  <si>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</si>
  <si>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</si>
  <si>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</si>
  <si>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</si>
  <si>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</si>
  <si>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</si>
  <si>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</si>
  <si>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</si>
  <si>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</si>
  <si>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</si>
  <si>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</si>
  <si>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</si>
  <si>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</si>
  <si>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</si>
  <si>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</si>
  <si>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</si>
  <si>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</si>
  <si>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</si>
  <si>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</si>
  <si>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</si>
  <si>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</si>
  <si>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</si>
  <si>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</si>
  <si>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</si>
  <si>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</si>
  <si>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</si>
  <si>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</si>
  <si>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</si>
  <si>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</si>
  <si>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</si>
  <si>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</si>
  <si>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</si>
  <si>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</si>
  <si>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</si>
  <si>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</si>
  <si>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</si>
  <si>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</si>
  <si>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</si>
  <si>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</si>
  <si>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</si>
  <si>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</si>
  <si>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</si>
  <si>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</si>
  <si>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</si>
  <si>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</si>
  <si>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</si>
  <si>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</si>
  <si>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</si>
  <si>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</si>
  <si>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</si>
  <si>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</si>
  <si>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</si>
  <si>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</si>
  <si>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</si>
  <si>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</si>
  <si>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</si>
  <si>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</si>
  <si>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</si>
  <si>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</si>
  <si>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</si>
  <si>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</si>
  <si>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</si>
  <si>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</si>
  <si>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</si>
  <si>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</si>
  <si>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</si>
  <si>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</si>
  <si>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</si>
  <si>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</si>
  <si>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</si>
  <si>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</si>
  <si>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</si>
  <si>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</si>
  <si>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</si>
  <si>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</si>
  <si>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</si>
  <si>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</si>
  <si>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</si>
  <si>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</si>
  <si>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</si>
  <si>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</si>
  <si>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</si>
  <si>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</si>
  <si>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</si>
  <si>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</si>
  <si>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</si>
  <si>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</si>
  <si>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</si>
  <si>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</si>
  <si>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</si>
  <si>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</si>
  <si>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</si>
  <si>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</si>
  <si>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</si>
  <si>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</si>
  <si>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</si>
  <si>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</si>
  <si>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</si>
  <si>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</si>
  <si>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</si>
  <si>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</si>
  <si>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</si>
  <si>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</si>
  <si>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</si>
  <si>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</si>
  <si>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</si>
  <si>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</si>
  <si>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</si>
  <si>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</si>
  <si>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</si>
  <si>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</si>
  <si>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</si>
  <si>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</si>
  <si>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</si>
  <si>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</si>
  <si>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</si>
  <si>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</si>
  <si>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</si>
  <si>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</si>
  <si>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</si>
  <si>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</si>
  <si>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</si>
  <si>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</si>
  <si>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</si>
  <si>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</si>
  <si>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</si>
  <si>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</si>
  <si>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</si>
  <si>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</si>
  <si>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</si>
  <si>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</si>
  <si>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</si>
  <si>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</si>
  <si>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</si>
  <si>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</si>
  <si>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</si>
  <si>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</si>
  <si>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</si>
  <si>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</si>
  <si>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</si>
  <si>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</si>
  <si>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</si>
  <si>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</si>
  <si>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</si>
  <si>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</si>
  <si>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</si>
  <si>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</si>
  <si>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</si>
  <si>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</si>
  <si>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</si>
  <si>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</si>
  <si>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</si>
  <si>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</si>
  <si>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</si>
  <si>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</si>
  <si>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</si>
  <si>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</si>
  <si>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</si>
  <si>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</si>
  <si>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</si>
  <si>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</si>
  <si>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</si>
  <si>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</si>
  <si>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</si>
  <si>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</si>
  <si>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</si>
  <si>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</si>
  <si>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</si>
  <si>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</si>
  <si>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</si>
  <si>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</si>
  <si>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</si>
  <si>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</si>
  <si>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</si>
  <si>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</si>
  <si>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</si>
  <si>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</si>
  <si>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</si>
  <si>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</si>
  <si>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</si>
  <si>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</si>
  <si>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</si>
  <si>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</si>
  <si>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</si>
  <si>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</si>
  <si>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</si>
  <si>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</si>
  <si>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</si>
  <si>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</si>
  <si>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</si>
  <si>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</si>
  <si>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</si>
  <si>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</si>
  <si>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</si>
  <si>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</si>
  <si>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</si>
  <si>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</si>
  <si>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</si>
  <si>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</si>
  <si>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</si>
  <si>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</si>
  <si>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</si>
  <si>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</si>
  <si>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</si>
  <si>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</si>
  <si>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</si>
  <si>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</si>
  <si>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</si>
  <si>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</si>
  <si>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</si>
  <si>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</si>
  <si>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</si>
  <si>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</si>
  <si>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</si>
  <si>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</si>
  <si>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</si>
  <si>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</si>
  <si>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</si>
  <si>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</si>
  <si>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</si>
  <si>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</si>
  <si>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</si>
  <si>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</si>
  <si>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</si>
  <si>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</si>
  <si>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</si>
  <si>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</si>
  <si>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</si>
  <si>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</si>
  <si>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</si>
  <si>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</si>
  <si>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</si>
  <si>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</si>
  <si>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</si>
  <si>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</si>
  <si>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</si>
  <si>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</si>
  <si>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</si>
  <si>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</si>
  <si>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</si>
  <si>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</si>
  <si>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</si>
  <si>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</si>
  <si>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</si>
  <si>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</si>
  <si>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</si>
  <si>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</si>
  <si>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</si>
  <si>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</si>
  <si>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</si>
  <si>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</si>
  <si>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</si>
  <si>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</si>
  <si>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</si>
  <si>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</si>
  <si>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</si>
  <si>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</si>
  <si>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</si>
  <si>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</si>
  <si>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</si>
  <si>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</si>
  <si>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</si>
  <si>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</si>
  <si>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</si>
  <si>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</si>
  <si>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</si>
  <si>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</si>
  <si>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</si>
  <si>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</si>
  <si>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</si>
  <si>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</si>
  <si>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</si>
  <si>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</si>
  <si>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</si>
  <si>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</si>
  <si>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</si>
  <si>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</si>
  <si>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</si>
  <si>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</si>
  <si>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</si>
  <si>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</si>
  <si>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</si>
  <si>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</si>
  <si>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</si>
  <si>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</si>
  <si>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</si>
  <si>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</si>
  <si>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</si>
  <si>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</si>
  <si>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</si>
  <si>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</si>
  <si>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</si>
  <si>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</si>
  <si>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</si>
  <si>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</si>
  <si>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</si>
  <si>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</si>
  <si>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</si>
  <si>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</si>
  <si>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</si>
  <si>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</si>
  <si>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</si>
  <si>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</si>
  <si>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</si>
  <si>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</si>
  <si>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</si>
  <si>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</si>
  <si>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</si>
  <si>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</si>
  <si>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</si>
  <si>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</si>
  <si>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</si>
  <si>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</si>
  <si>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</si>
  <si>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</si>
  <si>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</si>
  <si>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</si>
  <si>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</si>
  <si>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</si>
  <si>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</si>
  <si>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</si>
  <si>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</si>
  <si>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</si>
  <si>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</si>
  <si>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</si>
  <si>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</si>
  <si>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</si>
  <si>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</si>
  <si>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</si>
  <si>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</si>
  <si>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</si>
  <si>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</si>
  <si>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</si>
  <si>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</si>
  <si>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</si>
  <si>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</si>
  <si>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</si>
  <si>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</si>
  <si>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</si>
  <si>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</si>
  <si>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</si>
  <si>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</si>
  <si>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</si>
  <si>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</si>
  <si>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</si>
  <si>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</si>
  <si>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</si>
  <si>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</si>
  <si>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</si>
  <si>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</si>
  <si>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</si>
  <si>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</si>
  <si>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</si>
  <si>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</si>
  <si>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</si>
  <si>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</si>
  <si>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</si>
  <si>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</si>
  <si>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</si>
  <si>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</si>
  <si>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</si>
  <si>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</si>
  <si>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</si>
  <si>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</si>
  <si>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</si>
  <si>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</si>
  <si>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</si>
  <si>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</si>
  <si>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</si>
  <si>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</si>
  <si>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</si>
  <si>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</si>
  <si>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</si>
  <si>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</si>
  <si>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</si>
  <si>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</si>
  <si>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</si>
  <si>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</si>
  <si>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</si>
  <si>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</si>
  <si>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</si>
  <si>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</si>
  <si>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</si>
  <si>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</si>
  <si>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</si>
  <si>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</si>
  <si>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</si>
  <si>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</si>
  <si>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</si>
  <si>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</si>
  <si>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</si>
  <si>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</si>
  <si>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</si>
  <si>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</si>
  <si>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</si>
  <si>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</si>
  <si>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</si>
  <si>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</si>
  <si>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</si>
  <si>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</si>
  <si>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</si>
  <si>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</si>
  <si>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</si>
  <si>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</si>
  <si>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</si>
  <si>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</si>
  <si>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</si>
  <si>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</si>
  <si>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</si>
  <si>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</si>
  <si>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</si>
  <si>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</si>
  <si>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</si>
  <si>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</si>
  <si>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</si>
  <si>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</si>
  <si>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</si>
  <si>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</si>
  <si>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</si>
  <si>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</si>
  <si>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</si>
  <si>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</si>
  <si>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</si>
  <si>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</si>
  <si>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</si>
  <si>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</si>
  <si>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</si>
  <si>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</si>
  <si>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</si>
  <si>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</si>
  <si>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</si>
  <si>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</si>
  <si>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</si>
  <si>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</si>
  <si>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</si>
  <si>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</si>
  <si>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</si>
  <si>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</si>
  <si>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</si>
  <si>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</si>
  <si>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</si>
  <si>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</si>
  <si>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</si>
  <si>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</si>
  <si>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</si>
  <si>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</si>
  <si>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</si>
  <si>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</si>
  <si>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</si>
  <si>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</si>
  <si>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</si>
  <si>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</si>
  <si>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</si>
  <si>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</si>
  <si>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</si>
  <si>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</si>
  <si>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</si>
  <si>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</si>
  <si>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</si>
  <si>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</si>
  <si>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</si>
  <si>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</si>
  <si>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</si>
  <si>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</si>
  <si>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</si>
  <si>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</si>
  <si>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</si>
  <si>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</si>
  <si>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</si>
  <si>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</si>
  <si>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</si>
  <si>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</si>
  <si>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</si>
  <si>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</si>
  <si>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</si>
  <si>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</si>
  <si>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</si>
  <si>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</si>
  <si>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</si>
  <si>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</si>
  <si>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</si>
  <si>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</si>
  <si>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</si>
  <si>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</si>
  <si>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</si>
  <si>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</si>
  <si>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</si>
  <si>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</si>
  <si>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</si>
  <si>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</si>
  <si>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</si>
  <si>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</si>
  <si>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</si>
  <si>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</si>
  <si>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</si>
  <si>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</si>
  <si>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</si>
  <si>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</si>
  <si>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</si>
  <si>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</si>
  <si>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</si>
  <si>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</si>
  <si>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</si>
  <si>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</si>
  <si>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</si>
  <si>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</si>
  <si>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</si>
  <si>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</si>
  <si>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</si>
  <si>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</si>
  <si>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</si>
  <si>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</si>
  <si>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</si>
  <si>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</si>
  <si>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</si>
  <si>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</si>
  <si>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</si>
  <si>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</si>
  <si>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</si>
  <si>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</si>
  <si>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</si>
  <si>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</si>
  <si>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</si>
  <si>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</si>
  <si>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</si>
  <si>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</si>
  <si>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</si>
  <si>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</si>
  <si>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</si>
  <si>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</si>
  <si>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</si>
  <si>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</si>
  <si>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</si>
  <si>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</si>
  <si>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</si>
  <si>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</si>
  <si>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</si>
  <si>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</si>
  <si>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</si>
  <si>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</si>
  <si>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</si>
  <si>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</si>
  <si>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</si>
  <si>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</si>
  <si>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</si>
  <si>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</si>
  <si>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</si>
  <si>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</si>
  <si>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</si>
  <si>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</si>
  <si>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</si>
  <si>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</si>
  <si>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</si>
  <si>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</si>
  <si>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</si>
  <si>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</si>
  <si>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</si>
  <si>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</si>
  <si>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</si>
  <si>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</si>
  <si>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</si>
  <si>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</si>
  <si>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</si>
  <si>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</si>
  <si>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</si>
  <si>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</si>
  <si>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</si>
  <si>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</si>
  <si>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</si>
  <si>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</si>
  <si>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</si>
  <si>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</si>
  <si>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</si>
  <si>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</si>
  <si>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</si>
  <si>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</si>
  <si>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</si>
  <si>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</si>
  <si>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</si>
  <si>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</si>
  <si>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</si>
  <si>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</si>
  <si>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</si>
  <si>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</si>
  <si>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</si>
  <si>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</si>
  <si>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</si>
  <si>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</si>
  <si>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</si>
  <si>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</si>
  <si>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</si>
  <si>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</si>
  <si>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</si>
  <si>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</si>
  <si>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</si>
  <si>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</si>
  <si>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</si>
  <si>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</si>
  <si>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</si>
  <si>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</si>
  <si>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</si>
  <si>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</si>
  <si>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</si>
  <si>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</si>
  <si>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</si>
  <si>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</si>
  <si>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</si>
  <si>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</si>
  <si>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</si>
  <si>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</si>
  <si>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</si>
  <si>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</si>
  <si>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</si>
  <si>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</si>
  <si>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</si>
  <si>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</si>
  <si>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</si>
  <si>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</si>
  <si>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</si>
  <si>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</si>
  <si>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</si>
  <si>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</si>
  <si>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</si>
  <si>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</si>
  <si>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</si>
  <si>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</si>
  <si>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</si>
  <si>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</si>
  <si>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</si>
  <si>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</si>
  <si>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</si>
  <si>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</si>
  <si>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</si>
  <si>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</si>
  <si>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</si>
  <si>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</si>
  <si>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</si>
  <si>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</si>
  <si>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</si>
  <si>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</si>
  <si>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</si>
  <si>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</si>
  <si>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</si>
  <si>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</si>
  <si>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</si>
  <si>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</si>
  <si>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</si>
  <si>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</si>
  <si>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</si>
  <si>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</si>
  <si>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</si>
  <si>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</si>
  <si>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</si>
  <si>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</si>
  <si>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</si>
  <si>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</si>
  <si>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</si>
  <si>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</si>
  <si>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</si>
  <si>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</si>
  <si>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</si>
  <si>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</si>
  <si>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</si>
  <si>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</si>
  <si>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</si>
  <si>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</si>
  <si>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</si>
  <si>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</si>
  <si>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</si>
  <si>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</si>
  <si>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</si>
  <si>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</si>
  <si>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</si>
  <si>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</si>
  <si>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</si>
  <si>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Partnership Revenue Multiple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</si>
  <si>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</si>
  <si>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</si>
  <si>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</si>
  <si>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</si>
  <si>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</si>
  <si>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</si>
  <si>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</si>
  <si>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</si>
  <si>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</si>
  <si>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</si>
  <si>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</si>
  <si>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 (same as Scenario 1)</t>
  </si>
  <si>
    <t>Scaled Revenue Multiple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</si>
  <si>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</si>
  <si>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</si>
  <si>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</si>
  <si>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</si>
  <si>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</si>
  <si>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</si>
  <si>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</si>
  <si>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</si>
  <si>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</si>
  <si>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</si>
  <si>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</si>
  <si>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</si>
  <si>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</si>
  <si>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</si>
  <si>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</si>
  <si>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</si>
  <si>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</si>
  <si>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</si>
  <si>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</si>
  <si>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</si>
  <si>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</si>
  <si>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</si>
  <si>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</si>
  <si>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</si>
  <si>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</si>
  <si>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Input</t>
  </si>
  <si>
    <t>Topkey Future Revenue Multiple Falls To</t>
  </si>
  <si>
    <t>Topkey Annual Net Client Wins Fall To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</si>
  <si>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</si>
  <si>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</si>
  <si>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</si>
  <si>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</si>
  <si>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</si>
  <si>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</si>
  <si>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</si>
  <si>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</si>
  <si>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</si>
  <si>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</si>
  <si>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Offer value ÷ Keystone run-rate revenue</t>
  </si>
  <si>
    <t>Topkey pre-deal valuation ÷ Topkey run-rate revenue</t>
  </si>
  <si>
    <t>Ben sells at ~1x revenue and buys Topkey stock at ~19x</t>
  </si>
  <si>
    <t>Topkey Year 5 value at which Scenario 2 equals Scenario 1</t>
  </si>
  <si>
    <t>Net wins per year at which the offer breaks even. Base is an AMB placeholder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</si>
  <si>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</si>
  <si>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</si>
  <si>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</si>
  <si>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</si>
  <si>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</si>
  <si>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</si>
  <si>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</si>
  <si>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</si>
  <si>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</si>
  <si>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</si>
  <si>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</si>
  <si>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</si>
  <si>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</si>
  <si>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</si>
  <si>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</si>
  <si>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</si>
  <si>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</si>
  <si>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</si>
  <si>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</si>
  <si>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</si>
  <si>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</si>
  <si>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</si>
  <si>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</si>
  <si>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</si>
  <si>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</si>
  <si>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</si>
  <si>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</si>
  <si>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</si>
  <si>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</si>
  <si>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</si>
  <si>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</si>
  <si>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</si>
  <si>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</si>
  <si>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</si>
  <si>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</si>
  <si>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</si>
  <si>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</si>
  <si>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</si>
  <si>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</si>
  <si>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</si>
  <si>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</si>
  <si>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</si>
  <si>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</si>
  <si>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</si>
  <si>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</si>
  <si>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</si>
  <si>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</si>
  <si>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</si>
  <si>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</si>
  <si>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</si>
  <si>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</si>
  <si>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</si>
  <si>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</si>
  <si>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</si>
  <si>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</si>
  <si>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</si>
  <si>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</si>
  <si>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</si>
  <si>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</si>
  <si>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</si>
  <si>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</si>
  <si>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</si>
  <si>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</si>
  <si>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</si>
  <si>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</si>
  <si>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</si>
  <si>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</si>
  <si>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</si>
  <si>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</si>
  <si>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</si>
  <si>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</si>
  <si>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</si>
  <si>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</si>
  <si>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</si>
  <si>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</si>
  <si>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</si>
  <si>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</si>
  <si>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</si>
  <si>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</si>
  <si>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</si>
  <si>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</si>
  <si>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</si>
  <si>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</si>
  <si>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</si>
  <si>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</si>
  <si>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</si>
  <si>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</si>
  <si>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</si>
  <si>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</si>
  <si>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</si>
  <si>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</si>
  <si>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</si>
  <si>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</si>
  <si>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</si>
  <si>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</si>
  <si>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</si>
  <si>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</si>
  <si>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</si>
  <si>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</si>
  <si>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</si>
  <si>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</si>
  <si>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</si>
  <si>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</si>
  <si>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</si>
  <si>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</si>
  <si>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</si>
  <si>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</si>
  <si>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</si>
  <si>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</si>
  <si>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</si>
  <si>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</si>
  <si>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</si>
  <si>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</si>
  <si>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</si>
  <si>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</si>
  <si>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</si>
  <si>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</si>
  <si>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</si>
  <si>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</si>
  <si>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</si>
  <si>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</si>
  <si>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</si>
  <si>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</si>
  <si>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</si>
  <si>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Everything Topkey gives up for its Keystone stake</t>
  </si>
  <si>
    <t>Year 5 stake value ÷ total consideration</t>
  </si>
  <si>
    <t>(+) Cash at Close + Earnout</t>
  </si>
  <si>
    <t>Retained Keystone + Cash + Earnout Less Scenario 1</t>
  </si>
  <si>
    <t>Today: cash at close. Year 5: cash at close + Year 3 earnout</t>
  </si>
  <si>
    <t>Topkey's Return on the Keystone Acquisition</t>
  </si>
  <si>
    <t>Topkey's Year 5 value of Keystone</t>
  </si>
  <si>
    <t>Topkey Cash Flows — Keystone Acquisition</t>
  </si>
  <si>
    <t>Everything Topkey gives up for Keystone</t>
  </si>
  <si>
    <t>Keystone Sale Multiple incl. Earnout (x Revenue)</t>
  </si>
  <si>
    <t>(Offer value + Year 3 earnout) ÷ Keystone run-rate revenue</t>
  </si>
  <si>
    <t>Earnout Missed — Below Threshold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</si>
  <si>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</si>
  <si>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</si>
  <si>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</si>
  <si>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</si>
  <si>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</si>
  <si>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</si>
  <si>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Keystone (Ben) Cash Flows — Scenario 2</t>
  </si>
  <si>
    <t>Partnership MOIC — Keystone (Ben)</t>
  </si>
  <si>
    <t>Partnership IRR — Keystone (Ben)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</si>
  <si>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</si>
  <si>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</si>
  <si>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</si>
  <si>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</si>
  <si>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</si>
  <si>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</si>
  <si>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</si>
  <si>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</si>
  <si>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</si>
  <si>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</si>
  <si>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</si>
  <si>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</si>
  <si>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</si>
  <si>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</si>
  <si>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</si>
  <si>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</si>
  <si>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Buyout MOIC — Keystone (Ben)</t>
  </si>
  <si>
    <t>Buyout IRR — Keystone (Ben)</t>
  </si>
  <si>
    <t>Initial position does not include earnout</t>
  </si>
  <si>
    <t>Deal Terms — 100% Buyout</t>
  </si>
  <si>
    <t>Keystone value less cash at close; balance paid in Topkey stock</t>
  </si>
  <si>
    <t>Pre-deal value + Keystone acquired − cash paid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</si>
  <si>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</si>
  <si>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</si>
  <si>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</si>
  <si>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</si>
  <si>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</si>
  <si>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Est. Topkey Dilution — Ben's Stake (Year 5)</t>
  </si>
  <si>
    <t>Year 5 = Today % × (1 − est. dilution, C8)</t>
  </si>
  <si>
    <t>Total Dilution of Ben's Topkey Stake</t>
  </si>
  <si>
    <t>Topkey Raises More Capital — Total Dilution</t>
  </si>
  <si>
    <t>Topkey equity issued ÷ post-money valuation; Year 5 = Today % × (1 − est. dilution, C8)</t>
  </si>
  <si>
    <t>Ben's Topkey Ownership % — Year 5 (Diluted)</t>
  </si>
  <si>
    <t>Undiluted</t>
  </si>
  <si>
    <t>Diluted</t>
  </si>
  <si>
    <t>(+) Retained Keystone + Cash + Earnout</t>
  </si>
  <si>
    <t>(-) Ben's Value — Scenario 1</t>
  </si>
  <si>
    <t>Scenario 2 Less Scenario 1</t>
  </si>
  <si>
    <t>Cost of Dilution to Ben</t>
  </si>
  <si>
    <t>Dilution Headroom vs. Break-Even (pts)</t>
  </si>
  <si>
    <t>Tie Out — Diluted Value vs. Scenario 2</t>
  </si>
  <si>
    <t>Year 5 value Ben gives up at the estimated dilution (C8)</t>
  </si>
  <si>
    <t>Break-even = total dilution at which Scenario 2 equals Scenario 1; base = estimated dilution (C8)</t>
  </si>
  <si>
    <t>Multiple at which the offer breaks even (flat multiple assumed in base)</t>
  </si>
  <si>
    <t>Offer Comparison — Partnership vs. 100% Buyout ($000s)</t>
  </si>
  <si>
    <t>Partnership</t>
  </si>
  <si>
    <t>100% Buyout</t>
  </si>
  <si>
    <t>Deal Assumptions</t>
  </si>
  <si>
    <t>Topkey Valuation Today — Pre-Deal</t>
  </si>
  <si>
    <t>Topkey 5-Year Valuation Growth (ex-Keystone)</t>
  </si>
  <si>
    <t>Keystone Initial Revenue Multiple</t>
  </si>
  <si>
    <t>Keystone Scaled Revenue Multiple</t>
  </si>
  <si>
    <t>Keystone Software-Integration Revenue Multiple</t>
  </si>
  <si>
    <t>Offer Structure</t>
  </si>
  <si>
    <t>Keystone Stake Acquired by Topkey</t>
  </si>
  <si>
    <t>% of Consideration in Cash (incl. Earnout)</t>
  </si>
  <si>
    <t>Ben's Topkey Ownership % — Today</t>
  </si>
  <si>
    <t>Jon's Topkey Ownership % — Today</t>
  </si>
  <si>
    <t>Jon = Topkey's existing owner; 1 − Ben's %</t>
  </si>
  <si>
    <t>Jon's Topkey Ownership % — Year 5 (Diluted)</t>
  </si>
  <si>
    <t>Assumes Jon is diluted by the same est. % as Ben (row 8)</t>
  </si>
  <si>
    <t>Return Profile — Jon (Topkey)</t>
  </si>
  <si>
    <t>Return Profile — Ben</t>
  </si>
  <si>
    <t>Ben — Offer vs. Standalone (Year 5)</t>
  </si>
  <si>
    <t>Ben's Value — Offer</t>
  </si>
  <si>
    <t>(-) Ben's Value — Standalone</t>
  </si>
  <si>
    <t>Offer Less Standalone ($)</t>
  </si>
  <si>
    <t>Offer Less Standalone (%)</t>
  </si>
  <si>
    <t>MOIC — Offer</t>
  </si>
  <si>
    <t>(-) MOIC — Standalone</t>
  </si>
  <si>
    <t>Keystone Year 5 value ÷ value today</t>
  </si>
  <si>
    <t>MOIC Delta — Offer vs. Standalone</t>
  </si>
  <si>
    <t>IRR — Offer</t>
  </si>
  <si>
    <t>From each tab's cash-flow IRR (includes cash timing)</t>
  </si>
  <si>
    <t>(-) IRR — Standalone</t>
  </si>
  <si>
    <t>IRR Delta — Offer vs. Standalone</t>
  </si>
  <si>
    <t>Tie Out — Ben's Value by Source vs. Offer</t>
  </si>
  <si>
    <t>n/m</t>
  </si>
  <si>
    <t>n/m: Ben keeps no direct Keystone stake in the buyout</t>
  </si>
  <si>
    <t>Retained Keystone Stake (Direct)</t>
  </si>
  <si>
    <t>Buyout: no retained stake</t>
  </si>
  <si>
    <t>(+) Keystone via Topkey</t>
  </si>
  <si>
    <t>(+) Topkey ex-Keystone</t>
  </si>
  <si>
    <t>Ben's Value — Offer (Year 5)</t>
  </si>
  <si>
    <t>Tie Out — Value by Source vs. Offer</t>
  </si>
  <si>
    <t>Keystone 5-Yr Revenue Increase — Standalone (% of Start)</t>
  </si>
  <si>
    <t>Keystone 5-Yr Revenue Increase — Partnership (% of Start)</t>
  </si>
  <si>
    <t>Input — single Topkey valuation; drives Offer Overview, Partnership and Buyout tabs</t>
  </si>
  <si>
    <t>Input — drives Partnership and Buyout tabs (D = C)</t>
  </si>
  <si>
    <t>Partnership Revenue Multiple — Cushion (x)</t>
  </si>
  <si>
    <t>Base integration multiple (row 15) less break-even; n/m for Buyout (no retained stake)</t>
  </si>
  <si>
    <t>Topkey ex-Keystone Value (Year 5) — Cushion ($)</t>
  </si>
  <si>
    <t>Base-case value less break-even value</t>
  </si>
  <si>
    <t>Topkey Future Revenue Multiple — Cushion (x)</t>
  </si>
  <si>
    <t>Base multiple less break-even multiple</t>
  </si>
  <si>
    <t>Topkey Annual Net Client Wins — Cushion (#)</t>
  </si>
  <si>
    <t>Dilution of Ben's Topkey Stake — Cushion (% pts)</t>
  </si>
  <si>
    <t>Break-even dilution less est. dilution (C8)</t>
  </si>
  <si>
    <t>Base CAGR less break-even CAGR</t>
  </si>
  <si>
    <t>Ownership %</t>
  </si>
  <si>
    <t>Keystone via Topkey</t>
  </si>
  <si>
    <t>Topkey ex-Keystone</t>
  </si>
  <si>
    <t>Cash Earnout — Year 3</t>
  </si>
  <si>
    <t>Cash at Close (Year 0)</t>
  </si>
  <si>
    <t>(+) Equity Issued to Ben (Year 0)</t>
  </si>
  <si>
    <t>Total Invested by Jon (Topkey)</t>
  </si>
  <si>
    <t>Topkey's Keystone Stake — Year 5 Value</t>
  </si>
  <si>
    <t>Deal MOIC</t>
  </si>
  <si>
    <t>Standard acquirer view: stake value ÷ consideration at issue price</t>
  </si>
  <si>
    <t>Deal IRR</t>
  </si>
  <si>
    <t>Jon's Year 5 Value — With Deal</t>
  </si>
  <si>
    <t>Jon's diluted % × (Topkey ex-Keystone + Keystone stake)</t>
  </si>
  <si>
    <t>(-) Jon's Year 5 Value — Without Deal</t>
  </si>
  <si>
    <t>Topkey keeps its cash and pays no earnout; Jon diluted by the same est. %</t>
  </si>
  <si>
    <t>Net Value Created for Jon</t>
  </si>
  <si>
    <t>Includes the cost of stock sharing Topkey's growth with Ben</t>
  </si>
  <si>
    <t>All-In MOIC</t>
  </si>
  <si>
    <t>(Invested + net value created) ÷ invested</t>
  </si>
  <si>
    <t>All-In IRR</t>
  </si>
  <si>
    <t>MOIC^(1 / horizon) − 1</t>
  </si>
  <si>
    <t>Helper: Year</t>
  </si>
  <si>
    <t>Helper: Partnership CF</t>
  </si>
  <si>
    <t>Helper: Buyout CF</t>
  </si>
  <si>
    <t>Helper: Earnout Year</t>
  </si>
  <si>
    <t>Keystone Value Contributed by Ben (Year 0)</t>
  </si>
  <si>
    <t>Ben gives up 100% of Keystone at today's value in both offers</t>
  </si>
  <si>
    <t>(+) Retained Keystone Stake — Year 5</t>
  </si>
  <si>
    <t>(+) Topkey Equity — Year 5</t>
  </si>
  <si>
    <t>Diluted Topkey stake, incl. Ben's indirect share of Keystone</t>
  </si>
  <si>
    <t>Total Value Received by Ben</t>
  </si>
  <si>
    <t>Total value received ÷ Keystone value contributed</t>
  </si>
  <si>
    <t>(-) Ben's Year 5 Value — Standalone</t>
  </si>
  <si>
    <t>Ben keeps 100% of Keystone</t>
  </si>
  <si>
    <t>Net Value Created for Ben</t>
  </si>
  <si>
    <t>Offer vs. keeping 100% of Keystone</t>
  </si>
  <si>
    <t>Ben's Break-Even — Downside Threshold</t>
  </si>
  <si>
    <t>Ben's Break-Even Cushion — Base Case vs. Break-Even</t>
  </si>
  <si>
    <t>Topkey's Break-Even — Downside Threshold</t>
  </si>
  <si>
    <t>Required Keystone Stake Value — Year 5</t>
  </si>
  <si>
    <t>Required Keystone Revenue — Year 5</t>
  </si>
  <si>
    <t>At the base software-integration multiple (row 15)</t>
  </si>
  <si>
    <t>At base Keystone Year 5 revenue</t>
  </si>
  <si>
    <t>Keystone Annual Net Client Wins</t>
  </si>
  <si>
    <t>Total wins incl. Topkey-sourced; at base revenue per client</t>
  </si>
  <si>
    <t>Keystone Avg. Revenue Per Client</t>
  </si>
  <si>
    <t>At base total net client wins</t>
  </si>
  <si>
    <t>Keystone Revenue CAGR</t>
  </si>
  <si>
    <t>From revenue at close to break-even Year 5 revenue</t>
  </si>
  <si>
    <t>Topkey's Break-Even Cushion — Base Case vs. Break-Even</t>
  </si>
  <si>
    <t>Keystone Stake Value (Year 5) — Cushion ($)</t>
  </si>
  <si>
    <t>Keystone Revenue (Year 5) — Cushion ($)</t>
  </si>
  <si>
    <t>Base Year 5 revenue less break-even</t>
  </si>
  <si>
    <t>Software-Integration Revenue Multiple — Cushion (x)</t>
  </si>
  <si>
    <t>Base multiple less break-even</t>
  </si>
  <si>
    <t>Keystone Annual Net Client Wins — Cushion (#)</t>
  </si>
  <si>
    <t>Keystone Avg. Revenue Per Client — Cushion ($)</t>
  </si>
  <si>
    <t>Base revenue per client less break-even</t>
  </si>
  <si>
    <t>Keystone Revenue CAGR — Cushion (% pts)</t>
  </si>
  <si>
    <t>First 70% (Partnership)</t>
  </si>
  <si>
    <t>100% (Buyout)</t>
  </si>
  <si>
    <t>Cost per 1% of Keystone</t>
  </si>
  <si>
    <t>Price per point rises on the extra 30% (earnout added)</t>
  </si>
  <si>
    <t>Paid in Topkey Stock (% of Invested)</t>
  </si>
  <si>
    <t>Stock is Jon's most expensive currency (shares Topkey's growth)</t>
  </si>
  <si>
    <t>Keystone Stake Value — Year 5</t>
  </si>
  <si>
    <t>Stake value ÷ consideration at issue price</t>
  </si>
  <si>
    <t>Extra 30%</t>
  </si>
  <si>
    <t>Incremental cost of the last 30%</t>
  </si>
  <si>
    <t>Incremental value to Jon from the last 30%</t>
  </si>
  <si>
    <t>Column E = incremental cost and return of buying the last 30% (Buyout less Partnership)</t>
  </si>
  <si>
    <t>Break-even = Jon's net value created equals zero; no earnout paid at break-even (below threshold)</t>
  </si>
  <si>
    <t>Cash at close + Topkey value shared with Ben via equity issued (gross Topkey value incl. cash kept)</t>
  </si>
  <si>
    <t>(-) Hurdle MOIC — Break-Even</t>
  </si>
  <si>
    <t>(-) Hurdle IRR — Break-Even</t>
  </si>
  <si>
    <t>Excess MOIC over Hurdle</t>
  </si>
  <si>
    <t>Deal return after backing out the cost of paying in Topkey stock</t>
  </si>
  <si>
    <t>Excess IRR over Hurdle (% pts)</t>
  </si>
  <si>
    <t>Deal IRR less hurdle IRR</t>
  </si>
  <si>
    <t>Hurdle MOIC — Break-Even</t>
  </si>
  <si>
    <t>(+) Target Cash Earnout (at 100% Achievement) — Year 3</t>
  </si>
  <si>
    <t>(+) Target Cash Earnout (at 100% Achievement) (Year 3)</t>
  </si>
  <si>
    <t>Total MOIC</t>
  </si>
  <si>
    <t>Year the target earnout is paid — linked to 100% Buyout Analysis (Earnout Measurement Year)</t>
  </si>
  <si>
    <t>Total IRR</t>
  </si>
  <si>
    <t>Partnership Sensitivity Tables ($000s)</t>
  </si>
  <si>
    <t>Offer valuation of 100% of Keystone; deducted to show Ben's gain</t>
  </si>
  <si>
    <t>Year 5 partnership revenue × partnership multiple</t>
  </si>
  <si>
    <t>AMB estimate; applied to Ben's Topkey % at every rollover</t>
  </si>
  <si>
    <t>Held constant; not driven by rollover % or Topkey growth</t>
  </si>
  <si>
    <t>Model Rollover % — Keystone</t>
  </si>
  <si>
    <t>Current model input; used in tie-out</t>
  </si>
  <si>
    <t>Current model result; used in tie-out</t>
  </si>
  <si>
    <t>Rollover % — Midpoint</t>
  </si>
  <si>
    <t>Rollover % — Step</t>
  </si>
  <si>
    <t>Per AMB; 15%–45% range</t>
  </si>
  <si>
    <t>Topkey Growth — Midpoint</t>
  </si>
  <si>
    <t>Topkey Growth — Step</t>
  </si>
  <si>
    <t>Per AMB; 100%–300% range</t>
  </si>
  <si>
    <t>Helper: Rollover %</t>
  </si>
  <si>
    <t>Helper: Cash at Close</t>
  </si>
  <si>
    <t>Helper: Topkey Equity Issued</t>
  </si>
  <si>
    <t>Helper: Topkey ex-Keystone Today</t>
  </si>
  <si>
    <t>Helper: Ben's Yr 5 Topkey %</t>
  </si>
  <si>
    <t>Base Case Check</t>
  </si>
  <si>
    <t>Ben's Yr 5 Value Less Keystone Today — Model</t>
  </si>
  <si>
    <t>Keystone EV — Partnership (Year 5)</t>
  </si>
  <si>
    <t>Est. Topkey Dilution — Ben's Stake (Yr 5)</t>
  </si>
  <si>
    <t>Model Topkey Growth (Today → Year 5)</t>
  </si>
  <si>
    <t>(-) Partnership Analysis — Scenario 2 Gain</t>
  </si>
  <si>
    <t>Total Offer Value — at Close</t>
  </si>
  <si>
    <t>(+) Cash Earnout — Year 3 (Contingent)</t>
  </si>
  <si>
    <t>Paid only if Year 3 revenue target is met (C57); % shown vs. offer value at close</t>
  </si>
  <si>
    <t>Total Consideration incl. Earnout</t>
  </si>
  <si>
    <t>Cash paid at close (C174)</t>
  </si>
  <si>
    <t>Topkey stock issued at the $60M pre-deal valuation (C175)</t>
  </si>
  <si>
    <t>Ties to Keystone Value Today (C173)</t>
  </si>
  <si>
    <t>Year 5 combined Topkey EV (D77) × ownership %</t>
  </si>
  <si>
    <t>Unaffected by dilution (D79 + D80)</t>
  </si>
  <si>
    <t>Break-even total dilution (C136) less estimated dilution (C8)</t>
  </si>
  <si>
    <t>Cash paid at close for Topkey's stake (C189)</t>
  </si>
  <si>
    <t>Topkey stock issued at the $60M pre-deal valuation (C190)</t>
  </si>
  <si>
    <t>(+) Ben's Rolled Keystone Equity</t>
  </si>
  <si>
    <t>Keystone value today × Ben's rollover % (C185 × C186)</t>
  </si>
  <si>
    <t>Ties to Keystone Value Today (C185)</t>
  </si>
  <si>
    <t>Paid only if Year 3 revenue target is met (C58); % shown vs. offer value at close</t>
  </si>
  <si>
    <t>Year 5 combined Topkey EV (D83) × ownership %</t>
  </si>
  <si>
    <t>Unaffected by dilution (D79 + D90 + D91)</t>
  </si>
  <si>
    <t>Topkey ex-Keystone Value Growth (%)</t>
  </si>
  <si>
    <t>Ben's Rollover %</t>
  </si>
  <si>
    <t>Ben's Net Returns Based on Topkey Growth &amp; Rollover %</t>
  </si>
  <si>
    <t>Ben's % Return on Keystone Value Based on Topkey Growth &amp; Rollover %</t>
  </si>
  <si>
    <t>Highlight Threshold — Net Return ($000s)</t>
  </si>
  <si>
    <t>Highlight Threshold — % Return</t>
  </si>
  <si>
    <t>Ben's IRR Based on Topkey Growth &amp; Rollover %</t>
  </si>
  <si>
    <t>Model input; year the cash earnout is received</t>
  </si>
  <si>
    <t>Projection Horizon (Years)</t>
  </si>
  <si>
    <t>Model input; year Ben's stake value is realized</t>
  </si>
  <si>
    <t>Helper: IRR Year Index</t>
  </si>
  <si>
    <t>IRR on Ben's cash flows: Yr 0 = cash at close less Keystone value today; earnout in Yr 3; Yr 5 = stake value</t>
  </si>
  <si>
    <t>Ben's Yr 5 Value Less Standalone — Model</t>
  </si>
  <si>
    <t>(-) Partnership Analysis — Increase in Proceeds</t>
  </si>
  <si>
    <t>Tie Out — vs. Standalone</t>
  </si>
  <si>
    <t>Standalone Value — Keystone (Year 5)</t>
  </si>
  <si>
    <t>Scenario 1 (Ben retains 100%); fixed, not driven by growth or rollover</t>
  </si>
  <si>
    <t>Standalone IRR — Keystone (Ben)</t>
  </si>
  <si>
    <t>Highlight Threshold — % Return vs. Standalone</t>
  </si>
  <si>
    <t>Ben's Net Returns vs. Standalone Based on Topkey Growth &amp; Rollover %</t>
  </si>
  <si>
    <t>Ben's % Return vs. Standalone Based on Topkey Growth &amp; Rollover %</t>
  </si>
  <si>
    <t>Ben's IRR Premium vs. Standalone Based on Topkey Growth &amp; Rollover %</t>
  </si>
  <si>
    <t>Rounding — $ Tables (Digits)</t>
  </si>
  <si>
    <t>Per AMB; $ tables shown to nearest $100K; % and IRR tables use unrounded values</t>
  </si>
  <si>
    <t>Helper: Unrounded Net Return</t>
  </si>
  <si>
    <t>Helper: Unrounded Net Return vs. Standalone</t>
  </si>
  <si>
    <t>Required Premium vs. Standalone ($000s)</t>
  </si>
  <si>
    <t>Per AMB; green shading in every table starts where partnering beats standalone by $1M</t>
  </si>
  <si>
    <t>Required premium ÷ standalone Yr 5 value</t>
  </si>
  <si>
    <t>Keystone EV Yr 5 — Rebuilt at Model Net Client Wins</t>
  </si>
  <si>
    <t>(-) Partnership Analysis — Keystone EV (Year 5)</t>
  </si>
  <si>
    <t>Tie Out — Keystone EV</t>
  </si>
  <si>
    <t>Keystone run-rate revenue at close</t>
  </si>
  <si>
    <t>Total Avg. Revenue Per Client — Partnership</t>
  </si>
  <si>
    <t>Includes software-enabled price increase</t>
  </si>
  <si>
    <t>Applied to Keystone Yr 5 partnership revenue</t>
  </si>
  <si>
    <t>Model Total Annual Net Client Wins — Partnership</t>
  </si>
  <si>
    <t>Net Client Wins — Midpoint</t>
  </si>
  <si>
    <t>Net Client Wins — Step</t>
  </si>
  <si>
    <t>Per AMB; 32–64 range</t>
  </si>
  <si>
    <t>Keystone Total Annual Net Client Wins — Partnership (#)</t>
  </si>
  <si>
    <t>Ben's Net Returns Based on Net Client Wins &amp; Rollover %</t>
  </si>
  <si>
    <t>Ben's % Return on Keystone Value Based on Net Client Wins &amp; Rollover %</t>
  </si>
  <si>
    <t>Ben's IRR Based on Net Client Wins &amp; Rollover %</t>
  </si>
  <si>
    <t>Ben's Net Returns vs. Standalone Based on Net Client Wins &amp; Rollover %</t>
  </si>
  <si>
    <t>Ben's % Return vs. Standalone Based on Net Client Wins &amp; Rollover %</t>
  </si>
  <si>
    <t>Ben's IRR Premium vs. Standalone Based on Net Client Wins &amp; Rollover %</t>
  </si>
  <si>
    <t>Ben's Return Profile Based on Partnering — Net Client Wins</t>
  </si>
  <si>
    <t>Helper: Keystone EV Yr 5 by Net Client Wins</t>
  </si>
  <si>
    <t>Helper: Unrounded Net Return — Net Client Wins</t>
  </si>
  <si>
    <t>Helper: Unrounded Net Return vs. Standalone — Net Client Wins</t>
  </si>
  <si>
    <t>(-) Additional Annual Net Client Wins From Topkey</t>
  </si>
  <si>
    <t>Removed from partnership wins to get standalone wins at each column</t>
  </si>
  <si>
    <t>Avg. Revenue Per Client — Standalone</t>
  </si>
  <si>
    <t>Standalone pricing (no software-enabled increase)</t>
  </si>
  <si>
    <t>Scaled Revenue Multiple — Standalone</t>
  </si>
  <si>
    <t>Standalone Yr 5 multiple</t>
  </si>
  <si>
    <t>Ben's Ownership % — Standalone</t>
  </si>
  <si>
    <t>Scenario 1: Ben retains 100%</t>
  </si>
  <si>
    <t>Standalone Value Yr 5 — Rebuilt at Model Net Client Wins</t>
  </si>
  <si>
    <t>(-) Partnership Analysis — Standalone Value (Year 5)</t>
  </si>
  <si>
    <t>Tie Out — Standalone Value</t>
  </si>
  <si>
    <t>Helper: Standalone Yr 5 Value by Net Client Wins</t>
  </si>
  <si>
    <t>Helper: Standalone IRR by Net Client Wins</t>
  </si>
  <si>
    <t>Ben's Year 5 partnership value ÷ standalone Year 5 value at matching client wins (helper AJ93), less 1</t>
  </si>
  <si>
    <t>Partnership IRR (table above) less standalone IRR at matching client wins (helper AJ95), in percentage points</t>
  </si>
  <si>
    <t>Net Client Wins (#)</t>
  </si>
  <si>
    <t>Helper: Net Client Wins</t>
  </si>
  <si>
    <t>Helper: Keystone EV Yr 5</t>
  </si>
  <si>
    <t>Helper: Standalone Yr 5 Value</t>
  </si>
  <si>
    <t>Helper: Standalone IRR</t>
  </si>
  <si>
    <t>Helper: Unrounded Net Return vs. Standalone — Growth × Net Client Wins</t>
  </si>
  <si>
    <t>Ben's Net Returns Based on Topkey Growth &amp; Net Client Wins</t>
  </si>
  <si>
    <t>Ben's % Return on Keystone Value Based on Topkey Growth &amp; Net Client Wins</t>
  </si>
  <si>
    <t>Ben's IRR Based on Topkey Growth &amp; Net Client Wins</t>
  </si>
  <si>
    <t>Ben's Net Returns vs. Standalone Based on Topkey Growth &amp; Net Client Wins</t>
  </si>
  <si>
    <t>Ben's % Return vs. Standalone Based on Topkey Growth &amp; Net Client Wins</t>
  </si>
  <si>
    <t>Ben's IRR Premium vs. Standalone Based on Topkey Growth &amp; Net Client Wins</t>
  </si>
  <si>
    <t>Ben's Year 5 partnership value ÷ standalone Year 5 value at each row's client wins (helper AL170:AL176), less 1</t>
  </si>
  <si>
    <t>Partnership IRR (table above) less standalone IRR at each row's client wins (helper AM170:AM176), in percentage points</t>
  </si>
  <si>
    <t>Tie Out — Growth × Client Wins</t>
  </si>
  <si>
    <t>Ben's Yr 5 partnership value less standalone Yr 5 value at each row's client wins (helper AL170:AL176)</t>
  </si>
  <si>
    <t>Partnership Upside Analysis</t>
  </si>
  <si>
    <t>Gradient Bands (#)</t>
  </si>
  <si>
    <t>Number of green shades between the $1M hurdle and each block's largest gain</t>
  </si>
  <si>
    <t>Gradient Band Width — Topkey Growth ($000s)</t>
  </si>
  <si>
    <t>(Largest $ gain vs. standalone in block − hurdle) ÷ bands</t>
  </si>
  <si>
    <t>Gradient Band Width — Net Client Wins ($000s)</t>
  </si>
  <si>
    <t>Gradient Band Width — Growth × Client Wins ($000s)</t>
  </si>
  <si>
    <t>Helper: Gradient Band (0 = below $1M hurdle)</t>
  </si>
  <si>
    <t>Ben's Year 5 Value</t>
  </si>
  <si>
    <t>Tie Out — Consideration vs. Analysis Tab</t>
  </si>
  <si>
    <t>Price for Topkey's Stake (at Close)</t>
  </si>
  <si>
    <t>Input — share of Keystone Ben keeps (Partnership 30%; Buyout 0% = Topkey acquires 100%)</t>
  </si>
  <si>
    <t>Ties to Total Consideration (row 37)</t>
  </si>
  <si>
    <t>Cash-flow IRR; see helper cash flows in L50:Q51</t>
  </si>
  <si>
    <t>Break-even stake value (row 131) ÷ cash + stock; no earnout paid at break-even</t>
  </si>
  <si>
    <t>From Jon's return profile (row 57); n/m for the extra 30% (break-even excludes earnout, so hurdles aren't additive)</t>
  </si>
  <si>
    <t>Ties to Ben's Value — Offer (row 93); tie-out in row 103</t>
  </si>
  <si>
    <t>Cash-flow IRR; see helper cash flows in L81:Q82</t>
  </si>
  <si>
    <t>Base stake value (row 54) less break-even</t>
  </si>
  <si>
    <t>Additional Annual Net Client Wins From Topkey</t>
  </si>
  <si>
    <t>Software-Enabled Price Increase / Client</t>
  </si>
  <si>
    <t>Linked to Offer Comparison (D7). Projection horizon for the Year 5 columns</t>
  </si>
  <si>
    <t>Linked to Offer Comparison (D8). AMB estimate: future Topkey equity issuance (capital raise, option pool, acquisitions) reduces Ben's Topkey % by this share by Year 5</t>
  </si>
  <si>
    <t>Input on Offer Comparison (D18). Topkey-provided monthly revenue ($000s); pending confirmation</t>
  </si>
  <si>
    <t>Implied: Topkey pre-deal valuation (C176) ÷ run-rate revenue (C10)</t>
  </si>
  <si>
    <t>Held flat at the current implied multiple</t>
  </si>
  <si>
    <t>Input on Offer Comparison (D19). Topkey-provided client count; pending confirmation</t>
  </si>
  <si>
    <t>Input on Offer Comparison (D20). AMB placeholder; pending confirmation</t>
  </si>
  <si>
    <t>% growth in Topkey ex-Keystone value (row 75), today → Year 5; value net of cash paid, not revenue</t>
  </si>
  <si>
    <t>Linked to Offer Comparison (D13). Keystone valued at 1.0x revenue today (offer implies ~1.0x)</t>
  </si>
  <si>
    <t>Linked to Offer Comparison (D14). Keystone standalone revenue multiple at Year 5</t>
  </si>
  <si>
    <t>Input on Offer Comparison (D22). Sep'26 annualized fee per non-tax client (Steady-State Staffing AB8)</t>
  </si>
  <si>
    <t>Input on Offer Comparison (D23). AMB target pace; LTM actual is 26/yr (~2.2/month), see build at rows 184-188</t>
  </si>
  <si>
    <t>Linked to Offer Comparison (D15). Revenue multiple with Topkey software integration</t>
  </si>
  <si>
    <t>Input on Offer Comparison (D25). Memo only; VR savings assumed captured in the 20% partnership margin (C111) and revenue multiple</t>
  </si>
  <si>
    <t>Input on Offer Comparison (D26). Only if Topkey software supports higher client fees; VR cost not added to revenue per client</t>
  </si>
  <si>
    <t>Input on Offer Comparison (D27). Topkey-provided; pending confirmation</t>
  </si>
  <si>
    <t>Earnout measured on Year 3 run-rate: average of months 34–36 × 12 (window in C56)</t>
  </si>
  <si>
    <t>PF Jul'26 run-rate revenue at close (C172)</t>
  </si>
  <si>
    <t>Payout capped at 150% of target earnout, reached at 120% of target revenue (mirrors the 80% threshold)</t>
  </si>
  <si>
    <t>Paid in cash by Topkey; flows into Scenario 2 (row 80), Ben's MOIC/IRR (rows 86-87) and Topkey's return (row 94)</t>
  </si>
  <si>
    <t>Ties to Total Consideration Paid by Topkey (C95)</t>
  </si>
  <si>
    <t>Today at offer value; Year 5 = (PF run-rate revenue + standalone added revenue) × standalone multiple</t>
  </si>
  <si>
    <t>Ben's Year 5 value (D81: Topkey stock + cash + earnout) ÷ Keystone value given up at close (C173)</t>
  </si>
  <si>
    <t>IRR on Ben's cash flows (rows 199-204); Year 5 = stake value, not a cash exit</t>
  </si>
  <si>
    <t>Cash portion of offer (C174)</t>
  </si>
  <si>
    <t>Topkey stock issued, at issue value (C175)</t>
  </si>
  <si>
    <t>Cash earnout at base-case achievement (C57)</t>
  </si>
  <si>
    <t>1 − Ben's rollover % (Offer Comparison D17); 100% buyout</t>
  </si>
  <si>
    <t>Year 5 partnership value of Keystone (D76)</t>
  </si>
  <si>
    <t>IRR on Topkey's cash flows (rows 191-196); excludes software fee income and Keystone profits, so understated</t>
  </si>
  <si>
    <t>Ben's diluted Topkey % × Topkey's own Year 5 value, net of cash and earnout paid (D75)</t>
  </si>
  <si>
    <t>Ben's diluted Topkey % × partnership-valued Keystone (D76)</t>
  </si>
  <si>
    <t>Cash at close (D79)</t>
  </si>
  <si>
    <t>Year 3 cash earnout (D80)</t>
  </si>
  <si>
    <t>Ties to D81</t>
  </si>
  <si>
    <t>Year 5 Keystone partnership revenue × Ben's ownership; each 1.0x of the software-integration multiple (C30) is worth this much to Ben</t>
  </si>
  <si>
    <t>Ben's Topkey % × Topkey + Keystone run-rate revenue</t>
  </si>
  <si>
    <t>Multiple at which the offer breaks even (base holds the current multiple flat)</t>
  </si>
  <si>
    <t>Keystone misses 80% of target: no earnout (Topkey keeps the cash, so Ben's Topkey stake recovers a little)</t>
  </si>
  <si>
    <t>Buyout-specific input: $500K cash at close (Partnership uses $650K, Offer Overview C9)</t>
  </si>
  <si>
    <t>Linked to Offer Comparison (D9); single Topkey valuation input</t>
  </si>
  <si>
    <t>Topkey cash flows: Year 0 = cash + stock issued; earnout in the measurement year (C45); Year 5 = stake value (C98), not a cash exit</t>
  </si>
  <si>
    <t>Ben's cash flows: Year 0 = cash at close (C174) less Keystone value given up (C173); earnout in the measurement year (C45); Year 5 = Ben's Topkey stock (D78)</t>
  </si>
  <si>
    <t>Input on Offer Comparison (C17). Share of Keystone Ben keeps; Topkey buys the rest for cash + Topkey equity</t>
  </si>
  <si>
    <t>Linked to Offer Comparison (C8). AMB estimate: future Topkey equity issuance (capital raise, option pool, acquisitions) reduces Ben's Topkey % by this share by Year 5</t>
  </si>
  <si>
    <t>Linked to Offer Comparison (C7). Projection horizon for the Year 5 columns</t>
  </si>
  <si>
    <t>Input on Offer Comparison (C18). Topkey-provided monthly revenue ($000s); pending confirmation</t>
  </si>
  <si>
    <t>Implied: Topkey pre-deal valuation (C191) ÷ run-rate revenue (C11)</t>
  </si>
  <si>
    <t>Input on Offer Comparison (C19). Topkey-provided client count; pending confirmation</t>
  </si>
  <si>
    <t>Input on Offer Comparison (C20). AMB placeholder; pending confirmation</t>
  </si>
  <si>
    <t>% growth in Topkey ex-Keystone value (row 81), today → Year 5; value net of cash paid, not revenue</t>
  </si>
  <si>
    <t>Linked to Offer Comparison (C13). Keystone valued at 1.0x revenue today (offer implies ~1.0x)</t>
  </si>
  <si>
    <t>Linked to Offer Comparison (C14). Keystone standalone revenue multiple at Year 5</t>
  </si>
  <si>
    <t>Input on Offer Comparison (C22). Sep'26 annualized fee per non-tax client (Steady-State Staffing AB8)</t>
  </si>
  <si>
    <t>Input on Offer Comparison (C23). AMB target pace; LTM actual is 26/yr (~2.2/month), see build at rows 200-204</t>
  </si>
  <si>
    <t>Linked to Offer Comparison (C15). Revenue multiple with Topkey software integration</t>
  </si>
  <si>
    <t>Input on Offer Comparison (C25). Run-rate tech cost provided by the target; see platform-fee memo (rows 207-216)</t>
  </si>
  <si>
    <t>Input on Offer Comparison (C26). Only if Topkey software supports higher client fees; VR cost handled in the memo block (rows 207-216)</t>
  </si>
  <si>
    <t>Input on Offer Comparison (C27). Topkey-provided; pending confirmation</t>
  </si>
  <si>
    <t>Earnout measured on Year 3 run-rate: average of months 34–36 × 12 (window in C57)</t>
  </si>
  <si>
    <t>PF Jul'26 run-rate revenue at close (C184)</t>
  </si>
  <si>
    <t>Paid in cash by Topkey; flows into Scenario 2 (row 91), Ben's MOIC/IRR (rows 97-98) and Topkey's return (row 105)</t>
  </si>
  <si>
    <t>Today at offer value; Year 5 = partnership revenue × software-integration multiple (C31)</t>
  </si>
  <si>
    <t>Ben's retained Keystone stake (rollover % × Keystone value)</t>
  </si>
  <si>
    <t>Ties to Topkey equity issued (tie-out row 196)</t>
  </si>
  <si>
    <t>Ben's Year 5 value (D92: cash + earnout + retained stake + Topkey stock) ÷ Keystone value given up at close (C185)</t>
  </si>
  <si>
    <t>IRR on Ben's cash flows (rows 227-232); Year 5 = stake values, not a cash exit</t>
  </si>
  <si>
    <t>Cash portion of stake price (C189)</t>
  </si>
  <si>
    <t>Topkey stock issued, at issue value (C190)</t>
  </si>
  <si>
    <t>Cash earnout at base-case achievement (C58)</t>
  </si>
  <si>
    <t>Topkey's share of Keystone (C187)</t>
  </si>
  <si>
    <t>Year 5 partnership value of 100% of Keystone (D77)</t>
  </si>
  <si>
    <t>Topkey's stake % × Keystone Year 5 value; ties to Scenario 2 (D82)</t>
  </si>
  <si>
    <t>IRR on Topkey's cash flows (rows 219-224); excludes software fee income and Keystone distributions, so understated</t>
  </si>
  <si>
    <t>Ben's retained Keystone stake at the partnership multiple (D79)</t>
  </si>
  <si>
    <t>Cash at close (D90) + Year 3 earnout (D91)</t>
  </si>
  <si>
    <t>Ties to D92</t>
  </si>
  <si>
    <t>Drop in Topkey's Year 5 value (vs. base, D137) before Scenario 2 falls to Scenario 1; 100% = Topkey stock not needed</t>
  </si>
  <si>
    <t>Break-even total dilution (C141) less estimated dilution (C8)</t>
  </si>
  <si>
    <t>Benchmark: Ben keeps 100% (D74)</t>
  </si>
  <si>
    <t>Rollover at base-case inputs (D92)</t>
  </si>
  <si>
    <t>Linked from rollover input (C7, set on Offer Comparison C17)</t>
  </si>
  <si>
    <t>Linked to Offer Comparison (C9); single Topkey valuation input</t>
  </si>
  <si>
    <t>Sep'26 core client count (C203) + partnership total net client wins (C41)</t>
  </si>
  <si>
    <t>Savings ÷ Year 5 partnership revenue (C121)</t>
  </si>
  <si>
    <t>Topkey cash flows: Year 0 = cash + stock issued; earnout in the measurement year (C46); Year 5 = stake value (C109), not a cash exit</t>
  </si>
  <si>
    <t>Ben's cash flows: Year 0 = cash at close (C189) less Keystone value given up (C185); earnout in the measurement year (C46); Year 5 = retained Keystone stake (D79) + Topkey stock (D85)</t>
  </si>
  <si>
    <t>Differs because each offer's cash at close is netted from Topkey's ex-Keystone base; measures value growth, not revenue</t>
  </si>
  <si>
    <t>Total additional standalone revenue ÷ Keystone run-rate revenue at close</t>
  </si>
  <si>
    <t>Total additional partnership revenue ÷ Keystone run-rate revenue at close</t>
  </si>
  <si>
    <t>Input — drives Partnership and Buyout tabs (D = C). Topkey-provided monthly revenue ($000s); red = pending seller confirmation</t>
  </si>
  <si>
    <t>Input — drives Partnership and Buyout tabs (D = C). Topkey-provided client count; red = pending seller confirmation</t>
  </si>
  <si>
    <t>Input — drives Partnership and Buyout tabs (D = C). AMB placeholder; red = pending confirmation</t>
  </si>
  <si>
    <t>Linked to Steady-State Staffing AB8 (Sep'26 annualized fee per non-tax client); drives both tabs (D = C)</t>
  </si>
  <si>
    <t>Input — drives Partnership and Buyout tabs (D = C). AMB target pace; LTM actual is 26/yr (~2.2/month)</t>
  </si>
  <si>
    <t>Input — drives Partnership and Buyout tabs (D = C). Run-rate tech cost provided by the target; memo only</t>
  </si>
  <si>
    <t>Input — drives Partnership and Buyout tabs (D = C). Only if Topkey software supports higher client fees</t>
  </si>
  <si>
    <t>Input — drives Partnership and Buyout tabs (D = C). Topkey-provided; red = pending seller confirmation</t>
  </si>
  <si>
    <t>Linked to Ben's Rollover % input (row 17)</t>
  </si>
  <si>
    <t>Partnership cash of $650K is set to cover Ben's tax situation</t>
  </si>
  <si>
    <t>Buyout: $500K target, capped at $750K (150% of target). Partnership: no earnout</t>
  </si>
  <si>
    <t>Cash + equity issued + target earnout; tie-out to analysis tabs in row 38</t>
  </si>
  <si>
    <t>Topkey's stake acquired (row 32) × Keystone Year 5 value</t>
  </si>
  <si>
    <t>Partnership: Ben's retained stake (row 31); Buyout: none</t>
  </si>
  <si>
    <t>Base net wins (AMB placeholder, row 20) less break-even wins</t>
  </si>
  <si>
    <t>Base total wins (standalone + Topkey-sourced) less break-even wins</t>
  </si>
  <si>
    <t>Linked via Partnership Analysis (C191); input set on Offer Comparison C9</t>
  </si>
  <si>
    <t>Ben's Return Profile Based on Partnering</t>
  </si>
  <si>
    <t>Ben's Return Profile Based on Partnering — Less Standalone</t>
  </si>
  <si>
    <t>Ben's Return Profile Based on Partnering — Net Client Wins — Less Standalone</t>
  </si>
  <si>
    <t>Topkey Value CAGR (ex-Keystone, Net of Cash)</t>
  </si>
  <si>
    <t>Growth in Topkey's ex-Keystone value (net of cash paid, before earnout) vs. today's valuation</t>
  </si>
  <si>
    <t>Break-Even Topkey Value CAGR (ex-Keystone, Net of Cash)</t>
  </si>
  <si>
    <t>Estimated Topkey Value CAGR (ex-Keystone, Net of Cash)</t>
  </si>
  <si>
    <t>Break-even vs. estimated (rows 88-89); growth in Topkey's value vs. today's valuation, not revenue growth</t>
  </si>
  <si>
    <t>Break-even vs. estimated (rows 99-100); growth in Topkey's value vs. today's valuation, not revenue growth</t>
  </si>
  <si>
    <t>Topkey value CAGR needed for Scenario 2 to equal Scenario 1 (from required value in C137, before earnout paid); floored at zero</t>
  </si>
  <si>
    <t>Topkey Value CAGR — Cushion (% pts)</t>
  </si>
  <si>
    <t>Base less break-even; CAGR of Topkey's ex-Keystone value, net of cash (row 120)</t>
  </si>
  <si>
    <t>Keystone Yr 5 Revenue Multiple — Midpoint</t>
  </si>
  <si>
    <t>Keystone Yr 5 Revenue Multiple — Step</t>
  </si>
  <si>
    <t>Gradient Band Width — Multiple × Client Wins ($000s)</t>
  </si>
  <si>
    <t>Gradient Band Width — Multiple × Topkey Growth ($000s)</t>
  </si>
  <si>
    <t>Keystone Yr 5 Revenue Multiple (x)</t>
  </si>
  <si>
    <t>Helper: Keystone Revenue Yr 5</t>
  </si>
  <si>
    <t>Helper: Unrounded Net Return vs. Standalone — Multiple × Net Client Wins</t>
  </si>
  <si>
    <t>Helper: Unrounded Net Return vs. Standalone — Multiple × Topkey Growth</t>
  </si>
  <si>
    <t>Ben's Net Returns Based on Keystone Yr 5 Multiple &amp; Net Client Wins</t>
  </si>
  <si>
    <t>Ben's % Return on Keystone Value Based on Keystone Yr 5 Multiple &amp; Net Client Wins</t>
  </si>
  <si>
    <t>Ben's IRR Based on Keystone Yr 5 Multiple &amp; Net Client Wins</t>
  </si>
  <si>
    <t>Ben's Net Returns vs. Standalone Based on Keystone Yr 5 Multiple &amp; Net Client Wins</t>
  </si>
  <si>
    <t>Ben's % Return vs. Standalone Based on Keystone Yr 5 Multiple &amp; Net Client Wins</t>
  </si>
  <si>
    <t>Ben's IRR Premium vs. Standalone Based on Keystone Yr 5 Multiple &amp; Net Client Wins</t>
  </si>
  <si>
    <t>Ben's Yr 5 partnership value less standalone Yr 5 value at each row's client wins (helper AL250:AL256)</t>
  </si>
  <si>
    <t>Ben's Year 5 partnership value ÷ standalone Yr 5 value at each row's client wins (helper AL250:AL256), less 1</t>
  </si>
  <si>
    <t>Partnership IRR (table above) less standalone IRR (helper AM250:AM256), in percentage points</t>
  </si>
  <si>
    <t>Ben's Net Returns Based on Keystone Yr 5 Multiple &amp; Topkey Growth</t>
  </si>
  <si>
    <t>Ben's % Return on Keystone Value Based on Keystone Yr 5 Multiple &amp; Topkey Growth</t>
  </si>
  <si>
    <t>Ben's IRR Based on Keystone Yr 5 Multiple &amp; Topkey Growth</t>
  </si>
  <si>
    <t>Ben's Net Returns vs. Standalone Based on Keystone Yr 5 Multiple &amp; Topkey Growth</t>
  </si>
  <si>
    <t>Ben's % Return vs. Standalone Based on Keystone Yr 5 Multiple &amp; Topkey Growth</t>
  </si>
  <si>
    <t>Ben's IRR Premium vs. Standalone Based on Keystone Yr 5 Multiple &amp; Topkey Growth</t>
  </si>
  <si>
    <t>Ben's Yr 5 partnership value less standalone Yr 5 value at model client wins (helper AL330:AL336); standalone is unaffected by the partnership multiple</t>
  </si>
  <si>
    <t>Ben's Year 5 partnership value ÷ standalone Yr 5 value at model client wins (helper AL330:AL336), less 1</t>
  </si>
  <si>
    <t>Partnership IRR (table above) less standalone IRR (helper AM330:AM336), in percentage points</t>
  </si>
  <si>
    <t>Ben's Year 5 value (cash at close + earnout + retained Keystone stake + Topkey stock, after dilution) less Keystone value today (G430)</t>
  </si>
  <si>
    <t>Ben's Year 5 total value ÷ Keystone value today (G430), less 1</t>
  </si>
  <si>
    <t>Ben's Year 5 partnership value less standalone Year 5 value (G447)</t>
  </si>
  <si>
    <t>Ben's Year 5 partnership value ÷ standalone Year 5 value (G447), less 1</t>
  </si>
  <si>
    <t>Partnership IRR (table above) less standalone IRR (G448), in percentage points</t>
  </si>
  <si>
    <t>Ben's Year 5 value (cash at close + earnout + retained Keystone stake + Topkey stock, after dilution) less Keystone value today (G430); Topkey growth held at model (G437)</t>
  </si>
  <si>
    <t>Ben's Year 5 partnership value less standalone Year 5 value at matching net client wins less Topkey's added wins (G459)</t>
  </si>
  <si>
    <t>Helper: Net Client Wins (Model, G456)</t>
  </si>
  <si>
    <t>Standalone Yr 5 value less Keystone today, plus required premium (G449)</t>
  </si>
  <si>
    <t>% return that equals standalone plus required premium (G449)</t>
  </si>
  <si>
    <t>Keystone value today (G430) grown to standalone Year 5 value (G447) over the horizon</t>
  </si>
  <si>
    <t>Current model input: standalone wins + Topkey-sourced wins (G459)</t>
  </si>
  <si>
    <t>Ben's Yr 5 Value Less Keystone Today — Multiple × Wins Grid Center (Unrounded)</t>
  </si>
  <si>
    <t>Center cell of the net-return table (row 253); ties only while the multiple midpoint (G465) and wins midpoint (G457) equal the model</t>
  </si>
  <si>
    <t>Tie Out — Multiple × Client Wins</t>
  </si>
  <si>
    <t>Ben's Yr 5 Value Less Keystone Today — Rebuilt at Model Multiple &amp; Growth (Multiple × Growth Block)</t>
  </si>
  <si>
    <t>Same formula as the block (rows 330-336) at the model multiple (G455) and model growth (G437); grid midpoint is 200%, not the model's growth</t>
  </si>
  <si>
    <t>Tie Out — Multiple × Topkey Growth</t>
  </si>
  <si>
    <t>Per AMB; 1.00x–3.00x range</t>
  </si>
  <si>
    <t>Linked to Scenario 1 Keystone EV today (C70): PF run-rate revenue × initial multiple, rounded to $10K</t>
  </si>
  <si>
    <t>Linked to Scenario 1 Keystone EV today (C72): PF run-rate revenue × initial multiple, rounded to $10K</t>
  </si>
  <si>
    <t>Helper: Partnership Hurdle CF</t>
  </si>
  <si>
    <t>Helper: Buyout Hurdle CF</t>
  </si>
  <si>
    <t>Cash-flow IRR on break-even flows (L53:Q54): cash + stock at Yr 0, break-even stake value (row 131) at Yr 5; no earnout</t>
  </si>
  <si>
    <t>Linked to model rollover (G436); grid re-centers if the input changes</t>
  </si>
  <si>
    <t>Linked to model growth (G437); center column equals the base case exactly</t>
  </si>
  <si>
    <t>Linked to model net client wins (G456); grid re-centers if the input changes</t>
  </si>
  <si>
    <t>Linked to software-integration multiple (G455); grid re-centers if the input changes</t>
  </si>
  <si>
    <t>Cash at Close — Partnership</t>
  </si>
  <si>
    <t>Fixed $650K at every rollover % (sized to Ben's tax situation); stock issued = stake price − cash</t>
  </si>
  <si>
    <t>Helper: IRR CF — Col D</t>
  </si>
  <si>
    <t>Helper: IRR CF — Col E</t>
  </si>
  <si>
    <t>Helper: IRR CF — Col F</t>
  </si>
  <si>
    <t>Helper: IRR CF — Col G</t>
  </si>
  <si>
    <t>Helper: IRR CF — Col H</t>
  </si>
  <si>
    <t>Helper: IRR CF — Col I</t>
  </si>
  <si>
    <t>Helper: IRR CF — Col J</t>
  </si>
  <si>
    <t>Helper: IRR CF — Col K</t>
  </si>
  <si>
    <t>Helper: IRR CF — Col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</si>
</sst>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  <numFmt numFmtId="186" formatCode="0.00&quot;x&quot;"/>
  </numFmts>
  <fonts count="10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  <font>
      <b/>
      <i/>
      <sz val="9"/>
      <color rgb="FF000000"/>
      <name val="arial"/>
      <family val="2"/>
    </font>
    <font>
      <b/>
      <sz val="9"/>
      <color rgb="FF808080"/>
      <name val="Arial"/>
    </font>
    <font>
      <b/>
      <sz val="9"/>
      <color rgb="FF80808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29" fillId="0" borderId="0"/>
    <xf numFmtId="9" fontId="35" fillId="0" borderId="0" applyFont="0" applyFill="0" applyBorder="0" applyAlignment="0" applyProtection="0"/>
    <xf numFmtId="0" fontId="55" fillId="0" borderId="0"/>
    <xf numFmtId="0" fontId="62" fillId="0" borderId="0"/>
    <xf numFmtId="9" fontId="62" fillId="0" borderId="0" applyFont="0" applyFill="0" applyBorder="0" applyAlignment="0" applyProtection="0"/>
  </cellStyleXfs>
  <cellXfs count="830">
    <xf numFmtId="0" fontId="0" fillId="0" borderId="0" xfId="0"/>
    <xf numFmtId="0" fontId="25" fillId="2" borderId="0" xfId="0" applyFont="1" applyFill="1"/>
    <xf numFmtId="0" fontId="25" fillId="0" borderId="0" xfId="0" applyFont="1"/>
    <xf numFmtId="0" fontId="25" fillId="0" borderId="1" xfId="0" applyFont="1" applyBorder="1"/>
    <xf numFmtId="0" fontId="25" fillId="0" borderId="2" xfId="0" applyFont="1" applyBorder="1"/>
    <xf numFmtId="0" fontId="30" fillId="0" borderId="0" xfId="1" applyFont="1"/>
    <xf numFmtId="0" fontId="24" fillId="0" borderId="0" xfId="1" applyFont="1"/>
    <xf numFmtId="0" fontId="31" fillId="0" borderId="3" xfId="1" applyFont="1" applyBorder="1"/>
    <xf numFmtId="0" fontId="24" fillId="0" borderId="3" xfId="1" applyFont="1" applyBorder="1"/>
    <xf numFmtId="0" fontId="32" fillId="3" borderId="0" xfId="1" applyFont="1" applyFill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17" fontId="32" fillId="3" borderId="0" xfId="1" applyNumberFormat="1" applyFont="1" applyFill="1" applyAlignment="1">
      <alignment horizontal="center" vertical="center"/>
    </xf>
    <xf numFmtId="0" fontId="33" fillId="4" borderId="0" xfId="1" applyFont="1" applyFill="1"/>
    <xf numFmtId="0" fontId="24" fillId="4" borderId="0" xfId="1" applyFont="1" applyFill="1"/>
    <xf numFmtId="0" fontId="34" fillId="0" borderId="0" xfId="1" applyFont="1"/>
    <xf numFmtId="164" fontId="34" fillId="0" borderId="0" xfId="1" applyNumberFormat="1" applyFont="1"/>
    <xf numFmtId="164" fontId="24" fillId="0" borderId="0" xfId="1" applyNumberFormat="1" applyFont="1"/>
    <xf numFmtId="0" fontId="33" fillId="0" borderId="0" xfId="1" applyFont="1"/>
    <xf numFmtId="164" fontId="33" fillId="0" borderId="2" xfId="1" applyNumberFormat="1" applyFont="1" applyBorder="1"/>
    <xf numFmtId="0" fontId="34" fillId="0" borderId="0" xfId="1" applyFont="1" applyAlignment="1">
      <alignment horizontal="left"/>
    </xf>
    <xf numFmtId="164" fontId="24" fillId="4" borderId="0" xfId="1" applyNumberFormat="1" applyFont="1" applyFill="1"/>
    <xf numFmtId="164" fontId="33" fillId="0" borderId="4" xfId="1" applyNumberFormat="1" applyFont="1" applyBorder="1"/>
    <xf numFmtId="0" fontId="33" fillId="4" borderId="0" xfId="1" applyFont="1" applyFill="1" applyAlignment="1">
      <alignment horizontal="center"/>
    </xf>
    <xf numFmtId="165" fontId="34" fillId="0" borderId="0" xfId="1" applyNumberFormat="1" applyFont="1"/>
    <xf numFmtId="0" fontId="29" fillId="0" borderId="0" xfId="1"/>
    <xf numFmtId="0" fontId="34" fillId="0" borderId="0" xfId="1" applyFont="1" applyAlignment="1">
      <alignment indent="1"/>
    </xf>
    <xf numFmtId="166" fontId="34" fillId="0" borderId="0" xfId="1" applyNumberFormat="1" applyFont="1"/>
    <xf numFmtId="0" fontId="34" fillId="0" borderId="0" xfId="1" applyFont="1" applyAlignment="1">
      <alignment indent="2"/>
    </xf>
    <xf numFmtId="0" fontId="33" fillId="0" borderId="0" xfId="1" applyFont="1" applyAlignment="1">
      <alignment indent="1"/>
    </xf>
    <xf numFmtId="166" fontId="33" fillId="0" borderId="0" xfId="1" applyNumberFormat="1" applyFont="1"/>
    <xf numFmtId="0" fontId="34" fillId="0" borderId="0" xfId="1" applyFont="1" applyAlignment="1">
      <alignment indent="3"/>
    </xf>
    <xf numFmtId="0" fontId="33" fillId="0" borderId="0" xfId="1" applyFont="1" applyAlignment="1">
      <alignment indent="2"/>
    </xf>
    <xf numFmtId="0" fontId="0" fillId="5" borderId="0" xfId="0" applyFill="1"/>
    <xf numFmtId="14" fontId="40" fillId="0" borderId="0" xfId="1" applyNumberFormat="1" applyFont="1"/>
    <xf numFmtId="14" fontId="34" fillId="0" borderId="0" xfId="1" applyNumberFormat="1" applyFont="1"/>
    <xf numFmtId="14" fontId="42" fillId="0" borderId="0" xfId="1" applyNumberFormat="1" applyFont="1"/>
    <xf numFmtId="0" fontId="23" fillId="0" borderId="0" xfId="0" applyFont="1"/>
    <xf numFmtId="0" fontId="43" fillId="0" borderId="0" xfId="0" applyFont="1"/>
    <xf numFmtId="0" fontId="44" fillId="0" borderId="3" xfId="0" applyFont="1" applyBorder="1"/>
    <xf numFmtId="0" fontId="23" fillId="0" borderId="3" xfId="0" applyFont="1" applyBorder="1"/>
    <xf numFmtId="0" fontId="32" fillId="6" borderId="0" xfId="1" applyFont="1" applyFill="1" applyAlignment="1">
      <alignment horizontal="left" vertical="center"/>
    </xf>
    <xf numFmtId="0" fontId="32" fillId="6" borderId="0" xfId="1" applyFont="1" applyFill="1" applyAlignment="1">
      <alignment horizontal="center" vertical="center"/>
    </xf>
    <xf numFmtId="0" fontId="33" fillId="7" borderId="0" xfId="1" applyFont="1" applyFill="1"/>
    <xf numFmtId="0" fontId="24" fillId="7" borderId="0" xfId="1" applyFont="1" applyFill="1"/>
    <xf numFmtId="17" fontId="32" fillId="6" borderId="0" xfId="1" applyNumberFormat="1" applyFont="1" applyFill="1" applyAlignment="1">
      <alignment horizontal="center" vertical="center"/>
    </xf>
    <xf numFmtId="167" fontId="23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167" fontId="34" fillId="0" borderId="0" xfId="1" applyNumberFormat="1" applyFont="1"/>
    <xf numFmtId="167" fontId="41" fillId="0" borderId="0" xfId="1" applyNumberFormat="1" applyFont="1"/>
    <xf numFmtId="167" fontId="42" fillId="0" borderId="0" xfId="1" applyNumberFormat="1" applyFont="1"/>
    <xf numFmtId="0" fontId="32" fillId="0" borderId="0" xfId="1" applyFont="1" applyAlignment="1">
      <alignment horizontal="center" vertical="center"/>
    </xf>
    <xf numFmtId="165" fontId="23" fillId="0" borderId="0" xfId="0" applyNumberFormat="1" applyFont="1"/>
    <xf numFmtId="165" fontId="41" fillId="0" borderId="0" xfId="0" applyNumberFormat="1" applyFont="1"/>
    <xf numFmtId="0" fontId="45" fillId="0" borderId="0" xfId="1" applyFont="1" applyAlignment="1">
      <alignment horizontal="left"/>
    </xf>
    <xf numFmtId="0" fontId="45" fillId="0" borderId="0" xfId="1" applyFont="1"/>
    <xf numFmtId="0" fontId="34" fillId="0" borderId="0" xfId="1" applyFont="1" applyAlignment="1">
      <alignment horizontal="left" indent="1"/>
    </xf>
    <xf numFmtId="0" fontId="23" fillId="0" borderId="0" xfId="0" applyFont="1" applyAlignment="1">
      <alignment horizontal="left" indent="1"/>
    </xf>
    <xf numFmtId="0" fontId="38" fillId="0" borderId="2" xfId="0" applyFont="1" applyBorder="1"/>
    <xf numFmtId="167" fontId="38" fillId="0" borderId="2" xfId="0" applyNumberFormat="1" applyFont="1" applyBorder="1"/>
    <xf numFmtId="0" fontId="38" fillId="8" borderId="6" xfId="0" applyFont="1" applyFill="1" applyBorder="1"/>
    <xf numFmtId="167" fontId="38" fillId="8" borderId="7" xfId="0" applyNumberFormat="1" applyFont="1" applyFill="1" applyBorder="1"/>
    <xf numFmtId="167" fontId="38" fillId="8" borderId="8" xfId="0" applyNumberFormat="1" applyFont="1" applyFill="1" applyBorder="1"/>
    <xf numFmtId="167" fontId="38" fillId="8" borderId="6" xfId="0" applyNumberFormat="1" applyFont="1" applyFill="1" applyBorder="1"/>
    <xf numFmtId="165" fontId="41" fillId="0" borderId="0" xfId="1" applyNumberFormat="1" applyFont="1"/>
    <xf numFmtId="165" fontId="42" fillId="0" borderId="0" xfId="1" applyNumberFormat="1" applyFont="1"/>
    <xf numFmtId="168" fontId="34" fillId="0" borderId="0" xfId="1" applyNumberFormat="1" applyFont="1"/>
    <xf numFmtId="168" fontId="38" fillId="8" borderId="7" xfId="0" applyNumberFormat="1" applyFont="1" applyFill="1" applyBorder="1"/>
    <xf numFmtId="168" fontId="38" fillId="8" borderId="8" xfId="0" applyNumberFormat="1" applyFont="1" applyFill="1" applyBorder="1"/>
    <xf numFmtId="168" fontId="38" fillId="8" borderId="6" xfId="0" applyNumberFormat="1" applyFont="1" applyFill="1" applyBorder="1"/>
    <xf numFmtId="165" fontId="40" fillId="0" borderId="0" xfId="1" applyNumberFormat="1" applyFont="1"/>
    <xf numFmtId="167" fontId="38" fillId="0" borderId="0" xfId="0" applyNumberFormat="1" applyFont="1"/>
    <xf numFmtId="168" fontId="38" fillId="0" borderId="0" xfId="0" applyNumberFormat="1" applyFont="1"/>
    <xf numFmtId="0" fontId="23" fillId="9" borderId="0" xfId="0" applyFont="1" applyFill="1"/>
    <xf numFmtId="0" fontId="36" fillId="9" borderId="0" xfId="0" applyFont="1" applyFill="1" applyAlignment="1">
      <alignment horizontal="centerContinuous"/>
    </xf>
    <xf numFmtId="0" fontId="39" fillId="9" borderId="0" xfId="0" applyFont="1" applyFill="1" applyAlignment="1">
      <alignment horizontal="centerContinuous"/>
    </xf>
    <xf numFmtId="0" fontId="36" fillId="9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165" fontId="40" fillId="0" borderId="5" xfId="0" applyNumberFormat="1" applyFont="1" applyBorder="1" applyAlignment="1">
      <alignment horizontal="center"/>
    </xf>
    <xf numFmtId="0" fontId="23" fillId="0" borderId="0" xfId="0" applyFont="1" applyAlignment="1">
      <alignment horizontal="left"/>
    </xf>
    <xf numFmtId="0" fontId="45" fillId="0" borderId="0" xfId="1" applyFont="1" applyAlignment="1">
      <alignment horizontal="left" indent="1"/>
    </xf>
    <xf numFmtId="0" fontId="34" fillId="0" borderId="0" xfId="1" applyFont="1" applyAlignment="1">
      <alignment horizontal="left" indent="2"/>
    </xf>
    <xf numFmtId="165" fontId="40" fillId="0" borderId="0" xfId="0" applyNumberFormat="1" applyFont="1"/>
    <xf numFmtId="165" fontId="42" fillId="0" borderId="0" xfId="0" applyNumberFormat="1" applyFont="1"/>
    <xf numFmtId="165" fontId="37" fillId="0" borderId="0" xfId="1" applyNumberFormat="1" applyFont="1"/>
    <xf numFmtId="0" fontId="37" fillId="0" borderId="0" xfId="0" applyFont="1"/>
    <xf numFmtId="167" fontId="42" fillId="0" borderId="0" xfId="0" applyNumberFormat="1" applyFont="1"/>
    <xf numFmtId="168" fontId="33" fillId="8" borderId="8" xfId="1" applyNumberFormat="1" applyFont="1" applyFill="1" applyBorder="1"/>
    <xf numFmtId="168" fontId="48" fillId="0" borderId="0" xfId="1" applyNumberFormat="1" applyFont="1"/>
    <xf numFmtId="168" fontId="49" fillId="0" borderId="9" xfId="2" applyNumberFormat="1" applyFont="1" applyFill="1" applyBorder="1" applyAlignment="1"/>
    <xf numFmtId="168" fontId="33" fillId="0" borderId="2" xfId="2" applyNumberFormat="1" applyFont="1" applyBorder="1"/>
    <xf numFmtId="168" fontId="23" fillId="0" borderId="0" xfId="0" applyNumberFormat="1" applyFont="1"/>
    <xf numFmtId="0" fontId="33" fillId="0" borderId="2" xfId="0" applyFont="1" applyBorder="1"/>
    <xf numFmtId="0" fontId="22" fillId="0" borderId="0" xfId="0" applyFont="1" applyAlignment="1">
      <alignment horizontal="left" indent="1"/>
    </xf>
    <xf numFmtId="165" fontId="37" fillId="0" borderId="5" xfId="1" applyNumberFormat="1" applyFont="1" applyBorder="1"/>
    <xf numFmtId="167" fontId="31" fillId="0" borderId="0" xfId="0" applyNumberFormat="1" applyFont="1" applyAlignment="1">
      <alignment horizontal="left" indent="1"/>
    </xf>
    <xf numFmtId="0" fontId="22" fillId="0" borderId="0" xfId="0" applyFont="1"/>
    <xf numFmtId="0" fontId="44" fillId="0" borderId="0" xfId="0" applyFont="1"/>
    <xf numFmtId="164" fontId="33" fillId="0" borderId="0" xfId="1" applyNumberFormat="1" applyFont="1"/>
    <xf numFmtId="0" fontId="32" fillId="0" borderId="0" xfId="1" applyFont="1"/>
    <xf numFmtId="0" fontId="33" fillId="0" borderId="0" xfId="1" applyFont="1" applyAlignment="1">
      <alignment horizontal="center"/>
    </xf>
    <xf numFmtId="167" fontId="50" fillId="0" borderId="0" xfId="0" applyNumberFormat="1" applyFont="1"/>
    <xf numFmtId="167" fontId="51" fillId="0" borderId="0" xfId="0" applyNumberFormat="1" applyFont="1"/>
    <xf numFmtId="167" fontId="52" fillId="0" borderId="0" xfId="0" applyNumberFormat="1" applyFont="1"/>
    <xf numFmtId="0" fontId="38" fillId="8" borderId="10" xfId="0" applyFont="1" applyFill="1" applyBorder="1"/>
    <xf numFmtId="167" fontId="38" fillId="8" borderId="2" xfId="0" applyNumberFormat="1" applyFont="1" applyFill="1" applyBorder="1"/>
    <xf numFmtId="167" fontId="38" fillId="8" borderId="11" xfId="0" applyNumberFormat="1" applyFont="1" applyFill="1" applyBorder="1"/>
    <xf numFmtId="0" fontId="52" fillId="8" borderId="12" xfId="0" applyFont="1" applyFill="1" applyBorder="1"/>
    <xf numFmtId="169" fontId="52" fillId="8" borderId="3" xfId="0" applyNumberFormat="1" applyFont="1" applyFill="1" applyBorder="1"/>
    <xf numFmtId="169" fontId="52" fillId="8" borderId="13" xfId="0" applyNumberFormat="1" applyFont="1" applyFill="1" applyBorder="1"/>
    <xf numFmtId="167" fontId="38" fillId="8" borderId="10" xfId="0" applyNumberFormat="1" applyFont="1" applyFill="1" applyBorder="1"/>
    <xf numFmtId="169" fontId="52" fillId="8" borderId="12" xfId="0" applyNumberFormat="1" applyFont="1" applyFill="1" applyBorder="1"/>
    <xf numFmtId="168" fontId="33" fillId="8" borderId="11" xfId="1" applyNumberFormat="1" applyFont="1" applyFill="1" applyBorder="1"/>
    <xf numFmtId="168" fontId="53" fillId="8" borderId="13" xfId="1" applyNumberFormat="1" applyFont="1" applyFill="1" applyBorder="1"/>
    <xf numFmtId="165" fontId="54" fillId="0" borderId="0" xfId="0" applyNumberFormat="1" applyFont="1"/>
    <xf numFmtId="165" fontId="37" fillId="0" borderId="0" xfId="0" applyNumberFormat="1" applyFont="1"/>
    <xf numFmtId="0" fontId="21" fillId="0" borderId="0" xfId="0" applyFont="1"/>
    <xf numFmtId="0" fontId="36" fillId="10" borderId="0" xfId="1" applyFont="1" applyFill="1"/>
    <xf numFmtId="0" fontId="39" fillId="10" borderId="0" xfId="1" applyFont="1" applyFill="1"/>
    <xf numFmtId="0" fontId="36" fillId="10" borderId="0" xfId="1" applyFont="1" applyFill="1" applyAlignment="1">
      <alignment horizontal="centerContinuous"/>
    </xf>
    <xf numFmtId="0" fontId="39" fillId="9" borderId="0" xfId="1" applyFont="1" applyFill="1" applyAlignment="1">
      <alignment horizontal="centerContinuous"/>
    </xf>
    <xf numFmtId="0" fontId="34" fillId="7" borderId="0" xfId="1" applyFont="1" applyFill="1"/>
    <xf numFmtId="0" fontId="21" fillId="0" borderId="0" xfId="0" applyFont="1" applyAlignment="1">
      <alignment horizontal="left" indent="1"/>
    </xf>
    <xf numFmtId="0" fontId="44" fillId="0" borderId="0" xfId="0" applyFont="1" applyAlignment="1">
      <alignment horizontal="left" indent="1"/>
    </xf>
    <xf numFmtId="167" fontId="33" fillId="8" borderId="8" xfId="0" applyNumberFormat="1" applyFont="1" applyFill="1" applyBorder="1"/>
    <xf numFmtId="167" fontId="33" fillId="0" borderId="2" xfId="0" applyNumberFormat="1" applyFont="1" applyBorder="1"/>
    <xf numFmtId="0" fontId="52" fillId="0" borderId="0" xfId="0" applyFont="1"/>
    <xf numFmtId="169" fontId="52" fillId="0" borderId="0" xfId="0" applyNumberFormat="1" applyFont="1"/>
    <xf numFmtId="168" fontId="53" fillId="0" borderId="0" xfId="1" applyNumberFormat="1" applyFont="1"/>
    <xf numFmtId="0" fontId="56" fillId="0" borderId="0" xfId="3" applyFont="1"/>
    <xf numFmtId="0" fontId="55" fillId="0" borderId="0" xfId="3"/>
    <xf numFmtId="0" fontId="57" fillId="0" borderId="0" xfId="3" applyFont="1"/>
    <xf numFmtId="0" fontId="58" fillId="11" borderId="0" xfId="3" applyFont="1" applyFill="1" applyAlignment="1">
      <alignment vertical="center" wrapText="1"/>
    </xf>
    <xf numFmtId="0" fontId="59" fillId="0" borderId="0" xfId="3" applyFont="1" applyAlignment="1">
      <alignment vertical="top" wrapText="1"/>
    </xf>
    <xf numFmtId="0" fontId="55" fillId="0" borderId="0" xfId="3" applyAlignment="1">
      <alignment vertical="top" wrapText="1"/>
    </xf>
    <xf numFmtId="170" fontId="60" fillId="0" borderId="0" xfId="3" applyNumberFormat="1" applyFont="1" applyAlignment="1">
      <alignment horizontal="right"/>
    </xf>
    <xf numFmtId="4" fontId="55" fillId="0" borderId="0" xfId="3" applyNumberFormat="1" applyAlignment="1">
      <alignment horizontal="right"/>
    </xf>
    <xf numFmtId="0" fontId="61" fillId="0" borderId="0" xfId="3" applyFont="1" applyAlignment="1">
      <alignment vertical="top" wrapText="1"/>
    </xf>
    <xf numFmtId="0" fontId="59" fillId="0" borderId="14" xfId="3" applyFont="1" applyBorder="1"/>
    <xf numFmtId="0" fontId="20" fillId="0" borderId="0" xfId="0" applyFont="1"/>
    <xf numFmtId="9" fontId="23" fillId="0" borderId="0" xfId="2" applyFont="1"/>
    <xf numFmtId="0" fontId="32" fillId="6" borderId="0" xfId="1" applyFont="1" applyFill="1" applyAlignment="1">
      <alignment horizontal="centerContinuous" vertical="center"/>
    </xf>
    <xf numFmtId="168" fontId="38" fillId="0" borderId="2" xfId="0" applyNumberFormat="1" applyFont="1" applyBorder="1"/>
    <xf numFmtId="165" fontId="34" fillId="0" borderId="0" xfId="0" applyNumberFormat="1" applyFont="1"/>
    <xf numFmtId="0" fontId="20" fillId="0" borderId="0" xfId="0" applyFont="1" applyAlignment="1">
      <alignment horizontal="left" indent="1"/>
    </xf>
    <xf numFmtId="0" fontId="62" fillId="0" borderId="0" xfId="4"/>
    <xf numFmtId="3" fontId="62" fillId="0" borderId="0" xfId="4" applyNumberFormat="1"/>
    <xf numFmtId="4" fontId="62" fillId="0" borderId="0" xfId="4" applyNumberFormat="1"/>
    <xf numFmtId="0" fontId="63" fillId="0" borderId="0" xfId="0" applyFont="1"/>
    <xf numFmtId="9" fontId="34" fillId="0" borderId="0" xfId="2" applyFont="1"/>
    <xf numFmtId="169" fontId="23" fillId="0" borderId="0" xfId="0" applyNumberFormat="1" applyFont="1"/>
    <xf numFmtId="168" fontId="34" fillId="0" borderId="0" xfId="1" quotePrefix="1" applyNumberFormat="1" applyFont="1" applyAlignment="1">
      <alignment horizontal="right"/>
    </xf>
    <xf numFmtId="0" fontId="32" fillId="3" borderId="0" xfId="1" applyFont="1" applyFill="1" applyAlignment="1">
      <alignment horizontal="centerContinuous"/>
    </xf>
    <xf numFmtId="0" fontId="19" fillId="0" borderId="0" xfId="0" applyFont="1"/>
    <xf numFmtId="165" fontId="48" fillId="0" borderId="0" xfId="0" applyNumberFormat="1" applyFont="1"/>
    <xf numFmtId="171" fontId="23" fillId="0" borderId="0" xfId="0" applyNumberFormat="1" applyFont="1"/>
    <xf numFmtId="4" fontId="55" fillId="0" borderId="0" xfId="3" applyNumberFormat="1" applyAlignment="1">
      <alignment vertical="top" wrapText="1"/>
    </xf>
    <xf numFmtId="0" fontId="18" fillId="0" borderId="0" xfId="0" applyFont="1"/>
    <xf numFmtId="0" fontId="18" fillId="0" borderId="3" xfId="0" applyFont="1" applyBorder="1"/>
    <xf numFmtId="0" fontId="36" fillId="9" borderId="0" xfId="0" applyFont="1" applyFill="1"/>
    <xf numFmtId="4" fontId="59" fillId="0" borderId="14" xfId="3" applyNumberFormat="1" applyFont="1" applyBorder="1"/>
    <xf numFmtId="0" fontId="17" fillId="0" borderId="0" xfId="0" applyFont="1"/>
    <xf numFmtId="165" fontId="18" fillId="0" borderId="0" xfId="0" applyNumberFormat="1" applyFont="1"/>
    <xf numFmtId="9" fontId="18" fillId="0" borderId="0" xfId="2" applyFont="1"/>
    <xf numFmtId="9" fontId="38" fillId="0" borderId="2" xfId="2" applyFont="1" applyBorder="1"/>
    <xf numFmtId="167" fontId="64" fillId="0" borderId="2" xfId="0" applyNumberFormat="1" applyFont="1" applyBorder="1"/>
    <xf numFmtId="167" fontId="34" fillId="0" borderId="0" xfId="0" applyNumberFormat="1" applyFont="1"/>
    <xf numFmtId="0" fontId="17" fillId="0" borderId="5" xfId="0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172" fontId="62" fillId="0" borderId="0" xfId="4" applyNumberFormat="1"/>
    <xf numFmtId="0" fontId="16" fillId="0" borderId="0" xfId="0" applyFont="1"/>
    <xf numFmtId="0" fontId="16" fillId="0" borderId="3" xfId="0" applyFont="1" applyBorder="1"/>
    <xf numFmtId="0" fontId="65" fillId="0" borderId="0" xfId="0" applyFont="1"/>
    <xf numFmtId="0" fontId="66" fillId="0" borderId="3" xfId="0" applyFont="1" applyBorder="1"/>
    <xf numFmtId="0" fontId="65" fillId="0" borderId="3" xfId="0" applyFont="1" applyBorder="1"/>
    <xf numFmtId="0" fontId="36" fillId="9" borderId="0" xfId="0" applyFont="1" applyFill="1" applyAlignment="1">
      <alignment horizontal="center" wrapText="1"/>
    </xf>
    <xf numFmtId="0" fontId="33" fillId="12" borderId="0" xfId="0" applyFont="1" applyFill="1" applyAlignment="1">
      <alignment horizontal="center"/>
    </xf>
    <xf numFmtId="0" fontId="66" fillId="0" borderId="0" xfId="0" applyFont="1"/>
    <xf numFmtId="0" fontId="67" fillId="0" borderId="0" xfId="0" applyFont="1"/>
    <xf numFmtId="165" fontId="66" fillId="0" borderId="0" xfId="0" applyNumberFormat="1" applyFont="1"/>
    <xf numFmtId="165" fontId="65" fillId="0" borderId="0" xfId="0" applyNumberFormat="1" applyFont="1"/>
    <xf numFmtId="165" fontId="67" fillId="0" borderId="0" xfId="0" applyNumberFormat="1" applyFont="1"/>
    <xf numFmtId="0" fontId="38" fillId="7" borderId="0" xfId="1" applyFont="1" applyFill="1"/>
    <xf numFmtId="17" fontId="32" fillId="0" borderId="0" xfId="1" applyNumberFormat="1" applyFont="1" applyAlignment="1">
      <alignment horizontal="center" vertical="center"/>
    </xf>
    <xf numFmtId="17" fontId="33" fillId="13" borderId="0" xfId="1" applyNumberFormat="1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165" fontId="16" fillId="0" borderId="0" xfId="0" applyNumberFormat="1" applyFont="1"/>
    <xf numFmtId="0" fontId="65" fillId="0" borderId="0" xfId="0" applyFont="1" applyAlignment="1">
      <alignment horizontal="left" indent="1"/>
    </xf>
    <xf numFmtId="17" fontId="32" fillId="6" borderId="0" xfId="1" applyNumberFormat="1" applyFont="1" applyFill="1" applyAlignment="1">
      <alignment horizontal="center"/>
    </xf>
    <xf numFmtId="0" fontId="36" fillId="0" borderId="0" xfId="0" applyFont="1" applyAlignment="1">
      <alignment horizontal="center" wrapText="1"/>
    </xf>
    <xf numFmtId="173" fontId="40" fillId="0" borderId="0" xfId="0" applyNumberFormat="1" applyFont="1"/>
    <xf numFmtId="165" fontId="69" fillId="0" borderId="0" xfId="0" applyNumberFormat="1" applyFont="1"/>
    <xf numFmtId="14" fontId="65" fillId="0" borderId="0" xfId="0" applyNumberFormat="1" applyFont="1"/>
    <xf numFmtId="165" fontId="70" fillId="0" borderId="0" xfId="0" applyNumberFormat="1" applyFont="1"/>
    <xf numFmtId="14" fontId="68" fillId="0" borderId="0" xfId="0" applyNumberFormat="1" applyFont="1"/>
    <xf numFmtId="14" fontId="71" fillId="0" borderId="0" xfId="0" applyNumberFormat="1" applyFont="1"/>
    <xf numFmtId="14" fontId="70" fillId="0" borderId="0" xfId="0" applyNumberFormat="1" applyFont="1"/>
    <xf numFmtId="0" fontId="39" fillId="9" borderId="15" xfId="0" applyFont="1" applyFill="1" applyBorder="1"/>
    <xf numFmtId="0" fontId="33" fillId="14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Continuous"/>
    </xf>
    <xf numFmtId="0" fontId="39" fillId="9" borderId="16" xfId="0" applyFont="1" applyFill="1" applyBorder="1"/>
    <xf numFmtId="0" fontId="33" fillId="14" borderId="16" xfId="0" applyFont="1" applyFill="1" applyBorder="1" applyAlignment="1">
      <alignment horizontal="center"/>
    </xf>
    <xf numFmtId="0" fontId="33" fillId="14" borderId="15" xfId="0" applyFont="1" applyFill="1" applyBorder="1"/>
    <xf numFmtId="0" fontId="15" fillId="0" borderId="0" xfId="0" applyFont="1"/>
    <xf numFmtId="0" fontId="14" fillId="0" borderId="0" xfId="0" applyFont="1"/>
    <xf numFmtId="9" fontId="18" fillId="0" borderId="0" xfId="2" applyFont="1" applyFill="1" applyBorder="1"/>
    <xf numFmtId="167" fontId="18" fillId="0" borderId="0" xfId="0" applyNumberFormat="1" applyFont="1"/>
    <xf numFmtId="167" fontId="37" fillId="0" borderId="0" xfId="2" applyNumberFormat="1" applyFont="1" applyFill="1" applyBorder="1"/>
    <xf numFmtId="165" fontId="37" fillId="0" borderId="0" xfId="2" applyNumberFormat="1" applyFont="1" applyFill="1" applyBorder="1" applyAlignment="1"/>
    <xf numFmtId="0" fontId="13" fillId="0" borderId="0" xfId="0" applyFont="1" applyAlignment="1">
      <alignment horizontal="left" indent="1"/>
    </xf>
    <xf numFmtId="0" fontId="34" fillId="0" borderId="0" xfId="0" applyFont="1" applyAlignment="1">
      <alignment horizontal="left" indent="1"/>
    </xf>
    <xf numFmtId="174" fontId="62" fillId="0" borderId="0" xfId="4" applyNumberFormat="1"/>
    <xf numFmtId="0" fontId="13" fillId="0" borderId="0" xfId="0" applyFont="1"/>
    <xf numFmtId="0" fontId="38" fillId="0" borderId="0" xfId="0" applyFont="1"/>
    <xf numFmtId="0" fontId="13" fillId="0" borderId="3" xfId="0" applyFont="1" applyBorder="1"/>
    <xf numFmtId="167" fontId="62" fillId="0" borderId="0" xfId="4" applyNumberFormat="1"/>
    <xf numFmtId="0" fontId="40" fillId="0" borderId="0" xfId="0" applyFont="1"/>
    <xf numFmtId="0" fontId="13" fillId="7" borderId="0" xfId="1" applyFont="1" applyFill="1"/>
    <xf numFmtId="165" fontId="13" fillId="0" borderId="0" xfId="0" applyNumberFormat="1" applyFont="1"/>
    <xf numFmtId="165" fontId="38" fillId="0" borderId="2" xfId="0" applyNumberFormat="1" applyFont="1" applyBorder="1"/>
    <xf numFmtId="165" fontId="38" fillId="0" borderId="0" xfId="0" applyNumberFormat="1" applyFont="1"/>
    <xf numFmtId="165" fontId="44" fillId="0" borderId="0" xfId="0" applyNumberFormat="1" applyFont="1"/>
    <xf numFmtId="167" fontId="13" fillId="0" borderId="0" xfId="0" applyNumberFormat="1" applyFont="1"/>
    <xf numFmtId="0" fontId="13" fillId="0" borderId="0" xfId="4" applyFont="1"/>
    <xf numFmtId="174" fontId="13" fillId="0" borderId="0" xfId="4" applyNumberFormat="1" applyFont="1"/>
    <xf numFmtId="165" fontId="38" fillId="8" borderId="7" xfId="0" applyNumberFormat="1" applyFont="1" applyFill="1" applyBorder="1"/>
    <xf numFmtId="164" fontId="13" fillId="0" borderId="0" xfId="0" applyNumberFormat="1" applyFont="1"/>
    <xf numFmtId="164" fontId="38" fillId="8" borderId="8" xfId="0" applyNumberFormat="1" applyFont="1" applyFill="1" applyBorder="1"/>
    <xf numFmtId="165" fontId="72" fillId="0" borderId="0" xfId="0" applyNumberFormat="1" applyFont="1"/>
    <xf numFmtId="0" fontId="72" fillId="0" borderId="0" xfId="0" applyFont="1"/>
    <xf numFmtId="0" fontId="67" fillId="8" borderId="10" xfId="0" applyFont="1" applyFill="1" applyBorder="1"/>
    <xf numFmtId="165" fontId="72" fillId="8" borderId="2" xfId="0" applyNumberFormat="1" applyFont="1" applyFill="1" applyBorder="1"/>
    <xf numFmtId="168" fontId="73" fillId="8" borderId="2" xfId="2" applyNumberFormat="1" applyFont="1" applyFill="1" applyBorder="1"/>
    <xf numFmtId="0" fontId="67" fillId="8" borderId="12" xfId="0" applyFont="1" applyFill="1" applyBorder="1"/>
    <xf numFmtId="165" fontId="72" fillId="8" borderId="3" xfId="0" applyNumberFormat="1" applyFont="1" applyFill="1" applyBorder="1"/>
    <xf numFmtId="168" fontId="73" fillId="8" borderId="3" xfId="2" applyNumberFormat="1" applyFont="1" applyFill="1" applyBorder="1"/>
    <xf numFmtId="168" fontId="73" fillId="8" borderId="13" xfId="2" applyNumberFormat="1" applyFont="1" applyFill="1" applyBorder="1"/>
    <xf numFmtId="168" fontId="73" fillId="8" borderId="12" xfId="2" applyNumberFormat="1" applyFont="1" applyFill="1" applyBorder="1"/>
    <xf numFmtId="168" fontId="73" fillId="8" borderId="18" xfId="2" applyNumberFormat="1" applyFont="1" applyFill="1" applyBorder="1"/>
    <xf numFmtId="0" fontId="74" fillId="0" borderId="0" xfId="0" applyFont="1"/>
    <xf numFmtId="165" fontId="68" fillId="0" borderId="5" xfId="0" applyNumberFormat="1" applyFont="1" applyBorder="1" applyAlignment="1">
      <alignment horizontal="center"/>
    </xf>
    <xf numFmtId="14" fontId="40" fillId="0" borderId="0" xfId="0" applyNumberFormat="1" applyFont="1"/>
    <xf numFmtId="168" fontId="73" fillId="8" borderId="10" xfId="2" applyNumberFormat="1" applyFont="1" applyFill="1" applyBorder="1"/>
    <xf numFmtId="168" fontId="73" fillId="8" borderId="11" xfId="2" applyNumberFormat="1" applyFont="1" applyFill="1" applyBorder="1"/>
    <xf numFmtId="168" fontId="65" fillId="0" borderId="0" xfId="0" applyNumberFormat="1" applyFont="1"/>
    <xf numFmtId="168" fontId="73" fillId="8" borderId="17" xfId="2" applyNumberFormat="1" applyFont="1" applyFill="1" applyBorder="1"/>
    <xf numFmtId="14" fontId="34" fillId="13" borderId="0" xfId="1" applyNumberFormat="1" applyFont="1" applyFill="1" applyAlignment="1">
      <alignment horizontal="center" vertical="center"/>
    </xf>
    <xf numFmtId="173" fontId="40" fillId="8" borderId="5" xfId="0" applyNumberFormat="1" applyFont="1" applyFill="1" applyBorder="1"/>
    <xf numFmtId="0" fontId="37" fillId="8" borderId="5" xfId="0" applyFont="1" applyFill="1" applyBorder="1"/>
    <xf numFmtId="167" fontId="16" fillId="0" borderId="0" xfId="0" applyNumberFormat="1" applyFont="1"/>
    <xf numFmtId="0" fontId="39" fillId="9" borderId="0" xfId="0" applyFont="1" applyFill="1"/>
    <xf numFmtId="0" fontId="65" fillId="0" borderId="2" xfId="0" applyFont="1" applyBorder="1" applyAlignment="1">
      <alignment horizontal="left" indent="1"/>
    </xf>
    <xf numFmtId="165" fontId="70" fillId="0" borderId="2" xfId="0" applyNumberFormat="1" applyFont="1" applyBorder="1"/>
    <xf numFmtId="0" fontId="65" fillId="0" borderId="2" xfId="0" applyFont="1" applyBorder="1"/>
    <xf numFmtId="165" fontId="69" fillId="0" borderId="2" xfId="0" applyNumberFormat="1" applyFont="1" applyBorder="1"/>
    <xf numFmtId="0" fontId="67" fillId="8" borderId="6" xfId="0" applyFont="1" applyFill="1" applyBorder="1"/>
    <xf numFmtId="165" fontId="72" fillId="8" borderId="7" xfId="0" applyNumberFormat="1" applyFont="1" applyFill="1" applyBorder="1"/>
    <xf numFmtId="165" fontId="72" fillId="8" borderId="8" xfId="0" applyNumberFormat="1" applyFont="1" applyFill="1" applyBorder="1"/>
    <xf numFmtId="165" fontId="72" fillId="8" borderId="6" xfId="0" applyNumberFormat="1" applyFont="1" applyFill="1" applyBorder="1"/>
    <xf numFmtId="0" fontId="72" fillId="8" borderId="8" xfId="0" applyFont="1" applyFill="1" applyBorder="1"/>
    <xf numFmtId="165" fontId="72" fillId="8" borderId="5" xfId="0" applyNumberFormat="1" applyFont="1" applyFill="1" applyBorder="1"/>
    <xf numFmtId="0" fontId="65" fillId="0" borderId="0" xfId="0" applyFont="1" applyAlignment="1">
      <alignment horizontal="left" indent="2"/>
    </xf>
    <xf numFmtId="0" fontId="12" fillId="0" borderId="0" xfId="0" applyFont="1"/>
    <xf numFmtId="17" fontId="32" fillId="6" borderId="0" xfId="1" applyNumberFormat="1" applyFont="1" applyFill="1" applyAlignment="1">
      <alignment horizontal="left"/>
    </xf>
    <xf numFmtId="0" fontId="12" fillId="0" borderId="3" xfId="0" applyFont="1" applyBorder="1"/>
    <xf numFmtId="175" fontId="23" fillId="0" borderId="0" xfId="0" applyNumberFormat="1" applyFont="1"/>
    <xf numFmtId="167" fontId="65" fillId="0" borderId="0" xfId="0" applyNumberFormat="1" applyFont="1"/>
    <xf numFmtId="167" fontId="72" fillId="8" borderId="7" xfId="0" applyNumberFormat="1" applyFont="1" applyFill="1" applyBorder="1"/>
    <xf numFmtId="167" fontId="72" fillId="8" borderId="8" xfId="0" applyNumberFormat="1" applyFont="1" applyFill="1" applyBorder="1"/>
    <xf numFmtId="167" fontId="72" fillId="8" borderId="5" xfId="0" applyNumberFormat="1" applyFont="1" applyFill="1" applyBorder="1"/>
    <xf numFmtId="167" fontId="72" fillId="8" borderId="6" xfId="0" applyNumberFormat="1" applyFont="1" applyFill="1" applyBorder="1"/>
    <xf numFmtId="174" fontId="0" fillId="0" borderId="0" xfId="0" applyNumberFormat="1"/>
    <xf numFmtId="0" fontId="11" fillId="0" borderId="0" xfId="4" applyFont="1"/>
    <xf numFmtId="0" fontId="40" fillId="0" borderId="0" xfId="4" applyFont="1"/>
    <xf numFmtId="0" fontId="48" fillId="0" borderId="0" xfId="4" applyFont="1"/>
    <xf numFmtId="0" fontId="37" fillId="0" borderId="0" xfId="4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0" fontId="38" fillId="0" borderId="2" xfId="0" applyFont="1" applyBorder="1" applyAlignment="1">
      <alignment horizontal="left" indent="1"/>
    </xf>
    <xf numFmtId="167" fontId="40" fillId="0" borderId="0" xfId="4" applyNumberFormat="1" applyFont="1"/>
    <xf numFmtId="0" fontId="13" fillId="0" borderId="0" xfId="1" applyFont="1"/>
    <xf numFmtId="0" fontId="36" fillId="9" borderId="0" xfId="4" applyFont="1" applyFill="1"/>
    <xf numFmtId="164" fontId="38" fillId="0" borderId="0" xfId="0" applyNumberFormat="1" applyFont="1"/>
    <xf numFmtId="0" fontId="40" fillId="0" borderId="0" xfId="0" quotePrefix="1" applyFont="1" applyAlignment="1">
      <alignment horizontal="right"/>
    </xf>
    <xf numFmtId="164" fontId="40" fillId="0" borderId="0" xfId="0" applyNumberFormat="1" applyFont="1"/>
    <xf numFmtId="165" fontId="38" fillId="8" borderId="2" xfId="0" applyNumberFormat="1" applyFont="1" applyFill="1" applyBorder="1"/>
    <xf numFmtId="168" fontId="52" fillId="8" borderId="12" xfId="0" applyNumberFormat="1" applyFont="1" applyFill="1" applyBorder="1"/>
    <xf numFmtId="168" fontId="52" fillId="8" borderId="13" xfId="0" applyNumberFormat="1" applyFont="1" applyFill="1" applyBorder="1"/>
    <xf numFmtId="164" fontId="38" fillId="8" borderId="11" xfId="0" applyNumberFormat="1" applyFont="1" applyFill="1" applyBorder="1"/>
    <xf numFmtId="165" fontId="75" fillId="8" borderId="3" xfId="0" applyNumberFormat="1" applyFont="1" applyFill="1" applyBorder="1"/>
    <xf numFmtId="167" fontId="75" fillId="8" borderId="13" xfId="0" applyNumberFormat="1" applyFont="1" applyFill="1" applyBorder="1"/>
    <xf numFmtId="167" fontId="75" fillId="8" borderId="12" xfId="0" applyNumberFormat="1" applyFont="1" applyFill="1" applyBorder="1"/>
    <xf numFmtId="164" fontId="75" fillId="8" borderId="13" xfId="0" applyNumberFormat="1" applyFont="1" applyFill="1" applyBorder="1"/>
    <xf numFmtId="0" fontId="10" fillId="0" borderId="0" xfId="0" applyFont="1"/>
    <xf numFmtId="164" fontId="75" fillId="0" borderId="0" xfId="0" applyNumberFormat="1" applyFont="1"/>
    <xf numFmtId="0" fontId="10" fillId="0" borderId="0" xfId="0" applyFont="1" applyAlignment="1">
      <alignment horizontal="left" indent="1"/>
    </xf>
    <xf numFmtId="0" fontId="32" fillId="0" borderId="0" xfId="0" applyFont="1"/>
    <xf numFmtId="168" fontId="52" fillId="8" borderId="3" xfId="0" applyNumberFormat="1" applyFont="1" applyFill="1" applyBorder="1"/>
    <xf numFmtId="9" fontId="0" fillId="0" borderId="0" xfId="5" applyFont="1"/>
    <xf numFmtId="0" fontId="76" fillId="0" borderId="0" xfId="4" applyFont="1"/>
    <xf numFmtId="0" fontId="9" fillId="0" borderId="0" xfId="0" applyFont="1"/>
    <xf numFmtId="0" fontId="9" fillId="0" borderId="3" xfId="0" applyFont="1" applyBorder="1"/>
    <xf numFmtId="0" fontId="36" fillId="9" borderId="0" xfId="4" applyFont="1" applyFill="1" applyAlignment="1">
      <alignment horizontal="center"/>
    </xf>
    <xf numFmtId="176" fontId="40" fillId="0" borderId="0" xfId="0" applyNumberFormat="1" applyFont="1"/>
    <xf numFmtId="176" fontId="9" fillId="0" borderId="0" xfId="0" applyNumberFormat="1" applyFont="1"/>
    <xf numFmtId="0" fontId="77" fillId="8" borderId="8" xfId="0" applyFont="1" applyFill="1" applyBorder="1"/>
    <xf numFmtId="0" fontId="38" fillId="0" borderId="0" xfId="1" applyFont="1"/>
    <xf numFmtId="0" fontId="8" fillId="0" borderId="0" xfId="1" applyFont="1"/>
    <xf numFmtId="165" fontId="73" fillId="8" borderId="3" xfId="0" applyNumberFormat="1" applyFont="1" applyFill="1" applyBorder="1"/>
    <xf numFmtId="165" fontId="73" fillId="8" borderId="13" xfId="0" applyNumberFormat="1" applyFont="1" applyFill="1" applyBorder="1"/>
    <xf numFmtId="165" fontId="73" fillId="8" borderId="18" xfId="0" applyNumberFormat="1" applyFont="1" applyFill="1" applyBorder="1"/>
    <xf numFmtId="165" fontId="73" fillId="8" borderId="12" xfId="0" applyNumberFormat="1" applyFont="1" applyFill="1" applyBorder="1"/>
    <xf numFmtId="0" fontId="77" fillId="0" borderId="0" xfId="0" applyFont="1"/>
    <xf numFmtId="165" fontId="73" fillId="8" borderId="2" xfId="0" applyNumberFormat="1" applyFont="1" applyFill="1" applyBorder="1"/>
    <xf numFmtId="165" fontId="73" fillId="8" borderId="11" xfId="0" applyNumberFormat="1" applyFont="1" applyFill="1" applyBorder="1"/>
    <xf numFmtId="165" fontId="73" fillId="8" borderId="17" xfId="0" applyNumberFormat="1" applyFont="1" applyFill="1" applyBorder="1"/>
    <xf numFmtId="165" fontId="73" fillId="8" borderId="10" xfId="0" applyNumberFormat="1" applyFont="1" applyFill="1" applyBorder="1"/>
    <xf numFmtId="0" fontId="75" fillId="7" borderId="0" xfId="1" applyFont="1" applyFill="1"/>
    <xf numFmtId="165" fontId="73" fillId="8" borderId="7" xfId="0" applyNumberFormat="1" applyFont="1" applyFill="1" applyBorder="1"/>
    <xf numFmtId="165" fontId="73" fillId="8" borderId="8" xfId="0" applyNumberFormat="1" applyFont="1" applyFill="1" applyBorder="1"/>
    <xf numFmtId="165" fontId="73" fillId="8" borderId="5" xfId="0" applyNumberFormat="1" applyFont="1" applyFill="1" applyBorder="1"/>
    <xf numFmtId="165" fontId="73" fillId="8" borderId="6" xfId="0" applyNumberFormat="1" applyFont="1" applyFill="1" applyBorder="1"/>
    <xf numFmtId="176" fontId="41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2" xfId="0" applyFont="1" applyBorder="1"/>
    <xf numFmtId="168" fontId="7" fillId="0" borderId="0" xfId="0" applyNumberFormat="1" applyFont="1"/>
    <xf numFmtId="168" fontId="7" fillId="0" borderId="2" xfId="0" applyNumberFormat="1" applyFont="1" applyBorder="1"/>
    <xf numFmtId="0" fontId="7" fillId="15" borderId="0" xfId="0" applyFont="1" applyFill="1"/>
    <xf numFmtId="176" fontId="40" fillId="15" borderId="0" xfId="0" applyNumberFormat="1" applyFont="1" applyFill="1"/>
    <xf numFmtId="0" fontId="7" fillId="16" borderId="0" xfId="0" applyFont="1" applyFill="1"/>
    <xf numFmtId="176" fontId="40" fillId="16" borderId="0" xfId="0" applyNumberFormat="1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167" fontId="49" fillId="0" borderId="9" xfId="0" applyNumberFormat="1" applyFont="1" applyBorder="1"/>
    <xf numFmtId="9" fontId="65" fillId="0" borderId="0" xfId="2" applyFont="1"/>
    <xf numFmtId="167" fontId="72" fillId="8" borderId="2" xfId="0" applyNumberFormat="1" applyFont="1" applyFill="1" applyBorder="1"/>
    <xf numFmtId="167" fontId="72" fillId="8" borderId="11" xfId="0" applyNumberFormat="1" applyFont="1" applyFill="1" applyBorder="1"/>
    <xf numFmtId="177" fontId="72" fillId="8" borderId="3" xfId="0" applyNumberFormat="1" applyFont="1" applyFill="1" applyBorder="1"/>
    <xf numFmtId="177" fontId="72" fillId="8" borderId="13" xfId="0" applyNumberFormat="1" applyFont="1" applyFill="1" applyBorder="1"/>
    <xf numFmtId="167" fontId="72" fillId="8" borderId="17" xfId="0" applyNumberFormat="1" applyFont="1" applyFill="1" applyBorder="1"/>
    <xf numFmtId="177" fontId="72" fillId="8" borderId="18" xfId="0" applyNumberFormat="1" applyFont="1" applyFill="1" applyBorder="1"/>
    <xf numFmtId="167" fontId="72" fillId="8" borderId="10" xfId="0" applyNumberFormat="1" applyFont="1" applyFill="1" applyBorder="1"/>
    <xf numFmtId="177" fontId="72" fillId="8" borderId="12" xfId="0" applyNumberFormat="1" applyFont="1" applyFill="1" applyBorder="1"/>
    <xf numFmtId="0" fontId="0" fillId="0" borderId="2" xfId="0" applyBorder="1"/>
    <xf numFmtId="0" fontId="78" fillId="0" borderId="0" xfId="0" applyFont="1"/>
    <xf numFmtId="0" fontId="5" fillId="14" borderId="0" xfId="0" applyFont="1" applyFill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67" fontId="5" fillId="0" borderId="0" xfId="0" applyNumberFormat="1" applyFont="1"/>
    <xf numFmtId="173" fontId="44" fillId="0" borderId="0" xfId="0" applyNumberFormat="1" applyFont="1"/>
    <xf numFmtId="0" fontId="38" fillId="8" borderId="6" xfId="0" applyFont="1" applyFill="1" applyBorder="1" applyAlignment="1">
      <alignment horizontal="left"/>
    </xf>
    <xf numFmtId="165" fontId="38" fillId="8" borderId="6" xfId="0" applyNumberFormat="1" applyFont="1" applyFill="1" applyBorder="1" applyAlignment="1">
      <alignment horizontal="left"/>
    </xf>
    <xf numFmtId="0" fontId="5" fillId="0" borderId="0" xfId="0" applyFont="1" applyAlignment="1">
      <alignment horizontal="left" indent="1"/>
    </xf>
    <xf numFmtId="0" fontId="5" fillId="8" borderId="7" xfId="0" applyFont="1" applyFill="1" applyBorder="1"/>
    <xf numFmtId="0" fontId="38" fillId="8" borderId="7" xfId="0" applyFont="1" applyFill="1" applyBorder="1"/>
    <xf numFmtId="0" fontId="32" fillId="9" borderId="0" xfId="0" applyFont="1" applyFill="1" applyAlignment="1">
      <alignment horizontal="centerContinuous"/>
    </xf>
    <xf numFmtId="0" fontId="38" fillId="14" borderId="0" xfId="0" applyFont="1" applyFill="1" applyAlignment="1">
      <alignment horizontal="center"/>
    </xf>
    <xf numFmtId="0" fontId="38" fillId="14" borderId="19" xfId="0" applyFont="1" applyFill="1" applyBorder="1" applyAlignment="1">
      <alignment horizontal="center"/>
    </xf>
    <xf numFmtId="0" fontId="79" fillId="14" borderId="0" xfId="0" applyFont="1" applyFill="1" applyAlignment="1">
      <alignment horizontal="center"/>
    </xf>
    <xf numFmtId="172" fontId="5" fillId="0" borderId="0" xfId="0" applyNumberFormat="1" applyFont="1"/>
    <xf numFmtId="165" fontId="5" fillId="0" borderId="0" xfId="0" applyNumberFormat="1" applyFont="1"/>
    <xf numFmtId="173" fontId="5" fillId="0" borderId="0" xfId="0" applyNumberFormat="1" applyFont="1"/>
    <xf numFmtId="175" fontId="5" fillId="0" borderId="0" xfId="0" applyNumberFormat="1" applyFont="1"/>
    <xf numFmtId="165" fontId="80" fillId="0" borderId="0" xfId="0" applyNumberFormat="1" applyFont="1"/>
    <xf numFmtId="172" fontId="38" fillId="8" borderId="7" xfId="0" applyNumberFormat="1" applyFont="1" applyFill="1" applyBorder="1"/>
    <xf numFmtId="175" fontId="38" fillId="8" borderId="8" xfId="0" applyNumberFormat="1" applyFont="1" applyFill="1" applyBorder="1"/>
    <xf numFmtId="0" fontId="32" fillId="9" borderId="0" xfId="0" applyFont="1" applyFill="1"/>
    <xf numFmtId="0" fontId="32" fillId="9" borderId="0" xfId="0" applyFont="1" applyFill="1" applyAlignment="1">
      <alignment horizontal="center"/>
    </xf>
    <xf numFmtId="0" fontId="32" fillId="9" borderId="0" xfId="0" applyFont="1" applyFill="1" applyAlignment="1">
      <alignment horizontal="left"/>
    </xf>
    <xf numFmtId="17" fontId="32" fillId="9" borderId="0" xfId="0" applyNumberFormat="1" applyFont="1" applyFill="1" applyAlignment="1">
      <alignment horizontal="center"/>
    </xf>
    <xf numFmtId="0" fontId="38" fillId="14" borderId="0" xfId="0" applyFont="1" applyFill="1"/>
    <xf numFmtId="177" fontId="5" fillId="0" borderId="0" xfId="0" applyNumberFormat="1" applyFont="1"/>
    <xf numFmtId="164" fontId="5" fillId="0" borderId="0" xfId="0" applyNumberFormat="1" applyFont="1"/>
    <xf numFmtId="178" fontId="5" fillId="0" borderId="0" xfId="0" applyNumberFormat="1" applyFont="1"/>
    <xf numFmtId="177" fontId="38" fillId="8" borderId="7" xfId="0" applyNumberFormat="1" applyFont="1" applyFill="1" applyBorder="1"/>
    <xf numFmtId="178" fontId="38" fillId="8" borderId="7" xfId="0" applyNumberFormat="1" applyFont="1" applyFill="1" applyBorder="1"/>
    <xf numFmtId="177" fontId="38" fillId="0" borderId="7" xfId="0" applyNumberFormat="1" applyFont="1" applyBorder="1"/>
    <xf numFmtId="178" fontId="38" fillId="0" borderId="7" xfId="0" applyNumberFormat="1" applyFont="1" applyBorder="1"/>
    <xf numFmtId="0" fontId="32" fillId="0" borderId="0" xfId="0" applyFont="1" applyAlignment="1">
      <alignment horizontal="center"/>
    </xf>
    <xf numFmtId="177" fontId="38" fillId="8" borderId="8" xfId="0" applyNumberFormat="1" applyFont="1" applyFill="1" applyBorder="1"/>
    <xf numFmtId="178" fontId="38" fillId="8" borderId="8" xfId="0" applyNumberFormat="1" applyFont="1" applyFill="1" applyBorder="1"/>
    <xf numFmtId="164" fontId="41" fillId="0" borderId="0" xfId="0" applyNumberFormat="1" applyFont="1"/>
    <xf numFmtId="177" fontId="34" fillId="0" borderId="0" xfId="0" applyNumberFormat="1" applyFont="1"/>
    <xf numFmtId="9" fontId="40" fillId="0" borderId="0" xfId="0" applyNumberFormat="1" applyFont="1"/>
    <xf numFmtId="169" fontId="42" fillId="0" borderId="0" xfId="0" applyNumberFormat="1" applyFont="1"/>
    <xf numFmtId="179" fontId="65" fillId="0" borderId="0" xfId="0" applyNumberFormat="1" applyFont="1"/>
    <xf numFmtId="179" fontId="5" fillId="0" borderId="0" xfId="0" applyNumberFormat="1" applyFont="1"/>
    <xf numFmtId="179" fontId="38" fillId="8" borderId="8" xfId="0" applyNumberFormat="1" applyFont="1" applyFill="1" applyBorder="1"/>
    <xf numFmtId="180" fontId="5" fillId="0" borderId="0" xfId="0" applyNumberFormat="1" applyFont="1"/>
    <xf numFmtId="179" fontId="5" fillId="14" borderId="0" xfId="0" applyNumberFormat="1" applyFont="1" applyFill="1"/>
    <xf numFmtId="0" fontId="38" fillId="0" borderId="0" xfId="0" applyFont="1" applyAlignment="1">
      <alignment horizontal="center"/>
    </xf>
    <xf numFmtId="165" fontId="38" fillId="8" borderId="6" xfId="0" applyNumberFormat="1" applyFont="1" applyFill="1" applyBorder="1"/>
    <xf numFmtId="181" fontId="40" fillId="0" borderId="0" xfId="0" applyNumberFormat="1" applyFont="1"/>
    <xf numFmtId="167" fontId="38" fillId="17" borderId="5" xfId="0" applyNumberFormat="1" applyFont="1" applyFill="1" applyBorder="1"/>
    <xf numFmtId="164" fontId="38" fillId="14" borderId="2" xfId="0" applyNumberFormat="1" applyFont="1" applyFill="1" applyBorder="1" applyAlignment="1">
      <alignment horizontal="center"/>
    </xf>
    <xf numFmtId="167" fontId="5" fillId="0" borderId="3" xfId="0" applyNumberFormat="1" applyFont="1" applyBorder="1"/>
    <xf numFmtId="0" fontId="38" fillId="14" borderId="10" xfId="0" applyFont="1" applyFill="1" applyBorder="1" applyAlignment="1">
      <alignment horizontal="left"/>
    </xf>
    <xf numFmtId="181" fontId="5" fillId="0" borderId="19" xfId="0" applyNumberFormat="1" applyFont="1" applyBorder="1"/>
    <xf numFmtId="181" fontId="5" fillId="0" borderId="12" xfId="0" applyNumberFormat="1" applyFont="1" applyBorder="1"/>
    <xf numFmtId="164" fontId="38" fillId="14" borderId="11" xfId="0" applyNumberFormat="1" applyFont="1" applyFill="1" applyBorder="1" applyAlignment="1">
      <alignment horizontal="center"/>
    </xf>
    <xf numFmtId="167" fontId="5" fillId="0" borderId="15" xfId="0" applyNumberFormat="1" applyFont="1" applyBorder="1"/>
    <xf numFmtId="167" fontId="5" fillId="0" borderId="13" xfId="0" applyNumberFormat="1" applyFont="1" applyBorder="1"/>
    <xf numFmtId="177" fontId="5" fillId="0" borderId="19" xfId="0" applyNumberFormat="1" applyFont="1" applyBorder="1"/>
    <xf numFmtId="177" fontId="5" fillId="0" borderId="12" xfId="0" applyNumberFormat="1" applyFont="1" applyBorder="1"/>
    <xf numFmtId="164" fontId="44" fillId="0" borderId="0" xfId="0" applyNumberFormat="1" applyFont="1"/>
    <xf numFmtId="180" fontId="0" fillId="0" borderId="0" xfId="0" applyNumberFormat="1"/>
    <xf numFmtId="165" fontId="72" fillId="8" borderId="10" xfId="0" applyNumberFormat="1" applyFont="1" applyFill="1" applyBorder="1"/>
    <xf numFmtId="0" fontId="77" fillId="8" borderId="11" xfId="0" applyFont="1" applyFill="1" applyBorder="1"/>
    <xf numFmtId="165" fontId="72" fillId="0" borderId="12" xfId="0" applyNumberFormat="1" applyFont="1" applyBorder="1"/>
    <xf numFmtId="165" fontId="72" fillId="0" borderId="3" xfId="0" applyNumberFormat="1" applyFont="1" applyBorder="1"/>
    <xf numFmtId="0" fontId="77" fillId="0" borderId="13" xfId="0" applyFont="1" applyBorder="1"/>
    <xf numFmtId="0" fontId="81" fillId="0" borderId="0" xfId="0" applyFont="1"/>
    <xf numFmtId="0" fontId="84" fillId="14" borderId="0" xfId="0" applyFont="1" applyFill="1"/>
    <xf numFmtId="0" fontId="85" fillId="0" borderId="0" xfId="0" applyFont="1"/>
    <xf numFmtId="0" fontId="84" fillId="14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17" fontId="83" fillId="0" borderId="0" xfId="0" applyNumberFormat="1" applyFont="1" applyAlignment="1">
      <alignment horizontal="center"/>
    </xf>
    <xf numFmtId="167" fontId="87" fillId="0" borderId="0" xfId="0" applyNumberFormat="1" applyFont="1" applyAlignment="1">
      <alignment horizontal="center"/>
    </xf>
    <xf numFmtId="0" fontId="88" fillId="0" borderId="0" xfId="0" applyFont="1"/>
    <xf numFmtId="0" fontId="89" fillId="0" borderId="0" xfId="0" applyFont="1"/>
    <xf numFmtId="165" fontId="89" fillId="0" borderId="0" xfId="0" applyNumberFormat="1" applyFont="1"/>
    <xf numFmtId="167" fontId="89" fillId="0" borderId="0" xfId="0" applyNumberFormat="1" applyFont="1"/>
    <xf numFmtId="165" fontId="90" fillId="0" borderId="0" xfId="0" applyNumberFormat="1" applyFont="1"/>
    <xf numFmtId="0" fontId="91" fillId="0" borderId="0" xfId="0" applyFont="1"/>
    <xf numFmtId="165" fontId="91" fillId="0" borderId="0" xfId="0" applyNumberFormat="1" applyFont="1"/>
    <xf numFmtId="167" fontId="92" fillId="0" borderId="0" xfId="0" applyNumberFormat="1" applyFont="1"/>
    <xf numFmtId="165" fontId="83" fillId="0" borderId="0" xfId="0" applyNumberFormat="1" applyFont="1"/>
    <xf numFmtId="167" fontId="83" fillId="0" borderId="0" xfId="0" applyNumberFormat="1" applyFont="1"/>
    <xf numFmtId="164" fontId="92" fillId="0" borderId="0" xfId="0" applyNumberFormat="1" applyFont="1"/>
    <xf numFmtId="165" fontId="92" fillId="0" borderId="0" xfId="0" applyNumberFormat="1" applyFont="1"/>
    <xf numFmtId="164" fontId="83" fillId="0" borderId="0" xfId="0" applyNumberFormat="1" applyFont="1"/>
    <xf numFmtId="165" fontId="87" fillId="0" borderId="0" xfId="0" applyNumberFormat="1" applyFont="1"/>
    <xf numFmtId="0" fontId="93" fillId="0" borderId="0" xfId="0" applyFont="1"/>
    <xf numFmtId="0" fontId="85" fillId="14" borderId="0" xfId="0" applyFont="1" applyFill="1"/>
    <xf numFmtId="0" fontId="86" fillId="8" borderId="21" xfId="0" applyFont="1" applyFill="1" applyBorder="1"/>
    <xf numFmtId="168" fontId="83" fillId="0" borderId="0" xfId="0" applyNumberFormat="1" applyFont="1"/>
    <xf numFmtId="165" fontId="84" fillId="8" borderId="20" xfId="0" applyNumberFormat="1" applyFont="1" applyFill="1" applyBorder="1"/>
    <xf numFmtId="167" fontId="84" fillId="8" borderId="20" xfId="0" applyNumberFormat="1" applyFont="1" applyFill="1" applyBorder="1"/>
    <xf numFmtId="164" fontId="84" fillId="8" borderId="20" xfId="0" applyNumberFormat="1" applyFont="1" applyFill="1" applyBorder="1"/>
    <xf numFmtId="168" fontId="84" fillId="8" borderId="23" xfId="0" applyNumberFormat="1" applyFont="1" applyFill="1" applyBorder="1"/>
    <xf numFmtId="168" fontId="84" fillId="8" borderId="20" xfId="0" applyNumberFormat="1" applyFont="1" applyFill="1" applyBorder="1"/>
    <xf numFmtId="167" fontId="84" fillId="8" borderId="23" xfId="0" applyNumberFormat="1" applyFont="1" applyFill="1" applyBorder="1"/>
    <xf numFmtId="0" fontId="87" fillId="0" borderId="22" xfId="0" applyFont="1" applyBorder="1" applyAlignment="1">
      <alignment horizontal="center"/>
    </xf>
    <xf numFmtId="0" fontId="82" fillId="9" borderId="0" xfId="0" applyFont="1" applyFill="1" applyAlignment="1">
      <alignment wrapText="1"/>
    </xf>
    <xf numFmtId="0" fontId="82" fillId="9" borderId="0" xfId="0" applyFont="1" applyFill="1" applyAlignment="1">
      <alignment horizontal="center" wrapText="1"/>
    </xf>
    <xf numFmtId="0" fontId="94" fillId="0" borderId="0" xfId="0" applyFont="1"/>
    <xf numFmtId="0" fontId="85" fillId="0" borderId="2" xfId="0" applyFont="1" applyBorder="1"/>
    <xf numFmtId="1" fontId="87" fillId="0" borderId="0" xfId="0" applyNumberFormat="1" applyFont="1" applyAlignment="1">
      <alignment horizontal="center"/>
    </xf>
    <xf numFmtId="0" fontId="83" fillId="0" borderId="0" xfId="0" applyFont="1"/>
    <xf numFmtId="0" fontId="84" fillId="0" borderId="0" xfId="0" applyFont="1"/>
    <xf numFmtId="0" fontId="82" fillId="9" borderId="0" xfId="0" applyFont="1" applyFill="1"/>
    <xf numFmtId="0" fontId="82" fillId="9" borderId="0" xfId="0" applyFont="1" applyFill="1" applyAlignment="1">
      <alignment horizontal="center"/>
    </xf>
    <xf numFmtId="165" fontId="87" fillId="0" borderId="0" xfId="0" applyNumberFormat="1" applyFont="1" applyAlignment="1">
      <alignment horizontal="center"/>
    </xf>
    <xf numFmtId="165" fontId="83" fillId="0" borderId="0" xfId="0" applyNumberFormat="1" applyFont="1" applyAlignment="1">
      <alignment horizontal="center"/>
    </xf>
    <xf numFmtId="14" fontId="85" fillId="0" borderId="0" xfId="0" applyNumberFormat="1" applyFont="1"/>
    <xf numFmtId="0" fontId="89" fillId="0" borderId="3" xfId="0" applyFont="1" applyBorder="1"/>
    <xf numFmtId="0" fontId="85" fillId="0" borderId="3" xfId="0" applyFont="1" applyBorder="1"/>
    <xf numFmtId="165" fontId="87" fillId="0" borderId="5" xfId="0" applyNumberFormat="1" applyFont="1" applyBorder="1" applyAlignment="1">
      <alignment horizontal="center"/>
    </xf>
    <xf numFmtId="0" fontId="95" fillId="9" borderId="0" xfId="0" applyFont="1" applyFill="1"/>
    <xf numFmtId="0" fontId="95" fillId="9" borderId="0" xfId="0" applyFont="1" applyFill="1" applyAlignment="1">
      <alignment horizontal="center" wrapText="1"/>
    </xf>
    <xf numFmtId="0" fontId="95" fillId="0" borderId="0" xfId="0" applyFont="1" applyAlignment="1">
      <alignment horizontal="center" wrapText="1"/>
    </xf>
    <xf numFmtId="17" fontId="82" fillId="6" borderId="0" xfId="1" applyNumberFormat="1" applyFont="1" applyFill="1" applyAlignment="1">
      <alignment horizontal="center"/>
    </xf>
    <xf numFmtId="17" fontId="82" fillId="0" borderId="0" xfId="1" applyNumberFormat="1" applyFont="1" applyAlignment="1">
      <alignment horizontal="center" vertical="center"/>
    </xf>
    <xf numFmtId="0" fontId="86" fillId="7" borderId="0" xfId="1" applyFont="1" applyFill="1"/>
    <xf numFmtId="0" fontId="85" fillId="7" borderId="0" xfId="1" applyFont="1" applyFill="1"/>
    <xf numFmtId="0" fontId="85" fillId="0" borderId="0" xfId="1" applyFont="1"/>
    <xf numFmtId="165" fontId="85" fillId="0" borderId="0" xfId="0" applyNumberFormat="1" applyFont="1"/>
    <xf numFmtId="0" fontId="85" fillId="0" borderId="0" xfId="0" applyFont="1" applyAlignment="1">
      <alignment horizontal="left" indent="1"/>
    </xf>
    <xf numFmtId="165" fontId="96" fillId="0" borderId="0" xfId="0" applyNumberFormat="1" applyFont="1"/>
    <xf numFmtId="9" fontId="85" fillId="0" borderId="0" xfId="2" applyFont="1"/>
    <xf numFmtId="0" fontId="86" fillId="8" borderId="6" xfId="0" applyFont="1" applyFill="1" applyBorder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98" fillId="8" borderId="8" xfId="0" applyFont="1" applyFill="1" applyBorder="1"/>
    <xf numFmtId="0" fontId="86" fillId="0" borderId="0" xfId="0" applyFont="1"/>
    <xf numFmtId="165" fontId="97" fillId="0" borderId="0" xfId="0" applyNumberFormat="1" applyFont="1"/>
    <xf numFmtId="0" fontId="97" fillId="0" borderId="0" xfId="0" applyFont="1"/>
    <xf numFmtId="165" fontId="99" fillId="8" borderId="7" xfId="0" applyNumberFormat="1" applyFont="1" applyFill="1" applyBorder="1"/>
    <xf numFmtId="165" fontId="99" fillId="8" borderId="8" xfId="0" applyNumberFormat="1" applyFont="1" applyFill="1" applyBorder="1"/>
    <xf numFmtId="165" fontId="99" fillId="8" borderId="5" xfId="0" applyNumberFormat="1" applyFont="1" applyFill="1" applyBorder="1"/>
    <xf numFmtId="165" fontId="99" fillId="8" borderId="6" xfId="0" applyNumberFormat="1" applyFont="1" applyFill="1" applyBorder="1"/>
    <xf numFmtId="0" fontId="86" fillId="8" borderId="10" xfId="0" applyFont="1" applyFill="1" applyBorder="1"/>
    <xf numFmtId="168" fontId="99" fillId="8" borderId="2" xfId="2" applyNumberFormat="1" applyFont="1" applyFill="1" applyBorder="1"/>
    <xf numFmtId="168" fontId="99" fillId="8" borderId="11" xfId="2" applyNumberFormat="1" applyFont="1" applyFill="1" applyBorder="1"/>
    <xf numFmtId="168" fontId="85" fillId="0" borderId="0" xfId="0" applyNumberFormat="1" applyFont="1"/>
    <xf numFmtId="168" fontId="99" fillId="8" borderId="17" xfId="2" applyNumberFormat="1" applyFont="1" applyFill="1" applyBorder="1"/>
    <xf numFmtId="168" fontId="99" fillId="8" borderId="10" xfId="2" applyNumberFormat="1" applyFont="1" applyFill="1" applyBorder="1"/>
    <xf numFmtId="0" fontId="86" fillId="8" borderId="12" xfId="0" applyFont="1" applyFill="1" applyBorder="1"/>
    <xf numFmtId="168" fontId="99" fillId="8" borderId="3" xfId="2" applyNumberFormat="1" applyFont="1" applyFill="1" applyBorder="1"/>
    <xf numFmtId="168" fontId="99" fillId="8" borderId="13" xfId="2" applyNumberFormat="1" applyFont="1" applyFill="1" applyBorder="1"/>
    <xf numFmtId="168" fontId="99" fillId="8" borderId="18" xfId="2" applyNumberFormat="1" applyFont="1" applyFill="1" applyBorder="1"/>
    <xf numFmtId="168" fontId="99" fillId="8" borderId="12" xfId="2" applyNumberFormat="1" applyFont="1" applyFill="1" applyBorder="1"/>
    <xf numFmtId="0" fontId="100" fillId="7" borderId="0" xfId="1" applyFont="1" applyFill="1"/>
    <xf numFmtId="165" fontId="96" fillId="0" borderId="0" xfId="1" applyNumberFormat="1" applyFont="1"/>
    <xf numFmtId="0" fontId="86" fillId="0" borderId="0" xfId="1" applyFont="1"/>
    <xf numFmtId="0" fontId="98" fillId="0" borderId="0" xfId="0" applyFont="1"/>
    <xf numFmtId="165" fontId="99" fillId="8" borderId="2" xfId="0" applyNumberFormat="1" applyFont="1" applyFill="1" applyBorder="1"/>
    <xf numFmtId="165" fontId="99" fillId="8" borderId="11" xfId="0" applyNumberFormat="1" applyFont="1" applyFill="1" applyBorder="1"/>
    <xf numFmtId="165" fontId="99" fillId="8" borderId="17" xfId="0" applyNumberFormat="1" applyFont="1" applyFill="1" applyBorder="1"/>
    <xf numFmtId="165" fontId="99" fillId="8" borderId="10" xfId="0" applyNumberFormat="1" applyFont="1" applyFill="1" applyBorder="1"/>
    <xf numFmtId="165" fontId="99" fillId="8" borderId="3" xfId="0" applyNumberFormat="1" applyFont="1" applyFill="1" applyBorder="1"/>
    <xf numFmtId="165" fontId="99" fillId="8" borderId="13" xfId="0" applyNumberFormat="1" applyFont="1" applyFill="1" applyBorder="1"/>
    <xf numFmtId="165" fontId="99" fillId="8" borderId="18" xfId="0" applyNumberFormat="1" applyFont="1" applyFill="1" applyBorder="1"/>
    <xf numFmtId="165" fontId="99" fillId="8" borderId="12" xfId="0" applyNumberFormat="1" applyFont="1" applyFill="1" applyBorder="1"/>
    <xf numFmtId="165" fontId="92" fillId="0" borderId="0" xfId="1" applyNumberFormat="1" applyFont="1"/>
    <xf numFmtId="165" fontId="97" fillId="8" borderId="10" xfId="0" applyNumberFormat="1" applyFont="1" applyFill="1" applyBorder="1"/>
    <xf numFmtId="165" fontId="97" fillId="8" borderId="2" xfId="0" applyNumberFormat="1" applyFont="1" applyFill="1" applyBorder="1"/>
    <xf numFmtId="0" fontId="98" fillId="8" borderId="11" xfId="0" applyFont="1" applyFill="1" applyBorder="1"/>
    <xf numFmtId="165" fontId="97" fillId="0" borderId="12" xfId="0" applyNumberFormat="1" applyFont="1" applyBorder="1"/>
    <xf numFmtId="165" fontId="97" fillId="0" borderId="3" xfId="0" applyNumberFormat="1" applyFont="1" applyBorder="1"/>
    <xf numFmtId="0" fontId="98" fillId="0" borderId="13" xfId="0" applyFont="1" applyBorder="1"/>
    <xf numFmtId="0" fontId="85" fillId="9" borderId="0" xfId="0" applyFont="1" applyFill="1"/>
    <xf numFmtId="0" fontId="101" fillId="0" borderId="0" xfId="0" applyFont="1"/>
    <xf numFmtId="0" fontId="81" fillId="0" borderId="3" xfId="0" applyFont="1" applyBorder="1"/>
    <xf numFmtId="0" fontId="83" fillId="0" borderId="3" xfId="0" applyFont="1" applyBorder="1"/>
    <xf numFmtId="0" fontId="84" fillId="8" borderId="6" xfId="0" applyFont="1" applyFill="1" applyBorder="1"/>
    <xf numFmtId="0" fontId="84" fillId="8" borderId="0" xfId="0" applyFont="1" applyFill="1"/>
    <xf numFmtId="0" fontId="84" fillId="8" borderId="3" xfId="0" applyFont="1" applyFill="1" applyBorder="1"/>
    <xf numFmtId="0" fontId="84" fillId="0" borderId="2" xfId="0" applyFont="1" applyBorder="1"/>
    <xf numFmtId="167" fontId="84" fillId="8" borderId="7" xfId="0" applyNumberFormat="1" applyFont="1" applyFill="1" applyBorder="1"/>
    <xf numFmtId="167" fontId="84" fillId="0" borderId="2" xfId="0" applyNumberFormat="1" applyFont="1" applyBorder="1"/>
    <xf numFmtId="167" fontId="84" fillId="8" borderId="8" xfId="0" applyNumberFormat="1" applyFont="1" applyFill="1" applyBorder="1"/>
    <xf numFmtId="169" fontId="83" fillId="0" borderId="0" xfId="0" applyNumberFormat="1" applyFont="1"/>
    <xf numFmtId="169" fontId="87" fillId="0" borderId="0" xfId="0" applyNumberFormat="1" applyFont="1"/>
    <xf numFmtId="169" fontId="92" fillId="0" borderId="0" xfId="0" applyNumberFormat="1" applyFont="1"/>
    <xf numFmtId="0" fontId="97" fillId="8" borderId="19" xfId="0" applyFont="1" applyFill="1" applyBorder="1"/>
    <xf numFmtId="0" fontId="97" fillId="8" borderId="12" xfId="0" applyFont="1" applyFill="1" applyBorder="1"/>
    <xf numFmtId="168" fontId="87" fillId="0" borderId="0" xfId="0" applyNumberFormat="1" applyFont="1" applyAlignment="1">
      <alignment horizontal="center"/>
    </xf>
    <xf numFmtId="0" fontId="87" fillId="0" borderId="5" xfId="0" applyFont="1" applyBorder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2" fillId="9" borderId="0" xfId="0" applyFont="1" applyFill="1" applyAlignment="1">
      <alignment wrapText="1"/>
    </xf>
    <xf numFmtId="0" fontId="49" fillId="0" borderId="2" xfId="0" applyFont="1" applyBorder="1"/>
    <xf numFmtId="0" fontId="49" fillId="8" borderId="6" xfId="0" applyFont="1" applyFill="1" applyBorder="1"/>
    <xf numFmtId="181" fontId="87" fillId="0" borderId="0" xfId="0" applyNumberFormat="1" applyFont="1" applyAlignment="1">
      <alignment horizontal="right"/>
    </xf>
    <xf numFmtId="0" fontId="49" fillId="0" borderId="0" xfId="0" applyFont="1"/>
    <xf numFmtId="167" fontId="84" fillId="0" borderId="0" xfId="0" applyNumberFormat="1" applyFont="1"/>
    <xf numFmtId="0" fontId="48" fillId="0" borderId="0" xfId="0" applyFont="1"/>
    <xf numFmtId="167" fontId="48" fillId="0" borderId="0" xfId="0" applyNumberFormat="1" applyFont="1"/>
    <xf numFmtId="168" fontId="42" fillId="0" borderId="0" xfId="0" applyNumberFormat="1" applyFont="1"/>
    <xf numFmtId="167" fontId="42" fillId="0" borderId="0" xfId="0" applyNumberFormat="1" applyFont="1" applyAlignment="1">
      <alignment horizontal="right"/>
    </xf>
    <xf numFmtId="165" fontId="42" fillId="0" borderId="0" xfId="0" applyNumberFormat="1" applyFont="1" applyAlignment="1">
      <alignment horizontal="right"/>
    </xf>
    <xf numFmtId="169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182" fontId="48" fillId="0" borderId="0" xfId="0" applyNumberFormat="1" applyFont="1"/>
    <xf numFmtId="182" fontId="42" fillId="0" borderId="0" xfId="0" applyNumberFormat="1" applyFont="1" applyAlignment="1">
      <alignment horizontal="right"/>
    </xf>
    <xf numFmtId="167" fontId="49" fillId="0" borderId="2" xfId="0" applyNumberFormat="1" applyFont="1" applyBorder="1"/>
    <xf numFmtId="167" fontId="49" fillId="8" borderId="7" xfId="0" applyNumberFormat="1" applyFont="1" applyFill="1" applyBorder="1"/>
    <xf numFmtId="0" fontId="51" fillId="0" borderId="0" xfId="0" applyFont="1"/>
    <xf numFmtId="165" fontId="84" fillId="8" borderId="0" xfId="0" applyNumberFormat="1" applyFont="1" applyFill="1"/>
    <xf numFmtId="165" fontId="84" fillId="8" borderId="15" xfId="0" applyNumberFormat="1" applyFont="1" applyFill="1" applyBorder="1"/>
    <xf numFmtId="165" fontId="84" fillId="8" borderId="3" xfId="0" applyNumberFormat="1" applyFont="1" applyFill="1" applyBorder="1"/>
    <xf numFmtId="165" fontId="84" fillId="8" borderId="13" xfId="0" applyNumberFormat="1" applyFont="1" applyFill="1" applyBorder="1"/>
    <xf numFmtId="0" fontId="36" fillId="9" borderId="0" xfId="0" applyFont="1" applyFill="1" applyAlignment="1">
      <alignment horizontal="left"/>
    </xf>
    <xf numFmtId="0" fontId="48" fillId="0" borderId="0" xfId="0" applyFont="1" applyAlignment="1">
      <alignment horizontal="left" indent="1"/>
    </xf>
    <xf numFmtId="0" fontId="83" fillId="0" borderId="0" xfId="0" applyFont="1" applyAlignment="1">
      <alignment horizontal="left" indent="1"/>
    </xf>
    <xf numFmtId="167" fontId="75" fillId="8" borderId="8" xfId="0" applyNumberFormat="1" applyFont="1" applyFill="1" applyBorder="1"/>
    <xf numFmtId="0" fontId="42" fillId="0" borderId="0" xfId="0" applyFont="1"/>
    <xf numFmtId="165" fontId="49" fillId="8" borderId="12" xfId="0" applyNumberFormat="1" applyFont="1" applyFill="1" applyBorder="1"/>
    <xf numFmtId="165" fontId="49" fillId="8" borderId="3" xfId="0" applyNumberFormat="1" applyFont="1" applyFill="1" applyBorder="1"/>
    <xf numFmtId="168" fontId="49" fillId="8" borderId="3" xfId="0" applyNumberFormat="1" applyFont="1" applyFill="1" applyBorder="1"/>
    <xf numFmtId="168" fontId="49" fillId="8" borderId="13" xfId="0" applyNumberFormat="1" applyFont="1" applyFill="1" applyBorder="1"/>
    <xf numFmtId="0" fontId="102" fillId="0" borderId="0" xfId="0" applyFont="1"/>
    <xf numFmtId="0" fontId="51" fillId="0" borderId="3" xfId="0" applyFont="1" applyBorder="1"/>
    <xf numFmtId="0" fontId="48" fillId="0" borderId="3" xfId="0" applyFont="1" applyBorder="1"/>
    <xf numFmtId="0" fontId="49" fillId="14" borderId="0" xfId="0" applyFont="1" applyFill="1"/>
    <xf numFmtId="168" fontId="41" fillId="0" borderId="0" xfId="0" applyNumberFormat="1" applyFont="1"/>
    <xf numFmtId="0" fontId="48" fillId="0" borderId="0" xfId="0" applyFont="1" applyAlignment="1">
      <alignment horizontal="right"/>
    </xf>
    <xf numFmtId="165" fontId="49" fillId="0" borderId="2" xfId="0" applyNumberFormat="1" applyFont="1" applyBorder="1"/>
    <xf numFmtId="0" fontId="49" fillId="0" borderId="7" xfId="0" applyFont="1" applyBorder="1"/>
    <xf numFmtId="165" fontId="49" fillId="0" borderId="7" xfId="0" applyNumberFormat="1" applyFont="1" applyBorder="1"/>
    <xf numFmtId="165" fontId="40" fillId="0" borderId="0" xfId="0" applyNumberFormat="1" applyFont="1" applyAlignment="1">
      <alignment horizontal="right"/>
    </xf>
    <xf numFmtId="0" fontId="49" fillId="8" borderId="10" xfId="0" applyFont="1" applyFill="1" applyBorder="1"/>
    <xf numFmtId="0" fontId="97" fillId="8" borderId="24" xfId="0" applyFont="1" applyFill="1" applyBorder="1"/>
    <xf numFmtId="0" fontId="84" fillId="8" borderId="9" xfId="0" applyFont="1" applyFill="1" applyBorder="1"/>
    <xf numFmtId="167" fontId="84" fillId="8" borderId="9" xfId="0" applyNumberFormat="1" applyFont="1" applyFill="1" applyBorder="1"/>
    <xf numFmtId="167" fontId="84" fillId="8" borderId="25" xfId="0" applyNumberFormat="1" applyFont="1" applyFill="1" applyBorder="1"/>
    <xf numFmtId="177" fontId="41" fillId="0" borderId="0" xfId="0" applyNumberFormat="1" applyFont="1"/>
    <xf numFmtId="171" fontId="40" fillId="0" borderId="0" xfId="0" applyNumberFormat="1" applyFont="1"/>
    <xf numFmtId="0" fontId="4" fillId="0" borderId="0" xfId="0" applyFont="1"/>
    <xf numFmtId="177" fontId="42" fillId="0" borderId="0" xfId="0" applyNumberFormat="1" applyFont="1"/>
    <xf numFmtId="165" fontId="38" fillId="8" borderId="11" xfId="0" applyNumberFormat="1" applyFont="1" applyFill="1" applyBorder="1"/>
    <xf numFmtId="0" fontId="49" fillId="8" borderId="12" xfId="0" applyFont="1" applyFill="1" applyBorder="1"/>
    <xf numFmtId="0" fontId="49" fillId="8" borderId="19" xfId="0" applyFont="1" applyFill="1" applyBorder="1"/>
    <xf numFmtId="165" fontId="33" fillId="8" borderId="15" xfId="0" applyNumberFormat="1" applyFont="1" applyFill="1" applyBorder="1"/>
    <xf numFmtId="167" fontId="38" fillId="8" borderId="13" xfId="0" applyNumberFormat="1" applyFont="1" applyFill="1" applyBorder="1"/>
    <xf numFmtId="167" fontId="33" fillId="8" borderId="15" xfId="0" applyNumberFormat="1" applyFont="1" applyFill="1" applyBorder="1"/>
    <xf numFmtId="0" fontId="51" fillId="8" borderId="12" xfId="0" applyFont="1" applyFill="1" applyBorder="1"/>
    <xf numFmtId="165" fontId="31" fillId="8" borderId="13" xfId="0" applyNumberFormat="1" applyFont="1" applyFill="1" applyBorder="1"/>
    <xf numFmtId="165" fontId="33" fillId="8" borderId="11" xfId="0" applyNumberFormat="1" applyFont="1" applyFill="1" applyBorder="1"/>
    <xf numFmtId="167" fontId="49" fillId="8" borderId="8" xfId="0" applyNumberFormat="1" applyFont="1" applyFill="1" applyBorder="1"/>
    <xf numFmtId="165" fontId="49" fillId="18" borderId="2" xfId="0" applyNumberFormat="1" applyFont="1" applyFill="1" applyBorder="1" applyAlignment="1">
      <alignment horizontal="right"/>
    </xf>
    <xf numFmtId="167" fontId="49" fillId="8" borderId="11" xfId="0" applyNumberFormat="1" applyFont="1" applyFill="1" applyBorder="1"/>
    <xf numFmtId="165" fontId="49" fillId="18" borderId="0" xfId="0" applyNumberFormat="1" applyFont="1" applyFill="1" applyAlignment="1">
      <alignment horizontal="right"/>
    </xf>
    <xf numFmtId="180" fontId="48" fillId="0" borderId="0" xfId="0" applyNumberFormat="1" applyFont="1"/>
    <xf numFmtId="0" fontId="38" fillId="0" borderId="2" xfId="0" applyFont="1" applyBorder="1" applyAlignment="1">
      <alignment horizontal="left"/>
    </xf>
    <xf numFmtId="171" fontId="49" fillId="8" borderId="8" xfId="0" applyNumberFormat="1" applyFont="1" applyFill="1" applyBorder="1"/>
    <xf numFmtId="168" fontId="49" fillId="8" borderId="15" xfId="0" applyNumberFormat="1" applyFont="1" applyFill="1" applyBorder="1"/>
    <xf numFmtId="165" fontId="49" fillId="18" borderId="3" xfId="0" applyNumberFormat="1" applyFont="1" applyFill="1" applyBorder="1" applyAlignment="1">
      <alignment horizontal="right"/>
    </xf>
    <xf numFmtId="165" fontId="40" fillId="0" borderId="22" xfId="0" applyNumberFormat="1" applyFont="1" applyBorder="1" applyAlignment="1">
      <alignment horizontal="center"/>
    </xf>
    <xf numFmtId="0" fontId="32" fillId="9" borderId="0" xfId="0" applyFont="1" applyFill="1" applyAlignment="1">
      <alignment horizontal="right"/>
    </xf>
    <xf numFmtId="181" fontId="41" fillId="0" borderId="0" xfId="0" applyNumberFormat="1" applyFont="1"/>
    <xf numFmtId="167" fontId="48" fillId="0" borderId="0" xfId="0" applyNumberFormat="1" applyFont="1" applyAlignment="1">
      <alignment horizontal="right"/>
    </xf>
    <xf numFmtId="171" fontId="48" fillId="0" borderId="0" xfId="0" applyNumberFormat="1" applyFont="1"/>
    <xf numFmtId="171" fontId="42" fillId="0" borderId="0" xfId="0" applyNumberFormat="1" applyFont="1"/>
    <xf numFmtId="177" fontId="48" fillId="0" borderId="0" xfId="0" applyNumberFormat="1" applyFont="1"/>
    <xf numFmtId="168" fontId="48" fillId="18" borderId="0" xfId="0" applyNumberFormat="1" applyFont="1" applyFill="1" applyAlignment="1">
      <alignment horizontal="right"/>
    </xf>
    <xf numFmtId="169" fontId="40" fillId="0" borderId="0" xfId="0" applyNumberFormat="1" applyFont="1"/>
    <xf numFmtId="0" fontId="3" fillId="0" borderId="0" xfId="0" applyFont="1"/>
    <xf numFmtId="165" fontId="49" fillId="8" borderId="11" xfId="0" applyNumberFormat="1" applyFont="1" applyFill="1" applyBorder="1"/>
    <xf numFmtId="0" fontId="3" fillId="0" borderId="0" xfId="0" applyFont="1" applyAlignment="1">
      <alignment horizontal="left" indent="1"/>
    </xf>
    <xf numFmtId="171" fontId="49" fillId="0" borderId="0" xfId="0" applyNumberFormat="1" applyFont="1"/>
    <xf numFmtId="168" fontId="48" fillId="0" borderId="0" xfId="0" applyNumberFormat="1" applyFont="1"/>
    <xf numFmtId="0" fontId="32" fillId="9" borderId="0" xfId="0" applyFont="1" applyFill="1" applyAlignment="1">
      <alignment horizontal="right" wrapText="1"/>
    </xf>
    <xf numFmtId="168" fontId="40" fillId="0" borderId="0" xfId="0" applyNumberFormat="1" applyFont="1"/>
    <xf numFmtId="0" fontId="49" fillId="8" borderId="7" xfId="0" applyFont="1" applyFill="1" applyBorder="1"/>
    <xf numFmtId="167" fontId="85" fillId="0" borderId="0" xfId="0" applyNumberFormat="1" applyFont="1"/>
    <xf numFmtId="183" fontId="85" fillId="0" borderId="0" xfId="0" applyNumberFormat="1" applyFont="1"/>
    <xf numFmtId="0" fontId="82" fillId="9" borderId="0" xfId="0" applyFont="1" applyFill="1" applyAlignment="1">
      <alignment horizontal="right"/>
    </xf>
    <xf numFmtId="0" fontId="84" fillId="8" borderId="7" xfId="0" applyFont="1" applyFill="1" applyBorder="1"/>
    <xf numFmtId="0" fontId="84" fillId="8" borderId="10" xfId="0" applyFont="1" applyFill="1" applyBorder="1"/>
    <xf numFmtId="167" fontId="84" fillId="8" borderId="11" xfId="0" applyNumberFormat="1" applyFont="1" applyFill="1" applyBorder="1"/>
    <xf numFmtId="0" fontId="104" fillId="8" borderId="19" xfId="0" applyFont="1" applyFill="1" applyBorder="1"/>
    <xf numFmtId="168" fontId="104" fillId="8" borderId="15" xfId="0" applyNumberFormat="1" applyFont="1" applyFill="1" applyBorder="1"/>
    <xf numFmtId="0" fontId="86" fillId="0" borderId="2" xfId="0" applyFont="1" applyBorder="1"/>
    <xf numFmtId="167" fontId="86" fillId="0" borderId="2" xfId="0" applyNumberFormat="1" applyFont="1" applyBorder="1"/>
    <xf numFmtId="167" fontId="84" fillId="8" borderId="2" xfId="0" applyNumberFormat="1" applyFont="1" applyFill="1" applyBorder="1" applyAlignment="1">
      <alignment horizontal="right"/>
    </xf>
    <xf numFmtId="169" fontId="85" fillId="0" borderId="0" xfId="0" applyNumberFormat="1" applyFont="1"/>
    <xf numFmtId="165" fontId="86" fillId="0" borderId="2" xfId="0" applyNumberFormat="1" applyFont="1" applyBorder="1"/>
    <xf numFmtId="168" fontId="87" fillId="0" borderId="0" xfId="0" applyNumberFormat="1" applyFont="1"/>
    <xf numFmtId="167" fontId="96" fillId="0" borderId="0" xfId="0" applyNumberFormat="1" applyFont="1"/>
    <xf numFmtId="168" fontId="92" fillId="0" borderId="0" xfId="0" applyNumberFormat="1" applyFont="1"/>
    <xf numFmtId="183" fontId="92" fillId="0" borderId="0" xfId="0" applyNumberFormat="1" applyFont="1"/>
    <xf numFmtId="168" fontId="40" fillId="0" borderId="0" xfId="0" applyNumberFormat="1" applyFont="1" applyAlignment="1">
      <alignment horizontal="right"/>
    </xf>
    <xf numFmtId="0" fontId="104" fillId="0" borderId="0" xfId="0" applyFont="1"/>
    <xf numFmtId="169" fontId="84" fillId="8" borderId="0" xfId="0" applyNumberFormat="1" applyFont="1" applyFill="1" applyAlignment="1">
      <alignment horizontal="right"/>
    </xf>
    <xf numFmtId="0" fontId="84" fillId="8" borderId="19" xfId="0" applyFont="1" applyFill="1" applyBorder="1"/>
    <xf numFmtId="183" fontId="97" fillId="8" borderId="15" xfId="0" applyNumberFormat="1" applyFont="1" applyFill="1" applyBorder="1"/>
    <xf numFmtId="0" fontId="84" fillId="8" borderId="12" xfId="0" applyFont="1" applyFill="1" applyBorder="1"/>
    <xf numFmtId="169" fontId="84" fillId="8" borderId="3" xfId="0" applyNumberFormat="1" applyFont="1" applyFill="1" applyBorder="1" applyAlignment="1">
      <alignment horizontal="right"/>
    </xf>
    <xf numFmtId="169" fontId="84" fillId="8" borderId="13" xfId="0" applyNumberFormat="1" applyFont="1" applyFill="1" applyBorder="1"/>
    <xf numFmtId="171" fontId="83" fillId="0" borderId="0" xfId="0" applyNumberFormat="1" applyFont="1"/>
    <xf numFmtId="171" fontId="87" fillId="0" borderId="0" xfId="0" applyNumberFormat="1" applyFont="1"/>
    <xf numFmtId="184" fontId="83" fillId="0" borderId="0" xfId="0" applyNumberFormat="1" applyFont="1"/>
    <xf numFmtId="185" fontId="83" fillId="0" borderId="0" xfId="0" applyNumberFormat="1" applyFont="1"/>
    <xf numFmtId="185" fontId="87" fillId="0" borderId="0" xfId="0" applyNumberFormat="1" applyFont="1"/>
    <xf numFmtId="0" fontId="84" fillId="0" borderId="2" xfId="0" applyFont="1" applyBorder="1" applyAlignment="1">
      <alignment horizontal="left"/>
    </xf>
    <xf numFmtId="171" fontId="84" fillId="8" borderId="8" xfId="0" applyNumberFormat="1" applyFont="1" applyFill="1" applyBorder="1"/>
    <xf numFmtId="167" fontId="81" fillId="0" borderId="0" xfId="0" applyNumberFormat="1" applyFont="1"/>
    <xf numFmtId="1" fontId="83" fillId="0" borderId="0" xfId="0" applyNumberFormat="1" applyFont="1"/>
    <xf numFmtId="1" fontId="87" fillId="0" borderId="0" xfId="0" applyNumberFormat="1" applyFont="1"/>
    <xf numFmtId="169" fontId="84" fillId="0" borderId="0" xfId="0" applyNumberFormat="1" applyFont="1"/>
    <xf numFmtId="171" fontId="84" fillId="8" borderId="15" xfId="0" applyNumberFormat="1" applyFont="1" applyFill="1" applyBorder="1"/>
    <xf numFmtId="0" fontId="83" fillId="0" borderId="2" xfId="0" applyFont="1" applyBorder="1"/>
    <xf numFmtId="168" fontId="52" fillId="0" borderId="2" xfId="0" applyNumberFormat="1" applyFont="1" applyBorder="1"/>
    <xf numFmtId="169" fontId="97" fillId="8" borderId="15" xfId="0" applyNumberFormat="1" applyFont="1" applyFill="1" applyBorder="1"/>
    <xf numFmtId="169" fontId="49" fillId="8" borderId="15" xfId="0" applyNumberFormat="1" applyFont="1" applyFill="1" applyBorder="1"/>
    <xf numFmtId="165" fontId="83" fillId="0" borderId="2" xfId="0" applyNumberFormat="1" applyFont="1" applyBorder="1"/>
    <xf numFmtId="0" fontId="48" fillId="8" borderId="12" xfId="0" applyFont="1" applyFill="1" applyBorder="1"/>
    <xf numFmtId="165" fontId="34" fillId="8" borderId="13" xfId="0" applyNumberFormat="1" applyFont="1" applyFill="1" applyBorder="1"/>
    <xf numFmtId="0" fontId="48" fillId="0" borderId="2" xfId="0" applyFont="1" applyBorder="1"/>
    <xf numFmtId="165" fontId="48" fillId="0" borderId="2" xfId="0" applyNumberFormat="1" applyFont="1" applyBorder="1"/>
    <xf numFmtId="0" fontId="48" fillId="8" borderId="19" xfId="0" applyFont="1" applyFill="1" applyBorder="1"/>
    <xf numFmtId="168" fontId="48" fillId="8" borderId="15" xfId="0" applyNumberFormat="1" applyFont="1" applyFill="1" applyBorder="1"/>
    <xf numFmtId="169" fontId="49" fillId="8" borderId="0" xfId="0" applyNumberFormat="1" applyFont="1" applyFill="1" applyAlignment="1">
      <alignment horizontal="right"/>
    </xf>
    <xf numFmtId="183" fontId="103" fillId="8" borderId="15" xfId="0" applyNumberFormat="1" applyFont="1" applyFill="1" applyBorder="1"/>
    <xf numFmtId="169" fontId="103" fillId="8" borderId="15" xfId="0" applyNumberFormat="1" applyFont="1" applyFill="1" applyBorder="1"/>
    <xf numFmtId="171" fontId="49" fillId="8" borderId="15" xfId="0" applyNumberFormat="1" applyFont="1" applyFill="1" applyBorder="1"/>
    <xf numFmtId="169" fontId="49" fillId="8" borderId="13" xfId="0" applyNumberFormat="1" applyFont="1" applyFill="1" applyBorder="1"/>
    <xf numFmtId="168" fontId="49" fillId="0" borderId="2" xfId="0" applyNumberFormat="1" applyFont="1" applyBorder="1"/>
    <xf numFmtId="0" fontId="86" fillId="0" borderId="6" xfId="0" applyFont="1" applyBorder="1"/>
    <xf numFmtId="165" fontId="86" fillId="0" borderId="8" xfId="0" applyNumberFormat="1" applyFont="1" applyBorder="1"/>
    <xf numFmtId="168" fontId="31" fillId="8" borderId="13" xfId="0" applyNumberFormat="1" applyFont="1" applyFill="1" applyBorder="1"/>
    <xf numFmtId="165" fontId="48" fillId="0" borderId="0" xfId="0" applyNumberFormat="1" applyFont="1" applyAlignment="1">
      <alignment horizontal="right"/>
    </xf>
    <xf numFmtId="0" fontId="51" fillId="8" borderId="26" xfId="0" applyFont="1" applyFill="1" applyBorder="1"/>
    <xf numFmtId="168" fontId="51" fillId="8" borderId="27" xfId="0" applyNumberFormat="1" applyFont="1" applyFill="1" applyBorder="1" applyAlignment="1">
      <alignment horizontal="right"/>
    </xf>
    <xf numFmtId="168" fontId="51" fillId="0" borderId="0" xfId="0" applyNumberFormat="1" applyFont="1" applyAlignment="1">
      <alignment horizontal="right"/>
    </xf>
    <xf numFmtId="0" fontId="2" fillId="0" borderId="0" xfId="0" applyFont="1"/>
    <xf numFmtId="167" fontId="2" fillId="0" borderId="0" xfId="0" applyNumberFormat="1" applyFont="1"/>
    <xf numFmtId="165" fontId="2" fillId="0" borderId="0" xfId="0" applyNumberFormat="1" applyFont="1"/>
    <xf numFmtId="169" fontId="2" fillId="0" borderId="0" xfId="0" applyNumberFormat="1" applyFont="1"/>
    <xf numFmtId="165" fontId="0" fillId="0" borderId="0" xfId="0" applyNumberFormat="1"/>
    <xf numFmtId="167" fontId="38" fillId="8" borderId="20" xfId="0" applyNumberFormat="1" applyFont="1" applyFill="1" applyBorder="1"/>
    <xf numFmtId="0" fontId="38" fillId="8" borderId="21" xfId="0" applyFont="1" applyFill="1" applyBorder="1"/>
    <xf numFmtId="167" fontId="38" fillId="8" borderId="23" xfId="0" applyNumberFormat="1" applyFont="1" applyFill="1" applyBorder="1"/>
    <xf numFmtId="0" fontId="38" fillId="0" borderId="9" xfId="0" applyFont="1" applyBorder="1"/>
    <xf numFmtId="167" fontId="38" fillId="0" borderId="9" xfId="0" applyNumberFormat="1" applyFont="1" applyBorder="1"/>
    <xf numFmtId="181" fontId="42" fillId="0" borderId="0" xfId="0" applyNumberFormat="1" applyFont="1"/>
    <xf numFmtId="181" fontId="48" fillId="0" borderId="0" xfId="0" applyNumberFormat="1" applyFont="1"/>
    <xf numFmtId="0" fontId="51" fillId="0" borderId="28" xfId="0" applyFont="1" applyBorder="1"/>
    <xf numFmtId="0" fontId="48" fillId="0" borderId="28" xfId="0" applyFont="1" applyBorder="1"/>
    <xf numFmtId="0" fontId="40" fillId="0" borderId="22" xfId="0" applyFont="1" applyBorder="1" applyAlignment="1">
      <alignment horizontal="center"/>
    </xf>
    <xf numFmtId="168" fontId="48" fillId="0" borderId="0" xfId="0" applyNumberFormat="1" applyFont="1" applyAlignment="1">
      <alignment horizontal="right"/>
    </xf>
    <xf numFmtId="183" fontId="48" fillId="0" borderId="0" xfId="0" applyNumberFormat="1" applyFont="1" applyAlignment="1">
      <alignment horizontal="right"/>
    </xf>
    <xf numFmtId="169" fontId="48" fillId="0" borderId="0" xfId="0" applyNumberFormat="1" applyFont="1" applyAlignment="1">
      <alignment horizontal="right"/>
    </xf>
    <xf numFmtId="171" fontId="48" fillId="0" borderId="0" xfId="0" applyNumberFormat="1" applyFont="1" applyAlignment="1">
      <alignment horizontal="right"/>
    </xf>
    <xf numFmtId="165" fontId="41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167" fontId="41" fillId="0" borderId="0" xfId="0" applyNumberFormat="1" applyFont="1" applyAlignment="1">
      <alignment horizontal="right"/>
    </xf>
    <xf numFmtId="183" fontId="41" fillId="0" borderId="0" xfId="0" applyNumberFormat="1" applyFont="1" applyAlignment="1">
      <alignment horizontal="right"/>
    </xf>
    <xf numFmtId="0" fontId="49" fillId="0" borderId="9" xfId="0" applyFont="1" applyBorder="1"/>
    <xf numFmtId="167" fontId="49" fillId="8" borderId="2" xfId="0" applyNumberFormat="1" applyFont="1" applyFill="1" applyBorder="1" applyAlignment="1">
      <alignment horizontal="right"/>
    </xf>
    <xf numFmtId="167" fontId="49" fillId="8" borderId="9" xfId="0" applyNumberFormat="1" applyFont="1" applyFill="1" applyBorder="1" applyAlignment="1">
      <alignment horizontal="right"/>
    </xf>
    <xf numFmtId="167" fontId="49" fillId="8" borderId="20" xfId="0" applyNumberFormat="1" applyFont="1" applyFill="1" applyBorder="1" applyAlignment="1">
      <alignment horizontal="right"/>
    </xf>
    <xf numFmtId="0" fontId="49" fillId="8" borderId="21" xfId="0" applyFont="1" applyFill="1" applyBorder="1"/>
    <xf numFmtId="167" fontId="49" fillId="8" borderId="23" xfId="0" applyNumberFormat="1" applyFont="1" applyFill="1" applyBorder="1" applyAlignment="1">
      <alignment horizontal="right"/>
    </xf>
    <xf numFmtId="169" fontId="41" fillId="0" borderId="0" xfId="0" applyNumberFormat="1" applyFont="1" applyAlignment="1">
      <alignment horizontal="right"/>
    </xf>
    <xf numFmtId="167" fontId="49" fillId="0" borderId="9" xfId="0" applyNumberFormat="1" applyFont="1" applyBorder="1" applyAlignment="1">
      <alignment horizontal="right"/>
    </xf>
    <xf numFmtId="0" fontId="49" fillId="8" borderId="29" xfId="0" applyFont="1" applyFill="1" applyBorder="1"/>
    <xf numFmtId="167" fontId="49" fillId="8" borderId="30" xfId="0" applyNumberFormat="1" applyFont="1" applyFill="1" applyBorder="1" applyAlignment="1">
      <alignment horizontal="right"/>
    </xf>
    <xf numFmtId="0" fontId="105" fillId="8" borderId="26" xfId="0" applyFont="1" applyFill="1" applyBorder="1"/>
    <xf numFmtId="169" fontId="105" fillId="8" borderId="28" xfId="0" applyNumberFormat="1" applyFont="1" applyFill="1" applyBorder="1" applyAlignment="1">
      <alignment horizontal="right"/>
    </xf>
    <xf numFmtId="169" fontId="105" fillId="8" borderId="27" xfId="0" applyNumberFormat="1" applyFont="1" applyFill="1" applyBorder="1" applyAlignment="1">
      <alignment horizontal="right"/>
    </xf>
    <xf numFmtId="171" fontId="41" fillId="0" borderId="0" xfId="0" applyNumberFormat="1" applyFont="1" applyAlignment="1">
      <alignment horizontal="right"/>
    </xf>
    <xf numFmtId="167" fontId="40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183" fontId="40" fillId="0" borderId="0" xfId="0" applyNumberFormat="1" applyFont="1" applyAlignment="1">
      <alignment horizontal="right"/>
    </xf>
    <xf numFmtId="183" fontId="41" fillId="0" borderId="0" xfId="0" applyNumberFormat="1" applyFont="1"/>
    <xf numFmtId="183" fontId="42" fillId="0" borderId="0" xfId="0" applyNumberFormat="1" applyFont="1" applyAlignment="1">
      <alignment horizontal="right"/>
    </xf>
    <xf numFmtId="183" fontId="49" fillId="8" borderId="7" xfId="0" applyNumberFormat="1" applyFont="1" applyFill="1" applyBorder="1" applyAlignment="1">
      <alignment horizontal="right"/>
    </xf>
    <xf numFmtId="183" fontId="49" fillId="8" borderId="8" xfId="0" applyNumberFormat="1" applyFont="1" applyFill="1" applyBorder="1" applyAlignment="1">
      <alignment horizontal="right"/>
    </xf>
    <xf numFmtId="169" fontId="49" fillId="8" borderId="7" xfId="0" applyNumberFormat="1" applyFont="1" applyFill="1" applyBorder="1" applyAlignment="1">
      <alignment horizontal="right"/>
    </xf>
    <xf numFmtId="169" fontId="49" fillId="8" borderId="8" xfId="0" applyNumberFormat="1" applyFont="1" applyFill="1" applyBorder="1" applyAlignment="1">
      <alignment horizontal="right"/>
    </xf>
    <xf numFmtId="0" fontId="48" fillId="8" borderId="10" xfId="0" applyFont="1" applyFill="1" applyBorder="1"/>
    <xf numFmtId="168" fontId="48" fillId="8" borderId="2" xfId="0" applyNumberFormat="1" applyFont="1" applyFill="1" applyBorder="1" applyAlignment="1">
      <alignment horizontal="right"/>
    </xf>
    <xf numFmtId="168" fontId="48" fillId="8" borderId="11" xfId="0" applyNumberFormat="1" applyFont="1" applyFill="1" applyBorder="1" applyAlignment="1">
      <alignment horizontal="right"/>
    </xf>
    <xf numFmtId="0" fontId="48" fillId="8" borderId="19" xfId="0" applyFont="1" applyFill="1" applyBorder="1" applyAlignment="1">
      <alignment horizontal="left"/>
    </xf>
    <xf numFmtId="168" fontId="48" fillId="8" borderId="0" xfId="0" applyNumberFormat="1" applyFont="1" applyFill="1" applyAlignment="1">
      <alignment horizontal="right"/>
    </xf>
    <xf numFmtId="168" fontId="48" fillId="8" borderId="15" xfId="0" applyNumberFormat="1" applyFont="1" applyFill="1" applyBorder="1" applyAlignment="1">
      <alignment horizontal="right"/>
    </xf>
    <xf numFmtId="0" fontId="48" fillId="8" borderId="12" xfId="0" applyFont="1" applyFill="1" applyBorder="1" applyAlignment="1">
      <alignment horizontal="left"/>
    </xf>
    <xf numFmtId="168" fontId="48" fillId="8" borderId="3" xfId="0" applyNumberFormat="1" applyFont="1" applyFill="1" applyBorder="1" applyAlignment="1">
      <alignment horizontal="right"/>
    </xf>
    <xf numFmtId="168" fontId="48" fillId="8" borderId="13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7" fontId="38" fillId="0" borderId="9" xfId="0" applyNumberFormat="1" applyFont="1" applyBorder="1" applyAlignment="1">
      <alignment horizontal="right"/>
    </xf>
    <xf numFmtId="183" fontId="49" fillId="8" borderId="2" xfId="0" applyNumberFormat="1" applyFont="1" applyFill="1" applyBorder="1" applyAlignment="1">
      <alignment horizontal="right"/>
    </xf>
    <xf numFmtId="183" fontId="49" fillId="8" borderId="9" xfId="0" applyNumberFormat="1" applyFont="1" applyFill="1" applyBorder="1" applyAlignment="1">
      <alignment horizontal="right"/>
    </xf>
    <xf numFmtId="0" fontId="38" fillId="8" borderId="29" xfId="0" applyFont="1" applyFill="1" applyBorder="1"/>
    <xf numFmtId="183" fontId="38" fillId="8" borderId="30" xfId="0" applyNumberFormat="1" applyFont="1" applyFill="1" applyBorder="1" applyAlignment="1">
      <alignment horizontal="right"/>
    </xf>
    <xf numFmtId="169" fontId="105" fillId="8" borderId="3" xfId="0" applyNumberFormat="1" applyFont="1" applyFill="1" applyBorder="1" applyAlignment="1">
      <alignment horizontal="right"/>
    </xf>
    <xf numFmtId="0" fontId="52" fillId="8" borderId="26" xfId="0" applyFont="1" applyFill="1" applyBorder="1"/>
    <xf numFmtId="169" fontId="52" fillId="8" borderId="27" xfId="0" applyNumberFormat="1" applyFont="1" applyFill="1" applyBorder="1" applyAlignment="1">
      <alignment horizontal="right"/>
    </xf>
    <xf numFmtId="0" fontId="80" fillId="0" borderId="0" xfId="0" applyFont="1"/>
    <xf numFmtId="167" fontId="103" fillId="0" borderId="9" xfId="0" applyNumberFormat="1" applyFont="1" applyBorder="1" applyAlignment="1">
      <alignment horizontal="right"/>
    </xf>
    <xf numFmtId="167" fontId="38" fillId="0" borderId="0" xfId="0" applyNumberFormat="1" applyFont="1" applyAlignment="1">
      <alignment horizontal="right"/>
    </xf>
    <xf numFmtId="183" fontId="49" fillId="8" borderId="0" xfId="0" applyNumberFormat="1" applyFont="1" applyFill="1" applyAlignment="1">
      <alignment horizontal="right"/>
    </xf>
    <xf numFmtId="0" fontId="38" fillId="8" borderId="19" xfId="0" applyFont="1" applyFill="1" applyBorder="1"/>
    <xf numFmtId="183" fontId="38" fillId="8" borderId="15" xfId="0" applyNumberFormat="1" applyFont="1" applyFill="1" applyBorder="1" applyAlignment="1">
      <alignment horizontal="right"/>
    </xf>
    <xf numFmtId="169" fontId="52" fillId="8" borderId="13" xfId="0" applyNumberFormat="1" applyFont="1" applyFill="1" applyBorder="1" applyAlignment="1">
      <alignment horizontal="right"/>
    </xf>
    <xf numFmtId="167" fontId="38" fillId="8" borderId="11" xfId="0" applyNumberFormat="1" applyFont="1" applyFill="1" applyBorder="1" applyAlignment="1">
      <alignment horizontal="right"/>
    </xf>
    <xf numFmtId="164" fontId="48" fillId="0" borderId="0" xfId="0" applyNumberFormat="1" applyFont="1" applyAlignment="1">
      <alignment horizontal="right"/>
    </xf>
    <xf numFmtId="167" fontId="103" fillId="0" borderId="0" xfId="0" applyNumberFormat="1" applyFont="1" applyAlignment="1">
      <alignment horizontal="right"/>
    </xf>
    <xf numFmtId="177" fontId="48" fillId="0" borderId="0" xfId="0" applyNumberFormat="1" applyFont="1" applyAlignment="1">
      <alignment horizontal="right"/>
    </xf>
    <xf numFmtId="183" fontId="49" fillId="8" borderId="30" xfId="0" applyNumberFormat="1" applyFont="1" applyFill="1" applyBorder="1" applyAlignment="1">
      <alignment horizontal="right"/>
    </xf>
    <xf numFmtId="183" fontId="49" fillId="8" borderId="11" xfId="0" applyNumberFormat="1" applyFont="1" applyFill="1" applyBorder="1" applyAlignment="1">
      <alignment horizontal="right"/>
    </xf>
    <xf numFmtId="0" fontId="105" fillId="8" borderId="12" xfId="0" applyFont="1" applyFill="1" applyBorder="1"/>
    <xf numFmtId="169" fontId="105" fillId="8" borderId="13" xfId="0" applyNumberFormat="1" applyFont="1" applyFill="1" applyBorder="1" applyAlignment="1">
      <alignment horizontal="right"/>
    </xf>
    <xf numFmtId="167" fontId="49" fillId="8" borderId="7" xfId="0" applyNumberFormat="1" applyFont="1" applyFill="1" applyBorder="1" applyAlignment="1">
      <alignment horizontal="right"/>
    </xf>
    <xf numFmtId="167" fontId="38" fillId="8" borderId="8" xfId="0" applyNumberFormat="1" applyFont="1" applyFill="1" applyBorder="1" applyAlignment="1">
      <alignment horizontal="right"/>
    </xf>
    <xf numFmtId="0" fontId="41" fillId="0" borderId="0" xfId="0" applyFont="1"/>
    <xf numFmtId="0" fontId="89" fillId="0" borderId="28" xfId="0" applyFont="1" applyBorder="1"/>
    <xf numFmtId="0" fontId="85" fillId="0" borderId="28" xfId="0" applyFont="1" applyBorder="1"/>
    <xf numFmtId="169" fontId="96" fillId="0" borderId="0" xfId="0" applyNumberFormat="1" applyFont="1"/>
    <xf numFmtId="0" fontId="82" fillId="9" borderId="0" xfId="0" applyFont="1" applyFill="1" applyAlignment="1">
      <alignment horizontal="centerContinuous"/>
    </xf>
    <xf numFmtId="168" fontId="82" fillId="9" borderId="0" xfId="0" applyNumberFormat="1" applyFont="1" applyFill="1" applyAlignment="1">
      <alignment horizontal="center"/>
    </xf>
    <xf numFmtId="168" fontId="91" fillId="0" borderId="0" xfId="0" applyNumberFormat="1" applyFont="1"/>
    <xf numFmtId="10" fontId="91" fillId="0" borderId="0" xfId="0" applyNumberFormat="1" applyFont="1"/>
    <xf numFmtId="165" fontId="85" fillId="0" borderId="28" xfId="0" applyNumberFormat="1" applyFont="1" applyBorder="1"/>
    <xf numFmtId="0" fontId="106" fillId="0" borderId="0" xfId="0" applyFont="1"/>
    <xf numFmtId="0" fontId="84" fillId="8" borderId="21" xfId="0" applyFont="1" applyFill="1" applyBorder="1"/>
    <xf numFmtId="169" fontId="84" fillId="8" borderId="23" xfId="0" applyNumberFormat="1" applyFont="1" applyFill="1" applyBorder="1"/>
    <xf numFmtId="0" fontId="84" fillId="0" borderId="9" xfId="0" applyFont="1" applyBorder="1"/>
    <xf numFmtId="167" fontId="84" fillId="0" borderId="9" xfId="0" applyNumberFormat="1" applyFont="1" applyBorder="1"/>
    <xf numFmtId="169" fontId="84" fillId="0" borderId="9" xfId="0" applyNumberFormat="1" applyFont="1" applyBorder="1"/>
    <xf numFmtId="169" fontId="84" fillId="8" borderId="8" xfId="0" applyNumberFormat="1" applyFont="1" applyFill="1" applyBorder="1"/>
    <xf numFmtId="168" fontId="36" fillId="9" borderId="0" xfId="0" applyNumberFormat="1" applyFont="1" applyFill="1" applyAlignment="1">
      <alignment horizontal="center"/>
    </xf>
    <xf numFmtId="168" fontId="36" fillId="9" borderId="28" xfId="0" applyNumberFormat="1" applyFont="1" applyFill="1" applyBorder="1" applyAlignment="1">
      <alignment horizontal="center"/>
    </xf>
    <xf numFmtId="165" fontId="1" fillId="0" borderId="0" xfId="0" applyNumberFormat="1" applyFont="1"/>
    <xf numFmtId="168" fontId="1" fillId="0" borderId="0" xfId="0" applyNumberFormat="1" applyFont="1"/>
    <xf numFmtId="168" fontId="85" fillId="0" borderId="28" xfId="0" applyNumberFormat="1" applyFont="1" applyBorder="1"/>
    <xf numFmtId="0" fontId="1" fillId="0" borderId="0" xfId="0" applyFont="1"/>
    <xf numFmtId="165" fontId="87" fillId="0" borderId="22" xfId="0" applyNumberFormat="1" applyFont="1" applyBorder="1" applyAlignment="1">
      <alignment horizontal="center"/>
    </xf>
    <xf numFmtId="0" fontId="107" fillId="0" borderId="0" xfId="0" applyFont="1"/>
    <xf numFmtId="1" fontId="40" fillId="0" borderId="0" xfId="0" applyNumberFormat="1" applyFont="1"/>
    <xf numFmtId="1" fontId="80" fillId="0" borderId="0" xfId="0" applyNumberFormat="1" applyFont="1"/>
    <xf numFmtId="169" fontId="1" fillId="0" borderId="0" xfId="0" applyNumberFormat="1" applyFont="1"/>
    <xf numFmtId="169" fontId="85" fillId="0" borderId="28" xfId="0" applyNumberFormat="1" applyFont="1" applyBorder="1"/>
    <xf numFmtId="0" fontId="38" fillId="14" borderId="0" xfId="0" applyFont="1" applyFill="1" applyAlignment="1">
      <alignment horizontal="right"/>
    </xf>
    <xf numFmtId="0" fontId="0" fillId="0" borderId="28" xfId="0" applyBorder="1"/>
    <xf numFmtId="165" fontId="86" fillId="0" borderId="0" xfId="0" applyNumberFormat="1" applyFont="1"/>
    <xf numFmtId="0" fontId="33" fillId="19" borderId="0" xfId="0" applyFont="1" applyFill="1"/>
    <xf numFmtId="0" fontId="36" fillId="20" borderId="0" xfId="0" applyFont="1" applyFill="1"/>
    <xf numFmtId="0" fontId="82" fillId="20" borderId="0" xfId="0" applyFont="1" applyFill="1"/>
    <xf numFmtId="169" fontId="48" fillId="0" borderId="0" xfId="0" applyNumberFormat="1" applyFont="1"/>
    <xf numFmtId="168" fontId="80" fillId="0" borderId="0" xfId="0" applyNumberFormat="1" applyFont="1"/>
    <xf numFmtId="165" fontId="82" fillId="9" borderId="0" xfId="0" applyNumberFormat="1" applyFont="1" applyFill="1" applyAlignment="1">
      <alignment horizontal="center"/>
    </xf>
    <xf numFmtId="169" fontId="80" fillId="0" borderId="0" xfId="0" applyNumberFormat="1" applyFont="1"/>
    <xf numFmtId="165" fontId="36" fillId="9" borderId="0" xfId="0" applyNumberFormat="1" applyFont="1" applyFill="1" applyAlignment="1">
      <alignment horizontal="center"/>
    </xf>
    <xf numFmtId="165" fontId="36" fillId="9" borderId="28" xfId="0" applyNumberFormat="1" applyFont="1" applyFill="1" applyBorder="1" applyAlignment="1">
      <alignment horizontal="center"/>
    </xf>
    <xf numFmtId="0" fontId="107" fillId="0" borderId="0" xfId="0" applyFont="1" applyAlignment="1">
      <alignment wrapText="1"/>
    </xf>
    <xf numFmtId="1" fontId="91" fillId="0" borderId="0" xfId="0" applyNumberFormat="1" applyFont="1"/>
    <xf numFmtId="0" fontId="32" fillId="14" borderId="0" xfId="0" applyFont="1" applyFill="1" applyAlignment="1">
      <alignment wrapText="1"/>
    </xf>
    <xf numFmtId="0" fontId="33" fillId="14" borderId="0" xfId="0" applyFont="1" applyFill="1" applyAlignment="1">
      <alignment horizontal="right" wrapText="1"/>
    </xf>
    <xf numFmtId="0" fontId="49" fillId="8" borderId="21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48" fillId="14" borderId="0" xfId="0" applyFont="1" applyFill="1"/>
    <xf numFmtId="164" fontId="42" fillId="0" borderId="0" xfId="0" applyNumberFormat="1" applyFont="1"/>
    <xf numFmtId="167" fontId="37" fillId="0" borderId="0" xfId="0" applyNumberFormat="1" applyFont="1"/>
    <xf numFmtId="186" fontId="40" fillId="0" borderId="0" xfId="0" applyNumberFormat="1" applyFont="1"/>
    <xf numFmtId="186" fontId="82" fillId="9" borderId="0" xfId="0" applyNumberFormat="1" applyFont="1" applyFill="1" applyAlignment="1">
      <alignment horizontal="center"/>
    </xf>
    <xf numFmtId="186" fontId="80" fillId="0" borderId="0" xfId="0" applyNumberFormat="1" applyFont="1"/>
    <xf numFmtId="186" fontId="42" fillId="0" borderId="0" xfId="0" applyNumberFormat="1" applyFont="1"/>
    <xf numFmtId="1" fontId="91" fillId="0" borderId="0" xfId="0" applyNumberFormat="1" applyFont="1" applyAlignment="1">
      <alignment horizontal="center"/>
    </xf>
    <xf numFmtId="0" fontId="32" fillId="9" borderId="0" xfId="0" applyFont="1" applyFill="1" applyAlignment="1">
      <alignment horizontal="center" vertical="center" wrapText="1"/>
    </xf>
    <xf numFmtId="0" fontId="82" fillId="9" borderId="0" xfId="0" applyFont="1" applyFill="1" applyAlignment="1">
      <alignment horizontal="center" vertical="center" wrapText="1"/>
    </xf>
    <xf numFmtId="0" fontId="82" fillId="9" borderId="28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38" fillId="14" borderId="0" xfId="0" applyFont="1" applyFill="1" applyAlignment="1">
      <alignment horizontal="center"/>
    </xf>
    <xf numFmtId="0" fontId="32" fillId="3" borderId="0" xfId="1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94"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ill>
        <patternFill patternType="solid">
          <fgColor indexed="64"/>
          <bgColor rgb="FF72C487"/>
        </patternFill>
      </fill>
    </dxf>
    <dxf>
      <fill>
        <patternFill patternType="solid">
          <fgColor indexed="64"/>
          <bgColor rgb="FF80CA94"/>
        </patternFill>
      </fill>
    </dxf>
    <dxf>
      <fill>
        <patternFill patternType="solid">
          <fgColor indexed="64"/>
          <bgColor rgb="FF8FD0A0"/>
        </patternFill>
      </fill>
    </dxf>
    <dxf>
      <fill>
        <patternFill patternType="solid">
          <fgColor indexed="64"/>
          <bgColor rgb="FF9DD6AC"/>
        </patternFill>
      </fill>
    </dxf>
    <dxf>
      <fill>
        <patternFill patternType="solid">
          <fgColor indexed="64"/>
          <bgColor rgb="FFACDCB9"/>
        </patternFill>
      </fill>
    </dxf>
    <dxf>
      <fill>
        <patternFill patternType="solid">
          <fgColor indexed="64"/>
          <bgColor rgb="FFBAE2C5"/>
        </patternFill>
      </fill>
    </dxf>
    <dxf>
      <fill>
        <patternFill patternType="solid">
          <fgColor indexed="64"/>
          <bgColor rgb="FFC9E8D1"/>
        </patternFill>
      </fill>
    </dxf>
    <dxf>
      <fill>
        <patternFill patternType="solid">
          <fgColor indexed="64"/>
          <bgColor rgb="FFD7EEDE"/>
        </patternFill>
      </fill>
    </dxf>
    <dxf>
      <fill>
        <patternFill patternType="solid">
          <fgColor indexed="64"/>
          <bgColor rgb="FFE6F4EA"/>
        </patternFill>
      </fill>
    </dxf>
    <dxf>
      <font>
        <color rgb="FF000000"/>
      </font>
    </dxf>
    <dxf>
      <font>
        <color rgb="FFFF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E1E1"/>
      <color rgb="FF7B0000"/>
      <color rgb="FFFFFF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14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823" t="s">
        <v>0</v>
      </c>
      <c r="C24" s="824"/>
      <c r="D24" s="824"/>
      <c r="E24" s="824"/>
      <c r="F24" s="824"/>
      <c r="G24" s="824"/>
      <c r="H24" s="824"/>
      <c r="I24" s="824"/>
      <c r="J24" s="824"/>
      <c r="K24" s="824"/>
      <c r="L24" s="824"/>
      <c r="M24" s="824"/>
      <c r="N24" s="824"/>
      <c r="O24" s="824"/>
      <c r="P24" s="824"/>
      <c r="Q24" s="824"/>
    </row>
    <row r="25" spans="2:17" ht="25.5">
      <c r="B25" s="825" t="s">
        <v>1942</v>
      </c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</row>
    <row r="26" spans="2:17" ht="23.25">
      <c r="B26" s="826" t="str">
        <f ca="1">"As of "&amp;TEXT(TODAY(),"mm/dd/yy")</f>
        <v>As of 09/24/26</v>
      </c>
      <c r="C26" s="824"/>
      <c r="D26" s="824"/>
      <c r="E26" s="824"/>
      <c r="F26" s="824"/>
      <c r="G26" s="824"/>
      <c r="H26" s="824"/>
      <c r="I26" s="824"/>
      <c r="J26" s="824"/>
      <c r="K26" s="824"/>
      <c r="L26" s="824"/>
      <c r="M26" s="824"/>
      <c r="N26" s="824"/>
      <c r="O26" s="824"/>
      <c r="P26" s="824"/>
      <c r="Q26" s="824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zoomScaleNormal="100" zoomScaleSheetLayoutView="100" workbookViewId="0">
      <selection activeCell="G44" sqref="G44"/>
    </sheetView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2322</v>
      </c>
      <c r="C6" s="635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53">
        <f>'Offer Comparison'!$C$9</f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2068</v>
      </c>
      <c r="C32" s="535" t="s">
        <v>2067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2069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2071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78" t="str">
        <f>$B33</f>
        <v>Topkey Grows Half as Fast as Keystone</v>
      </c>
      <c r="C43" s="579"/>
      <c r="D43" s="580">
        <f t="shared" ref="D43:E45" si="2">D38-D$28</f>
        <v>-1768.4643143544508</v>
      </c>
      <c r="E43" s="581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2070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3">
        <f>D48-D49</f>
        <v>5350</v>
      </c>
      <c r="E50" s="573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4" t="s">
        <v>2054</v>
      </c>
      <c r="C53" s="574"/>
      <c r="D53" s="575">
        <f>D51-D52</f>
        <v>135945.74468085106</v>
      </c>
      <c r="E53" s="575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2323</v>
      </c>
      <c r="C58" s="545">
        <f>$C$6</f>
        <v>2998.5410200000001</v>
      </c>
      <c r="D58" s="542" t="s">
        <v>2324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2325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2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2326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93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6233-BF7D-490F-A2FE-AB65339831E6}">
  <sheetPr>
    <pageSetUpPr fitToPage="1"/>
  </sheetPr>
  <dimension ref="A1:Q150"/>
  <sheetViews>
    <sheetView showGridLines="0" view="pageBreakPreview" topLeftCell="A13" zoomScale="115" zoomScaleNormal="100" zoomScaleSheetLayoutView="115" workbookViewId="0">
      <selection activeCell="I39" sqref="I39"/>
    </sheetView>
  </sheetViews>
  <sheetFormatPr defaultRowHeight="15"/>
  <cols>
    <col min="1" max="1" width="1.28515625" customWidth="1"/>
    <col min="2" max="2" width="51.42578125" customWidth="1"/>
    <col min="3" max="3" width="12.28515625" bestFit="1" customWidth="1"/>
    <col min="4" max="4" width="11.7109375" bestFit="1" customWidth="1"/>
    <col min="5" max="5" width="9.140625" bestFit="1" customWidth="1"/>
    <col min="6" max="6" width="2.85546875" customWidth="1"/>
    <col min="7" max="7" width="62.85546875" customWidth="1"/>
    <col min="8" max="9" width="12.42578125" customWidth="1"/>
    <col min="11" max="11" width="21" customWidth="1"/>
    <col min="12" max="17" width="8.5703125" customWidth="1"/>
  </cols>
  <sheetData>
    <row r="1" spans="1:17">
      <c r="A1" s="542"/>
      <c r="B1" s="542"/>
      <c r="C1" s="542"/>
      <c r="D1" s="542"/>
      <c r="E1" s="542"/>
      <c r="F1" s="542"/>
      <c r="G1" s="542"/>
      <c r="H1" s="542"/>
      <c r="I1" s="542"/>
    </row>
    <row r="2" spans="1:17" ht="16.5">
      <c r="A2" s="542"/>
      <c r="B2" s="567" t="str">
        <f>Cover!$B$24</f>
        <v>Keystone Bookkeepers</v>
      </c>
      <c r="C2" s="542"/>
      <c r="D2" s="542"/>
      <c r="E2" s="542"/>
      <c r="F2" s="542"/>
      <c r="G2" s="542"/>
      <c r="H2" s="542"/>
      <c r="I2" s="542"/>
      <c r="J2" s="2"/>
      <c r="K2" s="2"/>
      <c r="L2" s="2"/>
      <c r="M2" s="2"/>
      <c r="N2" s="2"/>
      <c r="O2" s="2"/>
      <c r="P2" s="2"/>
      <c r="Q2" s="2"/>
    </row>
    <row r="3" spans="1:17">
      <c r="A3" s="542"/>
      <c r="B3" s="694" t="s">
        <v>2344</v>
      </c>
      <c r="C3" s="695"/>
      <c r="D3" s="695"/>
      <c r="E3" s="695"/>
      <c r="F3" s="542"/>
      <c r="G3" s="542"/>
      <c r="H3" s="542" t="s">
        <v>276</v>
      </c>
      <c r="I3" s="696">
        <v>1</v>
      </c>
      <c r="J3" s="2"/>
      <c r="K3" s="2"/>
      <c r="L3" s="2"/>
      <c r="M3" s="2"/>
      <c r="N3" s="2"/>
      <c r="O3" s="2"/>
      <c r="P3" s="2"/>
      <c r="Q3" s="2"/>
    </row>
    <row r="4" spans="1:17">
      <c r="A4" s="542"/>
      <c r="B4" s="542"/>
      <c r="C4" s="542"/>
      <c r="D4" s="542"/>
      <c r="E4" s="542"/>
      <c r="F4" s="542"/>
      <c r="G4" s="542"/>
      <c r="H4" s="542"/>
      <c r="I4" s="542"/>
      <c r="J4" s="2"/>
      <c r="K4" s="2"/>
      <c r="L4" s="2"/>
      <c r="M4" s="2"/>
      <c r="N4" s="2"/>
      <c r="O4" s="2"/>
      <c r="P4" s="2"/>
      <c r="Q4" s="2"/>
    </row>
    <row r="5" spans="1:17">
      <c r="A5" s="542"/>
      <c r="B5" s="536" t="s">
        <v>2347</v>
      </c>
      <c r="C5" s="618" t="s">
        <v>2345</v>
      </c>
      <c r="D5" s="618" t="s">
        <v>2346</v>
      </c>
      <c r="E5" s="535" t="s">
        <v>1918</v>
      </c>
      <c r="F5" s="542"/>
      <c r="G5" s="540" t="s">
        <v>1808</v>
      </c>
      <c r="H5" s="542"/>
      <c r="I5" s="542"/>
      <c r="J5" s="2"/>
      <c r="K5" s="2"/>
      <c r="L5" s="2"/>
      <c r="M5" s="2"/>
      <c r="N5" s="2"/>
      <c r="O5" s="2"/>
      <c r="P5" s="2"/>
      <c r="Q5" s="2"/>
    </row>
    <row r="6" spans="1:17" ht="2.1" customHeight="1">
      <c r="A6" s="542"/>
      <c r="E6" s="809"/>
      <c r="F6" s="542"/>
      <c r="G6" s="542"/>
      <c r="H6" s="542"/>
      <c r="I6" s="542"/>
      <c r="J6" s="2"/>
      <c r="K6" s="2"/>
      <c r="L6" s="2"/>
      <c r="M6" s="2"/>
      <c r="N6" s="2"/>
      <c r="O6" s="2"/>
      <c r="P6" s="2"/>
      <c r="Q6" s="2"/>
    </row>
    <row r="7" spans="1:17">
      <c r="A7" s="542"/>
      <c r="B7" s="542" t="s">
        <v>2059</v>
      </c>
      <c r="C7" s="576">
        <v>5</v>
      </c>
      <c r="D7" s="546">
        <f>C7</f>
        <v>5</v>
      </c>
      <c r="E7" s="678">
        <f t="shared" ref="E7:E15" si="0">C7-D7</f>
        <v>0</v>
      </c>
      <c r="F7" s="542"/>
      <c r="G7" s="542" t="s">
        <v>2388</v>
      </c>
      <c r="H7" s="542"/>
      <c r="I7" s="542"/>
      <c r="J7" s="2"/>
      <c r="K7" s="2"/>
      <c r="L7" s="2"/>
      <c r="M7" s="2"/>
      <c r="N7" s="2"/>
      <c r="O7" s="2"/>
      <c r="P7" s="2"/>
      <c r="Q7" s="2"/>
    </row>
    <row r="8" spans="1:17">
      <c r="A8" s="542"/>
      <c r="B8" s="542" t="s">
        <v>2327</v>
      </c>
      <c r="C8" s="638">
        <v>0.05</v>
      </c>
      <c r="D8" s="548">
        <f>C8</f>
        <v>0.05</v>
      </c>
      <c r="E8" s="697">
        <f t="shared" si="0"/>
        <v>0</v>
      </c>
      <c r="F8" s="542"/>
      <c r="G8" s="542" t="s">
        <v>2388</v>
      </c>
      <c r="H8" s="542"/>
      <c r="I8" s="542"/>
      <c r="J8" s="2"/>
      <c r="K8" s="2"/>
      <c r="L8" s="2"/>
      <c r="M8" s="2"/>
      <c r="N8" s="2"/>
      <c r="O8" s="2"/>
      <c r="P8" s="2"/>
      <c r="Q8" s="2"/>
    </row>
    <row r="9" spans="1:17">
      <c r="A9" s="542"/>
      <c r="B9" s="542" t="s">
        <v>2348</v>
      </c>
      <c r="C9" s="719">
        <v>60000</v>
      </c>
      <c r="D9" s="545">
        <f>C9</f>
        <v>60000</v>
      </c>
      <c r="E9" s="607">
        <f t="shared" si="0"/>
        <v>0</v>
      </c>
      <c r="F9" s="542"/>
      <c r="G9" s="542" t="s">
        <v>2387</v>
      </c>
      <c r="H9" s="542"/>
      <c r="I9" s="542"/>
      <c r="J9" s="2"/>
      <c r="K9" s="2"/>
      <c r="L9" s="2"/>
      <c r="M9" s="2"/>
      <c r="N9" s="2"/>
      <c r="O9" s="2"/>
      <c r="P9" s="2"/>
      <c r="Q9" s="2"/>
    </row>
    <row r="10" spans="1:17">
      <c r="A10" s="542"/>
      <c r="B10" s="542" t="s">
        <v>2349</v>
      </c>
      <c r="C10" s="702">
        <f>'Partnership Analysis'!$C$19</f>
        <v>2.0219039595619215</v>
      </c>
      <c r="D10" s="702">
        <f>'100% Buyout Analysis'!$C$18</f>
        <v>2.0084033613445382</v>
      </c>
      <c r="E10" s="697">
        <f t="shared" si="0"/>
        <v>1.3500598217383253E-2</v>
      </c>
      <c r="F10" s="542"/>
      <c r="G10" s="542" t="s">
        <v>2717</v>
      </c>
      <c r="H10" s="542"/>
      <c r="I10" s="542"/>
      <c r="J10" s="2"/>
      <c r="K10" s="2"/>
      <c r="L10" s="2"/>
      <c r="M10" s="2"/>
      <c r="N10" s="2"/>
      <c r="O10" s="2"/>
      <c r="P10" s="2"/>
      <c r="Q10" s="2"/>
    </row>
    <row r="11" spans="1:17">
      <c r="A11" s="542"/>
      <c r="B11" s="542" t="s">
        <v>2385</v>
      </c>
      <c r="C11" s="697">
        <f>IFERROR('Partnership Analysis'!$C$28/'Partnership Analysis'!$C$47,0)</f>
        <v>0.99837391551943799</v>
      </c>
      <c r="D11" s="697">
        <f>IFERROR('100% Buyout Analysis'!$C$27/'100% Buyout Analysis'!$C$46,0)</f>
        <v>0.99837391551943799</v>
      </c>
      <c r="E11" s="697">
        <f t="shared" si="0"/>
        <v>0</v>
      </c>
      <c r="F11" s="542"/>
      <c r="G11" s="542" t="s">
        <v>2718</v>
      </c>
      <c r="H11" s="542"/>
      <c r="I11" s="542"/>
      <c r="J11" s="2"/>
      <c r="K11" s="2"/>
      <c r="L11" s="2"/>
      <c r="M11" s="2"/>
      <c r="N11" s="2"/>
      <c r="O11" s="2"/>
      <c r="P11" s="2"/>
      <c r="Q11" s="2"/>
    </row>
    <row r="12" spans="1:17">
      <c r="A12" s="542"/>
      <c r="B12" s="542" t="s">
        <v>2386</v>
      </c>
      <c r="C12" s="697">
        <f>IFERROR('Partnership Analysis'!$C$42/'Partnership Analysis'!$C$47,0)</f>
        <v>1.3311652206925839</v>
      </c>
      <c r="D12" s="697">
        <f>IFERROR('100% Buyout Analysis'!$C$41/'100% Buyout Analysis'!$C$46,0)</f>
        <v>1.3311652206925839</v>
      </c>
      <c r="E12" s="697">
        <f t="shared" si="0"/>
        <v>0</v>
      </c>
      <c r="F12" s="542"/>
      <c r="G12" s="542" t="s">
        <v>2719</v>
      </c>
      <c r="H12" s="542"/>
      <c r="I12" s="542"/>
      <c r="J12" s="2"/>
      <c r="K12" s="2"/>
      <c r="L12" s="2"/>
      <c r="M12" s="2"/>
      <c r="N12" s="2"/>
      <c r="O12" s="2"/>
      <c r="P12" s="2"/>
      <c r="Q12" s="2"/>
    </row>
    <row r="13" spans="1:17">
      <c r="A13" s="542"/>
      <c r="B13" s="542" t="s">
        <v>2350</v>
      </c>
      <c r="C13" s="721">
        <v>1</v>
      </c>
      <c r="D13" s="723">
        <f>C13</f>
        <v>1</v>
      </c>
      <c r="E13" s="698">
        <f t="shared" si="0"/>
        <v>0</v>
      </c>
      <c r="F13" s="542"/>
      <c r="G13" s="542" t="s">
        <v>2388</v>
      </c>
      <c r="H13" s="542"/>
      <c r="I13" s="542"/>
      <c r="J13" s="2"/>
      <c r="K13" s="2"/>
      <c r="L13" s="2"/>
      <c r="M13" s="2"/>
      <c r="N13" s="2"/>
      <c r="O13" s="2"/>
      <c r="P13" s="2"/>
      <c r="Q13" s="2"/>
    </row>
    <row r="14" spans="1:17">
      <c r="A14" s="542"/>
      <c r="B14" s="542" t="s">
        <v>2351</v>
      </c>
      <c r="C14" s="721">
        <v>1.25</v>
      </c>
      <c r="D14" s="723">
        <f>C14</f>
        <v>1.25</v>
      </c>
      <c r="E14" s="698">
        <f t="shared" si="0"/>
        <v>0</v>
      </c>
      <c r="F14" s="542"/>
      <c r="G14" s="542" t="s">
        <v>2388</v>
      </c>
      <c r="H14" s="542"/>
      <c r="I14" s="542"/>
      <c r="J14" s="2"/>
      <c r="K14" s="2"/>
      <c r="L14" s="2"/>
      <c r="M14" s="2"/>
      <c r="N14" s="2"/>
      <c r="O14" s="2"/>
      <c r="P14" s="2"/>
      <c r="Q14" s="2"/>
    </row>
    <row r="15" spans="1:17">
      <c r="A15" s="542"/>
      <c r="B15" s="542" t="s">
        <v>2352</v>
      </c>
      <c r="C15" s="721">
        <v>2</v>
      </c>
      <c r="D15" s="723">
        <f>C15</f>
        <v>2</v>
      </c>
      <c r="E15" s="698">
        <f t="shared" si="0"/>
        <v>0</v>
      </c>
      <c r="F15" s="542"/>
      <c r="G15" s="542" t="s">
        <v>2388</v>
      </c>
      <c r="H15" s="542"/>
      <c r="I15" s="542"/>
      <c r="J15" s="2"/>
      <c r="K15" s="2"/>
      <c r="L15" s="2"/>
      <c r="M15" s="2"/>
      <c r="N15" s="2"/>
      <c r="O15" s="2"/>
      <c r="P15" s="2"/>
      <c r="Q15" s="2"/>
    </row>
    <row r="16" spans="1:17">
      <c r="A16" s="542"/>
      <c r="B16" s="570" t="s">
        <v>2078</v>
      </c>
      <c r="C16" s="812"/>
      <c r="D16" s="812"/>
      <c r="E16" s="812"/>
      <c r="F16" s="542"/>
      <c r="G16" s="542"/>
    </row>
    <row r="17" spans="1:17">
      <c r="A17" s="542"/>
      <c r="B17" s="542" t="s">
        <v>2169</v>
      </c>
      <c r="C17" s="619">
        <v>0.3</v>
      </c>
      <c r="D17" s="619">
        <v>0</v>
      </c>
      <c r="E17" s="697">
        <f>C17-D17</f>
        <v>0.3</v>
      </c>
      <c r="F17" s="542"/>
      <c r="G17" s="542" t="s">
        <v>2620</v>
      </c>
    </row>
    <row r="18" spans="1:17">
      <c r="A18" s="542"/>
      <c r="B18" s="542" t="s">
        <v>2099</v>
      </c>
      <c r="C18" s="814">
        <v>261</v>
      </c>
      <c r="D18" s="86">
        <f>C18</f>
        <v>261</v>
      </c>
      <c r="E18" s="607">
        <f>C18-D18</f>
        <v>0</v>
      </c>
      <c r="F18" s="542"/>
      <c r="G18" s="542" t="s">
        <v>2720</v>
      </c>
    </row>
    <row r="19" spans="1:17">
      <c r="A19" s="542"/>
      <c r="B19" s="542" t="s">
        <v>2100</v>
      </c>
      <c r="C19" s="115">
        <v>325</v>
      </c>
      <c r="D19" s="83">
        <f>C19</f>
        <v>325</v>
      </c>
      <c r="E19" s="678">
        <f>C19-D19</f>
        <v>0</v>
      </c>
      <c r="F19" s="542"/>
      <c r="G19" s="542" t="s">
        <v>2721</v>
      </c>
    </row>
    <row r="20" spans="1:17">
      <c r="A20" s="542"/>
      <c r="B20" s="542" t="s">
        <v>2081</v>
      </c>
      <c r="C20" s="115">
        <v>130</v>
      </c>
      <c r="D20" s="83">
        <f>C20</f>
        <v>130</v>
      </c>
      <c r="E20" s="678">
        <f>C20-D20</f>
        <v>0</v>
      </c>
      <c r="F20" s="542"/>
      <c r="G20" s="542" t="s">
        <v>2722</v>
      </c>
    </row>
    <row r="21" spans="1:17">
      <c r="A21" s="542"/>
      <c r="B21" s="570" t="s">
        <v>2083</v>
      </c>
      <c r="C21" s="812"/>
      <c r="D21" s="812"/>
      <c r="E21" s="812"/>
      <c r="F21" s="542"/>
      <c r="G21" s="542"/>
    </row>
    <row r="22" spans="1:17">
      <c r="A22" s="542"/>
      <c r="B22" s="542" t="s">
        <v>2075</v>
      </c>
      <c r="C22" s="582">
        <f>'Steady-State Staffing'!$AB$8</f>
        <v>16.631472994350275</v>
      </c>
      <c r="D22" s="585">
        <f>C22</f>
        <v>16.631472994350275</v>
      </c>
      <c r="E22" s="757">
        <f>C22-D22</f>
        <v>0</v>
      </c>
      <c r="F22" s="542"/>
      <c r="G22" s="542" t="s">
        <v>2723</v>
      </c>
    </row>
    <row r="23" spans="1:17">
      <c r="A23" s="542"/>
      <c r="B23" s="542" t="s">
        <v>2123</v>
      </c>
      <c r="C23" s="286">
        <v>3</v>
      </c>
      <c r="D23" s="813">
        <f>C23</f>
        <v>3</v>
      </c>
      <c r="E23" s="755">
        <f>C23-D23</f>
        <v>0</v>
      </c>
      <c r="F23" s="542"/>
      <c r="G23" s="542" t="s">
        <v>2724</v>
      </c>
    </row>
    <row r="24" spans="1:17">
      <c r="A24" s="542"/>
      <c r="B24" s="570" t="s">
        <v>2084</v>
      </c>
      <c r="C24" s="812"/>
      <c r="D24" s="812"/>
      <c r="E24" s="812"/>
      <c r="F24" s="542"/>
      <c r="G24" s="542"/>
    </row>
    <row r="25" spans="1:17">
      <c r="A25" s="542"/>
      <c r="B25" s="542" t="s">
        <v>2101</v>
      </c>
      <c r="C25" s="46">
        <v>240</v>
      </c>
      <c r="D25" s="86">
        <f>C25</f>
        <v>240</v>
      </c>
      <c r="E25" s="607">
        <f>C25-D25</f>
        <v>0</v>
      </c>
      <c r="F25" s="542"/>
      <c r="G25" s="542" t="s">
        <v>2725</v>
      </c>
    </row>
    <row r="26" spans="1:17">
      <c r="A26" s="542"/>
      <c r="B26" s="542" t="s">
        <v>2629</v>
      </c>
      <c r="C26" s="286">
        <v>0</v>
      </c>
      <c r="D26" s="813">
        <f>C26</f>
        <v>0</v>
      </c>
      <c r="E26" s="755">
        <f>C26-D26</f>
        <v>0</v>
      </c>
      <c r="F26" s="542"/>
      <c r="G26" s="542" t="s">
        <v>2726</v>
      </c>
    </row>
    <row r="27" spans="1:17">
      <c r="A27" s="542"/>
      <c r="B27" s="542" t="s">
        <v>2628</v>
      </c>
      <c r="C27" s="115">
        <v>12</v>
      </c>
      <c r="D27" s="83">
        <f>C27</f>
        <v>12</v>
      </c>
      <c r="E27" s="678">
        <f>C27-D27</f>
        <v>0</v>
      </c>
      <c r="F27" s="542"/>
      <c r="G27" s="542" t="s">
        <v>2727</v>
      </c>
    </row>
    <row r="28" spans="1:17" ht="3.95" customHeight="1">
      <c r="A28" s="542"/>
      <c r="B28" s="542"/>
      <c r="C28" s="572"/>
      <c r="D28" s="572"/>
      <c r="E28" s="572"/>
      <c r="F28" s="542"/>
      <c r="G28" s="542"/>
      <c r="H28" s="542"/>
      <c r="I28" s="542"/>
      <c r="J28" s="2"/>
      <c r="K28" s="2"/>
      <c r="L28" s="2"/>
      <c r="M28" s="2"/>
      <c r="N28" s="2"/>
      <c r="O28" s="2"/>
      <c r="P28" s="2"/>
      <c r="Q28" s="2"/>
    </row>
    <row r="29" spans="1:17">
      <c r="A29" s="542"/>
      <c r="B29" s="454" t="s">
        <v>2353</v>
      </c>
      <c r="C29" s="623" t="s">
        <v>2345</v>
      </c>
      <c r="D29" s="623" t="s">
        <v>2346</v>
      </c>
      <c r="E29" s="455" t="s">
        <v>1918</v>
      </c>
      <c r="F29" s="542"/>
      <c r="G29" s="542"/>
      <c r="H29" s="542"/>
      <c r="I29" s="542"/>
      <c r="J29" s="2"/>
      <c r="K29" s="2"/>
      <c r="L29" s="2"/>
      <c r="M29" s="2"/>
      <c r="N29" s="2"/>
      <c r="O29" s="2"/>
      <c r="P29" s="2"/>
      <c r="Q29" s="2"/>
    </row>
    <row r="30" spans="1:17">
      <c r="A30" s="542"/>
      <c r="B30" s="542" t="s">
        <v>2168</v>
      </c>
      <c r="C30" s="703">
        <f>'Partnership Analysis'!$C$185</f>
        <v>3000</v>
      </c>
      <c r="D30" s="703">
        <f>'100% Buyout Analysis'!$C$173</f>
        <v>3000</v>
      </c>
      <c r="E30" s="607">
        <f t="shared" ref="E30:E39" si="1">C30-D30</f>
        <v>0</v>
      </c>
      <c r="F30" s="542"/>
      <c r="G30" s="542"/>
      <c r="H30" s="542"/>
      <c r="I30" s="542"/>
      <c r="J30" s="2"/>
      <c r="K30" s="2"/>
      <c r="L30" s="2"/>
      <c r="M30" s="2"/>
      <c r="N30" s="2"/>
      <c r="O30" s="2"/>
      <c r="P30" s="2"/>
      <c r="Q30" s="2"/>
    </row>
    <row r="31" spans="1:17">
      <c r="A31" s="542"/>
      <c r="B31" s="542" t="s">
        <v>2169</v>
      </c>
      <c r="C31" s="548">
        <f>C17</f>
        <v>0.3</v>
      </c>
      <c r="D31" s="548">
        <f>D17</f>
        <v>0</v>
      </c>
      <c r="E31" s="697">
        <f t="shared" si="1"/>
        <v>0.3</v>
      </c>
      <c r="F31" s="542"/>
      <c r="G31" s="542" t="s">
        <v>2728</v>
      </c>
      <c r="H31" s="542"/>
      <c r="I31" s="542"/>
      <c r="J31" s="2"/>
      <c r="K31" s="2"/>
      <c r="L31" s="2"/>
      <c r="M31" s="2"/>
      <c r="N31" s="2"/>
      <c r="O31" s="2"/>
      <c r="P31" s="2"/>
      <c r="Q31" s="2"/>
    </row>
    <row r="32" spans="1:17">
      <c r="A32" s="542"/>
      <c r="B32" s="542" t="s">
        <v>2354</v>
      </c>
      <c r="C32" s="702">
        <f>'Partnership Analysis'!$C$187</f>
        <v>0.7</v>
      </c>
      <c r="D32" s="702">
        <f>'100% Buyout Analysis'!$C$96</f>
        <v>1</v>
      </c>
      <c r="E32" s="697">
        <f t="shared" si="1"/>
        <v>-0.30000000000000004</v>
      </c>
      <c r="F32" s="542"/>
      <c r="G32" s="542"/>
      <c r="H32" s="542"/>
      <c r="I32" s="542"/>
      <c r="J32" s="2"/>
      <c r="K32" s="2"/>
      <c r="L32" s="2"/>
      <c r="M32" s="2"/>
      <c r="N32" s="2"/>
      <c r="O32" s="2"/>
      <c r="P32" s="2"/>
      <c r="Q32" s="2"/>
    </row>
    <row r="33" spans="1:17">
      <c r="A33" s="542"/>
      <c r="B33" s="542" t="s">
        <v>2619</v>
      </c>
      <c r="C33" s="701">
        <f>'Partnership Analysis'!$C$188</f>
        <v>2100</v>
      </c>
      <c r="D33" s="701">
        <f>'100% Buyout Analysis'!$C$173</f>
        <v>3000</v>
      </c>
      <c r="E33" s="678">
        <f t="shared" si="1"/>
        <v>-900</v>
      </c>
      <c r="F33" s="542"/>
      <c r="G33" s="542"/>
      <c r="H33" s="542"/>
      <c r="I33" s="542"/>
      <c r="J33" s="2"/>
      <c r="K33" s="2"/>
      <c r="L33" s="2"/>
      <c r="M33" s="2"/>
      <c r="N33" s="2"/>
      <c r="O33" s="2"/>
      <c r="P33" s="2"/>
      <c r="Q33" s="2"/>
    </row>
    <row r="34" spans="1:17">
      <c r="A34" s="542"/>
      <c r="B34" s="811" t="s">
        <v>2057</v>
      </c>
      <c r="C34" s="703">
        <f>'Partnership Analysis'!$C$189</f>
        <v>650</v>
      </c>
      <c r="D34" s="703">
        <f>'100% Buyout Analysis'!$C$174</f>
        <v>500</v>
      </c>
      <c r="E34" s="607">
        <f t="shared" si="1"/>
        <v>150</v>
      </c>
      <c r="F34" s="542"/>
      <c r="G34" s="542" t="s">
        <v>2729</v>
      </c>
      <c r="H34" s="542"/>
      <c r="I34" s="542"/>
      <c r="J34" s="2"/>
      <c r="K34" s="2"/>
      <c r="L34" s="2"/>
      <c r="M34" s="2"/>
      <c r="N34" s="2"/>
      <c r="O34" s="2"/>
      <c r="P34" s="2"/>
      <c r="Q34" s="2"/>
    </row>
    <row r="35" spans="1:17">
      <c r="A35" s="542"/>
      <c r="B35" s="559" t="s">
        <v>2270</v>
      </c>
      <c r="C35" s="701">
        <f>'Partnership Analysis'!$C$190</f>
        <v>1450</v>
      </c>
      <c r="D35" s="701">
        <f>'100% Buyout Analysis'!$C$175</f>
        <v>2500</v>
      </c>
      <c r="E35" s="678">
        <f t="shared" si="1"/>
        <v>-1050</v>
      </c>
      <c r="F35" s="542"/>
      <c r="G35" s="542"/>
      <c r="H35" s="542"/>
      <c r="I35" s="542"/>
      <c r="J35" s="2"/>
      <c r="K35" s="2"/>
      <c r="L35" s="2"/>
      <c r="M35" s="2"/>
      <c r="N35" s="2"/>
      <c r="O35" s="2"/>
      <c r="P35" s="2"/>
      <c r="Q35" s="2"/>
    </row>
    <row r="36" spans="1:17">
      <c r="A36" s="542"/>
      <c r="B36" s="559" t="s">
        <v>2479</v>
      </c>
      <c r="C36" s="701">
        <f>'Partnership Analysis'!$C$58</f>
        <v>0</v>
      </c>
      <c r="D36" s="701">
        <f>'100% Buyout Analysis'!$C$57</f>
        <v>500</v>
      </c>
      <c r="E36" s="678">
        <f t="shared" si="1"/>
        <v>-500</v>
      </c>
      <c r="F36" s="542"/>
      <c r="G36" s="542" t="s">
        <v>2730</v>
      </c>
      <c r="H36" s="542"/>
      <c r="I36" s="542"/>
      <c r="J36" s="2"/>
      <c r="K36" s="2"/>
      <c r="L36" s="2"/>
      <c r="M36" s="2"/>
      <c r="N36" s="2"/>
      <c r="O36" s="2"/>
      <c r="P36" s="2"/>
      <c r="Q36" s="2"/>
    </row>
    <row r="37" spans="1:17">
      <c r="A37" s="542"/>
      <c r="B37" s="808" t="s">
        <v>2271</v>
      </c>
      <c r="C37" s="708">
        <f>SUM(C34:C36)</f>
        <v>2100</v>
      </c>
      <c r="D37" s="708">
        <f>SUM(D34:D36)</f>
        <v>3500</v>
      </c>
      <c r="E37" s="710">
        <f>C37-D37</f>
        <v>-1400</v>
      </c>
      <c r="F37" s="542"/>
      <c r="G37" s="542" t="s">
        <v>2731</v>
      </c>
      <c r="H37" s="542"/>
      <c r="I37" s="542"/>
      <c r="J37" s="2"/>
      <c r="K37" s="2"/>
      <c r="L37" s="2"/>
      <c r="M37" s="2"/>
      <c r="N37" s="2"/>
      <c r="O37" s="2"/>
      <c r="P37" s="2"/>
      <c r="Q37" s="2"/>
    </row>
    <row r="38" spans="1:17">
      <c r="A38" s="542"/>
      <c r="B38" s="542" t="s">
        <v>2618</v>
      </c>
      <c r="C38" s="678">
        <f>C37-'Partnership Analysis'!$C$106</f>
        <v>0</v>
      </c>
      <c r="D38" s="678">
        <f>D37-'100% Buyout Analysis'!$C$95</f>
        <v>0</v>
      </c>
      <c r="E38" s="607"/>
      <c r="F38" s="542"/>
      <c r="G38" s="542" t="s">
        <v>2109</v>
      </c>
      <c r="H38" s="542"/>
      <c r="I38" s="542"/>
      <c r="J38" s="2"/>
      <c r="K38" s="2"/>
      <c r="L38" s="2"/>
      <c r="M38" s="2"/>
      <c r="N38" s="2"/>
      <c r="O38" s="2"/>
      <c r="P38" s="2"/>
      <c r="Q38" s="2"/>
    </row>
    <row r="39" spans="1:17">
      <c r="A39" s="542"/>
      <c r="B39" s="542" t="s">
        <v>2355</v>
      </c>
      <c r="C39" s="697">
        <f>IFERROR((C34+C36)/C37,0)</f>
        <v>0.30952380952380953</v>
      </c>
      <c r="D39" s="697">
        <f>IFERROR((D34+D36)/D37,0)</f>
        <v>0.2857142857142857</v>
      </c>
      <c r="E39" s="697">
        <f t="shared" si="1"/>
        <v>2.3809523809523836E-2</v>
      </c>
      <c r="F39" s="542"/>
      <c r="G39" s="542"/>
      <c r="H39" s="542"/>
      <c r="I39" s="542"/>
      <c r="J39" s="2"/>
      <c r="K39" s="2"/>
      <c r="L39" s="2"/>
      <c r="M39" s="2"/>
      <c r="N39" s="2"/>
      <c r="O39" s="2"/>
      <c r="P39" s="2"/>
      <c r="Q39" s="2"/>
    </row>
    <row r="40" spans="1:17" ht="3.95" customHeight="1">
      <c r="A40" s="542"/>
      <c r="B40" s="542"/>
      <c r="C40" s="572"/>
      <c r="D40" s="572"/>
      <c r="E40" s="572"/>
      <c r="F40" s="542"/>
      <c r="G40" s="542"/>
      <c r="H40" s="542"/>
      <c r="I40" s="542"/>
      <c r="J40" s="2"/>
      <c r="K40" s="2"/>
      <c r="L40" s="2"/>
      <c r="M40" s="2"/>
      <c r="N40" s="2"/>
      <c r="O40" s="2"/>
      <c r="P40" s="2"/>
      <c r="Q40" s="2"/>
    </row>
    <row r="41" spans="1:17">
      <c r="A41" s="542"/>
      <c r="B41" s="454" t="s">
        <v>2163</v>
      </c>
      <c r="C41" s="623" t="s">
        <v>2345</v>
      </c>
      <c r="D41" s="623" t="s">
        <v>2346</v>
      </c>
      <c r="E41" s="455" t="s">
        <v>1918</v>
      </c>
      <c r="F41" s="542"/>
      <c r="G41" s="542"/>
      <c r="H41" s="542"/>
      <c r="I41" s="542"/>
      <c r="J41" s="2"/>
      <c r="K41" s="2"/>
      <c r="L41" s="2"/>
      <c r="M41" s="2"/>
      <c r="N41" s="2"/>
      <c r="O41" s="2"/>
      <c r="P41" s="2"/>
      <c r="Q41" s="2"/>
    </row>
    <row r="42" spans="1:17" ht="3.95" customHeight="1">
      <c r="A42" s="542"/>
      <c r="B42" s="540"/>
      <c r="C42" s="572"/>
      <c r="D42" s="572"/>
      <c r="E42" s="572"/>
      <c r="F42" s="542"/>
      <c r="G42" s="542"/>
      <c r="H42" s="542"/>
      <c r="I42" s="542"/>
      <c r="J42" s="2"/>
      <c r="K42" s="2"/>
      <c r="L42" s="2"/>
      <c r="M42" s="2"/>
      <c r="N42" s="2"/>
      <c r="O42" s="2"/>
      <c r="P42" s="2"/>
      <c r="Q42" s="2"/>
    </row>
    <row r="43" spans="1:17">
      <c r="A43" s="542"/>
      <c r="B43" s="728" t="s">
        <v>2379</v>
      </c>
      <c r="C43" s="729">
        <f t="shared" ref="C43:D47" si="2">IFERROR(C106/C$111,0)</f>
        <v>0.46170498037315788</v>
      </c>
      <c r="D43" s="729">
        <f t="shared" si="2"/>
        <v>0</v>
      </c>
      <c r="E43" s="730">
        <f>C43-D43</f>
        <v>0.46170498037315788</v>
      </c>
      <c r="F43" s="542"/>
      <c r="G43" s="542"/>
      <c r="H43" s="542"/>
      <c r="I43" s="542"/>
      <c r="J43" s="2"/>
      <c r="K43" s="2"/>
      <c r="L43" s="2"/>
      <c r="M43" s="2"/>
      <c r="N43" s="2"/>
      <c r="O43" s="2"/>
      <c r="P43" s="2"/>
      <c r="Q43" s="2"/>
    </row>
    <row r="44" spans="1:17">
      <c r="A44" s="542"/>
      <c r="B44" s="731" t="s">
        <v>2400</v>
      </c>
      <c r="C44" s="732">
        <f t="shared" si="2"/>
        <v>2.4149662453204091E-2</v>
      </c>
      <c r="D44" s="732">
        <f t="shared" si="2"/>
        <v>6.3750321230987034E-2</v>
      </c>
      <c r="E44" s="733">
        <f>C44-D44</f>
        <v>-3.9600658777782946E-2</v>
      </c>
      <c r="F44" s="542"/>
      <c r="G44" s="542"/>
      <c r="H44" s="542"/>
      <c r="I44" s="542"/>
      <c r="J44" s="2"/>
      <c r="K44" s="2"/>
      <c r="L44" s="2"/>
      <c r="M44" s="2"/>
      <c r="N44" s="2"/>
      <c r="O44" s="2"/>
      <c r="P44" s="2"/>
      <c r="Q44" s="2"/>
    </row>
    <row r="45" spans="1:17">
      <c r="A45" s="542"/>
      <c r="B45" s="731" t="s">
        <v>2401</v>
      </c>
      <c r="C45" s="732">
        <f t="shared" si="2"/>
        <v>0.44258975908565013</v>
      </c>
      <c r="D45" s="732">
        <f t="shared" si="2"/>
        <v>0.81624843821928039</v>
      </c>
      <c r="E45" s="733">
        <f>C45-D45</f>
        <v>-0.37365867913363027</v>
      </c>
      <c r="F45" s="542"/>
      <c r="G45" s="542"/>
      <c r="H45" s="542"/>
      <c r="I45" s="542"/>
      <c r="J45" s="2"/>
      <c r="K45" s="2"/>
      <c r="L45" s="2"/>
      <c r="M45" s="2"/>
      <c r="N45" s="2"/>
      <c r="O45" s="2"/>
      <c r="P45" s="2"/>
      <c r="Q45" s="2"/>
    </row>
    <row r="46" spans="1:17">
      <c r="A46" s="542"/>
      <c r="B46" s="731" t="s">
        <v>2057</v>
      </c>
      <c r="C46" s="732">
        <f t="shared" si="2"/>
        <v>7.1555598087987948E-2</v>
      </c>
      <c r="D46" s="732">
        <f t="shared" si="2"/>
        <v>6.0000620274866238E-2</v>
      </c>
      <c r="E46" s="733">
        <f>C46-D46</f>
        <v>1.155497781312171E-2</v>
      </c>
      <c r="F46" s="542"/>
      <c r="G46" s="542"/>
      <c r="H46" s="542"/>
      <c r="I46" s="542"/>
      <c r="J46" s="2"/>
      <c r="K46" s="2"/>
      <c r="L46" s="2"/>
      <c r="M46" s="2"/>
      <c r="N46" s="2"/>
      <c r="O46" s="2"/>
      <c r="P46" s="2"/>
      <c r="Q46" s="2"/>
    </row>
    <row r="47" spans="1:17">
      <c r="A47" s="542"/>
      <c r="B47" s="734" t="s">
        <v>2402</v>
      </c>
      <c r="C47" s="735">
        <f t="shared" si="2"/>
        <v>0</v>
      </c>
      <c r="D47" s="735">
        <f t="shared" si="2"/>
        <v>6.0000620274866238E-2</v>
      </c>
      <c r="E47" s="736">
        <f>C47-D47</f>
        <v>-6.0000620274866238E-2</v>
      </c>
      <c r="F47" s="542"/>
      <c r="G47" s="542"/>
      <c r="H47" s="542"/>
      <c r="I47" s="542"/>
      <c r="J47" s="2"/>
      <c r="K47" s="2"/>
      <c r="L47" s="2"/>
      <c r="M47" s="2"/>
      <c r="N47" s="2"/>
      <c r="O47" s="2"/>
      <c r="P47" s="2"/>
      <c r="Q47" s="2"/>
    </row>
    <row r="48" spans="1:17" ht="3.95" customHeight="1">
      <c r="A48" s="542"/>
      <c r="B48" s="542"/>
      <c r="C48" s="572"/>
      <c r="D48" s="572"/>
      <c r="E48" s="572"/>
      <c r="F48" s="542"/>
      <c r="G48" s="542"/>
      <c r="H48" s="542"/>
      <c r="I48" s="542"/>
      <c r="J48" s="2"/>
      <c r="K48" s="2"/>
      <c r="L48" s="2"/>
      <c r="M48" s="2"/>
      <c r="N48" s="2"/>
      <c r="O48" s="2"/>
      <c r="P48" s="2"/>
      <c r="Q48" s="2"/>
    </row>
    <row r="49" spans="1:17">
      <c r="A49" s="542"/>
      <c r="B49" s="454" t="s">
        <v>2361</v>
      </c>
      <c r="C49" s="623" t="s">
        <v>2345</v>
      </c>
      <c r="D49" s="623" t="s">
        <v>2346</v>
      </c>
      <c r="E49" s="455" t="s">
        <v>1918</v>
      </c>
      <c r="F49" s="542"/>
      <c r="G49" s="542"/>
      <c r="H49" s="542"/>
      <c r="I49" s="542"/>
      <c r="J49" s="2"/>
      <c r="K49" s="747" t="s">
        <v>2420</v>
      </c>
      <c r="L49" s="747">
        <v>0</v>
      </c>
      <c r="M49" s="747">
        <v>1</v>
      </c>
      <c r="N49" s="747">
        <v>2</v>
      </c>
      <c r="O49" s="747">
        <v>3</v>
      </c>
      <c r="P49" s="747">
        <v>4</v>
      </c>
      <c r="Q49" s="747">
        <v>5</v>
      </c>
    </row>
    <row r="50" spans="1:17" ht="15" customHeight="1">
      <c r="A50" s="542"/>
      <c r="B50" s="682" t="s">
        <v>2403</v>
      </c>
      <c r="C50" s="545">
        <f t="shared" ref="C50:D52" si="3">C34</f>
        <v>650</v>
      </c>
      <c r="D50" s="545">
        <f t="shared" si="3"/>
        <v>500</v>
      </c>
      <c r="E50" s="737">
        <f t="shared" ref="E50:E65" si="4">C50-D50</f>
        <v>150</v>
      </c>
      <c r="F50" s="682"/>
      <c r="G50" s="682"/>
      <c r="H50" s="542"/>
      <c r="I50" s="542"/>
      <c r="J50" s="2"/>
      <c r="K50" s="747" t="s">
        <v>2421</v>
      </c>
      <c r="L50" s="367">
        <f t="shared" ref="L50:Q50" si="5">-(L$49=0)*($C$34+$C$35)-(L$49=$L$52)*$C$36+(L$49=$C$7)*$C$54</f>
        <v>-2100</v>
      </c>
      <c r="M50" s="367">
        <f t="shared" si="5"/>
        <v>0</v>
      </c>
      <c r="N50" s="367">
        <f t="shared" si="5"/>
        <v>0</v>
      </c>
      <c r="O50" s="367">
        <f t="shared" si="5"/>
        <v>0</v>
      </c>
      <c r="P50" s="367">
        <f t="shared" si="5"/>
        <v>0</v>
      </c>
      <c r="Q50" s="367">
        <f t="shared" si="5"/>
        <v>9786.1323541016918</v>
      </c>
    </row>
    <row r="51" spans="1:17" ht="15" customHeight="1">
      <c r="A51" s="542"/>
      <c r="B51" s="720" t="s">
        <v>2404</v>
      </c>
      <c r="C51" s="546">
        <f t="shared" si="3"/>
        <v>1450</v>
      </c>
      <c r="D51" s="546">
        <f t="shared" si="3"/>
        <v>2500</v>
      </c>
      <c r="E51" s="738">
        <f t="shared" si="4"/>
        <v>-1050</v>
      </c>
      <c r="F51" s="682"/>
      <c r="G51" s="682"/>
      <c r="H51" s="542"/>
      <c r="I51" s="542"/>
      <c r="J51" s="2"/>
      <c r="K51" s="747" t="s">
        <v>2422</v>
      </c>
      <c r="L51" s="367">
        <f t="shared" ref="L51:Q51" si="6">-(L$49=0)*($D$34+$D$35)-(L$49=$L$52)*$D$36+(L$49=$D$7)*$D$54</f>
        <v>-3000</v>
      </c>
      <c r="M51" s="367">
        <f t="shared" si="6"/>
        <v>0</v>
      </c>
      <c r="N51" s="367">
        <f t="shared" si="6"/>
        <v>0</v>
      </c>
      <c r="O51" s="367">
        <f t="shared" si="6"/>
        <v>-500</v>
      </c>
      <c r="P51" s="367">
        <f t="shared" si="6"/>
        <v>0</v>
      </c>
      <c r="Q51" s="367">
        <f t="shared" si="6"/>
        <v>13980.189077288132</v>
      </c>
    </row>
    <row r="52" spans="1:17" ht="15" customHeight="1">
      <c r="A52" s="542"/>
      <c r="B52" s="720" t="s">
        <v>2480</v>
      </c>
      <c r="C52" s="546">
        <f t="shared" si="3"/>
        <v>0</v>
      </c>
      <c r="D52" s="546">
        <f t="shared" si="3"/>
        <v>500</v>
      </c>
      <c r="E52" s="738">
        <f t="shared" si="4"/>
        <v>-500</v>
      </c>
      <c r="F52" s="682"/>
      <c r="G52" s="682"/>
      <c r="H52" s="542"/>
      <c r="I52" s="542"/>
      <c r="J52" s="2"/>
      <c r="K52" s="747" t="s">
        <v>2423</v>
      </c>
      <c r="L52" s="764">
        <f>'100% Buyout Analysis'!$C$45</f>
        <v>3</v>
      </c>
      <c r="M52" s="747" t="s">
        <v>2482</v>
      </c>
      <c r="N52" s="747"/>
      <c r="O52" s="747"/>
      <c r="P52" s="747"/>
      <c r="Q52" s="747"/>
    </row>
    <row r="53" spans="1:17" ht="15" customHeight="1">
      <c r="A53" s="542"/>
      <c r="B53" s="690" t="s">
        <v>2405</v>
      </c>
      <c r="C53" s="712">
        <f>SUM(C50:C52)</f>
        <v>2100</v>
      </c>
      <c r="D53" s="712">
        <f>SUM(D50:D52)</f>
        <v>3500</v>
      </c>
      <c r="E53" s="739">
        <f t="shared" si="4"/>
        <v>-1400</v>
      </c>
      <c r="F53" s="682"/>
      <c r="G53" s="682" t="s">
        <v>2621</v>
      </c>
      <c r="H53" s="542"/>
      <c r="I53" s="542"/>
      <c r="J53" s="2"/>
      <c r="K53" s="747" t="s">
        <v>2796</v>
      </c>
      <c r="L53" s="367">
        <f>-(L$49=0)*($C$34+$C$35)+(L$49=$C$7)*$C$131</f>
        <v>-2100</v>
      </c>
      <c r="M53" s="367">
        <f t="shared" ref="M53:Q53" si="7">-(M$49=0)*($C$34+$C$35)+(M$49=$C$7)*$C$131</f>
        <v>0</v>
      </c>
      <c r="N53" s="367">
        <f t="shared" si="7"/>
        <v>0</v>
      </c>
      <c r="O53" s="367">
        <f t="shared" si="7"/>
        <v>0</v>
      </c>
      <c r="P53" s="367">
        <f t="shared" si="7"/>
        <v>0</v>
      </c>
      <c r="Q53" s="367">
        <f t="shared" si="7"/>
        <v>5000.0000000000009</v>
      </c>
    </row>
    <row r="54" spans="1:17" ht="15" customHeight="1">
      <c r="A54" s="542"/>
      <c r="B54" s="682" t="s">
        <v>2406</v>
      </c>
      <c r="C54" s="701">
        <f>'Partnership Analysis'!$D$82</f>
        <v>9786.1323541016918</v>
      </c>
      <c r="D54" s="701">
        <f>'100% Buyout Analysis'!$D$76</f>
        <v>13980.189077288132</v>
      </c>
      <c r="E54" s="738">
        <f t="shared" si="4"/>
        <v>-4194.0567231864406</v>
      </c>
      <c r="F54" s="682"/>
      <c r="G54" s="682" t="s">
        <v>2732</v>
      </c>
      <c r="H54" s="542"/>
      <c r="I54" s="542"/>
      <c r="J54" s="2"/>
      <c r="K54" s="747" t="s">
        <v>2797</v>
      </c>
      <c r="L54" s="367">
        <f>-(L$49=0)*($D$34+$D$35)+(L$49=$D$7)*$D$131</f>
        <v>-3000</v>
      </c>
      <c r="M54" s="367">
        <f t="shared" ref="M54:Q54" si="8">-(M$49=0)*($D$34+$D$35)+(M$49=$D$7)*$D$131</f>
        <v>0</v>
      </c>
      <c r="N54" s="367">
        <f t="shared" si="8"/>
        <v>0</v>
      </c>
      <c r="O54" s="367">
        <f t="shared" si="8"/>
        <v>0</v>
      </c>
      <c r="P54" s="367">
        <f t="shared" si="8"/>
        <v>0</v>
      </c>
      <c r="Q54" s="367">
        <f t="shared" si="8"/>
        <v>8000.0000000000018</v>
      </c>
    </row>
    <row r="55" spans="1:17" ht="15" customHeight="1">
      <c r="A55" s="542"/>
      <c r="B55" s="742" t="s">
        <v>2407</v>
      </c>
      <c r="C55" s="741">
        <f>IFERROR(C54/C53,0)</f>
        <v>4.6600630257627103</v>
      </c>
      <c r="D55" s="741">
        <f>IFERROR(D54/D53,0)</f>
        <v>3.9943397363680377</v>
      </c>
      <c r="E55" s="743">
        <f t="shared" si="4"/>
        <v>0.66572328939467251</v>
      </c>
      <c r="F55" s="682"/>
      <c r="G55" s="682" t="s">
        <v>2408</v>
      </c>
      <c r="H55" s="542"/>
      <c r="I55" s="542"/>
      <c r="J55" s="2"/>
      <c r="K55" s="2"/>
      <c r="L55" s="2"/>
      <c r="M55" s="2"/>
      <c r="N55" s="2"/>
      <c r="O55" s="2"/>
      <c r="P55" s="2"/>
      <c r="Q55" s="2"/>
    </row>
    <row r="56" spans="1:17" ht="15" customHeight="1">
      <c r="A56" s="542"/>
      <c r="B56" s="745" t="s">
        <v>2409</v>
      </c>
      <c r="C56" s="716">
        <f>IFERROR(IRR($L50:$Q50),0)</f>
        <v>0.36043675908506367</v>
      </c>
      <c r="D56" s="716">
        <f>IFERROR(IRR($L51:$Q51),0)</f>
        <v>0.34242961148605366</v>
      </c>
      <c r="E56" s="746">
        <f t="shared" si="4"/>
        <v>1.8007147599010009E-2</v>
      </c>
      <c r="F56" s="682"/>
      <c r="G56" s="682" t="s">
        <v>2622</v>
      </c>
      <c r="H56" s="542"/>
      <c r="I56" s="54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542"/>
      <c r="B57" s="559" t="s">
        <v>2472</v>
      </c>
      <c r="C57" s="698">
        <f>IFERROR(C131/(C50+C51),0)</f>
        <v>2.3809523809523814</v>
      </c>
      <c r="D57" s="698">
        <f>IFERROR(D131/(D50+D51),0)</f>
        <v>2.6666666666666674</v>
      </c>
      <c r="E57" s="698">
        <f t="shared" si="4"/>
        <v>-0.28571428571428603</v>
      </c>
      <c r="F57" s="542"/>
      <c r="G57" s="542" t="s">
        <v>2623</v>
      </c>
      <c r="H57" s="542"/>
      <c r="I57" s="54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542"/>
      <c r="B58" s="559" t="s">
        <v>2473</v>
      </c>
      <c r="C58" s="699">
        <f>IFERROR(IRR($L53:$Q53),0)</f>
        <v>0.18946082182210611</v>
      </c>
      <c r="D58" s="699">
        <f>IFERROR(IRR($L54:$Q54),0)</f>
        <v>0.21672868378641108</v>
      </c>
      <c r="E58" s="699">
        <f t="shared" si="4"/>
        <v>-2.7267861964304974E-2</v>
      </c>
      <c r="F58" s="542"/>
      <c r="G58" s="542" t="s">
        <v>2798</v>
      </c>
      <c r="H58" s="542"/>
      <c r="I58" s="54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542"/>
      <c r="B59" s="577" t="s">
        <v>2474</v>
      </c>
      <c r="C59" s="740">
        <f>C55-C57</f>
        <v>2.2791106448103289</v>
      </c>
      <c r="D59" s="740">
        <f>D55-D57</f>
        <v>1.3276730697013703</v>
      </c>
      <c r="E59" s="759">
        <f t="shared" si="4"/>
        <v>0.95143757510895854</v>
      </c>
      <c r="F59" s="542"/>
      <c r="G59" s="542" t="s">
        <v>2475</v>
      </c>
      <c r="H59" s="542"/>
      <c r="I59" s="542"/>
      <c r="J59" s="2"/>
      <c r="K59" s="2"/>
      <c r="L59" s="2"/>
      <c r="M59" s="2"/>
      <c r="N59" s="2"/>
      <c r="O59" s="2"/>
      <c r="P59" s="2"/>
      <c r="Q59" s="2"/>
    </row>
    <row r="60" spans="1:17" ht="15" customHeight="1">
      <c r="A60" s="542"/>
      <c r="B60" s="760" t="s">
        <v>2476</v>
      </c>
      <c r="C60" s="744">
        <f>C56-C58</f>
        <v>0.17097593726295757</v>
      </c>
      <c r="D60" s="744">
        <f>D56-D58</f>
        <v>0.12570092769964258</v>
      </c>
      <c r="E60" s="761">
        <f t="shared" si="4"/>
        <v>4.5275009563314983E-2</v>
      </c>
      <c r="F60" s="542"/>
      <c r="G60" s="542" t="s">
        <v>2477</v>
      </c>
      <c r="H60" s="542"/>
      <c r="I60" s="542"/>
      <c r="J60" s="2"/>
      <c r="K60" s="2"/>
      <c r="L60" s="2"/>
      <c r="M60" s="2"/>
      <c r="N60" s="2"/>
      <c r="O60" s="2"/>
      <c r="P60" s="2"/>
      <c r="Q60" s="2"/>
    </row>
    <row r="61" spans="1:17" ht="15" customHeight="1">
      <c r="A61" s="542"/>
      <c r="B61" s="682" t="s">
        <v>2410</v>
      </c>
      <c r="C61" s="678">
        <f>C$150*('Partnership Analysis'!$D$81+'Partnership Analysis'!$D$82)</f>
        <v>175439.53692731974</v>
      </c>
      <c r="D61" s="678">
        <f>D$150*('100% Buyout Analysis'!$D$75+'100% Buyout Analysis'!$D$76)</f>
        <v>175997.93243848681</v>
      </c>
      <c r="E61" s="738">
        <f t="shared" si="4"/>
        <v>-558.39551116706571</v>
      </c>
      <c r="F61" s="682"/>
      <c r="G61" s="682" t="s">
        <v>2411</v>
      </c>
      <c r="H61" s="542"/>
      <c r="I61" s="542"/>
      <c r="J61" s="2"/>
      <c r="K61" s="2"/>
      <c r="L61" s="2"/>
      <c r="M61" s="2"/>
      <c r="N61" s="2"/>
      <c r="O61" s="2"/>
      <c r="P61" s="2"/>
      <c r="Q61" s="2"/>
    </row>
    <row r="62" spans="1:17" ht="15" customHeight="1">
      <c r="A62" s="542"/>
      <c r="B62" s="720" t="s">
        <v>2412</v>
      </c>
      <c r="C62" s="678">
        <f>(1-C$8)*('Partnership Analysis'!$D$81+C34+C36)</f>
        <v>171000.00000000003</v>
      </c>
      <c r="D62" s="678">
        <f>(1-D$8)*('100% Buyout Analysis'!$D$75+D34+D36)</f>
        <v>171000.00000000003</v>
      </c>
      <c r="E62" s="738">
        <f t="shared" si="4"/>
        <v>0</v>
      </c>
      <c r="F62" s="682"/>
      <c r="G62" s="682" t="s">
        <v>2413</v>
      </c>
      <c r="H62" s="542"/>
      <c r="I62" s="542"/>
      <c r="J62" s="2"/>
      <c r="K62" s="2"/>
      <c r="L62" s="2"/>
      <c r="M62" s="2"/>
      <c r="N62" s="2"/>
      <c r="O62" s="2"/>
      <c r="P62" s="2"/>
      <c r="Q62" s="2"/>
    </row>
    <row r="63" spans="1:17" ht="15" customHeight="1">
      <c r="A63" s="542"/>
      <c r="B63" s="104" t="s">
        <v>2414</v>
      </c>
      <c r="C63" s="706">
        <f>C61-C62</f>
        <v>4439.5369273197139</v>
      </c>
      <c r="D63" s="706">
        <f>D61-D62</f>
        <v>4997.9324384867796</v>
      </c>
      <c r="E63" s="754">
        <f t="shared" si="4"/>
        <v>-558.39551116706571</v>
      </c>
      <c r="F63" s="682"/>
      <c r="G63" s="682" t="s">
        <v>2415</v>
      </c>
      <c r="H63" s="542"/>
      <c r="I63" s="542"/>
      <c r="J63" s="2"/>
      <c r="K63" s="2"/>
      <c r="L63" s="2"/>
      <c r="M63" s="2"/>
      <c r="N63" s="2"/>
      <c r="O63" s="2"/>
      <c r="P63" s="2"/>
      <c r="Q63" s="2"/>
    </row>
    <row r="64" spans="1:17" ht="15" customHeight="1">
      <c r="A64" s="542"/>
      <c r="B64" s="751" t="s">
        <v>2416</v>
      </c>
      <c r="C64" s="750">
        <f>IFERROR((C53+C63)/C53,0)</f>
        <v>3.1140652034855782</v>
      </c>
      <c r="D64" s="750">
        <f>IFERROR((D53+D63)/D53,0)</f>
        <v>2.4279806967105086</v>
      </c>
      <c r="E64" s="752">
        <f t="shared" si="4"/>
        <v>0.6860845067750696</v>
      </c>
      <c r="F64" s="682"/>
      <c r="G64" s="682" t="s">
        <v>2417</v>
      </c>
      <c r="H64" s="542"/>
      <c r="I64" s="542"/>
      <c r="J64" s="2"/>
      <c r="K64" s="2"/>
      <c r="L64" s="2"/>
      <c r="M64" s="2"/>
      <c r="N64" s="2"/>
      <c r="O64" s="2"/>
      <c r="P64" s="2"/>
      <c r="Q64" s="2"/>
    </row>
    <row r="65" spans="1:17" ht="15" customHeight="1">
      <c r="A65" s="542"/>
      <c r="B65" s="107" t="s">
        <v>2418</v>
      </c>
      <c r="C65" s="744">
        <f>IFERROR(C64^(1/C$7)-1,0)</f>
        <v>0.25506304000579672</v>
      </c>
      <c r="D65" s="744">
        <f>IFERROR(D64^(1/D$7)-1,0)</f>
        <v>0.19412295203952645</v>
      </c>
      <c r="E65" s="753">
        <f t="shared" si="4"/>
        <v>6.0940087966270262E-2</v>
      </c>
      <c r="F65" s="682"/>
      <c r="G65" s="682" t="s">
        <v>2419</v>
      </c>
      <c r="H65" s="542"/>
      <c r="I65" s="542"/>
      <c r="J65" s="2"/>
      <c r="K65" s="2"/>
      <c r="L65" s="2"/>
      <c r="M65" s="2"/>
      <c r="N65" s="2"/>
      <c r="O65" s="2"/>
      <c r="P65" s="2"/>
      <c r="Q65" s="2"/>
    </row>
    <row r="66" spans="1:17" ht="3.95" customHeight="1">
      <c r="A66" s="542"/>
      <c r="B66" s="542"/>
      <c r="C66" s="572"/>
      <c r="D66" s="572"/>
      <c r="E66" s="572"/>
      <c r="F66" s="542"/>
      <c r="G66" s="542"/>
      <c r="H66" s="542"/>
      <c r="I66" s="542"/>
      <c r="J66" s="2"/>
      <c r="K66" s="2"/>
      <c r="L66" s="2"/>
      <c r="M66" s="2"/>
      <c r="N66" s="2"/>
      <c r="O66" s="2"/>
      <c r="P66" s="2"/>
      <c r="Q66" s="2"/>
    </row>
    <row r="67" spans="1:17" ht="15" customHeight="1">
      <c r="A67" s="542"/>
      <c r="B67" s="370" t="s">
        <v>2609</v>
      </c>
      <c r="C67" s="618"/>
      <c r="D67" s="618"/>
      <c r="E67" s="535"/>
      <c r="F67" s="542"/>
      <c r="G67" s="542"/>
      <c r="H67" s="542"/>
      <c r="I67" s="542"/>
      <c r="J67" s="2"/>
      <c r="K67" s="2"/>
      <c r="L67" s="2"/>
      <c r="M67" s="2"/>
      <c r="N67" s="2"/>
      <c r="O67" s="2"/>
      <c r="P67" s="2"/>
      <c r="Q67" s="2"/>
    </row>
    <row r="68" spans="1:17" ht="26.25" customHeight="1">
      <c r="A68" s="542"/>
      <c r="B68" s="806"/>
      <c r="C68" s="807" t="s">
        <v>2458</v>
      </c>
      <c r="D68" s="807" t="s">
        <v>2459</v>
      </c>
      <c r="E68" s="807" t="s">
        <v>2466</v>
      </c>
      <c r="F68" s="542"/>
      <c r="G68" s="542" t="s">
        <v>2469</v>
      </c>
      <c r="H68" s="542"/>
      <c r="I68" s="542"/>
      <c r="J68" s="2"/>
      <c r="K68" s="2"/>
      <c r="L68" s="2"/>
      <c r="M68" s="2"/>
      <c r="N68" s="2"/>
      <c r="O68" s="2"/>
      <c r="P68" s="2"/>
      <c r="Q68" s="2"/>
    </row>
    <row r="69" spans="1:17" ht="15" customHeight="1">
      <c r="A69" s="542"/>
      <c r="B69" s="542" t="s">
        <v>2354</v>
      </c>
      <c r="C69" s="548">
        <f>C32</f>
        <v>0.7</v>
      </c>
      <c r="D69" s="548">
        <f>D32</f>
        <v>1</v>
      </c>
      <c r="E69" s="697">
        <f>D69-C69</f>
        <v>0.30000000000000004</v>
      </c>
      <c r="F69" s="542"/>
      <c r="G69" s="542"/>
      <c r="H69" s="542"/>
      <c r="I69" s="542"/>
      <c r="J69" s="2"/>
      <c r="K69" s="2"/>
      <c r="L69" s="2"/>
      <c r="M69" s="2"/>
      <c r="N69" s="2"/>
      <c r="O69" s="2"/>
      <c r="P69" s="2"/>
      <c r="Q69" s="2"/>
    </row>
    <row r="70" spans="1:17" ht="15" customHeight="1">
      <c r="A70" s="542"/>
      <c r="B70" s="705" t="s">
        <v>2405</v>
      </c>
      <c r="C70" s="748">
        <f>C53</f>
        <v>2100</v>
      </c>
      <c r="D70" s="748">
        <f>D53</f>
        <v>3500</v>
      </c>
      <c r="E70" s="712">
        <f>D70-C70</f>
        <v>1400</v>
      </c>
      <c r="F70" s="542"/>
      <c r="G70" s="542" t="s">
        <v>2467</v>
      </c>
      <c r="H70" s="542"/>
      <c r="I70" s="542"/>
      <c r="J70" s="2"/>
      <c r="K70" s="2"/>
      <c r="L70" s="2"/>
      <c r="M70" s="2"/>
      <c r="N70" s="2"/>
      <c r="O70" s="2"/>
      <c r="P70" s="2"/>
      <c r="Q70" s="2"/>
    </row>
    <row r="71" spans="1:17" ht="15" customHeight="1">
      <c r="A71" s="542"/>
      <c r="B71" s="542" t="s">
        <v>2460</v>
      </c>
      <c r="C71" s="757">
        <f>IFERROR(C70/(C69*100),0)</f>
        <v>30</v>
      </c>
      <c r="D71" s="757">
        <f>IFERROR(D70/(D69*100),0)</f>
        <v>35</v>
      </c>
      <c r="E71" s="757">
        <f>IFERROR(E70/(E69*100),0)</f>
        <v>46.666666666666664</v>
      </c>
      <c r="F71" s="542"/>
      <c r="G71" s="542" t="s">
        <v>2461</v>
      </c>
      <c r="H71" s="542"/>
      <c r="I71" s="542"/>
      <c r="J71" s="2"/>
      <c r="K71" s="2"/>
      <c r="L71" s="2"/>
      <c r="M71" s="2"/>
      <c r="N71" s="2"/>
      <c r="O71" s="2"/>
      <c r="P71" s="2"/>
      <c r="Q71" s="2"/>
    </row>
    <row r="72" spans="1:17" ht="15" customHeight="1">
      <c r="A72" s="542"/>
      <c r="B72" s="542" t="s">
        <v>2462</v>
      </c>
      <c r="C72" s="697">
        <f>IFERROR(C51/C70,0)</f>
        <v>0.69047619047619047</v>
      </c>
      <c r="D72" s="697">
        <f>IFERROR(D51/D70,0)</f>
        <v>0.7142857142857143</v>
      </c>
      <c r="E72" s="697">
        <f>IFERROR((D51-C51)/E70,0)</f>
        <v>0.75</v>
      </c>
      <c r="F72" s="542"/>
      <c r="G72" s="542" t="s">
        <v>2463</v>
      </c>
      <c r="H72" s="542"/>
      <c r="I72" s="542"/>
      <c r="J72" s="2"/>
      <c r="K72" s="2"/>
      <c r="L72" s="2"/>
      <c r="M72" s="2"/>
      <c r="N72" s="2"/>
      <c r="O72" s="2"/>
      <c r="P72" s="2"/>
      <c r="Q72" s="2"/>
    </row>
    <row r="73" spans="1:17" ht="15" customHeight="1">
      <c r="A73" s="542"/>
      <c r="B73" s="542" t="s">
        <v>2464</v>
      </c>
      <c r="C73" s="546">
        <f>C54</f>
        <v>9786.1323541016918</v>
      </c>
      <c r="D73" s="546">
        <f>D54</f>
        <v>13980.189077288132</v>
      </c>
      <c r="E73" s="678">
        <f>D73-C73</f>
        <v>4194.0567231864406</v>
      </c>
      <c r="F73" s="542"/>
      <c r="G73" s="542"/>
      <c r="H73" s="542"/>
      <c r="I73" s="542"/>
      <c r="J73" s="2"/>
      <c r="K73" s="2"/>
      <c r="L73" s="2"/>
      <c r="M73" s="2"/>
      <c r="N73" s="2"/>
      <c r="O73" s="2"/>
      <c r="P73" s="2"/>
      <c r="Q73" s="2"/>
    </row>
    <row r="74" spans="1:17" ht="15" customHeight="1">
      <c r="A74" s="542"/>
      <c r="B74" s="542" t="s">
        <v>2407</v>
      </c>
      <c r="C74" s="698">
        <f>IFERROR(C73/C70,0)</f>
        <v>4.6600630257627103</v>
      </c>
      <c r="D74" s="698">
        <f>IFERROR(D73/D70,0)</f>
        <v>3.9943397363680377</v>
      </c>
      <c r="E74" s="698">
        <f>IFERROR(E73/E70,0)</f>
        <v>2.995754802276029</v>
      </c>
      <c r="F74" s="542"/>
      <c r="G74" s="542" t="s">
        <v>2465</v>
      </c>
      <c r="H74" s="542"/>
      <c r="I74" s="542"/>
      <c r="J74" s="2"/>
      <c r="K74" s="2"/>
      <c r="L74" s="2"/>
      <c r="M74" s="2"/>
      <c r="N74" s="2"/>
      <c r="O74" s="2"/>
      <c r="P74" s="2"/>
      <c r="Q74" s="2"/>
    </row>
    <row r="75" spans="1:17" ht="15" customHeight="1">
      <c r="A75" s="542"/>
      <c r="B75" s="542" t="s">
        <v>2478</v>
      </c>
      <c r="C75" s="723">
        <f>C57</f>
        <v>2.3809523809523814</v>
      </c>
      <c r="D75" s="723">
        <f>D57</f>
        <v>2.6666666666666674</v>
      </c>
      <c r="E75" s="698" t="s">
        <v>2377</v>
      </c>
      <c r="F75" s="542"/>
      <c r="G75" s="542" t="s">
        <v>2624</v>
      </c>
      <c r="H75" s="542"/>
      <c r="I75" s="542"/>
      <c r="J75" s="2"/>
      <c r="K75" s="2"/>
      <c r="L75" s="2"/>
      <c r="M75" s="2"/>
      <c r="N75" s="2"/>
      <c r="O75" s="2"/>
      <c r="P75" s="2"/>
      <c r="Q75" s="2"/>
    </row>
    <row r="76" spans="1:17" ht="15" customHeight="1">
      <c r="A76" s="542"/>
      <c r="B76" s="705" t="s">
        <v>2414</v>
      </c>
      <c r="C76" s="748">
        <f>C63</f>
        <v>4439.5369273197139</v>
      </c>
      <c r="D76" s="748">
        <f>D63</f>
        <v>4997.9324384867796</v>
      </c>
      <c r="E76" s="712">
        <f>D76-C76</f>
        <v>558.39551116706571</v>
      </c>
      <c r="F76" s="542"/>
      <c r="G76" s="542" t="s">
        <v>2468</v>
      </c>
      <c r="H76" s="542"/>
      <c r="I76" s="542"/>
      <c r="J76" s="2"/>
      <c r="K76" s="2"/>
      <c r="L76" s="2"/>
      <c r="M76" s="2"/>
      <c r="N76" s="2"/>
      <c r="O76" s="2"/>
      <c r="P76" s="2"/>
      <c r="Q76" s="2"/>
    </row>
    <row r="77" spans="1:17" ht="15" customHeight="1">
      <c r="A77" s="542"/>
      <c r="B77" s="713" t="s">
        <v>2416</v>
      </c>
      <c r="C77" s="741">
        <f>IFERROR((C70+C76)/C70,0)</f>
        <v>3.1140652034855782</v>
      </c>
      <c r="D77" s="741">
        <f>IFERROR((D70+D76)/D70,0)</f>
        <v>2.4279806967105086</v>
      </c>
      <c r="E77" s="758">
        <f>IFERROR((E70+E76)/E70,0)</f>
        <v>1.398853936547904</v>
      </c>
      <c r="F77" s="542"/>
      <c r="G77" s="542" t="s">
        <v>2417</v>
      </c>
      <c r="H77" s="542"/>
      <c r="I77" s="542"/>
      <c r="J77" s="2"/>
      <c r="K77" s="2"/>
      <c r="L77" s="2"/>
      <c r="M77" s="2"/>
      <c r="N77" s="2"/>
      <c r="O77" s="2"/>
      <c r="P77" s="2"/>
      <c r="Q77" s="2"/>
    </row>
    <row r="78" spans="1:17" ht="15" customHeight="1">
      <c r="A78" s="542"/>
      <c r="B78" s="715" t="s">
        <v>2418</v>
      </c>
      <c r="C78" s="716">
        <f>IFERROR(C77^(1/C$7)-1,0)</f>
        <v>0.25506304000579672</v>
      </c>
      <c r="D78" s="716">
        <f>IFERROR(D77^(1/D$7)-1,0)</f>
        <v>0.19412295203952645</v>
      </c>
      <c r="E78" s="717">
        <f>IFERROR(E77^(1/D$7)-1,0)</f>
        <v>6.943519816012933E-2</v>
      </c>
      <c r="F78" s="542"/>
      <c r="G78" s="542" t="s">
        <v>2419</v>
      </c>
      <c r="H78" s="542"/>
      <c r="I78" s="542"/>
      <c r="J78" s="2"/>
      <c r="K78" s="2"/>
      <c r="L78" s="2"/>
      <c r="M78" s="2"/>
      <c r="N78" s="2"/>
      <c r="O78" s="2"/>
      <c r="P78" s="2"/>
      <c r="Q78" s="2"/>
    </row>
    <row r="79" spans="1:17" ht="3.95" customHeight="1">
      <c r="A79" s="542"/>
      <c r="B79" s="542"/>
      <c r="C79" s="542"/>
      <c r="D79" s="542"/>
      <c r="E79" s="572"/>
      <c r="F79" s="542"/>
      <c r="G79" s="542"/>
      <c r="H79" s="542"/>
      <c r="I79" s="542"/>
      <c r="J79" s="2"/>
      <c r="K79" s="2"/>
      <c r="L79" s="2"/>
      <c r="M79" s="2"/>
      <c r="N79" s="2"/>
      <c r="O79" s="2"/>
      <c r="P79" s="2"/>
      <c r="Q79" s="2"/>
    </row>
    <row r="80" spans="1:17">
      <c r="A80" s="542"/>
      <c r="B80" s="454" t="s">
        <v>2362</v>
      </c>
      <c r="C80" s="623" t="s">
        <v>2345</v>
      </c>
      <c r="D80" s="623" t="s">
        <v>2346</v>
      </c>
      <c r="E80" s="455" t="s">
        <v>1918</v>
      </c>
      <c r="F80" s="542"/>
      <c r="G80" s="542"/>
      <c r="H80" s="542"/>
      <c r="I80" s="542"/>
      <c r="J80" s="2"/>
      <c r="K80" s="747" t="s">
        <v>2420</v>
      </c>
      <c r="L80" s="747">
        <v>0</v>
      </c>
      <c r="M80" s="747">
        <v>1</v>
      </c>
      <c r="N80" s="747">
        <v>2</v>
      </c>
      <c r="O80" s="747">
        <v>3</v>
      </c>
      <c r="P80" s="747">
        <v>4</v>
      </c>
      <c r="Q80" s="747">
        <v>5</v>
      </c>
    </row>
    <row r="81" spans="1:17" ht="15" customHeight="1">
      <c r="A81" s="542"/>
      <c r="B81" s="214" t="s">
        <v>2424</v>
      </c>
      <c r="C81" s="756">
        <f>C30</f>
        <v>3000</v>
      </c>
      <c r="D81" s="756">
        <f>D30</f>
        <v>3000</v>
      </c>
      <c r="E81" s="749">
        <f t="shared" ref="E81:E90" si="9">C81-D81</f>
        <v>0</v>
      </c>
      <c r="F81" s="682"/>
      <c r="G81" s="682" t="s">
        <v>2425</v>
      </c>
      <c r="H81" s="542"/>
      <c r="I81" s="542"/>
      <c r="J81" s="2"/>
      <c r="K81" s="747" t="s">
        <v>2421</v>
      </c>
      <c r="L81" s="367">
        <f t="shared" ref="L81:Q81" si="10">-(L$80=0)*($C$81-$C$82)+(L$80=$L$52)*$C$83+(L$80=$C$7)*($C$84+$C$85)</f>
        <v>-2350</v>
      </c>
      <c r="M81" s="367">
        <f t="shared" si="10"/>
        <v>0</v>
      </c>
      <c r="N81" s="367">
        <f t="shared" si="10"/>
        <v>0</v>
      </c>
      <c r="O81" s="367">
        <f t="shared" si="10"/>
        <v>0</v>
      </c>
      <c r="P81" s="367">
        <f t="shared" si="10"/>
        <v>0</v>
      </c>
      <c r="Q81" s="367">
        <f t="shared" si="10"/>
        <v>8433.8455322633326</v>
      </c>
    </row>
    <row r="82" spans="1:17" ht="15" customHeight="1">
      <c r="A82" s="542"/>
      <c r="B82" s="682" t="s">
        <v>2403</v>
      </c>
      <c r="C82" s="546">
        <f>C109</f>
        <v>650</v>
      </c>
      <c r="D82" s="546">
        <f>D109</f>
        <v>500</v>
      </c>
      <c r="E82" s="738">
        <f t="shared" si="9"/>
        <v>150</v>
      </c>
      <c r="F82" s="682"/>
      <c r="G82" s="682"/>
      <c r="H82" s="542"/>
      <c r="I82" s="542"/>
      <c r="J82" s="2"/>
      <c r="K82" s="747" t="s">
        <v>2422</v>
      </c>
      <c r="L82" s="367">
        <f t="shared" ref="L82:Q82" si="11">-(L$80=0)*($D$81-$D$82)+(L$80=$L$52)*$D$83+(L$80=$D$7)*($D$84+$D$85)</f>
        <v>-2500</v>
      </c>
      <c r="M82" s="367">
        <f t="shared" si="11"/>
        <v>0</v>
      </c>
      <c r="N82" s="367">
        <f t="shared" si="11"/>
        <v>0</v>
      </c>
      <c r="O82" s="367">
        <f t="shared" si="11"/>
        <v>500</v>
      </c>
      <c r="P82" s="367">
        <f t="shared" si="11"/>
        <v>0</v>
      </c>
      <c r="Q82" s="367">
        <f t="shared" si="11"/>
        <v>7333.2471849369504</v>
      </c>
    </row>
    <row r="83" spans="1:17" ht="15" customHeight="1">
      <c r="A83" s="542"/>
      <c r="B83" s="720" t="s">
        <v>2480</v>
      </c>
      <c r="C83" s="546">
        <f>C110</f>
        <v>0</v>
      </c>
      <c r="D83" s="546">
        <f>D110</f>
        <v>500</v>
      </c>
      <c r="E83" s="738">
        <f t="shared" si="9"/>
        <v>-500</v>
      </c>
      <c r="F83" s="682"/>
      <c r="G83" s="682"/>
      <c r="H83" s="542"/>
      <c r="I83" s="542"/>
      <c r="J83" s="2"/>
      <c r="K83" s="2"/>
      <c r="L83" s="2"/>
      <c r="M83" s="2"/>
      <c r="N83" s="2"/>
      <c r="O83" s="2"/>
      <c r="P83" s="2"/>
      <c r="Q83" s="2"/>
    </row>
    <row r="84" spans="1:17" ht="15" customHeight="1">
      <c r="A84" s="542"/>
      <c r="B84" s="720" t="s">
        <v>2426</v>
      </c>
      <c r="C84" s="546">
        <f>C106</f>
        <v>4194.0567231864397</v>
      </c>
      <c r="D84" s="546">
        <f>D106</f>
        <v>0</v>
      </c>
      <c r="E84" s="738">
        <f t="shared" si="9"/>
        <v>4194.0567231864397</v>
      </c>
      <c r="F84" s="682"/>
      <c r="G84" s="682" t="s">
        <v>2733</v>
      </c>
      <c r="H84" s="542"/>
      <c r="I84" s="542"/>
      <c r="J84" s="2"/>
      <c r="K84" s="2"/>
      <c r="L84" s="2"/>
      <c r="M84" s="2"/>
      <c r="N84" s="2"/>
      <c r="O84" s="2"/>
      <c r="P84" s="2"/>
      <c r="Q84" s="2"/>
    </row>
    <row r="85" spans="1:17" ht="15" customHeight="1">
      <c r="A85" s="542"/>
      <c r="B85" s="720" t="s">
        <v>2427</v>
      </c>
      <c r="C85" s="678">
        <f>C107+C108</f>
        <v>4239.7888090768929</v>
      </c>
      <c r="D85" s="678">
        <f>D107+D108</f>
        <v>7333.2471849369504</v>
      </c>
      <c r="E85" s="738">
        <f t="shared" si="9"/>
        <v>-3093.4583758600575</v>
      </c>
      <c r="F85" s="682"/>
      <c r="G85" s="682" t="s">
        <v>2428</v>
      </c>
      <c r="H85" s="542"/>
      <c r="I85" s="542"/>
      <c r="J85" s="2"/>
      <c r="K85" s="2"/>
      <c r="L85" s="2"/>
      <c r="M85" s="2"/>
      <c r="N85" s="2"/>
      <c r="O85" s="2"/>
      <c r="P85" s="2"/>
      <c r="Q85" s="2"/>
    </row>
    <row r="86" spans="1:17" ht="15" customHeight="1">
      <c r="A86" s="542"/>
      <c r="B86" s="104" t="s">
        <v>2429</v>
      </c>
      <c r="C86" s="706">
        <f>SUM(C82:C85)</f>
        <v>9083.8455322633326</v>
      </c>
      <c r="D86" s="706">
        <f>SUM(D82:D85)</f>
        <v>8333.2471849369504</v>
      </c>
      <c r="E86" s="754">
        <f t="shared" si="9"/>
        <v>750.59834732638228</v>
      </c>
      <c r="F86" s="682"/>
      <c r="G86" s="682" t="s">
        <v>2625</v>
      </c>
      <c r="H86" s="542"/>
      <c r="I86" s="542"/>
      <c r="J86" s="2"/>
      <c r="K86" s="2"/>
      <c r="L86" s="2"/>
      <c r="M86" s="2"/>
      <c r="N86" s="2"/>
      <c r="O86" s="2"/>
      <c r="P86" s="2"/>
      <c r="Q86" s="2"/>
    </row>
    <row r="87" spans="1:17" ht="15" customHeight="1">
      <c r="A87" s="542"/>
      <c r="B87" s="751" t="s">
        <v>2481</v>
      </c>
      <c r="C87" s="750">
        <f>IFERROR(C86/C81,0)</f>
        <v>3.0279485107544444</v>
      </c>
      <c r="D87" s="750">
        <f>IFERROR(D86/D81,0)</f>
        <v>2.7777490616456499</v>
      </c>
      <c r="E87" s="752">
        <f t="shared" si="9"/>
        <v>0.25019944910879444</v>
      </c>
      <c r="F87" s="682"/>
      <c r="G87" s="682" t="s">
        <v>2430</v>
      </c>
      <c r="H87" s="542"/>
      <c r="I87" s="542"/>
      <c r="J87" s="2"/>
      <c r="K87" s="2"/>
      <c r="L87" s="2"/>
      <c r="M87" s="2"/>
      <c r="N87" s="2"/>
      <c r="O87" s="2"/>
      <c r="P87" s="2"/>
      <c r="Q87" s="2"/>
    </row>
    <row r="88" spans="1:17" ht="15" customHeight="1">
      <c r="A88" s="542"/>
      <c r="B88" s="107" t="s">
        <v>2483</v>
      </c>
      <c r="C88" s="744">
        <f>IFERROR(IRR($L81:$Q81),0)</f>
        <v>0.29119416880747617</v>
      </c>
      <c r="D88" s="744">
        <f>IFERROR(IRR($L82:$Q82),0)</f>
        <v>0.26613900142438429</v>
      </c>
      <c r="E88" s="753">
        <f t="shared" si="9"/>
        <v>2.5055167383091881E-2</v>
      </c>
      <c r="F88" s="682"/>
      <c r="G88" s="682" t="s">
        <v>2626</v>
      </c>
      <c r="H88" s="542"/>
      <c r="I88" s="542"/>
      <c r="J88" s="2"/>
      <c r="K88" s="2"/>
      <c r="L88" s="2"/>
      <c r="M88" s="2"/>
      <c r="N88" s="2"/>
      <c r="O88" s="2"/>
      <c r="P88" s="2"/>
      <c r="Q88" s="2"/>
    </row>
    <row r="89" spans="1:17" ht="15" customHeight="1">
      <c r="A89" s="542"/>
      <c r="B89" s="720" t="s">
        <v>2431</v>
      </c>
      <c r="C89" s="546">
        <f>C94</f>
        <v>7490.2576987288121</v>
      </c>
      <c r="D89" s="546">
        <f>D94</f>
        <v>7490.2576987288121</v>
      </c>
      <c r="E89" s="738">
        <f t="shared" si="9"/>
        <v>0</v>
      </c>
      <c r="F89" s="682"/>
      <c r="G89" s="682" t="s">
        <v>2432</v>
      </c>
      <c r="H89" s="542"/>
      <c r="I89" s="542"/>
      <c r="J89" s="2"/>
      <c r="K89" s="2"/>
      <c r="L89" s="2"/>
      <c r="M89" s="2"/>
      <c r="N89" s="2"/>
      <c r="O89" s="2"/>
      <c r="P89" s="2"/>
      <c r="Q89" s="2"/>
    </row>
    <row r="90" spans="1:17" ht="15" customHeight="1">
      <c r="A90" s="542"/>
      <c r="B90" s="60" t="s">
        <v>2433</v>
      </c>
      <c r="C90" s="762">
        <f>C86-C89</f>
        <v>1593.5878335345205</v>
      </c>
      <c r="D90" s="762">
        <f>D86-D89</f>
        <v>842.98948620813826</v>
      </c>
      <c r="E90" s="763">
        <f t="shared" si="9"/>
        <v>750.59834732638228</v>
      </c>
      <c r="F90" s="682"/>
      <c r="G90" s="682" t="s">
        <v>2434</v>
      </c>
      <c r="H90" s="542"/>
      <c r="I90" s="542"/>
      <c r="J90" s="2"/>
      <c r="K90" s="2"/>
      <c r="L90" s="2"/>
      <c r="M90" s="2"/>
      <c r="N90" s="2"/>
      <c r="O90" s="2"/>
      <c r="P90" s="2"/>
      <c r="Q90" s="2"/>
    </row>
    <row r="91" spans="1:17" ht="3.95" customHeight="1">
      <c r="A91" s="542"/>
      <c r="B91" s="542"/>
      <c r="C91" s="572"/>
      <c r="D91" s="572"/>
      <c r="E91" s="572"/>
      <c r="F91" s="542"/>
      <c r="G91" s="542"/>
      <c r="H91" s="542"/>
      <c r="I91" s="542"/>
      <c r="J91" s="2"/>
      <c r="K91" s="2"/>
      <c r="L91" s="2"/>
      <c r="M91" s="2"/>
      <c r="N91" s="2"/>
      <c r="O91" s="2"/>
      <c r="P91" s="2"/>
      <c r="Q91" s="2"/>
    </row>
    <row r="92" spans="1:17">
      <c r="A92" s="542"/>
      <c r="B92" s="454" t="s">
        <v>2363</v>
      </c>
      <c r="C92" s="623" t="s">
        <v>2345</v>
      </c>
      <c r="D92" s="623" t="s">
        <v>2346</v>
      </c>
      <c r="E92" s="455" t="s">
        <v>1918</v>
      </c>
      <c r="F92" s="542"/>
      <c r="G92" s="542"/>
      <c r="H92" s="542"/>
      <c r="I92" s="542"/>
      <c r="J92" s="2"/>
      <c r="K92" s="2"/>
      <c r="L92" s="2"/>
      <c r="M92" s="2"/>
      <c r="N92" s="2"/>
      <c r="O92" s="2"/>
      <c r="P92" s="2"/>
      <c r="Q92" s="2"/>
    </row>
    <row r="93" spans="1:17">
      <c r="A93" s="542"/>
      <c r="B93" s="542" t="s">
        <v>2364</v>
      </c>
      <c r="C93" s="703">
        <f>'Partnership Analysis'!$D$92</f>
        <v>9083.8455322633326</v>
      </c>
      <c r="D93" s="703">
        <f>'100% Buyout Analysis'!$D$81</f>
        <v>8333.2471849369504</v>
      </c>
      <c r="E93" s="607">
        <f>C93-D93</f>
        <v>750.59834732638228</v>
      </c>
      <c r="F93" s="542"/>
      <c r="G93" s="542"/>
      <c r="H93" s="542"/>
      <c r="I93" s="542"/>
      <c r="J93" s="2"/>
      <c r="K93" s="2"/>
      <c r="L93" s="2"/>
      <c r="M93" s="2"/>
      <c r="N93" s="2"/>
      <c r="O93" s="2"/>
      <c r="P93" s="2"/>
      <c r="Q93" s="2"/>
    </row>
    <row r="94" spans="1:17">
      <c r="A94" s="542"/>
      <c r="B94" s="559" t="s">
        <v>2365</v>
      </c>
      <c r="C94" s="701">
        <f>'Partnership Analysis'!$D$74</f>
        <v>7490.2576987288121</v>
      </c>
      <c r="D94" s="701">
        <f>'100% Buyout Analysis'!$D$72</f>
        <v>7490.2576987288121</v>
      </c>
      <c r="E94" s="678">
        <f>C94-D94</f>
        <v>0</v>
      </c>
      <c r="F94" s="542"/>
      <c r="G94" s="542"/>
      <c r="H94" s="542"/>
      <c r="I94" s="542"/>
      <c r="J94" s="2"/>
      <c r="K94" s="2"/>
      <c r="L94" s="2"/>
      <c r="M94" s="2"/>
      <c r="N94" s="2"/>
      <c r="O94" s="2"/>
      <c r="P94" s="2"/>
      <c r="Q94" s="2"/>
    </row>
    <row r="95" spans="1:17">
      <c r="A95" s="542"/>
      <c r="B95" s="713" t="s">
        <v>2366</v>
      </c>
      <c r="C95" s="707">
        <f>C93-C94</f>
        <v>1593.5878335345205</v>
      </c>
      <c r="D95" s="707">
        <f>D93-D94</f>
        <v>842.98948620813826</v>
      </c>
      <c r="E95" s="714">
        <f>C95-D95</f>
        <v>750.59834732638228</v>
      </c>
      <c r="F95" s="542"/>
      <c r="G95" s="542"/>
      <c r="H95" s="542"/>
      <c r="I95" s="542"/>
      <c r="J95" s="2"/>
      <c r="K95" s="2"/>
      <c r="L95" s="2"/>
      <c r="M95" s="2"/>
      <c r="N95" s="2"/>
      <c r="O95" s="2"/>
      <c r="P95" s="2"/>
      <c r="Q95" s="2"/>
    </row>
    <row r="96" spans="1:17">
      <c r="A96" s="542"/>
      <c r="B96" s="715" t="s">
        <v>2367</v>
      </c>
      <c r="C96" s="716">
        <f>IFERROR(C93/C94-1,0)</f>
        <v>0.21275474057521038</v>
      </c>
      <c r="D96" s="716">
        <f>IFERROR(D93/D94-1,0)</f>
        <v>0.1125447908622963</v>
      </c>
      <c r="E96" s="717"/>
      <c r="F96" s="542"/>
      <c r="G96" s="542"/>
      <c r="H96" s="542"/>
      <c r="I96" s="542"/>
      <c r="J96" s="2"/>
      <c r="K96" s="2"/>
      <c r="L96" s="2"/>
      <c r="M96" s="2"/>
      <c r="N96" s="2"/>
      <c r="O96" s="2"/>
      <c r="P96" s="2"/>
      <c r="Q96" s="2"/>
    </row>
    <row r="97" spans="1:17">
      <c r="A97" s="542"/>
      <c r="B97" s="542" t="s">
        <v>2368</v>
      </c>
      <c r="C97" s="704">
        <f>'Partnership Analysis'!$D$97</f>
        <v>3.0279485107544444</v>
      </c>
      <c r="D97" s="704">
        <f>'100% Buyout Analysis'!$D$86</f>
        <v>2.7777490616456499</v>
      </c>
      <c r="E97" s="698">
        <f t="shared" ref="E97:E102" si="12">C97-D97</f>
        <v>0.25019944910879444</v>
      </c>
      <c r="F97" s="542"/>
      <c r="G97" s="542"/>
      <c r="H97" s="542"/>
      <c r="I97" s="542"/>
      <c r="J97" s="2"/>
      <c r="K97" s="2"/>
      <c r="L97" s="2"/>
      <c r="M97" s="2"/>
      <c r="N97" s="2"/>
      <c r="O97" s="2"/>
      <c r="P97" s="2"/>
      <c r="Q97" s="2"/>
    </row>
    <row r="98" spans="1:17">
      <c r="A98" s="542"/>
      <c r="B98" s="559" t="s">
        <v>2369</v>
      </c>
      <c r="C98" s="698">
        <f>IFERROR('Partnership Analysis'!$D$74/'Partnership Analysis'!$C$74,0)</f>
        <v>2.4967525662429373</v>
      </c>
      <c r="D98" s="698">
        <f>IFERROR('100% Buyout Analysis'!$D$72/'100% Buyout Analysis'!$C$72,0)</f>
        <v>2.4967525662429373</v>
      </c>
      <c r="E98" s="698">
        <f t="shared" si="12"/>
        <v>0</v>
      </c>
      <c r="F98" s="542"/>
      <c r="G98" s="542" t="s">
        <v>2370</v>
      </c>
      <c r="H98" s="542"/>
      <c r="I98" s="542"/>
      <c r="J98" s="2"/>
      <c r="K98" s="2"/>
      <c r="L98" s="2"/>
      <c r="M98" s="2"/>
      <c r="N98" s="2"/>
      <c r="O98" s="2"/>
      <c r="P98" s="2"/>
      <c r="Q98" s="2"/>
    </row>
    <row r="99" spans="1:17">
      <c r="A99" s="542"/>
      <c r="B99" s="538" t="s">
        <v>2371</v>
      </c>
      <c r="C99" s="724">
        <f>C97-C98</f>
        <v>0.53119594451150709</v>
      </c>
      <c r="D99" s="724">
        <f>D97-D98</f>
        <v>0.28099649540271265</v>
      </c>
      <c r="E99" s="725">
        <f t="shared" si="12"/>
        <v>0.25019944910879444</v>
      </c>
      <c r="F99" s="542"/>
      <c r="G99" s="542"/>
      <c r="H99" s="542"/>
      <c r="I99" s="542"/>
      <c r="J99" s="2"/>
      <c r="K99" s="2"/>
      <c r="L99" s="2"/>
      <c r="M99" s="2"/>
      <c r="N99" s="2"/>
      <c r="O99" s="2"/>
      <c r="P99" s="2"/>
      <c r="Q99" s="2"/>
    </row>
    <row r="100" spans="1:17">
      <c r="A100" s="542"/>
      <c r="B100" s="542" t="s">
        <v>2372</v>
      </c>
      <c r="C100" s="711">
        <f>'Partnership Analysis'!$D$98</f>
        <v>0.29119416880747639</v>
      </c>
      <c r="D100" s="711">
        <f>'100% Buyout Analysis'!$D$87</f>
        <v>0.26613900142438429</v>
      </c>
      <c r="E100" s="699">
        <f t="shared" si="12"/>
        <v>2.5055167383092103E-2</v>
      </c>
      <c r="F100" s="542"/>
      <c r="G100" s="542" t="s">
        <v>2373</v>
      </c>
      <c r="H100" s="542"/>
      <c r="I100" s="542"/>
      <c r="J100" s="2"/>
      <c r="K100" s="2"/>
      <c r="L100" s="2"/>
      <c r="M100" s="2"/>
      <c r="N100" s="2"/>
      <c r="O100" s="2"/>
      <c r="P100" s="2"/>
      <c r="Q100" s="2"/>
    </row>
    <row r="101" spans="1:17">
      <c r="A101" s="542"/>
      <c r="B101" s="559" t="s">
        <v>2374</v>
      </c>
      <c r="C101" s="699">
        <f>IFERROR(C98^(1/C$7)-1,0)</f>
        <v>0.20081222595661186</v>
      </c>
      <c r="D101" s="699">
        <f>IFERROR(D98^(1/D$7)-1,0)</f>
        <v>0.20081222595661186</v>
      </c>
      <c r="E101" s="699">
        <f t="shared" si="12"/>
        <v>0</v>
      </c>
      <c r="F101" s="542"/>
      <c r="G101" s="542"/>
      <c r="H101" s="542"/>
      <c r="I101" s="542"/>
      <c r="J101" s="2"/>
      <c r="K101" s="2"/>
      <c r="L101" s="2"/>
      <c r="M101" s="2"/>
      <c r="N101" s="2"/>
      <c r="O101" s="2"/>
      <c r="P101" s="2"/>
      <c r="Q101" s="2"/>
    </row>
    <row r="102" spans="1:17">
      <c r="A102" s="542"/>
      <c r="B102" s="538" t="s">
        <v>2375</v>
      </c>
      <c r="C102" s="726">
        <f>C100-C101</f>
        <v>9.0381942850864538E-2</v>
      </c>
      <c r="D102" s="726">
        <f>D100-D101</f>
        <v>6.5326775467772435E-2</v>
      </c>
      <c r="E102" s="727">
        <f t="shared" si="12"/>
        <v>2.5055167383092103E-2</v>
      </c>
      <c r="F102" s="542"/>
      <c r="G102" s="542"/>
      <c r="H102" s="542"/>
      <c r="I102" s="542"/>
      <c r="J102" s="2"/>
      <c r="K102" s="2"/>
      <c r="L102" s="2"/>
      <c r="M102" s="2"/>
      <c r="N102" s="2"/>
      <c r="O102" s="2"/>
      <c r="P102" s="2"/>
      <c r="Q102" s="2"/>
    </row>
    <row r="103" spans="1:17">
      <c r="A103" s="542"/>
      <c r="B103" s="542" t="s">
        <v>2376</v>
      </c>
      <c r="C103" s="678">
        <f>C86-C93</f>
        <v>0</v>
      </c>
      <c r="D103" s="678">
        <f>D86-D93</f>
        <v>0</v>
      </c>
      <c r="E103" s="678"/>
      <c r="F103" s="542"/>
      <c r="G103" s="542" t="s">
        <v>2109</v>
      </c>
      <c r="H103" s="542"/>
      <c r="I103" s="542"/>
      <c r="J103" s="2"/>
      <c r="K103" s="2"/>
      <c r="L103" s="2"/>
      <c r="M103" s="2"/>
      <c r="N103" s="2"/>
      <c r="O103" s="2"/>
      <c r="P103" s="2"/>
      <c r="Q103" s="2"/>
    </row>
    <row r="104" spans="1:17" ht="3.95" customHeight="1">
      <c r="A104" s="542"/>
      <c r="B104" s="542"/>
      <c r="C104" s="572"/>
      <c r="D104" s="572"/>
      <c r="E104" s="572"/>
      <c r="F104" s="542"/>
      <c r="G104" s="542"/>
      <c r="H104" s="542"/>
      <c r="I104" s="542"/>
      <c r="J104" s="2"/>
      <c r="K104" s="2"/>
      <c r="L104" s="2"/>
      <c r="M104" s="2"/>
      <c r="N104" s="2"/>
      <c r="O104" s="2"/>
      <c r="P104" s="2"/>
      <c r="Q104" s="2"/>
    </row>
    <row r="105" spans="1:17">
      <c r="A105" s="542"/>
      <c r="B105" s="370" t="s">
        <v>2617</v>
      </c>
      <c r="C105" s="623" t="s">
        <v>2345</v>
      </c>
      <c r="D105" s="623" t="s">
        <v>2346</v>
      </c>
      <c r="E105" s="455" t="s">
        <v>1918</v>
      </c>
      <c r="F105" s="542"/>
      <c r="G105" s="542"/>
      <c r="H105" s="542"/>
      <c r="I105" s="542"/>
      <c r="J105" s="2"/>
      <c r="K105" s="2"/>
      <c r="L105" s="2"/>
      <c r="M105" s="2"/>
      <c r="N105" s="2"/>
      <c r="O105" s="2"/>
      <c r="P105" s="2"/>
      <c r="Q105" s="2"/>
    </row>
    <row r="106" spans="1:17">
      <c r="A106" s="542"/>
      <c r="B106" s="542" t="s">
        <v>2379</v>
      </c>
      <c r="C106" s="703">
        <f>'Partnership Analysis'!$D$87</f>
        <v>4194.0567231864397</v>
      </c>
      <c r="D106" s="719">
        <v>0</v>
      </c>
      <c r="E106" s="607">
        <f t="shared" ref="E106:E111" si="13">C106-D106</f>
        <v>4194.0567231864397</v>
      </c>
      <c r="F106" s="542"/>
      <c r="G106" s="542" t="s">
        <v>2380</v>
      </c>
      <c r="H106" s="542"/>
      <c r="I106" s="542"/>
      <c r="J106" s="2"/>
      <c r="K106" s="2"/>
      <c r="L106" s="2"/>
      <c r="M106" s="2"/>
      <c r="N106" s="2"/>
      <c r="O106" s="2"/>
      <c r="P106" s="2"/>
      <c r="Q106" s="2"/>
    </row>
    <row r="107" spans="1:17">
      <c r="A107" s="542"/>
      <c r="B107" s="559" t="s">
        <v>2381</v>
      </c>
      <c r="C107" s="701">
        <f>'Partnership Analysis'!$D$88</f>
        <v>219.37180338120552</v>
      </c>
      <c r="D107" s="701">
        <f>'100% Buyout Analysis'!$C$118</f>
        <v>531.247184936949</v>
      </c>
      <c r="E107" s="678">
        <f t="shared" si="13"/>
        <v>-311.8753815557435</v>
      </c>
      <c r="F107" s="542"/>
      <c r="G107" s="542"/>
      <c r="H107" s="542"/>
      <c r="I107" s="542"/>
      <c r="J107" s="2"/>
      <c r="K107" s="2"/>
      <c r="L107" s="2"/>
      <c r="M107" s="2"/>
      <c r="N107" s="2"/>
      <c r="O107" s="2"/>
      <c r="P107" s="2"/>
      <c r="Q107" s="2"/>
    </row>
    <row r="108" spans="1:17">
      <c r="A108" s="542"/>
      <c r="B108" s="559" t="s">
        <v>2382</v>
      </c>
      <c r="C108" s="701">
        <f>'Partnership Analysis'!$D$89</f>
        <v>4020.4170056956877</v>
      </c>
      <c r="D108" s="701">
        <f>'100% Buyout Analysis'!$C$117</f>
        <v>6802.0000000000009</v>
      </c>
      <c r="E108" s="678">
        <f t="shared" si="13"/>
        <v>-2781.5829943043132</v>
      </c>
      <c r="F108" s="542"/>
      <c r="G108" s="542"/>
      <c r="H108" s="542"/>
      <c r="I108" s="542"/>
      <c r="J108" s="2"/>
      <c r="K108" s="2"/>
      <c r="L108" s="2"/>
      <c r="M108" s="2"/>
      <c r="N108" s="2"/>
      <c r="O108" s="2"/>
      <c r="P108" s="2"/>
      <c r="Q108" s="2"/>
    </row>
    <row r="109" spans="1:17">
      <c r="A109" s="542"/>
      <c r="B109" s="559" t="s">
        <v>2065</v>
      </c>
      <c r="C109" s="701">
        <f>'Partnership Analysis'!$D$90</f>
        <v>650</v>
      </c>
      <c r="D109" s="701">
        <f>'100% Buyout Analysis'!$C$119</f>
        <v>500</v>
      </c>
      <c r="E109" s="678">
        <f t="shared" si="13"/>
        <v>150</v>
      </c>
      <c r="F109" s="542"/>
      <c r="G109" s="542"/>
      <c r="H109" s="542"/>
      <c r="I109" s="542"/>
      <c r="J109" s="2"/>
      <c r="K109" s="2"/>
      <c r="L109" s="2"/>
      <c r="M109" s="2"/>
      <c r="N109" s="2"/>
      <c r="O109" s="2"/>
      <c r="P109" s="2"/>
      <c r="Q109" s="2"/>
    </row>
    <row r="110" spans="1:17">
      <c r="A110" s="542"/>
      <c r="B110" s="559" t="s">
        <v>2267</v>
      </c>
      <c r="C110" s="701">
        <f>'Partnership Analysis'!$D$91</f>
        <v>0</v>
      </c>
      <c r="D110" s="701">
        <f>'100% Buyout Analysis'!$C$120</f>
        <v>500</v>
      </c>
      <c r="E110" s="678">
        <f t="shared" si="13"/>
        <v>-500</v>
      </c>
      <c r="F110" s="542"/>
      <c r="G110" s="542"/>
      <c r="H110" s="542"/>
      <c r="I110" s="542"/>
      <c r="J110" s="2"/>
      <c r="K110" s="2"/>
      <c r="L110" s="2"/>
      <c r="M110" s="2"/>
      <c r="N110" s="2"/>
      <c r="O110" s="2"/>
      <c r="P110" s="2"/>
      <c r="Q110" s="2"/>
    </row>
    <row r="111" spans="1:17">
      <c r="A111" s="542"/>
      <c r="B111" s="709" t="s">
        <v>2383</v>
      </c>
      <c r="C111" s="708">
        <f>SUM(C106:C110)</f>
        <v>9083.8455322633326</v>
      </c>
      <c r="D111" s="708">
        <f>SUM(D106:D110)</f>
        <v>8333.2471849369504</v>
      </c>
      <c r="E111" s="710">
        <f t="shared" si="13"/>
        <v>750.59834732638228</v>
      </c>
      <c r="F111" s="542"/>
      <c r="G111" s="542"/>
      <c r="H111" s="542"/>
      <c r="I111" s="542"/>
      <c r="J111" s="2"/>
      <c r="K111" s="2"/>
      <c r="L111" s="2"/>
      <c r="M111" s="2"/>
      <c r="N111" s="2"/>
      <c r="O111" s="2"/>
      <c r="P111" s="2"/>
      <c r="Q111" s="2"/>
    </row>
    <row r="112" spans="1:17">
      <c r="A112" s="542"/>
      <c r="B112" s="542" t="s">
        <v>2384</v>
      </c>
      <c r="C112" s="678">
        <f>C111-C93</f>
        <v>0</v>
      </c>
      <c r="D112" s="678">
        <f>D111-D93</f>
        <v>0</v>
      </c>
      <c r="E112" s="678"/>
      <c r="F112" s="542"/>
      <c r="G112" s="542" t="s">
        <v>2109</v>
      </c>
      <c r="H112" s="542"/>
      <c r="I112" s="542"/>
      <c r="J112" s="2"/>
      <c r="K112" s="2"/>
      <c r="L112" s="2"/>
      <c r="M112" s="2"/>
      <c r="N112" s="2"/>
      <c r="O112" s="2"/>
      <c r="P112" s="2"/>
      <c r="Q112" s="2"/>
    </row>
    <row r="113" spans="1:17" ht="3.95" customHeight="1">
      <c r="A113" s="542"/>
      <c r="B113" s="542"/>
      <c r="C113" s="572"/>
      <c r="D113" s="572"/>
      <c r="E113" s="572"/>
      <c r="F113" s="542"/>
      <c r="G113" s="542"/>
      <c r="H113" s="542"/>
      <c r="I113" s="542"/>
      <c r="J113" s="2"/>
      <c r="K113" s="2"/>
      <c r="L113" s="2"/>
      <c r="M113" s="2"/>
      <c r="N113" s="2"/>
      <c r="O113" s="2"/>
      <c r="P113" s="2"/>
      <c r="Q113" s="2"/>
    </row>
    <row r="114" spans="1:17">
      <c r="A114" s="542"/>
      <c r="B114" s="454" t="s">
        <v>2435</v>
      </c>
      <c r="C114" s="623" t="s">
        <v>2345</v>
      </c>
      <c r="D114" s="623" t="s">
        <v>2346</v>
      </c>
      <c r="E114" s="455" t="s">
        <v>1918</v>
      </c>
      <c r="F114" s="542"/>
      <c r="G114" s="542"/>
      <c r="H114" s="542"/>
      <c r="I114" s="542"/>
      <c r="J114" s="2"/>
      <c r="K114" s="2"/>
      <c r="L114" s="2"/>
      <c r="M114" s="2"/>
      <c r="N114" s="2"/>
      <c r="O114" s="2"/>
      <c r="P114" s="2"/>
      <c r="Q114" s="2"/>
    </row>
    <row r="115" spans="1:17">
      <c r="A115" s="542"/>
      <c r="B115" s="542" t="s">
        <v>2098</v>
      </c>
      <c r="C115" s="704">
        <f>'Partnership Analysis'!$C$136</f>
        <v>1.2778458633955196</v>
      </c>
      <c r="D115" s="698" t="s">
        <v>2377</v>
      </c>
      <c r="E115" s="698" t="str">
        <f>IF(ISNUMBER(D115),C115-D115,"n/m")</f>
        <v>n/m</v>
      </c>
      <c r="F115" s="542"/>
      <c r="G115" s="542" t="s">
        <v>2378</v>
      </c>
      <c r="H115" s="542"/>
      <c r="I115" s="542"/>
      <c r="J115" s="2"/>
      <c r="K115" s="2"/>
      <c r="L115" s="2"/>
      <c r="M115" s="2"/>
      <c r="N115" s="2"/>
      <c r="O115" s="2"/>
      <c r="P115" s="2"/>
      <c r="Q115" s="2"/>
    </row>
    <row r="116" spans="1:17">
      <c r="A116" s="542"/>
      <c r="B116" s="542" t="s">
        <v>2134</v>
      </c>
      <c r="C116" s="703">
        <f>'Partnership Analysis'!$C$137</f>
        <v>108260.36488515696</v>
      </c>
      <c r="D116" s="703">
        <f>'100% Buyout Analysis'!$C$133</f>
        <v>156816.06615241745</v>
      </c>
      <c r="E116" s="607">
        <f>C116-D116</f>
        <v>-48555.701267260491</v>
      </c>
      <c r="F116" s="542"/>
      <c r="G116" s="542"/>
      <c r="H116" s="542"/>
      <c r="I116" s="542"/>
      <c r="J116" s="2"/>
      <c r="K116" s="2"/>
      <c r="L116" s="2"/>
      <c r="M116" s="2"/>
      <c r="N116" s="2"/>
      <c r="O116" s="2"/>
      <c r="P116" s="2"/>
      <c r="Q116" s="2"/>
    </row>
    <row r="117" spans="1:17">
      <c r="A117" s="542"/>
      <c r="B117" s="542" t="s">
        <v>2135</v>
      </c>
      <c r="C117" s="718">
        <f>'Partnership Analysis'!$C$138</f>
        <v>11.591141430944759</v>
      </c>
      <c r="D117" s="718">
        <f>'100% Buyout Analysis'!$C$134</f>
        <v>16.796090480248772</v>
      </c>
      <c r="E117" s="700">
        <f>C117-D117</f>
        <v>-5.2049490493040125</v>
      </c>
      <c r="F117" s="542"/>
      <c r="G117" s="542"/>
      <c r="H117" s="542"/>
      <c r="I117" s="542"/>
      <c r="J117" s="2"/>
      <c r="K117" s="2"/>
      <c r="L117" s="2"/>
      <c r="M117" s="2"/>
      <c r="N117" s="2"/>
      <c r="O117" s="2"/>
      <c r="P117" s="2"/>
      <c r="Q117" s="2"/>
    </row>
    <row r="118" spans="1:17">
      <c r="A118" s="542"/>
      <c r="B118" s="542" t="s">
        <v>2136</v>
      </c>
      <c r="C118" s="701">
        <f>'Partnership Analysis'!$C$139</f>
        <v>52.986228625586691</v>
      </c>
      <c r="D118" s="701">
        <f>'100% Buyout Analysis'!$C$135</f>
        <v>105.96740499845221</v>
      </c>
      <c r="E118" s="678">
        <f>C118-D118</f>
        <v>-52.981176372865519</v>
      </c>
      <c r="F118" s="542"/>
      <c r="G118" s="542"/>
      <c r="H118" s="542"/>
      <c r="I118" s="542"/>
      <c r="J118" s="2"/>
      <c r="K118" s="2"/>
      <c r="L118" s="2"/>
      <c r="M118" s="2"/>
      <c r="N118" s="2"/>
      <c r="O118" s="2"/>
      <c r="P118" s="2"/>
      <c r="Q118" s="2"/>
    </row>
    <row r="119" spans="1:17">
      <c r="A119" s="542"/>
      <c r="B119" s="542" t="s">
        <v>2329</v>
      </c>
      <c r="C119" s="702">
        <f>'Partnership Analysis'!$C$141</f>
        <v>0.40707166324338928</v>
      </c>
      <c r="D119" s="702">
        <f>'100% Buyout Analysis'!$C$136</f>
        <v>0.15920673907497873</v>
      </c>
      <c r="E119" s="697">
        <f>C119-D119</f>
        <v>0.24786492416841055</v>
      </c>
      <c r="F119" s="542"/>
      <c r="G119" s="542"/>
      <c r="H119" s="542"/>
      <c r="I119" s="542"/>
      <c r="J119" s="2"/>
      <c r="K119" s="2"/>
      <c r="L119" s="2"/>
      <c r="M119" s="2"/>
      <c r="N119" s="2"/>
      <c r="O119" s="2"/>
      <c r="P119" s="2"/>
      <c r="Q119" s="2"/>
    </row>
    <row r="120" spans="1:17">
      <c r="A120" s="542"/>
      <c r="B120" s="542" t="s">
        <v>2740</v>
      </c>
      <c r="C120" s="711">
        <f>'Partnership Analysis'!$C$140</f>
        <v>0.12774199395700969</v>
      </c>
      <c r="D120" s="711">
        <f>'100% Buyout Analysis'!$C$137</f>
        <v>0.21465018998633023</v>
      </c>
      <c r="E120" s="699">
        <f>C120-D120</f>
        <v>-8.6908196029320539E-2</v>
      </c>
      <c r="F120" s="542"/>
      <c r="G120" s="542" t="s">
        <v>2741</v>
      </c>
      <c r="H120" s="542"/>
      <c r="I120" s="542"/>
      <c r="J120" s="2"/>
      <c r="K120" s="2"/>
      <c r="L120" s="2"/>
      <c r="M120" s="2"/>
      <c r="N120" s="2"/>
      <c r="O120" s="2"/>
      <c r="P120" s="2"/>
      <c r="Q120" s="2"/>
    </row>
    <row r="121" spans="1:17" ht="3.95" customHeight="1">
      <c r="A121" s="542"/>
      <c r="B121" s="542"/>
      <c r="C121" s="572"/>
      <c r="D121" s="572"/>
      <c r="E121" s="572"/>
      <c r="F121" s="542"/>
      <c r="G121" s="542"/>
      <c r="H121" s="542"/>
      <c r="I121" s="542"/>
      <c r="J121" s="2"/>
      <c r="K121" s="2"/>
      <c r="L121" s="2"/>
      <c r="M121" s="2"/>
      <c r="N121" s="2"/>
      <c r="O121" s="2"/>
      <c r="P121" s="2"/>
      <c r="Q121" s="2"/>
    </row>
    <row r="122" spans="1:17">
      <c r="A122" s="542"/>
      <c r="B122" s="454" t="s">
        <v>2436</v>
      </c>
      <c r="C122" s="623" t="s">
        <v>2345</v>
      </c>
      <c r="D122" s="623" t="s">
        <v>2346</v>
      </c>
      <c r="E122" s="455" t="s">
        <v>1918</v>
      </c>
      <c r="F122" s="542"/>
      <c r="G122" s="542"/>
      <c r="H122" s="542"/>
      <c r="I122" s="542"/>
      <c r="J122" s="2"/>
      <c r="K122" s="2"/>
      <c r="L122" s="2"/>
      <c r="M122" s="2"/>
      <c r="N122" s="2"/>
      <c r="O122" s="2"/>
      <c r="P122" s="2"/>
      <c r="Q122" s="2"/>
    </row>
    <row r="123" spans="1:17">
      <c r="A123" s="542"/>
      <c r="B123" s="542" t="s">
        <v>2389</v>
      </c>
      <c r="C123" s="698">
        <f>'Partnership Analysis'!$D$136-C115</f>
        <v>0.72215413660448036</v>
      </c>
      <c r="D123" s="698" t="s">
        <v>2377</v>
      </c>
      <c r="E123" s="698" t="str">
        <f>IF(ISNUMBER(D123),C123-D123,"n/m")</f>
        <v>n/m</v>
      </c>
      <c r="F123" s="542"/>
      <c r="G123" s="542" t="s">
        <v>2390</v>
      </c>
      <c r="H123" s="542"/>
      <c r="I123" s="542"/>
      <c r="J123" s="2"/>
      <c r="K123" s="2"/>
      <c r="L123" s="2"/>
      <c r="M123" s="2"/>
      <c r="N123" s="2"/>
      <c r="O123" s="2"/>
      <c r="P123" s="2"/>
      <c r="Q123" s="2"/>
    </row>
    <row r="124" spans="1:17">
      <c r="A124" s="542"/>
      <c r="B124" s="542" t="s">
        <v>2391</v>
      </c>
      <c r="C124" s="607">
        <f>'Partnership Analysis'!$D$137-C116</f>
        <v>71089.635114843069</v>
      </c>
      <c r="D124" s="607">
        <f>'100% Buyout Analysis'!$D$133-D116</f>
        <v>22183.933847582579</v>
      </c>
      <c r="E124" s="607">
        <f>C124-D124</f>
        <v>48905.701267260491</v>
      </c>
      <c r="F124" s="542"/>
      <c r="G124" s="542" t="s">
        <v>2392</v>
      </c>
      <c r="H124" s="542"/>
      <c r="I124" s="542"/>
      <c r="J124" s="2"/>
      <c r="K124" s="2"/>
      <c r="L124" s="2"/>
      <c r="M124" s="2"/>
      <c r="N124" s="2"/>
      <c r="O124" s="2"/>
      <c r="P124" s="2"/>
      <c r="Q124" s="2"/>
    </row>
    <row r="125" spans="1:17">
      <c r="A125" s="542"/>
      <c r="B125" s="542" t="s">
        <v>2393</v>
      </c>
      <c r="C125" s="700">
        <f>'Partnership Analysis'!$D$138-C117</f>
        <v>7.5659466916606064</v>
      </c>
      <c r="D125" s="700">
        <f>'100% Buyout Analysis'!$D$134-D117</f>
        <v>2.3609976423565939</v>
      </c>
      <c r="E125" s="700">
        <f>C125-D125</f>
        <v>5.2049490493040125</v>
      </c>
      <c r="F125" s="542"/>
      <c r="G125" s="542" t="s">
        <v>2394</v>
      </c>
      <c r="H125" s="542"/>
      <c r="I125" s="542"/>
      <c r="J125" s="2"/>
      <c r="K125" s="2"/>
      <c r="L125" s="2"/>
      <c r="M125" s="2"/>
      <c r="N125" s="2"/>
      <c r="O125" s="2"/>
      <c r="P125" s="2"/>
      <c r="Q125" s="2"/>
    </row>
    <row r="126" spans="1:17">
      <c r="A126" s="542"/>
      <c r="B126" s="542" t="s">
        <v>2395</v>
      </c>
      <c r="C126" s="678">
        <f>'Partnership Analysis'!$D$139-C118</f>
        <v>77.013771374413309</v>
      </c>
      <c r="D126" s="678">
        <f>'100% Buyout Analysis'!$D$135-D118</f>
        <v>24.03259500154779</v>
      </c>
      <c r="E126" s="678">
        <f>C126-D126</f>
        <v>52.981176372865519</v>
      </c>
      <c r="F126" s="542"/>
      <c r="G126" s="542" t="s">
        <v>2734</v>
      </c>
      <c r="H126" s="542"/>
      <c r="I126" s="542"/>
      <c r="J126" s="2"/>
      <c r="K126" s="2"/>
      <c r="L126" s="2"/>
      <c r="M126" s="2"/>
      <c r="N126" s="2"/>
      <c r="O126" s="2"/>
      <c r="P126" s="2"/>
      <c r="Q126" s="2"/>
    </row>
    <row r="127" spans="1:17">
      <c r="A127" s="542"/>
      <c r="B127" s="542" t="s">
        <v>2396</v>
      </c>
      <c r="C127" s="699">
        <f>C119-'Partnership Analysis'!$D$141</f>
        <v>0.35707166324338929</v>
      </c>
      <c r="D127" s="699">
        <f>D119-'100% Buyout Analysis'!$D$136</f>
        <v>0.10920673907497873</v>
      </c>
      <c r="E127" s="699">
        <f>C127-D127</f>
        <v>0.24786492416841055</v>
      </c>
      <c r="F127" s="542"/>
      <c r="G127" s="542" t="s">
        <v>2397</v>
      </c>
      <c r="H127" s="542"/>
      <c r="I127" s="542"/>
      <c r="J127" s="2"/>
      <c r="K127" s="2"/>
      <c r="L127" s="2"/>
      <c r="M127" s="2"/>
      <c r="N127" s="2"/>
      <c r="O127" s="2"/>
      <c r="P127" s="2"/>
      <c r="Q127" s="2"/>
    </row>
    <row r="128" spans="1:17">
      <c r="A128" s="542"/>
      <c r="B128" s="542" t="s">
        <v>2747</v>
      </c>
      <c r="C128" s="699">
        <f>'Partnership Analysis'!$D$140-C120</f>
        <v>0.11980275210184033</v>
      </c>
      <c r="D128" s="699">
        <f>'100% Buyout Analysis'!$D$137-D120</f>
        <v>3.2473409273357623E-2</v>
      </c>
      <c r="E128" s="699">
        <f>C128-D128</f>
        <v>8.7329342828482703E-2</v>
      </c>
      <c r="F128" s="542"/>
      <c r="G128" s="542" t="s">
        <v>2748</v>
      </c>
      <c r="H128" s="542"/>
      <c r="I128" s="542"/>
      <c r="J128" s="2"/>
      <c r="K128" s="2"/>
      <c r="L128" s="2"/>
      <c r="M128" s="2"/>
      <c r="N128" s="2"/>
      <c r="O128" s="2"/>
      <c r="P128" s="2"/>
      <c r="Q128" s="2"/>
    </row>
    <row r="129" spans="2:17" ht="3.95" customHeight="1">
      <c r="B129" s="2"/>
      <c r="C129" s="2"/>
      <c r="D129" s="2"/>
      <c r="E129" s="81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2:17" ht="15" customHeight="1">
      <c r="B130" s="454" t="s">
        <v>2437</v>
      </c>
      <c r="C130" s="623" t="s">
        <v>2345</v>
      </c>
      <c r="D130" s="623" t="s">
        <v>2346</v>
      </c>
      <c r="E130" s="455" t="s">
        <v>1918</v>
      </c>
      <c r="F130" s="542"/>
      <c r="G130" s="542" t="s">
        <v>2470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2:17" ht="15" customHeight="1">
      <c r="B131" s="542" t="s">
        <v>2438</v>
      </c>
      <c r="C131" s="607">
        <f>C34+C$147/(1-C$147)*('Partnership Analysis'!$D$81+C34+C36)</f>
        <v>5000.0000000000009</v>
      </c>
      <c r="D131" s="607">
        <f>D34+D$147/(1-D$147)*('100% Buyout Analysis'!$D$75+D34+D36)</f>
        <v>8000.0000000000018</v>
      </c>
      <c r="E131" s="607">
        <f t="shared" ref="E131:E136" si="14">C131-D131</f>
        <v>-3000.0000000000009</v>
      </c>
      <c r="F131" s="542"/>
      <c r="G131" s="542" t="s">
        <v>2471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2:17" ht="15" customHeight="1">
      <c r="B132" s="542" t="s">
        <v>2439</v>
      </c>
      <c r="C132" s="678">
        <f>IFERROR(C131/C$32/C$15,0)</f>
        <v>3571.4285714285725</v>
      </c>
      <c r="D132" s="678">
        <f>IFERROR(D131/D$32/D$15,0)</f>
        <v>4000.0000000000009</v>
      </c>
      <c r="E132" s="678">
        <f t="shared" si="14"/>
        <v>-428.57142857142844</v>
      </c>
      <c r="F132" s="542"/>
      <c r="G132" s="542" t="s">
        <v>2440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2:17" ht="15" customHeight="1">
      <c r="B133" s="542" t="s">
        <v>2079</v>
      </c>
      <c r="C133" s="698">
        <f>IFERROR(C131/C$32/('Partnership Analysis'!$C$47+'Partnership Analysis'!$C$42),0)</f>
        <v>1.0218541542419126</v>
      </c>
      <c r="D133" s="698">
        <f>IFERROR(D131/D$32/('100% Buyout Analysis'!$C$46+'100% Buyout Analysis'!$C$41),0)</f>
        <v>1.144476652750942</v>
      </c>
      <c r="E133" s="698">
        <f t="shared" si="14"/>
        <v>-0.1226224985090294</v>
      </c>
      <c r="F133" s="542"/>
      <c r="G133" s="542" t="s">
        <v>2441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2:17" ht="15" customHeight="1">
      <c r="B134" s="542" t="s">
        <v>2442</v>
      </c>
      <c r="C134" s="755">
        <f>IFERROR((C132-'Partnership Analysis'!$C$47)/'Partnership Analysis'!$C$36/C$7,0)</f>
        <v>6.8891979877330503</v>
      </c>
      <c r="D134" s="755">
        <f>IFERROR((D132-'100% Buyout Analysis'!$C$46)/'100% Buyout Analysis'!$C$35/D$7,0)</f>
        <v>12.042937872552807</v>
      </c>
      <c r="E134" s="755">
        <f t="shared" si="14"/>
        <v>-5.1537398848197569</v>
      </c>
      <c r="F134" s="542"/>
      <c r="G134" s="542" t="s">
        <v>2443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2:17" ht="15" customHeight="1">
      <c r="B135" s="542" t="s">
        <v>2444</v>
      </c>
      <c r="C135" s="755">
        <f>IFERROR((C132-'Partnership Analysis'!$C$47)/'Partnership Analysis'!$C$41,0)</f>
        <v>2.3870314642857182</v>
      </c>
      <c r="D135" s="755">
        <f>IFERROR((D132-'100% Buyout Analysis'!$C$46)/'100% Buyout Analysis'!$C$40,0)</f>
        <v>4.1727457500000034</v>
      </c>
      <c r="E135" s="755">
        <f t="shared" si="14"/>
        <v>-1.7857142857142851</v>
      </c>
      <c r="F135" s="542"/>
      <c r="G135" s="542" t="s">
        <v>2445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2:17" ht="15" customHeight="1">
      <c r="B136" s="542" t="s">
        <v>2446</v>
      </c>
      <c r="C136" s="699">
        <f>IFERROR((C132/'Partnership Analysis'!$C$47)^(1/C$7)-1,0)</f>
        <v>3.5586534725546626E-2</v>
      </c>
      <c r="D136" s="699">
        <f>IFERROR((D132/'100% Buyout Analysis'!$C$46)^(1/D$7)-1,0)</f>
        <v>5.9326896882016866E-2</v>
      </c>
      <c r="E136" s="699">
        <f t="shared" si="14"/>
        <v>-2.3740362156470241E-2</v>
      </c>
      <c r="F136" s="542"/>
      <c r="G136" s="542" t="s">
        <v>2447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2:17" ht="3.95" customHeight="1">
      <c r="B137" s="542"/>
      <c r="C137" s="572"/>
      <c r="D137" s="572"/>
      <c r="E137" s="572"/>
      <c r="F137" s="542"/>
      <c r="G137" s="54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2:17" ht="15" customHeight="1">
      <c r="B138" s="454" t="s">
        <v>2448</v>
      </c>
      <c r="C138" s="623" t="s">
        <v>2345</v>
      </c>
      <c r="D138" s="623" t="s">
        <v>2346</v>
      </c>
      <c r="E138" s="455" t="s">
        <v>1918</v>
      </c>
      <c r="F138" s="542"/>
      <c r="G138" s="54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2:17" ht="15" customHeight="1">
      <c r="B139" s="542" t="s">
        <v>2449</v>
      </c>
      <c r="C139" s="607">
        <f>C54-C131</f>
        <v>4786.1323541016909</v>
      </c>
      <c r="D139" s="607">
        <f>D54-D131</f>
        <v>5980.1890772881306</v>
      </c>
      <c r="E139" s="607">
        <f t="shared" ref="E139:E144" si="15">C139-D139</f>
        <v>-1194.0567231864397</v>
      </c>
      <c r="F139" s="542"/>
      <c r="G139" s="542" t="s">
        <v>2627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2:17" ht="15" customHeight="1">
      <c r="B140" s="542" t="s">
        <v>2450</v>
      </c>
      <c r="C140" s="678">
        <f>'Partnership Analysis'!$C$47+'Partnership Analysis'!$C$42-C132</f>
        <v>3418.6659672154938</v>
      </c>
      <c r="D140" s="678">
        <f>'100% Buyout Analysis'!$C$46+'100% Buyout Analysis'!$C$41-D132</f>
        <v>2990.0945386440653</v>
      </c>
      <c r="E140" s="678">
        <f t="shared" si="15"/>
        <v>428.57142857142844</v>
      </c>
      <c r="F140" s="542"/>
      <c r="G140" s="542" t="s">
        <v>2451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 ht="15" customHeight="1">
      <c r="B141" s="542" t="s">
        <v>2452</v>
      </c>
      <c r="C141" s="698">
        <f>C$15-C133</f>
        <v>0.97814584575808738</v>
      </c>
      <c r="D141" s="698">
        <f>D$15-D133</f>
        <v>0.85552334724905799</v>
      </c>
      <c r="E141" s="698">
        <f t="shared" si="15"/>
        <v>0.1226224985090294</v>
      </c>
      <c r="F141" s="542"/>
      <c r="G141" s="542" t="s">
        <v>2453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2:17" ht="15" customHeight="1">
      <c r="B142" s="542" t="s">
        <v>2454</v>
      </c>
      <c r="C142" s="755">
        <f>'Partnership Analysis'!$C$40-C134</f>
        <v>41.110802012266952</v>
      </c>
      <c r="D142" s="755">
        <f>'100% Buyout Analysis'!$C$39-D134</f>
        <v>35.957062127447195</v>
      </c>
      <c r="E142" s="755">
        <f t="shared" si="15"/>
        <v>5.1537398848197569</v>
      </c>
      <c r="F142" s="542"/>
      <c r="G142" s="542" t="s">
        <v>2735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 ht="15" customHeight="1">
      <c r="B143" s="542" t="s">
        <v>2455</v>
      </c>
      <c r="C143" s="755">
        <f>'Partnership Analysis'!$C$36-C135</f>
        <v>14.244441530064558</v>
      </c>
      <c r="D143" s="755">
        <f>'100% Buyout Analysis'!$C$35-D135</f>
        <v>12.458727244350271</v>
      </c>
      <c r="E143" s="755">
        <f t="shared" si="15"/>
        <v>1.7857142857142865</v>
      </c>
      <c r="F143" s="542"/>
      <c r="G143" s="542" t="s">
        <v>2456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2:17" ht="15" customHeight="1">
      <c r="B144" s="542" t="s">
        <v>2457</v>
      </c>
      <c r="C144" s="699">
        <f>IFERROR((('Partnership Analysis'!$C$47+'Partnership Analysis'!$C$42)/'Partnership Analysis'!$C$47)^(1/C$7)-1,0)-C136</f>
        <v>0.14885768000358879</v>
      </c>
      <c r="D144" s="699">
        <f>IFERROR((('100% Buyout Analysis'!$C$46+'100% Buyout Analysis'!$C$41)/'100% Buyout Analysis'!$C$46)^(1/D$7)-1,0)-D136</f>
        <v>0.12511731784711855</v>
      </c>
      <c r="E144" s="699">
        <f t="shared" si="15"/>
        <v>2.3740362156470241E-2</v>
      </c>
      <c r="F144" s="542"/>
      <c r="G144" s="542" t="s">
        <v>2398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3.95" customHeight="1">
      <c r="B145" s="2"/>
      <c r="C145" s="2"/>
      <c r="D145" s="2"/>
      <c r="E145" s="81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B146" s="454" t="s">
        <v>2399</v>
      </c>
      <c r="C146" s="623" t="s">
        <v>2345</v>
      </c>
      <c r="D146" s="623" t="s">
        <v>2346</v>
      </c>
      <c r="E146" s="455" t="s">
        <v>1918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542"/>
      <c r="B147" s="542" t="s">
        <v>2356</v>
      </c>
      <c r="C147" s="711">
        <f>'Partnership Analysis'!$C$193</f>
        <v>2.3596419853539462E-2</v>
      </c>
      <c r="D147" s="711">
        <f>'100% Buyout Analysis'!$C$178</f>
        <v>0.04</v>
      </c>
      <c r="E147" s="699">
        <f>C147-D147</f>
        <v>-1.6403580146460539E-2</v>
      </c>
      <c r="F147" s="542"/>
      <c r="G147" s="542"/>
      <c r="H147" s="542"/>
      <c r="I147" s="542"/>
      <c r="J147" s="2"/>
      <c r="K147" s="2"/>
      <c r="L147" s="2"/>
      <c r="M147" s="2"/>
      <c r="N147" s="2"/>
      <c r="O147" s="2"/>
      <c r="P147" s="2"/>
      <c r="Q147" s="2"/>
    </row>
    <row r="148" spans="1:17">
      <c r="A148" s="542"/>
      <c r="B148" s="542" t="s">
        <v>2332</v>
      </c>
      <c r="C148" s="711">
        <f>'Partnership Analysis'!$D$193</f>
        <v>2.2416598860862488E-2</v>
      </c>
      <c r="D148" s="711">
        <f>'100% Buyout Analysis'!$D$178</f>
        <v>3.7999999999999999E-2</v>
      </c>
      <c r="E148" s="699">
        <f>C148-D148</f>
        <v>-1.5583401139137511E-2</v>
      </c>
      <c r="F148" s="542"/>
      <c r="G148" s="542"/>
      <c r="H148" s="542"/>
      <c r="I148" s="542"/>
      <c r="J148" s="2"/>
      <c r="K148" s="2"/>
      <c r="L148" s="2"/>
      <c r="M148" s="2"/>
      <c r="N148" s="2"/>
      <c r="O148" s="2"/>
      <c r="P148" s="2"/>
      <c r="Q148" s="2"/>
    </row>
    <row r="149" spans="1:17">
      <c r="A149" s="542"/>
      <c r="B149" s="542" t="s">
        <v>2357</v>
      </c>
      <c r="C149" s="699">
        <f>1-C147</f>
        <v>0.97640358014646056</v>
      </c>
      <c r="D149" s="699">
        <f>1-D147</f>
        <v>0.96</v>
      </c>
      <c r="E149" s="699">
        <f>C149-D149</f>
        <v>1.6403580146460595E-2</v>
      </c>
      <c r="F149" s="542"/>
      <c r="G149" s="542" t="s">
        <v>2358</v>
      </c>
      <c r="H149" s="542"/>
      <c r="I149" s="542"/>
      <c r="J149" s="2"/>
      <c r="K149" s="2"/>
      <c r="L149" s="2"/>
      <c r="M149" s="2"/>
      <c r="N149" s="2"/>
      <c r="O149" s="2"/>
      <c r="P149" s="2"/>
      <c r="Q149" s="2"/>
    </row>
    <row r="150" spans="1:17">
      <c r="A150" s="542"/>
      <c r="B150" s="542" t="s">
        <v>2359</v>
      </c>
      <c r="C150" s="699">
        <f>C149*(1-C$8)</f>
        <v>0.92758340113913751</v>
      </c>
      <c r="D150" s="699">
        <f>D149*(1-D$8)</f>
        <v>0.91199999999999992</v>
      </c>
      <c r="E150" s="699">
        <f>C150-D150</f>
        <v>1.5583401139137587E-2</v>
      </c>
      <c r="F150" s="542"/>
      <c r="G150" s="542" t="s">
        <v>2360</v>
      </c>
      <c r="H150" s="542"/>
      <c r="I150" s="542"/>
      <c r="J150" s="2"/>
      <c r="K150" s="2"/>
      <c r="L150" s="2"/>
      <c r="M150" s="2"/>
      <c r="N150" s="2"/>
      <c r="O150" s="2"/>
      <c r="P150" s="2"/>
      <c r="Q150" s="2"/>
    </row>
  </sheetData>
  <conditionalFormatting sqref="B30:E40 B7:E28 B42:E48 B50:E66 B69:E79 B81:E91 B93:E104 B106:E113 B115:E121 B123:E129 B131:E137 B139:E145 B147:E150">
    <cfRule type="expression" dxfId="92" priority="3">
      <formula>$I$3=1</formula>
    </cfRule>
  </conditionalFormatting>
  <conditionalFormatting sqref="C38:D38">
    <cfRule type="expression" dxfId="91" priority="2">
      <formula>ROUND(C38,0)&lt;&gt;0</formula>
    </cfRule>
  </conditionalFormatting>
  <pageMargins left="0.7" right="0.7" top="0.75" bottom="0.75" header="0.3" footer="0.3"/>
  <pageSetup scale="7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7B78-536B-42ED-838B-72A05FC9CBDE}">
  <sheetPr>
    <pageSetUpPr fitToPage="1"/>
  </sheetPr>
  <dimension ref="A1:DE468"/>
  <sheetViews>
    <sheetView showGridLines="0" view="pageBreakPreview" zoomScaleNormal="100" zoomScaleSheetLayoutView="100" workbookViewId="0"/>
  </sheetViews>
  <sheetFormatPr defaultRowHeight="15" outlineLevelRow="1"/>
  <cols>
    <col min="1" max="1" width="1.7109375" customWidth="1"/>
    <col min="2" max="2" width="9" customWidth="1"/>
    <col min="3" max="12" width="8.7109375" customWidth="1"/>
    <col min="13" max="13" width="3.140625" customWidth="1"/>
    <col min="14" max="14" width="16.85546875" customWidth="1"/>
    <col min="15" max="15" width="18.140625" customWidth="1"/>
    <col min="16" max="16" width="24.5703125" customWidth="1"/>
    <col min="17" max="17" width="29.42578125" customWidth="1"/>
    <col min="18" max="18" width="23.7109375" customWidth="1"/>
    <col min="26" max="34" width="8.7109375" customWidth="1"/>
    <col min="35" max="35" width="1.7109375" customWidth="1"/>
    <col min="36" max="44" width="8.7109375" customWidth="1"/>
  </cols>
  <sheetData>
    <row r="1" spans="1:54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</row>
    <row r="2" spans="1:54" ht="16.5">
      <c r="A2" s="417"/>
      <c r="B2" s="449" t="str">
        <f>Cover!$B$24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54">
      <c r="A3" s="417"/>
      <c r="B3" s="765" t="s">
        <v>2484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85"/>
      <c r="N3" s="417" t="s">
        <v>276</v>
      </c>
      <c r="O3" s="786">
        <v>1</v>
      </c>
      <c r="P3" s="417"/>
      <c r="Q3" s="417"/>
    </row>
    <row r="4" spans="1:54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</row>
    <row r="5" spans="1:54">
      <c r="A5" s="417"/>
      <c r="B5" s="796" t="s">
        <v>2737</v>
      </c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417"/>
      <c r="N5" s="417"/>
      <c r="O5" s="417"/>
      <c r="P5" s="417"/>
      <c r="Q5" s="417"/>
    </row>
    <row r="6" spans="1:54">
      <c r="A6" s="417"/>
      <c r="B6" s="148" t="s">
        <v>2529</v>
      </c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</row>
    <row r="7" spans="1:54" ht="2.1" customHeight="1">
      <c r="A7" s="417"/>
      <c r="B7" s="417"/>
      <c r="C7" s="417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</row>
    <row r="8" spans="1:54" ht="12.75" customHeight="1">
      <c r="A8" s="417"/>
      <c r="B8" s="454"/>
      <c r="C8" s="454"/>
      <c r="D8" s="768" t="s">
        <v>2527</v>
      </c>
      <c r="E8" s="768"/>
      <c r="F8" s="768"/>
      <c r="G8" s="768"/>
      <c r="H8" s="768"/>
      <c r="I8" s="768"/>
      <c r="J8" s="768"/>
      <c r="K8" s="768"/>
      <c r="L8" s="768"/>
      <c r="M8" s="417"/>
      <c r="N8" s="417"/>
      <c r="O8" s="417"/>
      <c r="P8" s="417"/>
      <c r="Q8" s="417"/>
      <c r="S8" s="787" t="s">
        <v>2537</v>
      </c>
      <c r="T8" s="747"/>
      <c r="U8" s="747"/>
      <c r="V8" s="747"/>
      <c r="W8" s="747"/>
      <c r="X8" s="747"/>
      <c r="Z8" s="787" t="s">
        <v>2551</v>
      </c>
      <c r="AA8" s="747"/>
      <c r="AB8" s="747"/>
      <c r="AC8" s="747"/>
      <c r="AD8" s="747"/>
      <c r="AE8" s="747"/>
      <c r="AF8" s="747"/>
      <c r="AG8" s="747"/>
      <c r="AH8" s="747"/>
    </row>
    <row r="9" spans="1:54" ht="12.75" customHeight="1">
      <c r="A9" s="417"/>
      <c r="B9" s="454"/>
      <c r="C9" s="454"/>
      <c r="D9" s="769">
        <f>E9-$G$441</f>
        <v>1.0219039595619215</v>
      </c>
      <c r="E9" s="769">
        <f>F9-$G$441</f>
        <v>1.2719039595619215</v>
      </c>
      <c r="F9" s="769">
        <f>G9-$G$441</f>
        <v>1.5219039595619215</v>
      </c>
      <c r="G9" s="769">
        <f>H9-$G$441</f>
        <v>1.7719039595619215</v>
      </c>
      <c r="H9" s="769">
        <f>$G$440</f>
        <v>2.0219039595619215</v>
      </c>
      <c r="I9" s="769">
        <f>H9+$G$441</f>
        <v>2.2719039595619215</v>
      </c>
      <c r="J9" s="769">
        <f>I9+$G$441</f>
        <v>2.5219039595619215</v>
      </c>
      <c r="K9" s="769">
        <f>J9+$G$441</f>
        <v>2.7719039595619215</v>
      </c>
      <c r="L9" s="769">
        <f>K9+$G$441</f>
        <v>3.0219039595619215</v>
      </c>
      <c r="M9" s="417"/>
      <c r="N9" s="773" t="s">
        <v>2498</v>
      </c>
      <c r="O9" s="773" t="s">
        <v>2499</v>
      </c>
      <c r="P9" s="773" t="s">
        <v>2500</v>
      </c>
      <c r="Q9" s="773" t="s">
        <v>2501</v>
      </c>
      <c r="R9" s="773" t="s">
        <v>2502</v>
      </c>
      <c r="S9" s="788">
        <v>0</v>
      </c>
      <c r="T9" s="789">
        <f>S9+1</f>
        <v>1</v>
      </c>
      <c r="U9" s="789">
        <f>T9+1</f>
        <v>2</v>
      </c>
      <c r="V9" s="789">
        <f>U9+1</f>
        <v>3</v>
      </c>
      <c r="W9" s="789">
        <f>V9+1</f>
        <v>4</v>
      </c>
      <c r="X9" s="789">
        <f>W9+1</f>
        <v>5</v>
      </c>
      <c r="Z9" s="799">
        <f>D$9</f>
        <v>1.0219039595619215</v>
      </c>
      <c r="AA9" s="799">
        <f t="shared" ref="AA9:AH9" si="0">E$9</f>
        <v>1.2719039595619215</v>
      </c>
      <c r="AB9" s="799">
        <f t="shared" si="0"/>
        <v>1.5219039595619215</v>
      </c>
      <c r="AC9" s="799">
        <f t="shared" si="0"/>
        <v>1.7719039595619215</v>
      </c>
      <c r="AD9" s="799">
        <f t="shared" si="0"/>
        <v>2.0219039595619215</v>
      </c>
      <c r="AE9" s="799">
        <f t="shared" si="0"/>
        <v>2.2719039595619215</v>
      </c>
      <c r="AF9" s="799">
        <f t="shared" si="0"/>
        <v>2.5219039595619215</v>
      </c>
      <c r="AG9" s="799">
        <f t="shared" si="0"/>
        <v>2.7719039595619215</v>
      </c>
      <c r="AH9" s="799">
        <f t="shared" si="0"/>
        <v>3.0219039595619215</v>
      </c>
      <c r="AT9" s="773" t="s">
        <v>2616</v>
      </c>
      <c r="AU9" s="427"/>
      <c r="AV9" s="427"/>
      <c r="AW9" s="427"/>
      <c r="AX9" s="427"/>
      <c r="AY9" s="427"/>
      <c r="AZ9" s="427"/>
      <c r="BA9" s="427"/>
      <c r="BB9" s="427"/>
    </row>
    <row r="10" spans="1:54">
      <c r="A10" s="417"/>
      <c r="B10" s="820" t="s">
        <v>2528</v>
      </c>
      <c r="C10" s="780">
        <f>C11-$G$439</f>
        <v>0.15000000000000002</v>
      </c>
      <c r="D10" s="621">
        <f>ROUND(Z10,$G$452)</f>
        <v>3600</v>
      </c>
      <c r="E10" s="621">
        <f t="shared" ref="E10:E16" si="1">ROUND(AA10,$G$452)</f>
        <v>4000</v>
      </c>
      <c r="F10" s="621">
        <f t="shared" ref="F10:F16" si="2">ROUND(AB10,$G$452)</f>
        <v>4500</v>
      </c>
      <c r="G10" s="621">
        <f t="shared" ref="G10:G16" si="3">ROUND(AC10,$G$452)</f>
        <v>4900</v>
      </c>
      <c r="H10" s="621">
        <f t="shared" ref="H10:H16" si="4">ROUND(AD10,$G$452)</f>
        <v>5300</v>
      </c>
      <c r="I10" s="621">
        <f t="shared" ref="I10:I16" si="5">ROUND(AE10,$G$452)</f>
        <v>5800</v>
      </c>
      <c r="J10" s="621">
        <f t="shared" ref="J10:J16" si="6">ROUND(AF10,$G$452)</f>
        <v>6200</v>
      </c>
      <c r="K10" s="621">
        <f t="shared" ref="K10:K16" si="7">ROUND(AG10,$G$452)</f>
        <v>6600</v>
      </c>
      <c r="L10" s="621">
        <f t="shared" ref="L10:L16" si="8">ROUND(AH10,$G$452)</f>
        <v>7100</v>
      </c>
      <c r="M10" s="417"/>
      <c r="N10" s="770">
        <f t="shared" ref="N10:N16" si="9">$C10</f>
        <v>0.15000000000000002</v>
      </c>
      <c r="O10" s="428">
        <f t="shared" ref="O10:O16" si="10">$G$433</f>
        <v>650</v>
      </c>
      <c r="P10" s="428">
        <f t="shared" ref="P10:P16" si="11">$G$430*(1-N10)-O10</f>
        <v>1900</v>
      </c>
      <c r="Q10" s="428">
        <f t="shared" ref="Q10:Q16" si="12">$G$432-O10</f>
        <v>59350</v>
      </c>
      <c r="R10" s="771">
        <f t="shared" ref="R10:R16" si="13">IFERROR(P10/(Q10+$G$430*(1-N10)),0)*(1-$G$434)</f>
        <v>2.9159935379644585E-2</v>
      </c>
      <c r="Z10" s="367">
        <f t="shared" ref="Z10:AH16" si="14">$O10+$G$435+$N10*$G$431+$R10*($Q10*(1+D$9)+$G$431*(1-$N10))-$G$430</f>
        <v>3592.7328057261657</v>
      </c>
      <c r="AA10" s="367">
        <f t="shared" si="14"/>
        <v>4025.3933469216427</v>
      </c>
      <c r="AB10" s="367">
        <f t="shared" si="14"/>
        <v>4458.0538881171196</v>
      </c>
      <c r="AC10" s="367">
        <f t="shared" si="14"/>
        <v>4890.7144293125957</v>
      </c>
      <c r="AD10" s="367">
        <f t="shared" si="14"/>
        <v>5323.3749705080736</v>
      </c>
      <c r="AE10" s="367">
        <f t="shared" si="14"/>
        <v>5756.0355117035488</v>
      </c>
      <c r="AF10" s="367">
        <f t="shared" si="14"/>
        <v>6188.6960528990257</v>
      </c>
      <c r="AG10" s="367">
        <f t="shared" si="14"/>
        <v>6621.3565940945009</v>
      </c>
      <c r="AH10" s="367">
        <f t="shared" si="14"/>
        <v>7054.0171352899779</v>
      </c>
      <c r="AT10" s="805">
        <f>IF(Z50&lt;$G$449,0,MIN($G$446,1+IFERROR(INT((Z50-$G$449)/$G$451),0)))</f>
        <v>0</v>
      </c>
      <c r="AU10" s="805">
        <f t="shared" ref="AU10:BB10" si="15">IF(AA50&lt;$G$449,0,MIN($G$446,1+IFERROR(INT((AA50-$G$449)/$G$451),0)))</f>
        <v>0</v>
      </c>
      <c r="AV10" s="805">
        <f t="shared" si="15"/>
        <v>0</v>
      </c>
      <c r="AW10" s="805">
        <f t="shared" si="15"/>
        <v>0</v>
      </c>
      <c r="AX10" s="805">
        <f t="shared" si="15"/>
        <v>0</v>
      </c>
      <c r="AY10" s="805">
        <f t="shared" si="15"/>
        <v>2</v>
      </c>
      <c r="AZ10" s="805">
        <f t="shared" si="15"/>
        <v>4</v>
      </c>
      <c r="BA10" s="805">
        <f t="shared" si="15"/>
        <v>5</v>
      </c>
      <c r="BB10" s="805">
        <f t="shared" si="15"/>
        <v>7</v>
      </c>
    </row>
    <row r="11" spans="1:54">
      <c r="A11" s="417"/>
      <c r="B11" s="821"/>
      <c r="C11" s="780">
        <f>C12-$G$439</f>
        <v>0.2</v>
      </c>
      <c r="D11" s="470">
        <f t="shared" ref="D11:D16" si="16">ROUND(Z11,$G$452)</f>
        <v>4000</v>
      </c>
      <c r="E11" s="470">
        <f t="shared" si="1"/>
        <v>4400</v>
      </c>
      <c r="F11" s="470">
        <f t="shared" si="2"/>
        <v>4800</v>
      </c>
      <c r="G11" s="470">
        <f t="shared" si="3"/>
        <v>5200</v>
      </c>
      <c r="H11" s="470">
        <f t="shared" si="4"/>
        <v>5600</v>
      </c>
      <c r="I11" s="470">
        <f t="shared" si="5"/>
        <v>6000</v>
      </c>
      <c r="J11" s="470">
        <f t="shared" si="6"/>
        <v>6400</v>
      </c>
      <c r="K11" s="470">
        <f t="shared" si="7"/>
        <v>6800</v>
      </c>
      <c r="L11" s="470">
        <f t="shared" si="8"/>
        <v>7200</v>
      </c>
      <c r="M11" s="417"/>
      <c r="N11" s="770">
        <f t="shared" si="9"/>
        <v>0.2</v>
      </c>
      <c r="O11" s="428">
        <f t="shared" si="10"/>
        <v>650</v>
      </c>
      <c r="P11" s="428">
        <f t="shared" si="11"/>
        <v>1750</v>
      </c>
      <c r="Q11" s="428">
        <f t="shared" si="12"/>
        <v>59350</v>
      </c>
      <c r="R11" s="771">
        <f t="shared" si="13"/>
        <v>2.6923076923076921E-2</v>
      </c>
      <c r="Z11" s="367">
        <f t="shared" si="14"/>
        <v>3977.9188109684492</v>
      </c>
      <c r="AA11" s="367">
        <f t="shared" si="14"/>
        <v>4377.3899648146016</v>
      </c>
      <c r="AB11" s="367">
        <f t="shared" si="14"/>
        <v>4776.8611186607559</v>
      </c>
      <c r="AC11" s="367">
        <f t="shared" si="14"/>
        <v>5176.3322725069092</v>
      </c>
      <c r="AD11" s="367">
        <f t="shared" si="14"/>
        <v>5575.8034263530644</v>
      </c>
      <c r="AE11" s="367">
        <f t="shared" si="14"/>
        <v>5975.2745801992169</v>
      </c>
      <c r="AF11" s="367">
        <f t="shared" si="14"/>
        <v>6374.7457340453711</v>
      </c>
      <c r="AG11" s="367">
        <f t="shared" si="14"/>
        <v>6774.2168878915254</v>
      </c>
      <c r="AH11" s="367">
        <f t="shared" si="14"/>
        <v>7173.6880417376778</v>
      </c>
      <c r="AT11" s="805">
        <f t="shared" ref="AT11:BB11" si="17">IF(Z51&lt;$G$449,0,MIN($G$446,1+IFERROR(INT((Z51-$G$449)/$G$451),0)))</f>
        <v>0</v>
      </c>
      <c r="AU11" s="805">
        <f t="shared" si="17"/>
        <v>0</v>
      </c>
      <c r="AV11" s="805">
        <f t="shared" si="17"/>
        <v>0</v>
      </c>
      <c r="AW11" s="805">
        <f t="shared" si="17"/>
        <v>0</v>
      </c>
      <c r="AX11" s="805">
        <f t="shared" si="17"/>
        <v>1</v>
      </c>
      <c r="AY11" s="805">
        <f t="shared" si="17"/>
        <v>3</v>
      </c>
      <c r="AZ11" s="805">
        <f t="shared" si="17"/>
        <v>4</v>
      </c>
      <c r="BA11" s="805">
        <f t="shared" si="17"/>
        <v>6</v>
      </c>
      <c r="BB11" s="805">
        <f t="shared" si="17"/>
        <v>8</v>
      </c>
    </row>
    <row r="12" spans="1:54">
      <c r="A12" s="417"/>
      <c r="B12" s="821"/>
      <c r="C12" s="780">
        <f>C13-$G$439</f>
        <v>0.25</v>
      </c>
      <c r="D12" s="470">
        <f t="shared" si="16"/>
        <v>4400</v>
      </c>
      <c r="E12" s="470">
        <f t="shared" si="1"/>
        <v>4700</v>
      </c>
      <c r="F12" s="470">
        <f t="shared" si="2"/>
        <v>5100</v>
      </c>
      <c r="G12" s="470">
        <f t="shared" si="3"/>
        <v>5500</v>
      </c>
      <c r="H12" s="470">
        <f t="shared" si="4"/>
        <v>5800</v>
      </c>
      <c r="I12" s="470">
        <f t="shared" si="5"/>
        <v>6200</v>
      </c>
      <c r="J12" s="470">
        <f t="shared" si="6"/>
        <v>6600</v>
      </c>
      <c r="K12" s="470">
        <f t="shared" si="7"/>
        <v>6900</v>
      </c>
      <c r="L12" s="470">
        <f t="shared" si="8"/>
        <v>7300</v>
      </c>
      <c r="M12" s="417"/>
      <c r="N12" s="770">
        <f t="shared" si="9"/>
        <v>0.25</v>
      </c>
      <c r="O12" s="428">
        <f t="shared" si="10"/>
        <v>650</v>
      </c>
      <c r="P12" s="428">
        <f t="shared" si="11"/>
        <v>1600</v>
      </c>
      <c r="Q12" s="428">
        <f t="shared" si="12"/>
        <v>59350</v>
      </c>
      <c r="R12" s="771">
        <f t="shared" si="13"/>
        <v>2.4675324675324677E-2</v>
      </c>
      <c r="Z12" s="367">
        <f t="shared" si="14"/>
        <v>4364.8105087393797</v>
      </c>
      <c r="AA12" s="367">
        <f t="shared" si="14"/>
        <v>4730.9306386095086</v>
      </c>
      <c r="AB12" s="367">
        <f t="shared" si="14"/>
        <v>5097.0507684796394</v>
      </c>
      <c r="AC12" s="367">
        <f t="shared" si="14"/>
        <v>5463.1708983497683</v>
      </c>
      <c r="AD12" s="367">
        <f t="shared" si="14"/>
        <v>5829.2910282198991</v>
      </c>
      <c r="AE12" s="367">
        <f t="shared" si="14"/>
        <v>6195.411158090028</v>
      </c>
      <c r="AF12" s="367">
        <f t="shared" si="14"/>
        <v>6561.5312879601588</v>
      </c>
      <c r="AG12" s="367">
        <f t="shared" si="14"/>
        <v>6927.6514178302896</v>
      </c>
      <c r="AH12" s="367">
        <f t="shared" si="14"/>
        <v>7293.7715477004185</v>
      </c>
      <c r="AT12" s="805">
        <f t="shared" ref="AT12:BB12" si="18">IF(Z52&lt;$G$449,0,MIN($G$446,1+IFERROR(INT((Z52-$G$449)/$G$451),0)))</f>
        <v>0</v>
      </c>
      <c r="AU12" s="805">
        <f t="shared" si="18"/>
        <v>0</v>
      </c>
      <c r="AV12" s="805">
        <f t="shared" si="18"/>
        <v>0</v>
      </c>
      <c r="AW12" s="805">
        <f t="shared" si="18"/>
        <v>0</v>
      </c>
      <c r="AX12" s="805">
        <f t="shared" si="18"/>
        <v>2</v>
      </c>
      <c r="AY12" s="805">
        <f t="shared" si="18"/>
        <v>4</v>
      </c>
      <c r="AZ12" s="805">
        <f t="shared" si="18"/>
        <v>5</v>
      </c>
      <c r="BA12" s="805">
        <f t="shared" si="18"/>
        <v>7</v>
      </c>
      <c r="BB12" s="805">
        <f t="shared" si="18"/>
        <v>8</v>
      </c>
    </row>
    <row r="13" spans="1:54">
      <c r="A13" s="417"/>
      <c r="B13" s="821"/>
      <c r="C13" s="780">
        <f>$G$438</f>
        <v>0.3</v>
      </c>
      <c r="D13" s="470">
        <f t="shared" si="16"/>
        <v>4800</v>
      </c>
      <c r="E13" s="470">
        <f t="shared" si="1"/>
        <v>5100</v>
      </c>
      <c r="F13" s="470">
        <f t="shared" si="2"/>
        <v>5400</v>
      </c>
      <c r="G13" s="470">
        <f t="shared" si="3"/>
        <v>5800</v>
      </c>
      <c r="H13" s="782">
        <f t="shared" si="4"/>
        <v>6100</v>
      </c>
      <c r="I13" s="470">
        <f t="shared" si="5"/>
        <v>6400</v>
      </c>
      <c r="J13" s="470">
        <f t="shared" si="6"/>
        <v>6700</v>
      </c>
      <c r="K13" s="470">
        <f t="shared" si="7"/>
        <v>7100</v>
      </c>
      <c r="L13" s="470">
        <f t="shared" si="8"/>
        <v>7400</v>
      </c>
      <c r="M13" s="417"/>
      <c r="N13" s="770">
        <f t="shared" si="9"/>
        <v>0.3</v>
      </c>
      <c r="O13" s="428">
        <f t="shared" si="10"/>
        <v>650</v>
      </c>
      <c r="P13" s="428">
        <f t="shared" si="11"/>
        <v>1450</v>
      </c>
      <c r="Q13" s="428">
        <f t="shared" si="12"/>
        <v>59350</v>
      </c>
      <c r="R13" s="771">
        <f t="shared" si="13"/>
        <v>2.2416598860862488E-2</v>
      </c>
      <c r="Z13" s="367">
        <f t="shared" si="14"/>
        <v>4753.4203898711448</v>
      </c>
      <c r="AA13" s="367">
        <f t="shared" si="14"/>
        <v>5086.0266754691911</v>
      </c>
      <c r="AB13" s="367">
        <f t="shared" si="14"/>
        <v>5418.6329610672383</v>
      </c>
      <c r="AC13" s="367">
        <f t="shared" si="14"/>
        <v>5751.2392466652855</v>
      </c>
      <c r="AD13" s="367">
        <f t="shared" si="14"/>
        <v>6083.8455322633345</v>
      </c>
      <c r="AE13" s="367">
        <f t="shared" si="14"/>
        <v>6416.4518178613798</v>
      </c>
      <c r="AF13" s="367">
        <f t="shared" si="14"/>
        <v>6749.0581034594288</v>
      </c>
      <c r="AG13" s="367">
        <f t="shared" si="14"/>
        <v>7081.6643890574742</v>
      </c>
      <c r="AH13" s="367">
        <f t="shared" si="14"/>
        <v>7414.2706746555232</v>
      </c>
      <c r="AT13" s="805">
        <f t="shared" ref="AT13:BB13" si="19">IF(Z53&lt;$G$449,0,MIN($G$446,1+IFERROR(INT((Z53-$G$449)/$G$451),0)))</f>
        <v>0</v>
      </c>
      <c r="AU13" s="805">
        <f t="shared" si="19"/>
        <v>0</v>
      </c>
      <c r="AV13" s="805">
        <f t="shared" si="19"/>
        <v>0</v>
      </c>
      <c r="AW13" s="805">
        <f t="shared" si="19"/>
        <v>2</v>
      </c>
      <c r="AX13" s="805">
        <f t="shared" si="19"/>
        <v>3</v>
      </c>
      <c r="AY13" s="805">
        <f t="shared" si="19"/>
        <v>5</v>
      </c>
      <c r="AZ13" s="805">
        <f t="shared" si="19"/>
        <v>6</v>
      </c>
      <c r="BA13" s="805">
        <f t="shared" si="19"/>
        <v>7</v>
      </c>
      <c r="BB13" s="805">
        <f t="shared" si="19"/>
        <v>9</v>
      </c>
    </row>
    <row r="14" spans="1:54">
      <c r="A14" s="417"/>
      <c r="B14" s="821"/>
      <c r="C14" s="780">
        <f>C13+$G$439</f>
        <v>0.35</v>
      </c>
      <c r="D14" s="470">
        <f t="shared" si="16"/>
        <v>5100</v>
      </c>
      <c r="E14" s="470">
        <f t="shared" si="1"/>
        <v>5400</v>
      </c>
      <c r="F14" s="470">
        <f t="shared" si="2"/>
        <v>5700</v>
      </c>
      <c r="G14" s="470">
        <f t="shared" si="3"/>
        <v>6000</v>
      </c>
      <c r="H14" s="470">
        <f t="shared" si="4"/>
        <v>6300</v>
      </c>
      <c r="I14" s="470">
        <f t="shared" si="5"/>
        <v>6600</v>
      </c>
      <c r="J14" s="470">
        <f t="shared" si="6"/>
        <v>6900</v>
      </c>
      <c r="K14" s="470">
        <f t="shared" si="7"/>
        <v>7200</v>
      </c>
      <c r="L14" s="470">
        <f t="shared" si="8"/>
        <v>7500</v>
      </c>
      <c r="M14" s="417"/>
      <c r="N14" s="770">
        <f t="shared" si="9"/>
        <v>0.35</v>
      </c>
      <c r="O14" s="428">
        <f t="shared" si="10"/>
        <v>650</v>
      </c>
      <c r="P14" s="428">
        <f t="shared" si="11"/>
        <v>1300</v>
      </c>
      <c r="Q14" s="428">
        <f t="shared" si="12"/>
        <v>59350</v>
      </c>
      <c r="R14" s="771">
        <f t="shared" si="13"/>
        <v>2.0146818923327897E-2</v>
      </c>
      <c r="Z14" s="367">
        <f t="shared" si="14"/>
        <v>5143.7610674553016</v>
      </c>
      <c r="AA14" s="367">
        <f t="shared" si="14"/>
        <v>5442.6894932301784</v>
      </c>
      <c r="AB14" s="367">
        <f t="shared" si="14"/>
        <v>5741.617919005057</v>
      </c>
      <c r="AC14" s="367">
        <f t="shared" si="14"/>
        <v>6040.5463447799339</v>
      </c>
      <c r="AD14" s="367">
        <f t="shared" si="14"/>
        <v>6339.4747705548125</v>
      </c>
      <c r="AE14" s="367">
        <f t="shared" si="14"/>
        <v>6638.4031963296893</v>
      </c>
      <c r="AF14" s="367">
        <f t="shared" si="14"/>
        <v>6937.3316221045679</v>
      </c>
      <c r="AG14" s="367">
        <f t="shared" si="14"/>
        <v>7236.2600478794448</v>
      </c>
      <c r="AH14" s="367">
        <f t="shared" si="14"/>
        <v>7535.1884736543216</v>
      </c>
      <c r="AT14" s="805">
        <f t="shared" ref="AT14:BB14" si="20">IF(Z54&lt;$G$449,0,MIN($G$446,1+IFERROR(INT((Z54-$G$449)/$G$451),0)))</f>
        <v>0</v>
      </c>
      <c r="AU14" s="805">
        <f t="shared" si="20"/>
        <v>0</v>
      </c>
      <c r="AV14" s="805">
        <f t="shared" si="20"/>
        <v>2</v>
      </c>
      <c r="AW14" s="805">
        <f t="shared" si="20"/>
        <v>3</v>
      </c>
      <c r="AX14" s="805">
        <f t="shared" si="20"/>
        <v>4</v>
      </c>
      <c r="AY14" s="805">
        <f t="shared" si="20"/>
        <v>6</v>
      </c>
      <c r="AZ14" s="805">
        <f t="shared" si="20"/>
        <v>7</v>
      </c>
      <c r="BA14" s="805">
        <f t="shared" si="20"/>
        <v>8</v>
      </c>
      <c r="BB14" s="805">
        <f t="shared" si="20"/>
        <v>9</v>
      </c>
    </row>
    <row r="15" spans="1:54">
      <c r="A15" s="417"/>
      <c r="B15" s="821"/>
      <c r="C15" s="780">
        <f>C14+$G$439</f>
        <v>0.39999999999999997</v>
      </c>
      <c r="D15" s="470">
        <f t="shared" si="16"/>
        <v>5500</v>
      </c>
      <c r="E15" s="470">
        <f t="shared" si="1"/>
        <v>5800</v>
      </c>
      <c r="F15" s="470">
        <f t="shared" si="2"/>
        <v>6100</v>
      </c>
      <c r="G15" s="470">
        <f t="shared" si="3"/>
        <v>6300</v>
      </c>
      <c r="H15" s="470">
        <f t="shared" si="4"/>
        <v>6600</v>
      </c>
      <c r="I15" s="470">
        <f t="shared" si="5"/>
        <v>6900</v>
      </c>
      <c r="J15" s="470">
        <f t="shared" si="6"/>
        <v>7100</v>
      </c>
      <c r="K15" s="470">
        <f t="shared" si="7"/>
        <v>7400</v>
      </c>
      <c r="L15" s="470">
        <f t="shared" si="8"/>
        <v>7700</v>
      </c>
      <c r="M15" s="417"/>
      <c r="N15" s="770">
        <f t="shared" si="9"/>
        <v>0.39999999999999997</v>
      </c>
      <c r="O15" s="428">
        <f t="shared" si="10"/>
        <v>650</v>
      </c>
      <c r="P15" s="428">
        <f t="shared" si="11"/>
        <v>1150.0000000000002</v>
      </c>
      <c r="Q15" s="428">
        <f t="shared" si="12"/>
        <v>59350</v>
      </c>
      <c r="R15" s="771">
        <f t="shared" si="13"/>
        <v>1.7865903515944404E-2</v>
      </c>
      <c r="Z15" s="367">
        <f t="shared" si="14"/>
        <v>5535.8452783422763</v>
      </c>
      <c r="AA15" s="367">
        <f t="shared" si="14"/>
        <v>5800.9306217601006</v>
      </c>
      <c r="AB15" s="367">
        <f t="shared" si="14"/>
        <v>6066.015965177925</v>
      </c>
      <c r="AC15" s="367">
        <f t="shared" si="14"/>
        <v>6331.1013085957493</v>
      </c>
      <c r="AD15" s="367">
        <f t="shared" si="14"/>
        <v>6596.1866520135754</v>
      </c>
      <c r="AE15" s="367">
        <f t="shared" si="14"/>
        <v>6861.2719954313998</v>
      </c>
      <c r="AF15" s="367">
        <f t="shared" si="14"/>
        <v>7126.3573388492259</v>
      </c>
      <c r="AG15" s="367">
        <f t="shared" si="14"/>
        <v>7391.4426822670503</v>
      </c>
      <c r="AH15" s="367">
        <f t="shared" si="14"/>
        <v>7656.5280256848746</v>
      </c>
      <c r="AT15" s="805">
        <f t="shared" ref="AT15:BB15" si="21">IF(Z55&lt;$G$449,0,MIN($G$446,1+IFERROR(INT((Z55-$G$449)/$G$451),0)))</f>
        <v>1</v>
      </c>
      <c r="AU15" s="805">
        <f t="shared" si="21"/>
        <v>2</v>
      </c>
      <c r="AV15" s="805">
        <f t="shared" si="21"/>
        <v>3</v>
      </c>
      <c r="AW15" s="805">
        <f t="shared" si="21"/>
        <v>4</v>
      </c>
      <c r="AX15" s="805">
        <f t="shared" si="21"/>
        <v>5</v>
      </c>
      <c r="AY15" s="805">
        <f t="shared" si="21"/>
        <v>6</v>
      </c>
      <c r="AZ15" s="805">
        <f t="shared" si="21"/>
        <v>8</v>
      </c>
      <c r="BA15" s="805">
        <f t="shared" si="21"/>
        <v>9</v>
      </c>
      <c r="BB15" s="805">
        <f t="shared" si="21"/>
        <v>10</v>
      </c>
    </row>
    <row r="16" spans="1:54">
      <c r="A16" s="417"/>
      <c r="B16" s="822"/>
      <c r="C16" s="781">
        <f>C15+$G$439</f>
        <v>0.44999999999999996</v>
      </c>
      <c r="D16" s="772">
        <f t="shared" si="16"/>
        <v>5900</v>
      </c>
      <c r="E16" s="772">
        <f t="shared" si="1"/>
        <v>6200</v>
      </c>
      <c r="F16" s="772">
        <f t="shared" si="2"/>
        <v>6400</v>
      </c>
      <c r="G16" s="772">
        <f t="shared" si="3"/>
        <v>6600</v>
      </c>
      <c r="H16" s="772">
        <f t="shared" si="4"/>
        <v>6900</v>
      </c>
      <c r="I16" s="772">
        <f t="shared" si="5"/>
        <v>7100</v>
      </c>
      <c r="J16" s="772">
        <f t="shared" si="6"/>
        <v>7300</v>
      </c>
      <c r="K16" s="772">
        <f t="shared" si="7"/>
        <v>7500</v>
      </c>
      <c r="L16" s="772">
        <f t="shared" si="8"/>
        <v>7800</v>
      </c>
      <c r="M16" s="417"/>
      <c r="N16" s="770">
        <f t="shared" si="9"/>
        <v>0.44999999999999996</v>
      </c>
      <c r="O16" s="428">
        <f t="shared" si="10"/>
        <v>650</v>
      </c>
      <c r="P16" s="428">
        <f t="shared" si="11"/>
        <v>1000.0000000000002</v>
      </c>
      <c r="Q16" s="428">
        <f t="shared" si="12"/>
        <v>59350</v>
      </c>
      <c r="R16" s="771">
        <f t="shared" si="13"/>
        <v>1.5573770491803283E-2</v>
      </c>
      <c r="Z16" s="367">
        <f t="shared" si="14"/>
        <v>5929.6858846629893</v>
      </c>
      <c r="AA16" s="367">
        <f t="shared" si="14"/>
        <v>6160.7617043351202</v>
      </c>
      <c r="AB16" s="367">
        <f t="shared" si="14"/>
        <v>6391.837524007251</v>
      </c>
      <c r="AC16" s="367">
        <f t="shared" si="14"/>
        <v>6622.9133436793818</v>
      </c>
      <c r="AD16" s="367">
        <f t="shared" si="14"/>
        <v>6853.9891633515144</v>
      </c>
      <c r="AE16" s="367">
        <f t="shared" si="14"/>
        <v>7085.0649830236453</v>
      </c>
      <c r="AF16" s="367">
        <f t="shared" si="14"/>
        <v>7316.1408026957761</v>
      </c>
      <c r="AG16" s="367">
        <f t="shared" si="14"/>
        <v>7547.2166223679069</v>
      </c>
      <c r="AH16" s="367">
        <f t="shared" si="14"/>
        <v>7778.2924420400377</v>
      </c>
      <c r="AT16" s="805">
        <f t="shared" ref="AT16:BB16" si="22">IF(Z56&lt;$G$449,0,MIN($G$446,1+IFERROR(INT((Z56-$G$449)/$G$451),0)))</f>
        <v>2</v>
      </c>
      <c r="AU16" s="805">
        <f t="shared" si="22"/>
        <v>3</v>
      </c>
      <c r="AV16" s="805">
        <f t="shared" si="22"/>
        <v>4</v>
      </c>
      <c r="AW16" s="805">
        <f t="shared" si="22"/>
        <v>5</v>
      </c>
      <c r="AX16" s="805">
        <f t="shared" si="22"/>
        <v>6</v>
      </c>
      <c r="AY16" s="805">
        <f t="shared" si="22"/>
        <v>7</v>
      </c>
      <c r="AZ16" s="805">
        <f t="shared" si="22"/>
        <v>8</v>
      </c>
      <c r="BA16" s="805">
        <f t="shared" si="22"/>
        <v>9</v>
      </c>
      <c r="BB16" s="805">
        <f t="shared" si="22"/>
        <v>10</v>
      </c>
    </row>
    <row r="17" spans="1:54" hidden="1" outlineLevel="1">
      <c r="A17" s="417"/>
      <c r="B17" s="423" t="s">
        <v>2775</v>
      </c>
      <c r="C17" s="785"/>
      <c r="D17" s="417"/>
      <c r="E17" s="417"/>
      <c r="F17" s="417"/>
      <c r="G17" s="417"/>
      <c r="H17" s="417"/>
      <c r="I17" s="417"/>
      <c r="J17" s="417"/>
      <c r="K17" s="417"/>
      <c r="L17" s="417"/>
      <c r="M17" s="417"/>
      <c r="N17" s="770"/>
      <c r="O17" s="428"/>
      <c r="P17" s="428"/>
      <c r="Q17" s="428"/>
      <c r="R17" s="771"/>
    </row>
    <row r="18" spans="1:54" ht="3.95" customHeight="1" collapsed="1">
      <c r="A18" s="417"/>
      <c r="B18" s="417"/>
      <c r="C18" s="417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770">
        <f>$G$436</f>
        <v>0.3</v>
      </c>
      <c r="O18" s="428">
        <f>$G$433</f>
        <v>650</v>
      </c>
      <c r="P18" s="428">
        <f>$G$430*(1-N18)-O18</f>
        <v>1450</v>
      </c>
      <c r="Q18" s="428">
        <f>$G$432-O18</f>
        <v>59350</v>
      </c>
      <c r="R18" s="771">
        <f>IFERROR(P18/(Q18+$G$430*(1-N18)),0)*(1-$G$434)</f>
        <v>2.2416598860862488E-2</v>
      </c>
    </row>
    <row r="19" spans="1:54" ht="15" customHeight="1">
      <c r="A19" s="417"/>
      <c r="B19" s="148" t="s">
        <v>2530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</row>
    <row r="20" spans="1:54" ht="2.1" customHeight="1">
      <c r="A20" s="417"/>
      <c r="B20" s="417"/>
      <c r="C20" s="417"/>
      <c r="D20" s="417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417"/>
    </row>
    <row r="21" spans="1:54" ht="12.75" customHeight="1">
      <c r="A21" s="417"/>
      <c r="B21" s="454"/>
      <c r="C21" s="454"/>
      <c r="D21" s="768" t="s">
        <v>2527</v>
      </c>
      <c r="E21" s="768"/>
      <c r="F21" s="768"/>
      <c r="G21" s="768"/>
      <c r="H21" s="768"/>
      <c r="I21" s="768"/>
      <c r="J21" s="768"/>
      <c r="K21" s="768"/>
      <c r="L21" s="768"/>
      <c r="M21" s="417"/>
      <c r="N21" s="417"/>
      <c r="O21" s="417"/>
      <c r="P21" s="417"/>
      <c r="Q21" s="417"/>
    </row>
    <row r="22" spans="1:54" ht="12.75" customHeight="1">
      <c r="A22" s="417"/>
      <c r="B22" s="454"/>
      <c r="C22" s="454"/>
      <c r="D22" s="769">
        <f>E22-$G$441</f>
        <v>1.0219039595619215</v>
      </c>
      <c r="E22" s="769">
        <f>F22-$G$441</f>
        <v>1.2719039595619215</v>
      </c>
      <c r="F22" s="769">
        <f>G22-$G$441</f>
        <v>1.5219039595619215</v>
      </c>
      <c r="G22" s="769">
        <f>H22-$G$441</f>
        <v>1.7719039595619215</v>
      </c>
      <c r="H22" s="769">
        <f>$G$440</f>
        <v>2.0219039595619215</v>
      </c>
      <c r="I22" s="769">
        <f>H22+$G$441</f>
        <v>2.2719039595619215</v>
      </c>
      <c r="J22" s="769">
        <f>I22+$G$441</f>
        <v>2.5219039595619215</v>
      </c>
      <c r="K22" s="769">
        <f>J22+$G$441</f>
        <v>2.7719039595619215</v>
      </c>
      <c r="L22" s="769">
        <f>K22+$G$441</f>
        <v>3.0219039595619215</v>
      </c>
      <c r="M22" s="417"/>
      <c r="N22" s="417"/>
      <c r="O22" s="417"/>
      <c r="P22" s="417"/>
      <c r="Q22" s="417"/>
      <c r="AT22" s="773" t="s">
        <v>2616</v>
      </c>
      <c r="AU22" s="427"/>
      <c r="AV22" s="427"/>
      <c r="AW22" s="427"/>
      <c r="AX22" s="427"/>
      <c r="AY22" s="427"/>
      <c r="AZ22" s="427"/>
      <c r="BA22" s="427"/>
      <c r="BB22" s="427"/>
    </row>
    <row r="23" spans="1:54" ht="15" customHeight="1">
      <c r="A23" s="417"/>
      <c r="B23" s="820" t="s">
        <v>2528</v>
      </c>
      <c r="C23" s="780">
        <f>C24-$G$439</f>
        <v>0.15000000000000002</v>
      </c>
      <c r="D23" s="490">
        <f>IFERROR(Z10/$G$430,0)</f>
        <v>1.1975776019087219</v>
      </c>
      <c r="E23" s="490">
        <f t="shared" ref="E23:L23" si="23">IFERROR(AA10/$G$430,0)</f>
        <v>1.3417977823072142</v>
      </c>
      <c r="F23" s="490">
        <f t="shared" si="23"/>
        <v>1.4860179627057066</v>
      </c>
      <c r="G23" s="490">
        <f t="shared" si="23"/>
        <v>1.6302381431041986</v>
      </c>
      <c r="H23" s="490">
        <f t="shared" si="23"/>
        <v>1.7744583235026912</v>
      </c>
      <c r="I23" s="490">
        <f t="shared" si="23"/>
        <v>1.9186785039011829</v>
      </c>
      <c r="J23" s="490">
        <f t="shared" si="23"/>
        <v>2.0628986842996753</v>
      </c>
      <c r="K23" s="490">
        <f t="shared" si="23"/>
        <v>2.2071188646981668</v>
      </c>
      <c r="L23" s="490">
        <f t="shared" si="23"/>
        <v>2.3513390450966591</v>
      </c>
      <c r="M23" s="417"/>
      <c r="N23" s="417"/>
      <c r="O23" s="417"/>
      <c r="P23" s="417"/>
      <c r="Q23" s="417"/>
      <c r="AT23" s="805">
        <f>IF(Z50&lt;$G$449,0,MIN($G$446,1+IFERROR(INT((Z50-$G$449)/$G$451),0)))</f>
        <v>0</v>
      </c>
      <c r="AU23" s="805">
        <f t="shared" ref="AU23:BB23" si="24">IF(AA50&lt;$G$449,0,MIN($G$446,1+IFERROR(INT((AA50-$G$449)/$G$451),0)))</f>
        <v>0</v>
      </c>
      <c r="AV23" s="805">
        <f t="shared" si="24"/>
        <v>0</v>
      </c>
      <c r="AW23" s="805">
        <f t="shared" si="24"/>
        <v>0</v>
      </c>
      <c r="AX23" s="805">
        <f t="shared" si="24"/>
        <v>0</v>
      </c>
      <c r="AY23" s="805">
        <f t="shared" si="24"/>
        <v>2</v>
      </c>
      <c r="AZ23" s="805">
        <f t="shared" si="24"/>
        <v>4</v>
      </c>
      <c r="BA23" s="805">
        <f t="shared" si="24"/>
        <v>5</v>
      </c>
      <c r="BB23" s="805">
        <f t="shared" si="24"/>
        <v>7</v>
      </c>
    </row>
    <row r="24" spans="1:54" ht="15" customHeight="1">
      <c r="A24" s="417"/>
      <c r="B24" s="821"/>
      <c r="C24" s="780">
        <f>C25-$G$439</f>
        <v>0.2</v>
      </c>
      <c r="D24" s="490">
        <f t="shared" ref="D24:L24" si="25">IFERROR(Z11/$G$430,0)</f>
        <v>1.325972936989483</v>
      </c>
      <c r="E24" s="490">
        <f t="shared" si="25"/>
        <v>1.4591299882715338</v>
      </c>
      <c r="F24" s="490">
        <f t="shared" si="25"/>
        <v>1.5922870395535853</v>
      </c>
      <c r="G24" s="490">
        <f t="shared" si="25"/>
        <v>1.7254440908356363</v>
      </c>
      <c r="H24" s="490">
        <f t="shared" si="25"/>
        <v>1.8586011421176882</v>
      </c>
      <c r="I24" s="490">
        <f t="shared" si="25"/>
        <v>1.991758193399739</v>
      </c>
      <c r="J24" s="490">
        <f t="shared" si="25"/>
        <v>2.1249152446817905</v>
      </c>
      <c r="K24" s="490">
        <f t="shared" si="25"/>
        <v>2.2580722959638417</v>
      </c>
      <c r="L24" s="490">
        <f t="shared" si="25"/>
        <v>2.3912293472458925</v>
      </c>
      <c r="M24" s="417"/>
      <c r="N24" s="417"/>
      <c r="O24" s="417"/>
      <c r="P24" s="417"/>
      <c r="Q24" s="417"/>
      <c r="AT24" s="805">
        <f t="shared" ref="AT24:BB24" si="26">IF(Z51&lt;$G$449,0,MIN($G$446,1+IFERROR(INT((Z51-$G$449)/$G$451),0)))</f>
        <v>0</v>
      </c>
      <c r="AU24" s="805">
        <f t="shared" si="26"/>
        <v>0</v>
      </c>
      <c r="AV24" s="805">
        <f t="shared" si="26"/>
        <v>0</v>
      </c>
      <c r="AW24" s="805">
        <f t="shared" si="26"/>
        <v>0</v>
      </c>
      <c r="AX24" s="805">
        <f t="shared" si="26"/>
        <v>1</v>
      </c>
      <c r="AY24" s="805">
        <f t="shared" si="26"/>
        <v>3</v>
      </c>
      <c r="AZ24" s="805">
        <f t="shared" si="26"/>
        <v>4</v>
      </c>
      <c r="BA24" s="805">
        <f t="shared" si="26"/>
        <v>6</v>
      </c>
      <c r="BB24" s="805">
        <f t="shared" si="26"/>
        <v>8</v>
      </c>
    </row>
    <row r="25" spans="1:54" ht="15" customHeight="1">
      <c r="B25" s="821"/>
      <c r="C25" s="780">
        <f>C26-$G$439</f>
        <v>0.25</v>
      </c>
      <c r="D25" s="490">
        <f t="shared" ref="D25:L25" si="27">IFERROR(Z12/$G$430,0)</f>
        <v>1.4549368362464599</v>
      </c>
      <c r="E25" s="490">
        <f t="shared" si="27"/>
        <v>1.5769768795365029</v>
      </c>
      <c r="F25" s="490">
        <f t="shared" si="27"/>
        <v>1.6990169228265464</v>
      </c>
      <c r="G25" s="490">
        <f t="shared" si="27"/>
        <v>1.8210569661165894</v>
      </c>
      <c r="H25" s="490">
        <f t="shared" si="27"/>
        <v>1.9430970094066331</v>
      </c>
      <c r="I25" s="490">
        <f t="shared" si="27"/>
        <v>2.0651370526966759</v>
      </c>
      <c r="J25" s="490">
        <f t="shared" si="27"/>
        <v>2.1871770959867196</v>
      </c>
      <c r="K25" s="490">
        <f t="shared" si="27"/>
        <v>2.3092171392767633</v>
      </c>
      <c r="L25" s="490">
        <f t="shared" si="27"/>
        <v>2.4312571825668061</v>
      </c>
      <c r="AT25" s="805">
        <f t="shared" ref="AT25:BB25" si="28">IF(Z52&lt;$G$449,0,MIN($G$446,1+IFERROR(INT((Z52-$G$449)/$G$451),0)))</f>
        <v>0</v>
      </c>
      <c r="AU25" s="805">
        <f t="shared" si="28"/>
        <v>0</v>
      </c>
      <c r="AV25" s="805">
        <f t="shared" si="28"/>
        <v>0</v>
      </c>
      <c r="AW25" s="805">
        <f t="shared" si="28"/>
        <v>0</v>
      </c>
      <c r="AX25" s="805">
        <f t="shared" si="28"/>
        <v>2</v>
      </c>
      <c r="AY25" s="805">
        <f t="shared" si="28"/>
        <v>4</v>
      </c>
      <c r="AZ25" s="805">
        <f t="shared" si="28"/>
        <v>5</v>
      </c>
      <c r="BA25" s="805">
        <f t="shared" si="28"/>
        <v>7</v>
      </c>
      <c r="BB25" s="805">
        <f t="shared" si="28"/>
        <v>8</v>
      </c>
    </row>
    <row r="26" spans="1:54" ht="15" customHeight="1">
      <c r="B26" s="821"/>
      <c r="C26" s="780">
        <f>$G$438</f>
        <v>0.3</v>
      </c>
      <c r="D26" s="490">
        <f t="shared" ref="D26:L26" si="29">IFERROR(Z13/$G$430,0)</f>
        <v>1.5844734632903816</v>
      </c>
      <c r="E26" s="490">
        <f t="shared" si="29"/>
        <v>1.695342225156397</v>
      </c>
      <c r="F26" s="490">
        <f t="shared" si="29"/>
        <v>1.8062109870224128</v>
      </c>
      <c r="G26" s="490">
        <f t="shared" si="29"/>
        <v>1.9170797488884286</v>
      </c>
      <c r="H26" s="783">
        <f t="shared" si="29"/>
        <v>2.0279485107544448</v>
      </c>
      <c r="I26" s="490">
        <f t="shared" si="29"/>
        <v>2.13881727262046</v>
      </c>
      <c r="J26" s="490">
        <f t="shared" si="29"/>
        <v>2.2496860344864764</v>
      </c>
      <c r="K26" s="490">
        <f t="shared" si="29"/>
        <v>2.3605547963524915</v>
      </c>
      <c r="L26" s="490">
        <f t="shared" si="29"/>
        <v>2.4714235582185076</v>
      </c>
      <c r="AT26" s="805">
        <f t="shared" ref="AT26:BB26" si="30">IF(Z53&lt;$G$449,0,MIN($G$446,1+IFERROR(INT((Z53-$G$449)/$G$451),0)))</f>
        <v>0</v>
      </c>
      <c r="AU26" s="805">
        <f t="shared" si="30"/>
        <v>0</v>
      </c>
      <c r="AV26" s="805">
        <f t="shared" si="30"/>
        <v>0</v>
      </c>
      <c r="AW26" s="805">
        <f t="shared" si="30"/>
        <v>2</v>
      </c>
      <c r="AX26" s="805">
        <f t="shared" si="30"/>
        <v>3</v>
      </c>
      <c r="AY26" s="805">
        <f t="shared" si="30"/>
        <v>5</v>
      </c>
      <c r="AZ26" s="805">
        <f t="shared" si="30"/>
        <v>6</v>
      </c>
      <c r="BA26" s="805">
        <f t="shared" si="30"/>
        <v>7</v>
      </c>
      <c r="BB26" s="805">
        <f t="shared" si="30"/>
        <v>9</v>
      </c>
    </row>
    <row r="27" spans="1:54" ht="15" customHeight="1">
      <c r="B27" s="821"/>
      <c r="C27" s="780">
        <f>C26+$G$439</f>
        <v>0.35</v>
      </c>
      <c r="D27" s="490">
        <f t="shared" ref="D27:L27" si="31">IFERROR(Z14/$G$430,0)</f>
        <v>1.7145870224851005</v>
      </c>
      <c r="E27" s="490">
        <f t="shared" si="31"/>
        <v>1.8142298310767262</v>
      </c>
      <c r="F27" s="490">
        <f t="shared" si="31"/>
        <v>1.9138726396683523</v>
      </c>
      <c r="G27" s="490">
        <f t="shared" si="31"/>
        <v>2.013515448259978</v>
      </c>
      <c r="H27" s="490">
        <f t="shared" si="31"/>
        <v>2.1131582568516043</v>
      </c>
      <c r="I27" s="490">
        <f t="shared" si="31"/>
        <v>2.2128010654432297</v>
      </c>
      <c r="J27" s="490">
        <f t="shared" si="31"/>
        <v>2.3124438740348561</v>
      </c>
      <c r="K27" s="490">
        <f t="shared" si="31"/>
        <v>2.4120866826264815</v>
      </c>
      <c r="L27" s="490">
        <f t="shared" si="31"/>
        <v>2.5117294912181074</v>
      </c>
      <c r="AT27" s="805">
        <f t="shared" ref="AT27:BB27" si="32">IF(Z54&lt;$G$449,0,MIN($G$446,1+IFERROR(INT((Z54-$G$449)/$G$451),0)))</f>
        <v>0</v>
      </c>
      <c r="AU27" s="805">
        <f t="shared" si="32"/>
        <v>0</v>
      </c>
      <c r="AV27" s="805">
        <f t="shared" si="32"/>
        <v>2</v>
      </c>
      <c r="AW27" s="805">
        <f t="shared" si="32"/>
        <v>3</v>
      </c>
      <c r="AX27" s="805">
        <f t="shared" si="32"/>
        <v>4</v>
      </c>
      <c r="AY27" s="805">
        <f t="shared" si="32"/>
        <v>6</v>
      </c>
      <c r="AZ27" s="805">
        <f t="shared" si="32"/>
        <v>7</v>
      </c>
      <c r="BA27" s="805">
        <f t="shared" si="32"/>
        <v>8</v>
      </c>
      <c r="BB27" s="805">
        <f t="shared" si="32"/>
        <v>9</v>
      </c>
    </row>
    <row r="28" spans="1:54" ht="15" customHeight="1">
      <c r="B28" s="821"/>
      <c r="C28" s="780">
        <f>C27+$G$439</f>
        <v>0.39999999999999997</v>
      </c>
      <c r="D28" s="490">
        <f t="shared" ref="D28:L28" si="33">IFERROR(Z15/$G$430,0)</f>
        <v>1.8452817594474253</v>
      </c>
      <c r="E28" s="490">
        <f t="shared" si="33"/>
        <v>1.9336435405867003</v>
      </c>
      <c r="F28" s="490">
        <f t="shared" si="33"/>
        <v>2.0220053217259748</v>
      </c>
      <c r="G28" s="490">
        <f t="shared" si="33"/>
        <v>2.1103671028652498</v>
      </c>
      <c r="H28" s="490">
        <f t="shared" si="33"/>
        <v>2.1987288840045252</v>
      </c>
      <c r="I28" s="490">
        <f t="shared" si="33"/>
        <v>2.2870906651438001</v>
      </c>
      <c r="J28" s="490">
        <f t="shared" si="33"/>
        <v>2.3754524462830755</v>
      </c>
      <c r="K28" s="490">
        <f t="shared" si="33"/>
        <v>2.46381422742235</v>
      </c>
      <c r="L28" s="490">
        <f t="shared" si="33"/>
        <v>2.552176008561625</v>
      </c>
      <c r="AT28" s="805">
        <f t="shared" ref="AT28:BB28" si="34">IF(Z55&lt;$G$449,0,MIN($G$446,1+IFERROR(INT((Z55-$G$449)/$G$451),0)))</f>
        <v>1</v>
      </c>
      <c r="AU28" s="805">
        <f t="shared" si="34"/>
        <v>2</v>
      </c>
      <c r="AV28" s="805">
        <f t="shared" si="34"/>
        <v>3</v>
      </c>
      <c r="AW28" s="805">
        <f t="shared" si="34"/>
        <v>4</v>
      </c>
      <c r="AX28" s="805">
        <f t="shared" si="34"/>
        <v>5</v>
      </c>
      <c r="AY28" s="805">
        <f t="shared" si="34"/>
        <v>6</v>
      </c>
      <c r="AZ28" s="805">
        <f t="shared" si="34"/>
        <v>8</v>
      </c>
      <c r="BA28" s="805">
        <f t="shared" si="34"/>
        <v>9</v>
      </c>
      <c r="BB28" s="805">
        <f t="shared" si="34"/>
        <v>10</v>
      </c>
    </row>
    <row r="29" spans="1:54" ht="15" customHeight="1">
      <c r="B29" s="822"/>
      <c r="C29" s="781">
        <f>C28+$G$439</f>
        <v>0.44999999999999996</v>
      </c>
      <c r="D29" s="784">
        <f t="shared" ref="D29:L29" si="35">IFERROR(Z16/$G$430,0)</f>
        <v>1.9765619615543297</v>
      </c>
      <c r="E29" s="784">
        <f t="shared" si="35"/>
        <v>2.0535872347783735</v>
      </c>
      <c r="F29" s="784">
        <f t="shared" si="35"/>
        <v>2.1306125080024172</v>
      </c>
      <c r="G29" s="784">
        <f t="shared" si="35"/>
        <v>2.2076377812264605</v>
      </c>
      <c r="H29" s="784">
        <f t="shared" si="35"/>
        <v>2.2846630544505047</v>
      </c>
      <c r="I29" s="784">
        <f t="shared" si="35"/>
        <v>2.3616883276745484</v>
      </c>
      <c r="J29" s="784">
        <f t="shared" si="35"/>
        <v>2.4387136008985921</v>
      </c>
      <c r="K29" s="784">
        <f t="shared" si="35"/>
        <v>2.5157388741226354</v>
      </c>
      <c r="L29" s="784">
        <f t="shared" si="35"/>
        <v>2.5927641473466791</v>
      </c>
      <c r="AT29" s="805">
        <f t="shared" ref="AT29:BB29" si="36">IF(Z56&lt;$G$449,0,MIN($G$446,1+IFERROR(INT((Z56-$G$449)/$G$451),0)))</f>
        <v>2</v>
      </c>
      <c r="AU29" s="805">
        <f t="shared" si="36"/>
        <v>3</v>
      </c>
      <c r="AV29" s="805">
        <f t="shared" si="36"/>
        <v>4</v>
      </c>
      <c r="AW29" s="805">
        <f t="shared" si="36"/>
        <v>5</v>
      </c>
      <c r="AX29" s="805">
        <f t="shared" si="36"/>
        <v>6</v>
      </c>
      <c r="AY29" s="805">
        <f t="shared" si="36"/>
        <v>7</v>
      </c>
      <c r="AZ29" s="805">
        <f t="shared" si="36"/>
        <v>8</v>
      </c>
      <c r="BA29" s="805">
        <f t="shared" si="36"/>
        <v>9</v>
      </c>
      <c r="BB29" s="805">
        <f t="shared" si="36"/>
        <v>10</v>
      </c>
    </row>
    <row r="30" spans="1:54" ht="15" hidden="1" customHeight="1" outlineLevel="1">
      <c r="B30" s="423" t="s">
        <v>2776</v>
      </c>
      <c r="D30" s="417"/>
      <c r="E30" s="417"/>
      <c r="F30" s="417"/>
      <c r="G30" s="417"/>
      <c r="H30" s="417"/>
      <c r="I30" s="417"/>
      <c r="J30" s="417"/>
      <c r="K30" s="417"/>
      <c r="L30" s="417"/>
    </row>
    <row r="31" spans="1:54" ht="3.95" customHeight="1" collapsed="1"/>
    <row r="32" spans="1:54" ht="15" customHeight="1">
      <c r="A32" s="417"/>
      <c r="B32" s="148" t="s">
        <v>2533</v>
      </c>
      <c r="C32" s="417"/>
      <c r="D32" s="417"/>
      <c r="E32" s="417"/>
      <c r="F32" s="417"/>
      <c r="G32" s="417"/>
      <c r="H32" s="417"/>
      <c r="I32" s="417"/>
      <c r="J32" s="417"/>
      <c r="K32" s="417"/>
      <c r="L32" s="417"/>
      <c r="M32" s="417"/>
    </row>
    <row r="33" spans="1:109" ht="2.1" customHeight="1">
      <c r="A33" s="417"/>
      <c r="B33" s="417"/>
      <c r="C33" s="417"/>
      <c r="D33" s="417"/>
      <c r="E33" s="417"/>
      <c r="F33" s="417"/>
      <c r="G33" s="417"/>
      <c r="H33" s="417"/>
      <c r="I33" s="417"/>
      <c r="J33" s="417"/>
      <c r="K33" s="417"/>
      <c r="L33" s="417"/>
      <c r="M33" s="417"/>
    </row>
    <row r="34" spans="1:109" ht="12.75" customHeight="1">
      <c r="A34" s="417"/>
      <c r="B34" s="454"/>
      <c r="C34" s="454"/>
      <c r="D34" s="768" t="s">
        <v>2527</v>
      </c>
      <c r="E34" s="768"/>
      <c r="F34" s="768"/>
      <c r="G34" s="768"/>
      <c r="H34" s="768"/>
      <c r="I34" s="768"/>
      <c r="J34" s="768"/>
      <c r="K34" s="768"/>
      <c r="L34" s="768"/>
      <c r="M34" s="417"/>
      <c r="BD34" s="773" t="s">
        <v>2805</v>
      </c>
      <c r="BE34" s="773"/>
      <c r="BF34" s="773"/>
      <c r="BG34" s="773"/>
      <c r="BH34" s="773"/>
      <c r="BI34" s="773"/>
      <c r="BJ34" s="773" t="s">
        <v>2806</v>
      </c>
      <c r="BK34" s="773"/>
      <c r="BL34" s="773"/>
      <c r="BM34" s="773"/>
      <c r="BN34" s="773"/>
      <c r="BO34" s="773"/>
      <c r="BP34" s="773" t="s">
        <v>2807</v>
      </c>
      <c r="BQ34" s="773"/>
      <c r="BR34" s="773"/>
      <c r="BS34" s="773"/>
      <c r="BT34" s="773"/>
      <c r="BU34" s="773"/>
      <c r="BV34" s="773" t="s">
        <v>2808</v>
      </c>
      <c r="BW34" s="773"/>
      <c r="BX34" s="773"/>
      <c r="BY34" s="773"/>
      <c r="BZ34" s="773"/>
      <c r="CA34" s="773"/>
      <c r="CB34" s="773" t="s">
        <v>2809</v>
      </c>
      <c r="CC34" s="773"/>
      <c r="CD34" s="773"/>
      <c r="CE34" s="773"/>
      <c r="CF34" s="773"/>
      <c r="CG34" s="773"/>
      <c r="CH34" s="773" t="s">
        <v>2810</v>
      </c>
      <c r="CI34" s="773"/>
      <c r="CJ34" s="773"/>
      <c r="CK34" s="773"/>
      <c r="CL34" s="773"/>
      <c r="CM34" s="773"/>
      <c r="CN34" s="773" t="s">
        <v>2811</v>
      </c>
      <c r="CO34" s="773"/>
      <c r="CP34" s="773"/>
      <c r="CQ34" s="773"/>
      <c r="CR34" s="773"/>
      <c r="CS34" s="773"/>
      <c r="CT34" s="773" t="s">
        <v>2812</v>
      </c>
      <c r="CU34" s="773"/>
      <c r="CV34" s="773"/>
      <c r="CW34" s="773"/>
      <c r="CX34" s="773"/>
      <c r="CY34" s="773"/>
      <c r="CZ34" s="773" t="s">
        <v>2813</v>
      </c>
      <c r="DA34" s="773"/>
      <c r="DB34" s="773"/>
      <c r="DC34" s="773"/>
      <c r="DD34" s="773"/>
      <c r="DE34" s="773"/>
    </row>
    <row r="35" spans="1:109" ht="12.75" customHeight="1">
      <c r="A35" s="417"/>
      <c r="B35" s="454"/>
      <c r="C35" s="454"/>
      <c r="D35" s="769">
        <f>E35-$G$441</f>
        <v>1.0219039595619215</v>
      </c>
      <c r="E35" s="769">
        <f>F35-$G$441</f>
        <v>1.2719039595619215</v>
      </c>
      <c r="F35" s="769">
        <f>G35-$G$441</f>
        <v>1.5219039595619215</v>
      </c>
      <c r="G35" s="769">
        <f>H35-$G$441</f>
        <v>1.7719039595619215</v>
      </c>
      <c r="H35" s="769">
        <f>$G$440</f>
        <v>2.0219039595619215</v>
      </c>
      <c r="I35" s="769">
        <f>H35+$G$441</f>
        <v>2.2719039595619215</v>
      </c>
      <c r="J35" s="769">
        <f>I35+$G$441</f>
        <v>2.5219039595619215</v>
      </c>
      <c r="K35" s="769">
        <f>J35+$G$441</f>
        <v>2.7719039595619215</v>
      </c>
      <c r="L35" s="769">
        <f>K35+$G$441</f>
        <v>3.0219039595619215</v>
      </c>
      <c r="M35" s="417"/>
      <c r="AT35" s="773" t="s">
        <v>2616</v>
      </c>
      <c r="AU35" s="427"/>
      <c r="AV35" s="427"/>
      <c r="AW35" s="427"/>
      <c r="AX35" s="427"/>
      <c r="AY35" s="427"/>
      <c r="AZ35" s="427"/>
      <c r="BA35" s="427"/>
      <c r="BB35" s="427"/>
      <c r="BD35" s="819">
        <f>$S$9</f>
        <v>0</v>
      </c>
      <c r="BE35" s="819">
        <f>$T$9</f>
        <v>1</v>
      </c>
      <c r="BF35" s="819">
        <f>$U$9</f>
        <v>2</v>
      </c>
      <c r="BG35" s="819">
        <f>$V$9</f>
        <v>3</v>
      </c>
      <c r="BH35" s="819">
        <f>$W$9</f>
        <v>4</v>
      </c>
      <c r="BI35" s="819">
        <f>$X$9</f>
        <v>5</v>
      </c>
      <c r="BJ35" s="819">
        <f>$S$9</f>
        <v>0</v>
      </c>
      <c r="BK35" s="819">
        <f>$T$9</f>
        <v>1</v>
      </c>
      <c r="BL35" s="819">
        <f>$U$9</f>
        <v>2</v>
      </c>
      <c r="BM35" s="819">
        <f>$V$9</f>
        <v>3</v>
      </c>
      <c r="BN35" s="819">
        <f>$W$9</f>
        <v>4</v>
      </c>
      <c r="BO35" s="819">
        <f>$X$9</f>
        <v>5</v>
      </c>
      <c r="BP35" s="819">
        <f>$S$9</f>
        <v>0</v>
      </c>
      <c r="BQ35" s="819">
        <f>$T$9</f>
        <v>1</v>
      </c>
      <c r="BR35" s="819">
        <f>$U$9</f>
        <v>2</v>
      </c>
      <c r="BS35" s="819">
        <f>$V$9</f>
        <v>3</v>
      </c>
      <c r="BT35" s="819">
        <f>$W$9</f>
        <v>4</v>
      </c>
      <c r="BU35" s="819">
        <f>$X$9</f>
        <v>5</v>
      </c>
      <c r="BV35" s="819">
        <f>$S$9</f>
        <v>0</v>
      </c>
      <c r="BW35" s="819">
        <f>$T$9</f>
        <v>1</v>
      </c>
      <c r="BX35" s="819">
        <f>$U$9</f>
        <v>2</v>
      </c>
      <c r="BY35" s="819">
        <f>$V$9</f>
        <v>3</v>
      </c>
      <c r="BZ35" s="819">
        <f>$W$9</f>
        <v>4</v>
      </c>
      <c r="CA35" s="819">
        <f>$X$9</f>
        <v>5</v>
      </c>
      <c r="CB35" s="819">
        <f>$S$9</f>
        <v>0</v>
      </c>
      <c r="CC35" s="819">
        <f>$T$9</f>
        <v>1</v>
      </c>
      <c r="CD35" s="819">
        <f>$U$9</f>
        <v>2</v>
      </c>
      <c r="CE35" s="819">
        <f>$V$9</f>
        <v>3</v>
      </c>
      <c r="CF35" s="819">
        <f>$W$9</f>
        <v>4</v>
      </c>
      <c r="CG35" s="819">
        <f>$X$9</f>
        <v>5</v>
      </c>
      <c r="CH35" s="819">
        <f>$S$9</f>
        <v>0</v>
      </c>
      <c r="CI35" s="819">
        <f>$T$9</f>
        <v>1</v>
      </c>
      <c r="CJ35" s="819">
        <f>$U$9</f>
        <v>2</v>
      </c>
      <c r="CK35" s="819">
        <f>$V$9</f>
        <v>3</v>
      </c>
      <c r="CL35" s="819">
        <f>$W$9</f>
        <v>4</v>
      </c>
      <c r="CM35" s="819">
        <f>$X$9</f>
        <v>5</v>
      </c>
      <c r="CN35" s="819">
        <f>$S$9</f>
        <v>0</v>
      </c>
      <c r="CO35" s="819">
        <f>$T$9</f>
        <v>1</v>
      </c>
      <c r="CP35" s="819">
        <f>$U$9</f>
        <v>2</v>
      </c>
      <c r="CQ35" s="819">
        <f>$V$9</f>
        <v>3</v>
      </c>
      <c r="CR35" s="819">
        <f>$W$9</f>
        <v>4</v>
      </c>
      <c r="CS35" s="819">
        <f>$X$9</f>
        <v>5</v>
      </c>
      <c r="CT35" s="819">
        <f>$S$9</f>
        <v>0</v>
      </c>
      <c r="CU35" s="819">
        <f>$T$9</f>
        <v>1</v>
      </c>
      <c r="CV35" s="819">
        <f>$U$9</f>
        <v>2</v>
      </c>
      <c r="CW35" s="819">
        <f>$V$9</f>
        <v>3</v>
      </c>
      <c r="CX35" s="819">
        <f>$W$9</f>
        <v>4</v>
      </c>
      <c r="CY35" s="819">
        <f>$X$9</f>
        <v>5</v>
      </c>
      <c r="CZ35" s="819">
        <f>$S$9</f>
        <v>0</v>
      </c>
      <c r="DA35" s="819">
        <f>$T$9</f>
        <v>1</v>
      </c>
      <c r="DB35" s="819">
        <f>$U$9</f>
        <v>2</v>
      </c>
      <c r="DC35" s="819">
        <f>$V$9</f>
        <v>3</v>
      </c>
      <c r="DD35" s="819">
        <f>$W$9</f>
        <v>4</v>
      </c>
      <c r="DE35" s="819">
        <f>$X$9</f>
        <v>5</v>
      </c>
    </row>
    <row r="36" spans="1:109" ht="15" customHeight="1">
      <c r="A36" s="417"/>
      <c r="B36" s="820" t="s">
        <v>2528</v>
      </c>
      <c r="C36" s="780">
        <f>C37-$G$439</f>
        <v>0.15000000000000002</v>
      </c>
      <c r="D36" s="632">
        <f t="shared" ref="D36:D42" si="37">IFERROR(IRR(BD36:BI36),0)</f>
        <v>0.20388129946797395</v>
      </c>
      <c r="E36" s="632">
        <f t="shared" ref="E36:E42" si="38">IFERROR(IRR(BJ36:BO36),0)</f>
        <v>0.22092173319003172</v>
      </c>
      <c r="F36" s="632">
        <f t="shared" ref="F36:F42" si="39">IFERROR(IRR(BP36:BU36),0)</f>
        <v>0.23706074102218322</v>
      </c>
      <c r="G36" s="632">
        <f t="shared" ref="G36:G42" si="40">IFERROR(IRR(BV36:CA36),0)</f>
        <v>0.25239899785601883</v>
      </c>
      <c r="H36" s="632">
        <f t="shared" ref="H36:H42" si="41">IFERROR(IRR(CB36:CG36),0)</f>
        <v>0.26702070446342208</v>
      </c>
      <c r="I36" s="632">
        <f t="shared" ref="I36:I42" si="42">IFERROR(IRR(CH36:CM36),0)</f>
        <v>0.2809970450892656</v>
      </c>
      <c r="J36" s="632">
        <f t="shared" ref="J36:J42" si="43">IFERROR(IRR(CN36:CS36),0)</f>
        <v>0.29438877613573999</v>
      </c>
      <c r="K36" s="632">
        <f t="shared" ref="K36:K42" si="44">IFERROR(IRR(CT36:CY36),0)</f>
        <v>0.30724819674106851</v>
      </c>
      <c r="L36" s="632">
        <f t="shared" ref="L36:L42" si="45">IFERROR(IRR(CZ36:DE36),0)</f>
        <v>0.31962067111170511</v>
      </c>
      <c r="M36" s="417"/>
      <c r="AT36" s="805">
        <f>IF(Z50&lt;$G$449,0,MIN($G$446,1+IFERROR(INT((Z50-$G$449)/$G$451),0)))</f>
        <v>0</v>
      </c>
      <c r="AU36" s="805">
        <f t="shared" ref="AU36:BB36" si="46">IF(AA50&lt;$G$449,0,MIN($G$446,1+IFERROR(INT((AA50-$G$449)/$G$451),0)))</f>
        <v>0</v>
      </c>
      <c r="AV36" s="805">
        <f t="shared" si="46"/>
        <v>0</v>
      </c>
      <c r="AW36" s="805">
        <f t="shared" si="46"/>
        <v>0</v>
      </c>
      <c r="AX36" s="805">
        <f t="shared" si="46"/>
        <v>0</v>
      </c>
      <c r="AY36" s="805">
        <f t="shared" si="46"/>
        <v>2</v>
      </c>
      <c r="AZ36" s="805">
        <f t="shared" si="46"/>
        <v>4</v>
      </c>
      <c r="BA36" s="805">
        <f t="shared" si="46"/>
        <v>5</v>
      </c>
      <c r="BB36" s="805">
        <f t="shared" si="46"/>
        <v>7</v>
      </c>
      <c r="BD36" s="428">
        <f t="shared" ref="BD36:BD42" si="47">(BD$35=0)*($O10-$G$430)+(BD$35=$G$444)*$G$435+(BD$35=$G$445)*(Z10+$G$430-$O10-$G$435)</f>
        <v>-2350</v>
      </c>
      <c r="BE36" s="428">
        <f t="shared" ref="BE36:BE42" si="48">(BE$35=0)*($O10-$G$430)+(BE$35=$G$444)*$G$435+(BE$35=$G$445)*(Z10+$G$430-$O10-$G$435)</f>
        <v>0</v>
      </c>
      <c r="BF36" s="428">
        <f t="shared" ref="BF36:BF42" si="49">(BF$35=0)*($O10-$G$430)+(BF$35=$G$444)*$G$435+(BF$35=$G$445)*(Z10+$G$430-$O10-$G$435)</f>
        <v>0</v>
      </c>
      <c r="BG36" s="428">
        <f t="shared" ref="BG36:BG42" si="50">(BG$35=0)*($O10-$G$430)+(BG$35=$G$444)*$G$435+(BG$35=$G$445)*(Z10+$G$430-$O10-$G$435)</f>
        <v>0</v>
      </c>
      <c r="BH36" s="428">
        <f t="shared" ref="BH36:BH42" si="51">(BH$35=0)*($O10-$G$430)+(BH$35=$G$444)*$G$435+(BH$35=$G$445)*(Z10+$G$430-$O10-$G$435)</f>
        <v>0</v>
      </c>
      <c r="BI36" s="428">
        <f t="shared" ref="BI36:BJ42" si="52">(BI$35=0)*($O10-$G$430)+(BI$35=$G$444)*$G$435+(BI$35=$G$445)*(Z10+$G$430-$O10-$G$435)</f>
        <v>5942.7328057261657</v>
      </c>
      <c r="BJ36" s="428">
        <f t="shared" si="52"/>
        <v>-2350</v>
      </c>
      <c r="BK36" s="428">
        <f t="shared" ref="BK36:BK42" si="53">(BK$35=0)*($O10-$G$430)+(BK$35=$G$444)*$G$435+(BK$35=$G$445)*(AA10+$G$430-$O10-$G$435)</f>
        <v>0</v>
      </c>
      <c r="BL36" s="428">
        <f t="shared" ref="BL36:BL42" si="54">(BL$35=0)*($O10-$G$430)+(BL$35=$G$444)*$G$435+(BL$35=$G$445)*(AA10+$G$430-$O10-$G$435)</f>
        <v>0</v>
      </c>
      <c r="BM36" s="428">
        <f t="shared" ref="BM36:BM42" si="55">(BM$35=0)*($O10-$G$430)+(BM$35=$G$444)*$G$435+(BM$35=$G$445)*(AA10+$G$430-$O10-$G$435)</f>
        <v>0</v>
      </c>
      <c r="BN36" s="428">
        <f t="shared" ref="BN36:BN42" si="56">(BN$35=0)*($O10-$G$430)+(BN$35=$G$444)*$G$435+(BN$35=$G$445)*(AA10+$G$430-$O10-$G$435)</f>
        <v>0</v>
      </c>
      <c r="BO36" s="428">
        <f t="shared" ref="BO36:BP42" si="57">(BO$35=0)*($O10-$G$430)+(BO$35=$G$444)*$G$435+(BO$35=$G$445)*(AA10+$G$430-$O10-$G$435)</f>
        <v>6375.3933469216427</v>
      </c>
      <c r="BP36" s="428">
        <f t="shared" si="57"/>
        <v>-2350</v>
      </c>
      <c r="BQ36" s="428">
        <f t="shared" ref="BQ36:BQ42" si="58">(BQ$35=0)*($O10-$G$430)+(BQ$35=$G$444)*$G$435+(BQ$35=$G$445)*(AB10+$G$430-$O10-$G$435)</f>
        <v>0</v>
      </c>
      <c r="BR36" s="428">
        <f t="shared" ref="BR36:BR42" si="59">(BR$35=0)*($O10-$G$430)+(BR$35=$G$444)*$G$435+(BR$35=$G$445)*(AB10+$G$430-$O10-$G$435)</f>
        <v>0</v>
      </c>
      <c r="BS36" s="428">
        <f t="shared" ref="BS36:BS42" si="60">(BS$35=0)*($O10-$G$430)+(BS$35=$G$444)*$G$435+(BS$35=$G$445)*(AB10+$G$430-$O10-$G$435)</f>
        <v>0</v>
      </c>
      <c r="BT36" s="428">
        <f t="shared" ref="BT36:BT42" si="61">(BT$35=0)*($O10-$G$430)+(BT$35=$G$444)*$G$435+(BT$35=$G$445)*(AB10+$G$430-$O10-$G$435)</f>
        <v>0</v>
      </c>
      <c r="BU36" s="428">
        <f t="shared" ref="BU36:BV42" si="62">(BU$35=0)*($O10-$G$430)+(BU$35=$G$444)*$G$435+(BU$35=$G$445)*(AB10+$G$430-$O10-$G$435)</f>
        <v>6808.0538881171196</v>
      </c>
      <c r="BV36" s="428">
        <f t="shared" si="62"/>
        <v>-2350</v>
      </c>
      <c r="BW36" s="428">
        <f t="shared" ref="BW36:BW42" si="63">(BW$35=0)*($O10-$G$430)+(BW$35=$G$444)*$G$435+(BW$35=$G$445)*(AC10+$G$430-$O10-$G$435)</f>
        <v>0</v>
      </c>
      <c r="BX36" s="428">
        <f t="shared" ref="BX36:BX42" si="64">(BX$35=0)*($O10-$G$430)+(BX$35=$G$444)*$G$435+(BX$35=$G$445)*(AC10+$G$430-$O10-$G$435)</f>
        <v>0</v>
      </c>
      <c r="BY36" s="428">
        <f t="shared" ref="BY36:BY42" si="65">(BY$35=0)*($O10-$G$430)+(BY$35=$G$444)*$G$435+(BY$35=$G$445)*(AC10+$G$430-$O10-$G$435)</f>
        <v>0</v>
      </c>
      <c r="BZ36" s="428">
        <f t="shared" ref="BZ36:BZ42" si="66">(BZ$35=0)*($O10-$G$430)+(BZ$35=$G$444)*$G$435+(BZ$35=$G$445)*(AC10+$G$430-$O10-$G$435)</f>
        <v>0</v>
      </c>
      <c r="CA36" s="428">
        <f t="shared" ref="CA36:CB42" si="67">(CA$35=0)*($O10-$G$430)+(CA$35=$G$444)*$G$435+(CA$35=$G$445)*(AC10+$G$430-$O10-$G$435)</f>
        <v>7240.7144293125957</v>
      </c>
      <c r="CB36" s="428">
        <f t="shared" si="67"/>
        <v>-2350</v>
      </c>
      <c r="CC36" s="428">
        <f t="shared" ref="CC36:CC42" si="68">(CC$35=0)*($O10-$G$430)+(CC$35=$G$444)*$G$435+(CC$35=$G$445)*(AD10+$G$430-$O10-$G$435)</f>
        <v>0</v>
      </c>
      <c r="CD36" s="428">
        <f t="shared" ref="CD36:CD42" si="69">(CD$35=0)*($O10-$G$430)+(CD$35=$G$444)*$G$435+(CD$35=$G$445)*(AD10+$G$430-$O10-$G$435)</f>
        <v>0</v>
      </c>
      <c r="CE36" s="428">
        <f t="shared" ref="CE36:CE42" si="70">(CE$35=0)*($O10-$G$430)+(CE$35=$G$444)*$G$435+(CE$35=$G$445)*(AD10+$G$430-$O10-$G$435)</f>
        <v>0</v>
      </c>
      <c r="CF36" s="428">
        <f t="shared" ref="CF36:CF42" si="71">(CF$35=0)*($O10-$G$430)+(CF$35=$G$444)*$G$435+(CF$35=$G$445)*(AD10+$G$430-$O10-$G$435)</f>
        <v>0</v>
      </c>
      <c r="CG36" s="428">
        <f t="shared" ref="CG36:CH42" si="72">(CG$35=0)*($O10-$G$430)+(CG$35=$G$444)*$G$435+(CG$35=$G$445)*(AD10+$G$430-$O10-$G$435)</f>
        <v>7673.3749705080736</v>
      </c>
      <c r="CH36" s="428">
        <f t="shared" si="72"/>
        <v>-2350</v>
      </c>
      <c r="CI36" s="428">
        <f t="shared" ref="CI36:CI42" si="73">(CI$35=0)*($O10-$G$430)+(CI$35=$G$444)*$G$435+(CI$35=$G$445)*(AE10+$G$430-$O10-$G$435)</f>
        <v>0</v>
      </c>
      <c r="CJ36" s="428">
        <f t="shared" ref="CJ36:CJ42" si="74">(CJ$35=0)*($O10-$G$430)+(CJ$35=$G$444)*$G$435+(CJ$35=$G$445)*(AE10+$G$430-$O10-$G$435)</f>
        <v>0</v>
      </c>
      <c r="CK36" s="428">
        <f t="shared" ref="CK36:CK42" si="75">(CK$35=0)*($O10-$G$430)+(CK$35=$G$444)*$G$435+(CK$35=$G$445)*(AE10+$G$430-$O10-$G$435)</f>
        <v>0</v>
      </c>
      <c r="CL36" s="428">
        <f t="shared" ref="CL36:CL42" si="76">(CL$35=0)*($O10-$G$430)+(CL$35=$G$444)*$G$435+(CL$35=$G$445)*(AE10+$G$430-$O10-$G$435)</f>
        <v>0</v>
      </c>
      <c r="CM36" s="428">
        <f t="shared" ref="CM36:CN42" si="77">(CM$35=0)*($O10-$G$430)+(CM$35=$G$444)*$G$435+(CM$35=$G$445)*(AE10+$G$430-$O10-$G$435)</f>
        <v>8106.0355117035488</v>
      </c>
      <c r="CN36" s="428">
        <f t="shared" si="77"/>
        <v>-2350</v>
      </c>
      <c r="CO36" s="428">
        <f t="shared" ref="CO36:CO42" si="78">(CO$35=0)*($O10-$G$430)+(CO$35=$G$444)*$G$435+(CO$35=$G$445)*(AF10+$G$430-$O10-$G$435)</f>
        <v>0</v>
      </c>
      <c r="CP36" s="428">
        <f t="shared" ref="CP36:CP42" si="79">(CP$35=0)*($O10-$G$430)+(CP$35=$G$444)*$G$435+(CP$35=$G$445)*(AF10+$G$430-$O10-$G$435)</f>
        <v>0</v>
      </c>
      <c r="CQ36" s="428">
        <f t="shared" ref="CQ36:CQ42" si="80">(CQ$35=0)*($O10-$G$430)+(CQ$35=$G$444)*$G$435+(CQ$35=$G$445)*(AF10+$G$430-$O10-$G$435)</f>
        <v>0</v>
      </c>
      <c r="CR36" s="428">
        <f t="shared" ref="CR36:CR42" si="81">(CR$35=0)*($O10-$G$430)+(CR$35=$G$444)*$G$435+(CR$35=$G$445)*(AF10+$G$430-$O10-$G$435)</f>
        <v>0</v>
      </c>
      <c r="CS36" s="428">
        <f t="shared" ref="CS36:CT42" si="82">(CS$35=0)*($O10-$G$430)+(CS$35=$G$444)*$G$435+(CS$35=$G$445)*(AF10+$G$430-$O10-$G$435)</f>
        <v>8538.6960528990257</v>
      </c>
      <c r="CT36" s="428">
        <f t="shared" si="82"/>
        <v>-2350</v>
      </c>
      <c r="CU36" s="428">
        <f t="shared" ref="CU36:CU42" si="83">(CU$35=0)*($O10-$G$430)+(CU$35=$G$444)*$G$435+(CU$35=$G$445)*(AG10+$G$430-$O10-$G$435)</f>
        <v>0</v>
      </c>
      <c r="CV36" s="428">
        <f t="shared" ref="CV36:CV42" si="84">(CV$35=0)*($O10-$G$430)+(CV$35=$G$444)*$G$435+(CV$35=$G$445)*(AG10+$G$430-$O10-$G$435)</f>
        <v>0</v>
      </c>
      <c r="CW36" s="428">
        <f t="shared" ref="CW36:CW42" si="85">(CW$35=0)*($O10-$G$430)+(CW$35=$G$444)*$G$435+(CW$35=$G$445)*(AG10+$G$430-$O10-$G$435)</f>
        <v>0</v>
      </c>
      <c r="CX36" s="428">
        <f t="shared" ref="CX36:CX42" si="86">(CX$35=0)*($O10-$G$430)+(CX$35=$G$444)*$G$435+(CX$35=$G$445)*(AG10+$G$430-$O10-$G$435)</f>
        <v>0</v>
      </c>
      <c r="CY36" s="428">
        <f t="shared" ref="CY36:CZ42" si="87">(CY$35=0)*($O10-$G$430)+(CY$35=$G$444)*$G$435+(CY$35=$G$445)*(AG10+$G$430-$O10-$G$435)</f>
        <v>8971.3565940945009</v>
      </c>
      <c r="CZ36" s="428">
        <f t="shared" si="87"/>
        <v>-2350</v>
      </c>
      <c r="DA36" s="428">
        <f t="shared" ref="DA36:DA42" si="88">(DA$35=0)*($O10-$G$430)+(DA$35=$G$444)*$G$435+(DA$35=$G$445)*(AH10+$G$430-$O10-$G$435)</f>
        <v>0</v>
      </c>
      <c r="DB36" s="428">
        <f t="shared" ref="DB36:DB42" si="89">(DB$35=0)*($O10-$G$430)+(DB$35=$G$444)*$G$435+(DB$35=$G$445)*(AH10+$G$430-$O10-$G$435)</f>
        <v>0</v>
      </c>
      <c r="DC36" s="428">
        <f t="shared" ref="DC36:DC42" si="90">(DC$35=0)*($O10-$G$430)+(DC$35=$G$444)*$G$435+(DC$35=$G$445)*(AH10+$G$430-$O10-$G$435)</f>
        <v>0</v>
      </c>
      <c r="DD36" s="428">
        <f t="shared" ref="DD36:DD42" si="91">(DD$35=0)*($O10-$G$430)+(DD$35=$G$444)*$G$435+(DD$35=$G$445)*(AH10+$G$430-$O10-$G$435)</f>
        <v>0</v>
      </c>
      <c r="DE36" s="428">
        <f t="shared" ref="DE36:DE42" si="92">(DE$35=0)*($O10-$G$430)+(DE$35=$G$444)*$G$435+(DE$35=$G$445)*(AH10+$G$430-$O10-$G$435)</f>
        <v>9404.0171352899779</v>
      </c>
    </row>
    <row r="37" spans="1:109" ht="15" customHeight="1">
      <c r="A37" s="417"/>
      <c r="B37" s="821"/>
      <c r="C37" s="780">
        <f>C38-$G$439</f>
        <v>0.2</v>
      </c>
      <c r="D37" s="632">
        <f t="shared" si="37"/>
        <v>0.21909796755647104</v>
      </c>
      <c r="E37" s="632">
        <f t="shared" si="38"/>
        <v>0.23411533302631593</v>
      </c>
      <c r="F37" s="632">
        <f t="shared" si="39"/>
        <v>0.2484354342029349</v>
      </c>
      <c r="G37" s="632">
        <f t="shared" si="40"/>
        <v>0.26212713836359547</v>
      </c>
      <c r="H37" s="632">
        <f t="shared" si="41"/>
        <v>0.27524927975954028</v>
      </c>
      <c r="I37" s="632">
        <f t="shared" si="42"/>
        <v>0.2878525456691261</v>
      </c>
      <c r="J37" s="632">
        <f t="shared" si="43"/>
        <v>0.29998093561561756</v>
      </c>
      <c r="K37" s="632">
        <f t="shared" si="44"/>
        <v>0.31167290526155633</v>
      </c>
      <c r="L37" s="632">
        <f t="shared" si="45"/>
        <v>0.32296227368615682</v>
      </c>
      <c r="M37" s="417"/>
      <c r="AT37" s="805">
        <f t="shared" ref="AT37:BB37" si="93">IF(Z51&lt;$G$449,0,MIN($G$446,1+IFERROR(INT((Z51-$G$449)/$G$451),0)))</f>
        <v>0</v>
      </c>
      <c r="AU37" s="805">
        <f t="shared" si="93"/>
        <v>0</v>
      </c>
      <c r="AV37" s="805">
        <f t="shared" si="93"/>
        <v>0</v>
      </c>
      <c r="AW37" s="805">
        <f t="shared" si="93"/>
        <v>0</v>
      </c>
      <c r="AX37" s="805">
        <f t="shared" si="93"/>
        <v>1</v>
      </c>
      <c r="AY37" s="805">
        <f t="shared" si="93"/>
        <v>3</v>
      </c>
      <c r="AZ37" s="805">
        <f t="shared" si="93"/>
        <v>4</v>
      </c>
      <c r="BA37" s="805">
        <f t="shared" si="93"/>
        <v>6</v>
      </c>
      <c r="BB37" s="805">
        <f t="shared" si="93"/>
        <v>8</v>
      </c>
      <c r="BD37" s="428">
        <f t="shared" si="47"/>
        <v>-2350</v>
      </c>
      <c r="BE37" s="428">
        <f t="shared" si="48"/>
        <v>0</v>
      </c>
      <c r="BF37" s="428">
        <f t="shared" si="49"/>
        <v>0</v>
      </c>
      <c r="BG37" s="428">
        <f t="shared" si="50"/>
        <v>0</v>
      </c>
      <c r="BH37" s="428">
        <f t="shared" si="51"/>
        <v>0</v>
      </c>
      <c r="BI37" s="428">
        <f t="shared" si="52"/>
        <v>6327.9188109684492</v>
      </c>
      <c r="BJ37" s="428">
        <f t="shared" si="52"/>
        <v>-2350</v>
      </c>
      <c r="BK37" s="428">
        <f t="shared" si="53"/>
        <v>0</v>
      </c>
      <c r="BL37" s="428">
        <f t="shared" si="54"/>
        <v>0</v>
      </c>
      <c r="BM37" s="428">
        <f t="shared" si="55"/>
        <v>0</v>
      </c>
      <c r="BN37" s="428">
        <f t="shared" si="56"/>
        <v>0</v>
      </c>
      <c r="BO37" s="428">
        <f t="shared" si="57"/>
        <v>6727.3899648146016</v>
      </c>
      <c r="BP37" s="428">
        <f t="shared" si="57"/>
        <v>-2350</v>
      </c>
      <c r="BQ37" s="428">
        <f t="shared" si="58"/>
        <v>0</v>
      </c>
      <c r="BR37" s="428">
        <f t="shared" si="59"/>
        <v>0</v>
      </c>
      <c r="BS37" s="428">
        <f t="shared" si="60"/>
        <v>0</v>
      </c>
      <c r="BT37" s="428">
        <f t="shared" si="61"/>
        <v>0</v>
      </c>
      <c r="BU37" s="428">
        <f t="shared" si="62"/>
        <v>7126.8611186607559</v>
      </c>
      <c r="BV37" s="428">
        <f t="shared" si="62"/>
        <v>-2350</v>
      </c>
      <c r="BW37" s="428">
        <f t="shared" si="63"/>
        <v>0</v>
      </c>
      <c r="BX37" s="428">
        <f t="shared" si="64"/>
        <v>0</v>
      </c>
      <c r="BY37" s="428">
        <f t="shared" si="65"/>
        <v>0</v>
      </c>
      <c r="BZ37" s="428">
        <f t="shared" si="66"/>
        <v>0</v>
      </c>
      <c r="CA37" s="428">
        <f t="shared" si="67"/>
        <v>7526.3322725069092</v>
      </c>
      <c r="CB37" s="428">
        <f t="shared" si="67"/>
        <v>-2350</v>
      </c>
      <c r="CC37" s="428">
        <f t="shared" si="68"/>
        <v>0</v>
      </c>
      <c r="CD37" s="428">
        <f t="shared" si="69"/>
        <v>0</v>
      </c>
      <c r="CE37" s="428">
        <f t="shared" si="70"/>
        <v>0</v>
      </c>
      <c r="CF37" s="428">
        <f t="shared" si="71"/>
        <v>0</v>
      </c>
      <c r="CG37" s="428">
        <f t="shared" si="72"/>
        <v>7925.8034263530644</v>
      </c>
      <c r="CH37" s="428">
        <f t="shared" si="72"/>
        <v>-2350</v>
      </c>
      <c r="CI37" s="428">
        <f t="shared" si="73"/>
        <v>0</v>
      </c>
      <c r="CJ37" s="428">
        <f t="shared" si="74"/>
        <v>0</v>
      </c>
      <c r="CK37" s="428">
        <f t="shared" si="75"/>
        <v>0</v>
      </c>
      <c r="CL37" s="428">
        <f t="shared" si="76"/>
        <v>0</v>
      </c>
      <c r="CM37" s="428">
        <f t="shared" si="77"/>
        <v>8325.2745801992169</v>
      </c>
      <c r="CN37" s="428">
        <f t="shared" si="77"/>
        <v>-2350</v>
      </c>
      <c r="CO37" s="428">
        <f t="shared" si="78"/>
        <v>0</v>
      </c>
      <c r="CP37" s="428">
        <f t="shared" si="79"/>
        <v>0</v>
      </c>
      <c r="CQ37" s="428">
        <f t="shared" si="80"/>
        <v>0</v>
      </c>
      <c r="CR37" s="428">
        <f t="shared" si="81"/>
        <v>0</v>
      </c>
      <c r="CS37" s="428">
        <f t="shared" si="82"/>
        <v>8724.7457340453711</v>
      </c>
      <c r="CT37" s="428">
        <f t="shared" si="82"/>
        <v>-2350</v>
      </c>
      <c r="CU37" s="428">
        <f t="shared" si="83"/>
        <v>0</v>
      </c>
      <c r="CV37" s="428">
        <f t="shared" si="84"/>
        <v>0</v>
      </c>
      <c r="CW37" s="428">
        <f t="shared" si="85"/>
        <v>0</v>
      </c>
      <c r="CX37" s="428">
        <f t="shared" si="86"/>
        <v>0</v>
      </c>
      <c r="CY37" s="428">
        <f t="shared" si="87"/>
        <v>9124.2168878915254</v>
      </c>
      <c r="CZ37" s="428">
        <f t="shared" si="87"/>
        <v>-2350</v>
      </c>
      <c r="DA37" s="428">
        <f t="shared" si="88"/>
        <v>0</v>
      </c>
      <c r="DB37" s="428">
        <f t="shared" si="89"/>
        <v>0</v>
      </c>
      <c r="DC37" s="428">
        <f t="shared" si="90"/>
        <v>0</v>
      </c>
      <c r="DD37" s="428">
        <f t="shared" si="91"/>
        <v>0</v>
      </c>
      <c r="DE37" s="428">
        <f t="shared" si="92"/>
        <v>9523.6880417376778</v>
      </c>
    </row>
    <row r="38" spans="1:109" ht="15" customHeight="1">
      <c r="A38" s="417"/>
      <c r="B38" s="821"/>
      <c r="C38" s="780">
        <f>C39-$G$439</f>
        <v>0.25</v>
      </c>
      <c r="D38" s="632">
        <f t="shared" si="37"/>
        <v>0.23365345629936574</v>
      </c>
      <c r="E38" s="632">
        <f t="shared" si="38"/>
        <v>0.24682211156747402</v>
      </c>
      <c r="F38" s="632">
        <f t="shared" si="39"/>
        <v>0.25945684316636908</v>
      </c>
      <c r="G38" s="632">
        <f t="shared" si="40"/>
        <v>0.27160402027994257</v>
      </c>
      <c r="H38" s="632">
        <f t="shared" si="41"/>
        <v>0.28330403495480883</v>
      </c>
      <c r="I38" s="632">
        <f t="shared" si="42"/>
        <v>0.29459230191456087</v>
      </c>
      <c r="J38" s="632">
        <f t="shared" si="43"/>
        <v>0.30550005600563979</v>
      </c>
      <c r="K38" s="632">
        <f t="shared" si="44"/>
        <v>0.31605499471533371</v>
      </c>
      <c r="L38" s="632">
        <f t="shared" si="45"/>
        <v>0.32628180083504188</v>
      </c>
      <c r="M38" s="417"/>
      <c r="AT38" s="805">
        <f t="shared" ref="AT38:BB38" si="94">IF(Z52&lt;$G$449,0,MIN($G$446,1+IFERROR(INT((Z52-$G$449)/$G$451),0)))</f>
        <v>0</v>
      </c>
      <c r="AU38" s="805">
        <f t="shared" si="94"/>
        <v>0</v>
      </c>
      <c r="AV38" s="805">
        <f t="shared" si="94"/>
        <v>0</v>
      </c>
      <c r="AW38" s="805">
        <f t="shared" si="94"/>
        <v>0</v>
      </c>
      <c r="AX38" s="805">
        <f t="shared" si="94"/>
        <v>2</v>
      </c>
      <c r="AY38" s="805">
        <f t="shared" si="94"/>
        <v>4</v>
      </c>
      <c r="AZ38" s="805">
        <f t="shared" si="94"/>
        <v>5</v>
      </c>
      <c r="BA38" s="805">
        <f t="shared" si="94"/>
        <v>7</v>
      </c>
      <c r="BB38" s="805">
        <f t="shared" si="94"/>
        <v>8</v>
      </c>
      <c r="BD38" s="428">
        <f t="shared" si="47"/>
        <v>-2350</v>
      </c>
      <c r="BE38" s="428">
        <f t="shared" si="48"/>
        <v>0</v>
      </c>
      <c r="BF38" s="428">
        <f t="shared" si="49"/>
        <v>0</v>
      </c>
      <c r="BG38" s="428">
        <f t="shared" si="50"/>
        <v>0</v>
      </c>
      <c r="BH38" s="428">
        <f t="shared" si="51"/>
        <v>0</v>
      </c>
      <c r="BI38" s="428">
        <f t="shared" si="52"/>
        <v>6714.8105087393797</v>
      </c>
      <c r="BJ38" s="428">
        <f t="shared" si="52"/>
        <v>-2350</v>
      </c>
      <c r="BK38" s="428">
        <f t="shared" si="53"/>
        <v>0</v>
      </c>
      <c r="BL38" s="428">
        <f t="shared" si="54"/>
        <v>0</v>
      </c>
      <c r="BM38" s="428">
        <f t="shared" si="55"/>
        <v>0</v>
      </c>
      <c r="BN38" s="428">
        <f t="shared" si="56"/>
        <v>0</v>
      </c>
      <c r="BO38" s="428">
        <f t="shared" si="57"/>
        <v>7080.9306386095086</v>
      </c>
      <c r="BP38" s="428">
        <f t="shared" si="57"/>
        <v>-2350</v>
      </c>
      <c r="BQ38" s="428">
        <f t="shared" si="58"/>
        <v>0</v>
      </c>
      <c r="BR38" s="428">
        <f t="shared" si="59"/>
        <v>0</v>
      </c>
      <c r="BS38" s="428">
        <f t="shared" si="60"/>
        <v>0</v>
      </c>
      <c r="BT38" s="428">
        <f t="shared" si="61"/>
        <v>0</v>
      </c>
      <c r="BU38" s="428">
        <f t="shared" si="62"/>
        <v>7447.0507684796394</v>
      </c>
      <c r="BV38" s="428">
        <f t="shared" si="62"/>
        <v>-2350</v>
      </c>
      <c r="BW38" s="428">
        <f t="shared" si="63"/>
        <v>0</v>
      </c>
      <c r="BX38" s="428">
        <f t="shared" si="64"/>
        <v>0</v>
      </c>
      <c r="BY38" s="428">
        <f t="shared" si="65"/>
        <v>0</v>
      </c>
      <c r="BZ38" s="428">
        <f t="shared" si="66"/>
        <v>0</v>
      </c>
      <c r="CA38" s="428">
        <f t="shared" si="67"/>
        <v>7813.1708983497683</v>
      </c>
      <c r="CB38" s="428">
        <f t="shared" si="67"/>
        <v>-2350</v>
      </c>
      <c r="CC38" s="428">
        <f t="shared" si="68"/>
        <v>0</v>
      </c>
      <c r="CD38" s="428">
        <f t="shared" si="69"/>
        <v>0</v>
      </c>
      <c r="CE38" s="428">
        <f t="shared" si="70"/>
        <v>0</v>
      </c>
      <c r="CF38" s="428">
        <f t="shared" si="71"/>
        <v>0</v>
      </c>
      <c r="CG38" s="428">
        <f t="shared" si="72"/>
        <v>8179.2910282198991</v>
      </c>
      <c r="CH38" s="428">
        <f t="shared" si="72"/>
        <v>-2350</v>
      </c>
      <c r="CI38" s="428">
        <f t="shared" si="73"/>
        <v>0</v>
      </c>
      <c r="CJ38" s="428">
        <f t="shared" si="74"/>
        <v>0</v>
      </c>
      <c r="CK38" s="428">
        <f t="shared" si="75"/>
        <v>0</v>
      </c>
      <c r="CL38" s="428">
        <f t="shared" si="76"/>
        <v>0</v>
      </c>
      <c r="CM38" s="428">
        <f t="shared" si="77"/>
        <v>8545.411158090028</v>
      </c>
      <c r="CN38" s="428">
        <f t="shared" si="77"/>
        <v>-2350</v>
      </c>
      <c r="CO38" s="428">
        <f t="shared" si="78"/>
        <v>0</v>
      </c>
      <c r="CP38" s="428">
        <f t="shared" si="79"/>
        <v>0</v>
      </c>
      <c r="CQ38" s="428">
        <f t="shared" si="80"/>
        <v>0</v>
      </c>
      <c r="CR38" s="428">
        <f t="shared" si="81"/>
        <v>0</v>
      </c>
      <c r="CS38" s="428">
        <f t="shared" si="82"/>
        <v>8911.5312879601588</v>
      </c>
      <c r="CT38" s="428">
        <f t="shared" si="82"/>
        <v>-2350</v>
      </c>
      <c r="CU38" s="428">
        <f t="shared" si="83"/>
        <v>0</v>
      </c>
      <c r="CV38" s="428">
        <f t="shared" si="84"/>
        <v>0</v>
      </c>
      <c r="CW38" s="428">
        <f t="shared" si="85"/>
        <v>0</v>
      </c>
      <c r="CX38" s="428">
        <f t="shared" si="86"/>
        <v>0</v>
      </c>
      <c r="CY38" s="428">
        <f t="shared" si="87"/>
        <v>9277.6514178302896</v>
      </c>
      <c r="CZ38" s="428">
        <f t="shared" si="87"/>
        <v>-2350</v>
      </c>
      <c r="DA38" s="428">
        <f t="shared" si="88"/>
        <v>0</v>
      </c>
      <c r="DB38" s="428">
        <f t="shared" si="89"/>
        <v>0</v>
      </c>
      <c r="DC38" s="428">
        <f t="shared" si="90"/>
        <v>0</v>
      </c>
      <c r="DD38" s="428">
        <f t="shared" si="91"/>
        <v>0</v>
      </c>
      <c r="DE38" s="428">
        <f t="shared" si="92"/>
        <v>9643.7715477004185</v>
      </c>
    </row>
    <row r="39" spans="1:109" ht="15" customHeight="1">
      <c r="A39" s="417"/>
      <c r="B39" s="821"/>
      <c r="C39" s="780">
        <f>$G$438</f>
        <v>0.3</v>
      </c>
      <c r="D39" s="632">
        <f t="shared" si="37"/>
        <v>0.2476131138879194</v>
      </c>
      <c r="E39" s="632">
        <f t="shared" si="38"/>
        <v>0.25908373981303301</v>
      </c>
      <c r="F39" s="632">
        <f t="shared" si="39"/>
        <v>0.27015098157094575</v>
      </c>
      <c r="G39" s="632">
        <f t="shared" si="40"/>
        <v>0.28084541841584909</v>
      </c>
      <c r="H39" s="790">
        <f t="shared" si="41"/>
        <v>0.29119416880747639</v>
      </c>
      <c r="I39" s="632">
        <f t="shared" si="42"/>
        <v>0.30122140139452713</v>
      </c>
      <c r="J39" s="632">
        <f t="shared" si="43"/>
        <v>0.31094875427053514</v>
      </c>
      <c r="K39" s="632">
        <f t="shared" si="44"/>
        <v>0.32039568158616216</v>
      </c>
      <c r="L39" s="632">
        <f t="shared" si="45"/>
        <v>0.32957974239339727</v>
      </c>
      <c r="M39" s="417"/>
      <c r="AT39" s="805">
        <f t="shared" ref="AT39:BB39" si="95">IF(Z53&lt;$G$449,0,MIN($G$446,1+IFERROR(INT((Z53-$G$449)/$G$451),0)))</f>
        <v>0</v>
      </c>
      <c r="AU39" s="805">
        <f t="shared" si="95"/>
        <v>0</v>
      </c>
      <c r="AV39" s="805">
        <f t="shared" si="95"/>
        <v>0</v>
      </c>
      <c r="AW39" s="805">
        <f t="shared" si="95"/>
        <v>2</v>
      </c>
      <c r="AX39" s="805">
        <f t="shared" si="95"/>
        <v>3</v>
      </c>
      <c r="AY39" s="805">
        <f t="shared" si="95"/>
        <v>5</v>
      </c>
      <c r="AZ39" s="805">
        <f t="shared" si="95"/>
        <v>6</v>
      </c>
      <c r="BA39" s="805">
        <f t="shared" si="95"/>
        <v>7</v>
      </c>
      <c r="BB39" s="805">
        <f t="shared" si="95"/>
        <v>9</v>
      </c>
      <c r="BD39" s="428">
        <f t="shared" si="47"/>
        <v>-2350</v>
      </c>
      <c r="BE39" s="428">
        <f t="shared" si="48"/>
        <v>0</v>
      </c>
      <c r="BF39" s="428">
        <f t="shared" si="49"/>
        <v>0</v>
      </c>
      <c r="BG39" s="428">
        <f t="shared" si="50"/>
        <v>0</v>
      </c>
      <c r="BH39" s="428">
        <f t="shared" si="51"/>
        <v>0</v>
      </c>
      <c r="BI39" s="428">
        <f t="shared" si="52"/>
        <v>7103.4203898711448</v>
      </c>
      <c r="BJ39" s="428">
        <f t="shared" si="52"/>
        <v>-2350</v>
      </c>
      <c r="BK39" s="428">
        <f t="shared" si="53"/>
        <v>0</v>
      </c>
      <c r="BL39" s="428">
        <f t="shared" si="54"/>
        <v>0</v>
      </c>
      <c r="BM39" s="428">
        <f t="shared" si="55"/>
        <v>0</v>
      </c>
      <c r="BN39" s="428">
        <f t="shared" si="56"/>
        <v>0</v>
      </c>
      <c r="BO39" s="428">
        <f t="shared" si="57"/>
        <v>7436.0266754691911</v>
      </c>
      <c r="BP39" s="428">
        <f t="shared" si="57"/>
        <v>-2350</v>
      </c>
      <c r="BQ39" s="428">
        <f t="shared" si="58"/>
        <v>0</v>
      </c>
      <c r="BR39" s="428">
        <f t="shared" si="59"/>
        <v>0</v>
      </c>
      <c r="BS39" s="428">
        <f t="shared" si="60"/>
        <v>0</v>
      </c>
      <c r="BT39" s="428">
        <f t="shared" si="61"/>
        <v>0</v>
      </c>
      <c r="BU39" s="428">
        <f t="shared" si="62"/>
        <v>7768.6329610672383</v>
      </c>
      <c r="BV39" s="428">
        <f t="shared" si="62"/>
        <v>-2350</v>
      </c>
      <c r="BW39" s="428">
        <f t="shared" si="63"/>
        <v>0</v>
      </c>
      <c r="BX39" s="428">
        <f t="shared" si="64"/>
        <v>0</v>
      </c>
      <c r="BY39" s="428">
        <f t="shared" si="65"/>
        <v>0</v>
      </c>
      <c r="BZ39" s="428">
        <f t="shared" si="66"/>
        <v>0</v>
      </c>
      <c r="CA39" s="428">
        <f t="shared" si="67"/>
        <v>8101.2392466652855</v>
      </c>
      <c r="CB39" s="428">
        <f t="shared" si="67"/>
        <v>-2350</v>
      </c>
      <c r="CC39" s="428">
        <f t="shared" si="68"/>
        <v>0</v>
      </c>
      <c r="CD39" s="428">
        <f t="shared" si="69"/>
        <v>0</v>
      </c>
      <c r="CE39" s="428">
        <f t="shared" si="70"/>
        <v>0</v>
      </c>
      <c r="CF39" s="428">
        <f t="shared" si="71"/>
        <v>0</v>
      </c>
      <c r="CG39" s="428">
        <f t="shared" si="72"/>
        <v>8433.8455322633345</v>
      </c>
      <c r="CH39" s="428">
        <f t="shared" si="72"/>
        <v>-2350</v>
      </c>
      <c r="CI39" s="428">
        <f t="shared" si="73"/>
        <v>0</v>
      </c>
      <c r="CJ39" s="428">
        <f t="shared" si="74"/>
        <v>0</v>
      </c>
      <c r="CK39" s="428">
        <f t="shared" si="75"/>
        <v>0</v>
      </c>
      <c r="CL39" s="428">
        <f t="shared" si="76"/>
        <v>0</v>
      </c>
      <c r="CM39" s="428">
        <f t="shared" si="77"/>
        <v>8766.4518178613798</v>
      </c>
      <c r="CN39" s="428">
        <f t="shared" si="77"/>
        <v>-2350</v>
      </c>
      <c r="CO39" s="428">
        <f t="shared" si="78"/>
        <v>0</v>
      </c>
      <c r="CP39" s="428">
        <f t="shared" si="79"/>
        <v>0</v>
      </c>
      <c r="CQ39" s="428">
        <f t="shared" si="80"/>
        <v>0</v>
      </c>
      <c r="CR39" s="428">
        <f t="shared" si="81"/>
        <v>0</v>
      </c>
      <c r="CS39" s="428">
        <f t="shared" si="82"/>
        <v>9099.0581034594288</v>
      </c>
      <c r="CT39" s="428">
        <f t="shared" si="82"/>
        <v>-2350</v>
      </c>
      <c r="CU39" s="428">
        <f t="shared" si="83"/>
        <v>0</v>
      </c>
      <c r="CV39" s="428">
        <f t="shared" si="84"/>
        <v>0</v>
      </c>
      <c r="CW39" s="428">
        <f t="shared" si="85"/>
        <v>0</v>
      </c>
      <c r="CX39" s="428">
        <f t="shared" si="86"/>
        <v>0</v>
      </c>
      <c r="CY39" s="428">
        <f t="shared" si="87"/>
        <v>9431.6643890574742</v>
      </c>
      <c r="CZ39" s="428">
        <f t="shared" si="87"/>
        <v>-2350</v>
      </c>
      <c r="DA39" s="428">
        <f t="shared" si="88"/>
        <v>0</v>
      </c>
      <c r="DB39" s="428">
        <f t="shared" si="89"/>
        <v>0</v>
      </c>
      <c r="DC39" s="428">
        <f t="shared" si="90"/>
        <v>0</v>
      </c>
      <c r="DD39" s="428">
        <f t="shared" si="91"/>
        <v>0</v>
      </c>
      <c r="DE39" s="428">
        <f t="shared" si="92"/>
        <v>9764.2706746555232</v>
      </c>
    </row>
    <row r="40" spans="1:109" ht="15" customHeight="1">
      <c r="A40" s="417"/>
      <c r="B40" s="821"/>
      <c r="C40" s="780">
        <f>C39+$G$439</f>
        <v>0.35</v>
      </c>
      <c r="D40" s="632">
        <f t="shared" si="37"/>
        <v>0.26103283777883224</v>
      </c>
      <c r="E40" s="632">
        <f t="shared" si="38"/>
        <v>0.27093664491210334</v>
      </c>
      <c r="F40" s="632">
        <f t="shared" si="39"/>
        <v>0.28054103802281194</v>
      </c>
      <c r="G40" s="632">
        <f t="shared" si="40"/>
        <v>0.28986564495436351</v>
      </c>
      <c r="H40" s="632">
        <f t="shared" si="41"/>
        <v>0.29892816212919526</v>
      </c>
      <c r="I40" s="632">
        <f t="shared" si="42"/>
        <v>0.30774460376977331</v>
      </c>
      <c r="J40" s="632">
        <f t="shared" si="43"/>
        <v>0.31632951176620727</v>
      </c>
      <c r="K40" s="632">
        <f t="shared" si="44"/>
        <v>0.32469613361840199</v>
      </c>
      <c r="L40" s="632">
        <f t="shared" si="45"/>
        <v>0.33285657396631141</v>
      </c>
      <c r="M40" s="417"/>
      <c r="AT40" s="805">
        <f t="shared" ref="AT40:BB40" si="96">IF(Z54&lt;$G$449,0,MIN($G$446,1+IFERROR(INT((Z54-$G$449)/$G$451),0)))</f>
        <v>0</v>
      </c>
      <c r="AU40" s="805">
        <f t="shared" si="96"/>
        <v>0</v>
      </c>
      <c r="AV40" s="805">
        <f t="shared" si="96"/>
        <v>2</v>
      </c>
      <c r="AW40" s="805">
        <f t="shared" si="96"/>
        <v>3</v>
      </c>
      <c r="AX40" s="805">
        <f t="shared" si="96"/>
        <v>4</v>
      </c>
      <c r="AY40" s="805">
        <f t="shared" si="96"/>
        <v>6</v>
      </c>
      <c r="AZ40" s="805">
        <f t="shared" si="96"/>
        <v>7</v>
      </c>
      <c r="BA40" s="805">
        <f t="shared" si="96"/>
        <v>8</v>
      </c>
      <c r="BB40" s="805">
        <f t="shared" si="96"/>
        <v>9</v>
      </c>
      <c r="BD40" s="428">
        <f t="shared" si="47"/>
        <v>-2350</v>
      </c>
      <c r="BE40" s="428">
        <f t="shared" si="48"/>
        <v>0</v>
      </c>
      <c r="BF40" s="428">
        <f t="shared" si="49"/>
        <v>0</v>
      </c>
      <c r="BG40" s="428">
        <f t="shared" si="50"/>
        <v>0</v>
      </c>
      <c r="BH40" s="428">
        <f t="shared" si="51"/>
        <v>0</v>
      </c>
      <c r="BI40" s="428">
        <f t="shared" si="52"/>
        <v>7493.7610674553016</v>
      </c>
      <c r="BJ40" s="428">
        <f t="shared" si="52"/>
        <v>-2350</v>
      </c>
      <c r="BK40" s="428">
        <f t="shared" si="53"/>
        <v>0</v>
      </c>
      <c r="BL40" s="428">
        <f t="shared" si="54"/>
        <v>0</v>
      </c>
      <c r="BM40" s="428">
        <f t="shared" si="55"/>
        <v>0</v>
      </c>
      <c r="BN40" s="428">
        <f t="shared" si="56"/>
        <v>0</v>
      </c>
      <c r="BO40" s="428">
        <f t="shared" si="57"/>
        <v>7792.6894932301784</v>
      </c>
      <c r="BP40" s="428">
        <f t="shared" si="57"/>
        <v>-2350</v>
      </c>
      <c r="BQ40" s="428">
        <f t="shared" si="58"/>
        <v>0</v>
      </c>
      <c r="BR40" s="428">
        <f t="shared" si="59"/>
        <v>0</v>
      </c>
      <c r="BS40" s="428">
        <f t="shared" si="60"/>
        <v>0</v>
      </c>
      <c r="BT40" s="428">
        <f t="shared" si="61"/>
        <v>0</v>
      </c>
      <c r="BU40" s="428">
        <f t="shared" si="62"/>
        <v>8091.617919005057</v>
      </c>
      <c r="BV40" s="428">
        <f t="shared" si="62"/>
        <v>-2350</v>
      </c>
      <c r="BW40" s="428">
        <f t="shared" si="63"/>
        <v>0</v>
      </c>
      <c r="BX40" s="428">
        <f t="shared" si="64"/>
        <v>0</v>
      </c>
      <c r="BY40" s="428">
        <f t="shared" si="65"/>
        <v>0</v>
      </c>
      <c r="BZ40" s="428">
        <f t="shared" si="66"/>
        <v>0</v>
      </c>
      <c r="CA40" s="428">
        <f t="shared" si="67"/>
        <v>8390.5463447799339</v>
      </c>
      <c r="CB40" s="428">
        <f t="shared" si="67"/>
        <v>-2350</v>
      </c>
      <c r="CC40" s="428">
        <f t="shared" si="68"/>
        <v>0</v>
      </c>
      <c r="CD40" s="428">
        <f t="shared" si="69"/>
        <v>0</v>
      </c>
      <c r="CE40" s="428">
        <f t="shared" si="70"/>
        <v>0</v>
      </c>
      <c r="CF40" s="428">
        <f t="shared" si="71"/>
        <v>0</v>
      </c>
      <c r="CG40" s="428">
        <f t="shared" si="72"/>
        <v>8689.4747705548125</v>
      </c>
      <c r="CH40" s="428">
        <f t="shared" si="72"/>
        <v>-2350</v>
      </c>
      <c r="CI40" s="428">
        <f t="shared" si="73"/>
        <v>0</v>
      </c>
      <c r="CJ40" s="428">
        <f t="shared" si="74"/>
        <v>0</v>
      </c>
      <c r="CK40" s="428">
        <f t="shared" si="75"/>
        <v>0</v>
      </c>
      <c r="CL40" s="428">
        <f t="shared" si="76"/>
        <v>0</v>
      </c>
      <c r="CM40" s="428">
        <f t="shared" si="77"/>
        <v>8988.4031963296893</v>
      </c>
      <c r="CN40" s="428">
        <f t="shared" si="77"/>
        <v>-2350</v>
      </c>
      <c r="CO40" s="428">
        <f t="shared" si="78"/>
        <v>0</v>
      </c>
      <c r="CP40" s="428">
        <f t="shared" si="79"/>
        <v>0</v>
      </c>
      <c r="CQ40" s="428">
        <f t="shared" si="80"/>
        <v>0</v>
      </c>
      <c r="CR40" s="428">
        <f t="shared" si="81"/>
        <v>0</v>
      </c>
      <c r="CS40" s="428">
        <f t="shared" si="82"/>
        <v>9287.3316221045679</v>
      </c>
      <c r="CT40" s="428">
        <f t="shared" si="82"/>
        <v>-2350</v>
      </c>
      <c r="CU40" s="428">
        <f t="shared" si="83"/>
        <v>0</v>
      </c>
      <c r="CV40" s="428">
        <f t="shared" si="84"/>
        <v>0</v>
      </c>
      <c r="CW40" s="428">
        <f t="shared" si="85"/>
        <v>0</v>
      </c>
      <c r="CX40" s="428">
        <f t="shared" si="86"/>
        <v>0</v>
      </c>
      <c r="CY40" s="428">
        <f t="shared" si="87"/>
        <v>9586.2600478794448</v>
      </c>
      <c r="CZ40" s="428">
        <f t="shared" si="87"/>
        <v>-2350</v>
      </c>
      <c r="DA40" s="428">
        <f t="shared" si="88"/>
        <v>0</v>
      </c>
      <c r="DB40" s="428">
        <f t="shared" si="89"/>
        <v>0</v>
      </c>
      <c r="DC40" s="428">
        <f t="shared" si="90"/>
        <v>0</v>
      </c>
      <c r="DD40" s="428">
        <f t="shared" si="91"/>
        <v>0</v>
      </c>
      <c r="DE40" s="428">
        <f t="shared" si="92"/>
        <v>9885.1884736543216</v>
      </c>
    </row>
    <row r="41" spans="1:109" ht="15" customHeight="1">
      <c r="A41" s="417"/>
      <c r="B41" s="821"/>
      <c r="C41" s="780">
        <f>C40+$G$439</f>
        <v>0.39999999999999997</v>
      </c>
      <c r="D41" s="632">
        <f t="shared" si="37"/>
        <v>0.27396083824063111</v>
      </c>
      <c r="E41" s="632">
        <f t="shared" si="38"/>
        <v>0.2824128670824082</v>
      </c>
      <c r="F41" s="632">
        <f t="shared" si="39"/>
        <v>0.29064777689014387</v>
      </c>
      <c r="G41" s="632">
        <f t="shared" si="40"/>
        <v>0.29867772765187883</v>
      </c>
      <c r="H41" s="632">
        <f t="shared" si="41"/>
        <v>0.30651385185888524</v>
      </c>
      <c r="I41" s="632">
        <f t="shared" si="42"/>
        <v>0.31416636884846549</v>
      </c>
      <c r="J41" s="632">
        <f t="shared" si="43"/>
        <v>0.32164468362564325</v>
      </c>
      <c r="K41" s="632">
        <f t="shared" si="44"/>
        <v>0.32895747246874207</v>
      </c>
      <c r="L41" s="632">
        <f t="shared" si="45"/>
        <v>0.33611275750712455</v>
      </c>
      <c r="M41" s="417"/>
      <c r="AT41" s="805">
        <f t="shared" ref="AT41:BB41" si="97">IF(Z55&lt;$G$449,0,MIN($G$446,1+IFERROR(INT((Z55-$G$449)/$G$451),0)))</f>
        <v>1</v>
      </c>
      <c r="AU41" s="805">
        <f t="shared" si="97"/>
        <v>2</v>
      </c>
      <c r="AV41" s="805">
        <f t="shared" si="97"/>
        <v>3</v>
      </c>
      <c r="AW41" s="805">
        <f t="shared" si="97"/>
        <v>4</v>
      </c>
      <c r="AX41" s="805">
        <f t="shared" si="97"/>
        <v>5</v>
      </c>
      <c r="AY41" s="805">
        <f t="shared" si="97"/>
        <v>6</v>
      </c>
      <c r="AZ41" s="805">
        <f t="shared" si="97"/>
        <v>8</v>
      </c>
      <c r="BA41" s="805">
        <f t="shared" si="97"/>
        <v>9</v>
      </c>
      <c r="BB41" s="805">
        <f t="shared" si="97"/>
        <v>10</v>
      </c>
      <c r="BD41" s="428">
        <f t="shared" si="47"/>
        <v>-2350</v>
      </c>
      <c r="BE41" s="428">
        <f t="shared" si="48"/>
        <v>0</v>
      </c>
      <c r="BF41" s="428">
        <f t="shared" si="49"/>
        <v>0</v>
      </c>
      <c r="BG41" s="428">
        <f t="shared" si="50"/>
        <v>0</v>
      </c>
      <c r="BH41" s="428">
        <f t="shared" si="51"/>
        <v>0</v>
      </c>
      <c r="BI41" s="428">
        <f t="shared" si="52"/>
        <v>7885.8452783422763</v>
      </c>
      <c r="BJ41" s="428">
        <f t="shared" si="52"/>
        <v>-2350</v>
      </c>
      <c r="BK41" s="428">
        <f t="shared" si="53"/>
        <v>0</v>
      </c>
      <c r="BL41" s="428">
        <f t="shared" si="54"/>
        <v>0</v>
      </c>
      <c r="BM41" s="428">
        <f t="shared" si="55"/>
        <v>0</v>
      </c>
      <c r="BN41" s="428">
        <f t="shared" si="56"/>
        <v>0</v>
      </c>
      <c r="BO41" s="428">
        <f t="shared" si="57"/>
        <v>8150.9306217601006</v>
      </c>
      <c r="BP41" s="428">
        <f t="shared" si="57"/>
        <v>-2350</v>
      </c>
      <c r="BQ41" s="428">
        <f t="shared" si="58"/>
        <v>0</v>
      </c>
      <c r="BR41" s="428">
        <f t="shared" si="59"/>
        <v>0</v>
      </c>
      <c r="BS41" s="428">
        <f t="shared" si="60"/>
        <v>0</v>
      </c>
      <c r="BT41" s="428">
        <f t="shared" si="61"/>
        <v>0</v>
      </c>
      <c r="BU41" s="428">
        <f t="shared" si="62"/>
        <v>8416.015965177925</v>
      </c>
      <c r="BV41" s="428">
        <f t="shared" si="62"/>
        <v>-2350</v>
      </c>
      <c r="BW41" s="428">
        <f t="shared" si="63"/>
        <v>0</v>
      </c>
      <c r="BX41" s="428">
        <f t="shared" si="64"/>
        <v>0</v>
      </c>
      <c r="BY41" s="428">
        <f t="shared" si="65"/>
        <v>0</v>
      </c>
      <c r="BZ41" s="428">
        <f t="shared" si="66"/>
        <v>0</v>
      </c>
      <c r="CA41" s="428">
        <f t="shared" si="67"/>
        <v>8681.1013085957493</v>
      </c>
      <c r="CB41" s="428">
        <f t="shared" si="67"/>
        <v>-2350</v>
      </c>
      <c r="CC41" s="428">
        <f t="shared" si="68"/>
        <v>0</v>
      </c>
      <c r="CD41" s="428">
        <f t="shared" si="69"/>
        <v>0</v>
      </c>
      <c r="CE41" s="428">
        <f t="shared" si="70"/>
        <v>0</v>
      </c>
      <c r="CF41" s="428">
        <f t="shared" si="71"/>
        <v>0</v>
      </c>
      <c r="CG41" s="428">
        <f t="shared" si="72"/>
        <v>8946.1866520135754</v>
      </c>
      <c r="CH41" s="428">
        <f t="shared" si="72"/>
        <v>-2350</v>
      </c>
      <c r="CI41" s="428">
        <f t="shared" si="73"/>
        <v>0</v>
      </c>
      <c r="CJ41" s="428">
        <f t="shared" si="74"/>
        <v>0</v>
      </c>
      <c r="CK41" s="428">
        <f t="shared" si="75"/>
        <v>0</v>
      </c>
      <c r="CL41" s="428">
        <f t="shared" si="76"/>
        <v>0</v>
      </c>
      <c r="CM41" s="428">
        <f t="shared" si="77"/>
        <v>9211.2719954313998</v>
      </c>
      <c r="CN41" s="428">
        <f t="shared" si="77"/>
        <v>-2350</v>
      </c>
      <c r="CO41" s="428">
        <f t="shared" si="78"/>
        <v>0</v>
      </c>
      <c r="CP41" s="428">
        <f t="shared" si="79"/>
        <v>0</v>
      </c>
      <c r="CQ41" s="428">
        <f t="shared" si="80"/>
        <v>0</v>
      </c>
      <c r="CR41" s="428">
        <f t="shared" si="81"/>
        <v>0</v>
      </c>
      <c r="CS41" s="428">
        <f t="shared" si="82"/>
        <v>9476.3573388492259</v>
      </c>
      <c r="CT41" s="428">
        <f t="shared" si="82"/>
        <v>-2350</v>
      </c>
      <c r="CU41" s="428">
        <f t="shared" si="83"/>
        <v>0</v>
      </c>
      <c r="CV41" s="428">
        <f t="shared" si="84"/>
        <v>0</v>
      </c>
      <c r="CW41" s="428">
        <f t="shared" si="85"/>
        <v>0</v>
      </c>
      <c r="CX41" s="428">
        <f t="shared" si="86"/>
        <v>0</v>
      </c>
      <c r="CY41" s="428">
        <f t="shared" si="87"/>
        <v>9741.4426822670503</v>
      </c>
      <c r="CZ41" s="428">
        <f t="shared" si="87"/>
        <v>-2350</v>
      </c>
      <c r="DA41" s="428">
        <f t="shared" si="88"/>
        <v>0</v>
      </c>
      <c r="DB41" s="428">
        <f t="shared" si="89"/>
        <v>0</v>
      </c>
      <c r="DC41" s="428">
        <f t="shared" si="90"/>
        <v>0</v>
      </c>
      <c r="DD41" s="428">
        <f t="shared" si="91"/>
        <v>0</v>
      </c>
      <c r="DE41" s="428">
        <f t="shared" si="92"/>
        <v>10006.528025684875</v>
      </c>
    </row>
    <row r="42" spans="1:109" ht="15" customHeight="1">
      <c r="A42" s="417"/>
      <c r="B42" s="822"/>
      <c r="C42" s="781">
        <f>C41+$G$439</f>
        <v>0.44999999999999996</v>
      </c>
      <c r="D42" s="791">
        <f t="shared" si="37"/>
        <v>0.28643900569650671</v>
      </c>
      <c r="E42" s="791">
        <f t="shared" si="38"/>
        <v>0.2935407469672533</v>
      </c>
      <c r="F42" s="791">
        <f t="shared" si="39"/>
        <v>0.30048986989015058</v>
      </c>
      <c r="G42" s="791">
        <f t="shared" si="40"/>
        <v>0.30729356149339027</v>
      </c>
      <c r="H42" s="791">
        <f t="shared" si="41"/>
        <v>0.31395849568428646</v>
      </c>
      <c r="I42" s="791">
        <f t="shared" si="42"/>
        <v>0.32049088179632057</v>
      </c>
      <c r="J42" s="791">
        <f t="shared" si="43"/>
        <v>0.32689650738092602</v>
      </c>
      <c r="K42" s="791">
        <f t="shared" si="44"/>
        <v>0.33318077617894937</v>
      </c>
      <c r="L42" s="791">
        <f t="shared" si="45"/>
        <v>0.3393487418666068</v>
      </c>
      <c r="M42" s="417"/>
      <c r="AT42" s="805">
        <f t="shared" ref="AT42:BB42" si="98">IF(Z56&lt;$G$449,0,MIN($G$446,1+IFERROR(INT((Z56-$G$449)/$G$451),0)))</f>
        <v>2</v>
      </c>
      <c r="AU42" s="805">
        <f t="shared" si="98"/>
        <v>3</v>
      </c>
      <c r="AV42" s="805">
        <f t="shared" si="98"/>
        <v>4</v>
      </c>
      <c r="AW42" s="805">
        <f t="shared" si="98"/>
        <v>5</v>
      </c>
      <c r="AX42" s="805">
        <f t="shared" si="98"/>
        <v>6</v>
      </c>
      <c r="AY42" s="805">
        <f t="shared" si="98"/>
        <v>7</v>
      </c>
      <c r="AZ42" s="805">
        <f t="shared" si="98"/>
        <v>8</v>
      </c>
      <c r="BA42" s="805">
        <f t="shared" si="98"/>
        <v>9</v>
      </c>
      <c r="BB42" s="805">
        <f t="shared" si="98"/>
        <v>10</v>
      </c>
      <c r="BD42" s="428">
        <f t="shared" si="47"/>
        <v>-2350</v>
      </c>
      <c r="BE42" s="428">
        <f t="shared" si="48"/>
        <v>0</v>
      </c>
      <c r="BF42" s="428">
        <f t="shared" si="49"/>
        <v>0</v>
      </c>
      <c r="BG42" s="428">
        <f t="shared" si="50"/>
        <v>0</v>
      </c>
      <c r="BH42" s="428">
        <f t="shared" si="51"/>
        <v>0</v>
      </c>
      <c r="BI42" s="428">
        <f t="shared" si="52"/>
        <v>8279.6858846629893</v>
      </c>
      <c r="BJ42" s="428">
        <f t="shared" si="52"/>
        <v>-2350</v>
      </c>
      <c r="BK42" s="428">
        <f t="shared" si="53"/>
        <v>0</v>
      </c>
      <c r="BL42" s="428">
        <f t="shared" si="54"/>
        <v>0</v>
      </c>
      <c r="BM42" s="428">
        <f t="shared" si="55"/>
        <v>0</v>
      </c>
      <c r="BN42" s="428">
        <f t="shared" si="56"/>
        <v>0</v>
      </c>
      <c r="BO42" s="428">
        <f t="shared" si="57"/>
        <v>8510.7617043351202</v>
      </c>
      <c r="BP42" s="428">
        <f t="shared" si="57"/>
        <v>-2350</v>
      </c>
      <c r="BQ42" s="428">
        <f t="shared" si="58"/>
        <v>0</v>
      </c>
      <c r="BR42" s="428">
        <f t="shared" si="59"/>
        <v>0</v>
      </c>
      <c r="BS42" s="428">
        <f t="shared" si="60"/>
        <v>0</v>
      </c>
      <c r="BT42" s="428">
        <f t="shared" si="61"/>
        <v>0</v>
      </c>
      <c r="BU42" s="428">
        <f t="shared" si="62"/>
        <v>8741.837524007251</v>
      </c>
      <c r="BV42" s="428">
        <f t="shared" si="62"/>
        <v>-2350</v>
      </c>
      <c r="BW42" s="428">
        <f t="shared" si="63"/>
        <v>0</v>
      </c>
      <c r="BX42" s="428">
        <f t="shared" si="64"/>
        <v>0</v>
      </c>
      <c r="BY42" s="428">
        <f t="shared" si="65"/>
        <v>0</v>
      </c>
      <c r="BZ42" s="428">
        <f t="shared" si="66"/>
        <v>0</v>
      </c>
      <c r="CA42" s="428">
        <f t="shared" si="67"/>
        <v>8972.9133436793818</v>
      </c>
      <c r="CB42" s="428">
        <f t="shared" si="67"/>
        <v>-2350</v>
      </c>
      <c r="CC42" s="428">
        <f t="shared" si="68"/>
        <v>0</v>
      </c>
      <c r="CD42" s="428">
        <f t="shared" si="69"/>
        <v>0</v>
      </c>
      <c r="CE42" s="428">
        <f t="shared" si="70"/>
        <v>0</v>
      </c>
      <c r="CF42" s="428">
        <f t="shared" si="71"/>
        <v>0</v>
      </c>
      <c r="CG42" s="428">
        <f t="shared" si="72"/>
        <v>9203.9891633515144</v>
      </c>
      <c r="CH42" s="428">
        <f t="shared" si="72"/>
        <v>-2350</v>
      </c>
      <c r="CI42" s="428">
        <f t="shared" si="73"/>
        <v>0</v>
      </c>
      <c r="CJ42" s="428">
        <f t="shared" si="74"/>
        <v>0</v>
      </c>
      <c r="CK42" s="428">
        <f t="shared" si="75"/>
        <v>0</v>
      </c>
      <c r="CL42" s="428">
        <f t="shared" si="76"/>
        <v>0</v>
      </c>
      <c r="CM42" s="428">
        <f t="shared" si="77"/>
        <v>9435.0649830236453</v>
      </c>
      <c r="CN42" s="428">
        <f t="shared" si="77"/>
        <v>-2350</v>
      </c>
      <c r="CO42" s="428">
        <f t="shared" si="78"/>
        <v>0</v>
      </c>
      <c r="CP42" s="428">
        <f t="shared" si="79"/>
        <v>0</v>
      </c>
      <c r="CQ42" s="428">
        <f t="shared" si="80"/>
        <v>0</v>
      </c>
      <c r="CR42" s="428">
        <f t="shared" si="81"/>
        <v>0</v>
      </c>
      <c r="CS42" s="428">
        <f t="shared" si="82"/>
        <v>9666.1408026957761</v>
      </c>
      <c r="CT42" s="428">
        <f t="shared" si="82"/>
        <v>-2350</v>
      </c>
      <c r="CU42" s="428">
        <f t="shared" si="83"/>
        <v>0</v>
      </c>
      <c r="CV42" s="428">
        <f t="shared" si="84"/>
        <v>0</v>
      </c>
      <c r="CW42" s="428">
        <f t="shared" si="85"/>
        <v>0</v>
      </c>
      <c r="CX42" s="428">
        <f t="shared" si="86"/>
        <v>0</v>
      </c>
      <c r="CY42" s="428">
        <f t="shared" si="87"/>
        <v>9897.2166223679069</v>
      </c>
      <c r="CZ42" s="428">
        <f t="shared" si="87"/>
        <v>-2350</v>
      </c>
      <c r="DA42" s="428">
        <f t="shared" si="88"/>
        <v>0</v>
      </c>
      <c r="DB42" s="428">
        <f t="shared" si="89"/>
        <v>0</v>
      </c>
      <c r="DC42" s="428">
        <f t="shared" si="90"/>
        <v>0</v>
      </c>
      <c r="DD42" s="428">
        <f t="shared" si="91"/>
        <v>0</v>
      </c>
      <c r="DE42" s="428">
        <f t="shared" si="92"/>
        <v>10128.292442040038</v>
      </c>
    </row>
    <row r="43" spans="1:109" ht="15" hidden="1" customHeight="1" outlineLevel="1">
      <c r="A43" s="417"/>
      <c r="B43" s="423" t="s">
        <v>2538</v>
      </c>
      <c r="D43" s="417"/>
      <c r="E43" s="417"/>
      <c r="F43" s="417"/>
      <c r="G43" s="417"/>
      <c r="H43" s="417"/>
      <c r="I43" s="417"/>
      <c r="J43" s="417"/>
      <c r="K43" s="417"/>
      <c r="L43" s="417"/>
      <c r="M43" s="417"/>
    </row>
    <row r="44" spans="1:109" ht="3.95" customHeight="1" collapsed="1">
      <c r="A44" s="417"/>
      <c r="B44" s="423"/>
      <c r="D44" s="417"/>
      <c r="E44" s="417"/>
      <c r="F44" s="417"/>
      <c r="G44" s="417"/>
      <c r="H44" s="417"/>
      <c r="I44" s="417"/>
      <c r="J44" s="417"/>
      <c r="K44" s="417"/>
      <c r="L44" s="417"/>
      <c r="M44" s="417"/>
    </row>
    <row r="45" spans="1:109">
      <c r="A45" s="417"/>
      <c r="B45" s="795" t="s">
        <v>2738</v>
      </c>
      <c r="C45" s="795"/>
      <c r="D45" s="795"/>
      <c r="E45" s="795"/>
      <c r="F45" s="795"/>
      <c r="G45" s="795"/>
      <c r="H45" s="795"/>
      <c r="I45" s="795"/>
      <c r="J45" s="795"/>
      <c r="K45" s="795"/>
      <c r="L45" s="795"/>
      <c r="M45" s="417"/>
      <c r="N45" s="417"/>
      <c r="O45" s="417"/>
      <c r="P45" s="417"/>
      <c r="Q45" s="417"/>
    </row>
    <row r="46" spans="1:109" ht="15" customHeight="1">
      <c r="A46" s="417"/>
      <c r="B46" s="148" t="s">
        <v>2546</v>
      </c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</row>
    <row r="47" spans="1:109" ht="2.1" customHeight="1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</row>
    <row r="48" spans="1:109" ht="12.75" customHeight="1">
      <c r="A48" s="417"/>
      <c r="B48" s="454"/>
      <c r="C48" s="454"/>
      <c r="D48" s="768" t="s">
        <v>2527</v>
      </c>
      <c r="E48" s="768"/>
      <c r="F48" s="768"/>
      <c r="G48" s="768"/>
      <c r="H48" s="768"/>
      <c r="I48" s="768"/>
      <c r="J48" s="768"/>
      <c r="K48" s="768"/>
      <c r="L48" s="768"/>
      <c r="M48" s="417"/>
      <c r="N48" s="417"/>
      <c r="O48" s="417"/>
      <c r="P48" s="417"/>
      <c r="Q48" s="417"/>
      <c r="Z48" s="787" t="s">
        <v>2552</v>
      </c>
      <c r="AA48" s="747"/>
      <c r="AB48" s="747"/>
      <c r="AC48" s="747"/>
      <c r="AD48" s="747"/>
      <c r="AE48" s="747"/>
      <c r="AF48" s="747"/>
      <c r="AG48" s="747"/>
      <c r="AH48" s="747"/>
    </row>
    <row r="49" spans="1:54" ht="12.75" customHeight="1">
      <c r="A49" s="417"/>
      <c r="B49" s="454"/>
      <c r="C49" s="454"/>
      <c r="D49" s="769">
        <f>E49-$G$441</f>
        <v>1.0219039595619215</v>
      </c>
      <c r="E49" s="769">
        <f>F49-$G$441</f>
        <v>1.2719039595619215</v>
      </c>
      <c r="F49" s="769">
        <f>G49-$G$441</f>
        <v>1.5219039595619215</v>
      </c>
      <c r="G49" s="769">
        <f>H49-$G$441</f>
        <v>1.7719039595619215</v>
      </c>
      <c r="H49" s="769">
        <f>$G$440</f>
        <v>2.0219039595619215</v>
      </c>
      <c r="I49" s="769">
        <f>H49+$G$441</f>
        <v>2.2719039595619215</v>
      </c>
      <c r="J49" s="769">
        <f>I49+$G$441</f>
        <v>2.5219039595619215</v>
      </c>
      <c r="K49" s="769">
        <f>J49+$G$441</f>
        <v>2.7719039595619215</v>
      </c>
      <c r="L49" s="769">
        <f>K49+$G$441</f>
        <v>3.0219039595619215</v>
      </c>
      <c r="M49" s="417"/>
      <c r="N49" s="417"/>
      <c r="O49" s="417"/>
      <c r="P49" s="417"/>
      <c r="Q49" s="417"/>
      <c r="Z49" s="799">
        <f>D$9</f>
        <v>1.0219039595619215</v>
      </c>
      <c r="AA49" s="799">
        <f t="shared" ref="AA49:AH49" si="99">E$9</f>
        <v>1.2719039595619215</v>
      </c>
      <c r="AB49" s="799">
        <f t="shared" si="99"/>
        <v>1.5219039595619215</v>
      </c>
      <c r="AC49" s="799">
        <f t="shared" si="99"/>
        <v>1.7719039595619215</v>
      </c>
      <c r="AD49" s="799">
        <f t="shared" si="99"/>
        <v>2.0219039595619215</v>
      </c>
      <c r="AE49" s="799">
        <f t="shared" si="99"/>
        <v>2.2719039595619215</v>
      </c>
      <c r="AF49" s="799">
        <f t="shared" si="99"/>
        <v>2.5219039595619215</v>
      </c>
      <c r="AG49" s="799">
        <f t="shared" si="99"/>
        <v>2.7719039595619215</v>
      </c>
      <c r="AH49" s="799">
        <f t="shared" si="99"/>
        <v>3.0219039595619215</v>
      </c>
      <c r="AT49" s="773" t="s">
        <v>2616</v>
      </c>
      <c r="AU49" s="427"/>
      <c r="AV49" s="427"/>
      <c r="AW49" s="427"/>
      <c r="AX49" s="427"/>
      <c r="AY49" s="427"/>
      <c r="AZ49" s="427"/>
      <c r="BA49" s="427"/>
      <c r="BB49" s="427"/>
    </row>
    <row r="50" spans="1:54" ht="15" customHeight="1">
      <c r="A50" s="417"/>
      <c r="B50" s="820" t="s">
        <v>2528</v>
      </c>
      <c r="C50" s="780">
        <f>C51-$G$439</f>
        <v>0.15000000000000002</v>
      </c>
      <c r="D50" s="621">
        <f>ROUND(Z50,$G$452)</f>
        <v>-900</v>
      </c>
      <c r="E50" s="621">
        <f t="shared" ref="E50:E56" si="100">ROUND(AA50,$G$452)</f>
        <v>-500</v>
      </c>
      <c r="F50" s="621">
        <f t="shared" ref="F50:F56" si="101">ROUND(AB50,$G$452)</f>
        <v>0</v>
      </c>
      <c r="G50" s="621">
        <f t="shared" ref="G50:G56" si="102">ROUND(AC50,$G$452)</f>
        <v>400</v>
      </c>
      <c r="H50" s="621">
        <f t="shared" ref="H50:H56" si="103">ROUND(AD50,$G$452)</f>
        <v>800</v>
      </c>
      <c r="I50" s="621">
        <f t="shared" ref="I50:I56" si="104">ROUND(AE50,$G$452)</f>
        <v>1300</v>
      </c>
      <c r="J50" s="621">
        <f t="shared" ref="J50:J56" si="105">ROUND(AF50,$G$452)</f>
        <v>1700</v>
      </c>
      <c r="K50" s="621">
        <f t="shared" ref="K50:K56" si="106">ROUND(AG50,$G$452)</f>
        <v>2100</v>
      </c>
      <c r="L50" s="621">
        <f t="shared" ref="L50:L56" si="107">ROUND(AH50,$G$452)</f>
        <v>2600</v>
      </c>
      <c r="M50" s="417"/>
      <c r="N50" s="417"/>
      <c r="O50" s="417"/>
      <c r="P50" s="417"/>
      <c r="Q50" s="417"/>
      <c r="Z50" s="367">
        <f>Z10+$G$430-$G$447</f>
        <v>-897.52489300264642</v>
      </c>
      <c r="AA50" s="367">
        <f t="shared" ref="AA50:AH50" si="108">AA10+$G$430-$G$447</f>
        <v>-464.86435180716944</v>
      </c>
      <c r="AB50" s="367">
        <f t="shared" si="108"/>
        <v>-32.203810611692461</v>
      </c>
      <c r="AC50" s="367">
        <f t="shared" si="108"/>
        <v>400.45673058378361</v>
      </c>
      <c r="AD50" s="367">
        <f t="shared" si="108"/>
        <v>833.1172717792615</v>
      </c>
      <c r="AE50" s="367">
        <f t="shared" si="108"/>
        <v>1265.7778129747367</v>
      </c>
      <c r="AF50" s="367">
        <f t="shared" si="108"/>
        <v>1698.4383541702136</v>
      </c>
      <c r="AG50" s="367">
        <f t="shared" si="108"/>
        <v>2131.0988953656888</v>
      </c>
      <c r="AH50" s="367">
        <f t="shared" si="108"/>
        <v>2563.7594365611658</v>
      </c>
      <c r="AT50" s="805">
        <f>IF(Z50&lt;$G$449,0,MIN($G$446,1+IFERROR(INT((Z50-$G$449)/$G$451),0)))</f>
        <v>0</v>
      </c>
      <c r="AU50" s="805">
        <f t="shared" ref="AU50:AU56" si="109">IF(AA50&lt;$G$449,0,MIN($G$446,1+IFERROR(INT((AA50-$G$449)/$G$451),0)))</f>
        <v>0</v>
      </c>
      <c r="AV50" s="805">
        <f t="shared" ref="AV50:AV56" si="110">IF(AB50&lt;$G$449,0,MIN($G$446,1+IFERROR(INT((AB50-$G$449)/$G$451),0)))</f>
        <v>0</v>
      </c>
      <c r="AW50" s="805">
        <f t="shared" ref="AW50:AW56" si="111">IF(AC50&lt;$G$449,0,MIN($G$446,1+IFERROR(INT((AC50-$G$449)/$G$451),0)))</f>
        <v>0</v>
      </c>
      <c r="AX50" s="805">
        <f t="shared" ref="AX50:AX56" si="112">IF(AD50&lt;$G$449,0,MIN($G$446,1+IFERROR(INT((AD50-$G$449)/$G$451),0)))</f>
        <v>0</v>
      </c>
      <c r="AY50" s="805">
        <f t="shared" ref="AY50:AY56" si="113">IF(AE50&lt;$G$449,0,MIN($G$446,1+IFERROR(INT((AE50-$G$449)/$G$451),0)))</f>
        <v>2</v>
      </c>
      <c r="AZ50" s="805">
        <f t="shared" ref="AZ50:AZ56" si="114">IF(AF50&lt;$G$449,0,MIN($G$446,1+IFERROR(INT((AF50-$G$449)/$G$451),0)))</f>
        <v>4</v>
      </c>
      <c r="BA50" s="805">
        <f t="shared" ref="BA50:BA56" si="115">IF(AG50&lt;$G$449,0,MIN($G$446,1+IFERROR(INT((AG50-$G$449)/$G$451),0)))</f>
        <v>5</v>
      </c>
      <c r="BB50" s="805">
        <f t="shared" ref="BB50:BB56" si="116">IF(AH50&lt;$G$449,0,MIN($G$446,1+IFERROR(INT((AH50-$G$449)/$G$451),0)))</f>
        <v>7</v>
      </c>
    </row>
    <row r="51" spans="1:54" ht="15" customHeight="1">
      <c r="A51" s="417"/>
      <c r="B51" s="821"/>
      <c r="C51" s="780">
        <f>C52-$G$439</f>
        <v>0.2</v>
      </c>
      <c r="D51" s="470">
        <f t="shared" ref="D51:D56" si="117">ROUND(Z51,$G$452)</f>
        <v>-500</v>
      </c>
      <c r="E51" s="470">
        <f t="shared" si="100"/>
        <v>-100</v>
      </c>
      <c r="F51" s="470">
        <f t="shared" si="101"/>
        <v>300</v>
      </c>
      <c r="G51" s="470">
        <f t="shared" si="102"/>
        <v>700</v>
      </c>
      <c r="H51" s="470">
        <f t="shared" si="103"/>
        <v>1100</v>
      </c>
      <c r="I51" s="470">
        <f t="shared" si="104"/>
        <v>1500</v>
      </c>
      <c r="J51" s="470">
        <f t="shared" si="105"/>
        <v>1900</v>
      </c>
      <c r="K51" s="470">
        <f t="shared" si="106"/>
        <v>2300</v>
      </c>
      <c r="L51" s="470">
        <f t="shared" si="107"/>
        <v>2700</v>
      </c>
      <c r="M51" s="417"/>
      <c r="N51" s="417"/>
      <c r="O51" s="417"/>
      <c r="P51" s="417"/>
      <c r="Q51" s="417"/>
      <c r="Z51" s="367">
        <f t="shared" ref="Z51:AH51" si="118">Z11+$G$430-$G$447</f>
        <v>-512.33888776036292</v>
      </c>
      <c r="AA51" s="367">
        <f t="shared" si="118"/>
        <v>-112.86773391421048</v>
      </c>
      <c r="AB51" s="367">
        <f t="shared" si="118"/>
        <v>286.60341993194379</v>
      </c>
      <c r="AC51" s="367">
        <f t="shared" si="118"/>
        <v>686.07457377809715</v>
      </c>
      <c r="AD51" s="367">
        <f t="shared" si="118"/>
        <v>1085.5457276242523</v>
      </c>
      <c r="AE51" s="367">
        <f t="shared" si="118"/>
        <v>1485.0168814704048</v>
      </c>
      <c r="AF51" s="367">
        <f t="shared" si="118"/>
        <v>1884.488035316559</v>
      </c>
      <c r="AG51" s="367">
        <f t="shared" si="118"/>
        <v>2283.9591891627133</v>
      </c>
      <c r="AH51" s="367">
        <f t="shared" si="118"/>
        <v>2683.4303430088657</v>
      </c>
      <c r="AT51" s="805">
        <f t="shared" ref="AT51:AT56" si="119">IF(Z51&lt;$G$449,0,MIN($G$446,1+IFERROR(INT((Z51-$G$449)/$G$451),0)))</f>
        <v>0</v>
      </c>
      <c r="AU51" s="805">
        <f t="shared" si="109"/>
        <v>0</v>
      </c>
      <c r="AV51" s="805">
        <f t="shared" si="110"/>
        <v>0</v>
      </c>
      <c r="AW51" s="805">
        <f t="shared" si="111"/>
        <v>0</v>
      </c>
      <c r="AX51" s="805">
        <f t="shared" si="112"/>
        <v>1</v>
      </c>
      <c r="AY51" s="805">
        <f t="shared" si="113"/>
        <v>3</v>
      </c>
      <c r="AZ51" s="805">
        <f t="shared" si="114"/>
        <v>4</v>
      </c>
      <c r="BA51" s="805">
        <f t="shared" si="115"/>
        <v>6</v>
      </c>
      <c r="BB51" s="805">
        <f t="shared" si="116"/>
        <v>8</v>
      </c>
    </row>
    <row r="52" spans="1:54" ht="15" customHeight="1">
      <c r="A52" s="417"/>
      <c r="B52" s="821"/>
      <c r="C52" s="780">
        <f>C53-$G$439</f>
        <v>0.25</v>
      </c>
      <c r="D52" s="470">
        <f t="shared" si="117"/>
        <v>-100</v>
      </c>
      <c r="E52" s="470">
        <f t="shared" si="100"/>
        <v>200</v>
      </c>
      <c r="F52" s="470">
        <f t="shared" si="101"/>
        <v>600</v>
      </c>
      <c r="G52" s="470">
        <f t="shared" si="102"/>
        <v>1000</v>
      </c>
      <c r="H52" s="470">
        <f t="shared" si="103"/>
        <v>1300</v>
      </c>
      <c r="I52" s="470">
        <f t="shared" si="104"/>
        <v>1700</v>
      </c>
      <c r="J52" s="470">
        <f t="shared" si="105"/>
        <v>2100</v>
      </c>
      <c r="K52" s="470">
        <f t="shared" si="106"/>
        <v>2400</v>
      </c>
      <c r="L52" s="470">
        <f t="shared" si="107"/>
        <v>2800</v>
      </c>
      <c r="M52" s="417"/>
      <c r="N52" s="417"/>
      <c r="O52" s="417"/>
      <c r="P52" s="417"/>
      <c r="Q52" s="417"/>
      <c r="Z52" s="367">
        <f t="shared" ref="Z52:AH52" si="120">Z12+$G$430-$G$447</f>
        <v>-125.44718998943245</v>
      </c>
      <c r="AA52" s="367">
        <f t="shared" si="120"/>
        <v>240.6729398806965</v>
      </c>
      <c r="AB52" s="367">
        <f t="shared" si="120"/>
        <v>606.79306975082727</v>
      </c>
      <c r="AC52" s="367">
        <f t="shared" si="120"/>
        <v>972.91319962095622</v>
      </c>
      <c r="AD52" s="367">
        <f t="shared" si="120"/>
        <v>1339.033329491087</v>
      </c>
      <c r="AE52" s="367">
        <f t="shared" si="120"/>
        <v>1705.1534593612159</v>
      </c>
      <c r="AF52" s="367">
        <f t="shared" si="120"/>
        <v>2071.2735892313467</v>
      </c>
      <c r="AG52" s="367">
        <f t="shared" si="120"/>
        <v>2437.3937191014775</v>
      </c>
      <c r="AH52" s="367">
        <f t="shared" si="120"/>
        <v>2803.5138489716064</v>
      </c>
      <c r="AT52" s="805">
        <f t="shared" si="119"/>
        <v>0</v>
      </c>
      <c r="AU52" s="805">
        <f t="shared" si="109"/>
        <v>0</v>
      </c>
      <c r="AV52" s="805">
        <f t="shared" si="110"/>
        <v>0</v>
      </c>
      <c r="AW52" s="805">
        <f t="shared" si="111"/>
        <v>0</v>
      </c>
      <c r="AX52" s="805">
        <f t="shared" si="112"/>
        <v>2</v>
      </c>
      <c r="AY52" s="805">
        <f t="shared" si="113"/>
        <v>4</v>
      </c>
      <c r="AZ52" s="805">
        <f t="shared" si="114"/>
        <v>5</v>
      </c>
      <c r="BA52" s="805">
        <f t="shared" si="115"/>
        <v>7</v>
      </c>
      <c r="BB52" s="805">
        <f t="shared" si="116"/>
        <v>8</v>
      </c>
    </row>
    <row r="53" spans="1:54" ht="15" customHeight="1">
      <c r="A53" s="417"/>
      <c r="B53" s="821"/>
      <c r="C53" s="780">
        <f>$G$438</f>
        <v>0.3</v>
      </c>
      <c r="D53" s="470">
        <f t="shared" si="117"/>
        <v>300</v>
      </c>
      <c r="E53" s="470">
        <f t="shared" si="100"/>
        <v>600</v>
      </c>
      <c r="F53" s="470">
        <f t="shared" si="101"/>
        <v>900</v>
      </c>
      <c r="G53" s="470">
        <f t="shared" si="102"/>
        <v>1300</v>
      </c>
      <c r="H53" s="782">
        <f t="shared" si="103"/>
        <v>1600</v>
      </c>
      <c r="I53" s="470">
        <f t="shared" si="104"/>
        <v>1900</v>
      </c>
      <c r="J53" s="470">
        <f t="shared" si="105"/>
        <v>2300</v>
      </c>
      <c r="K53" s="470">
        <f t="shared" si="106"/>
        <v>2600</v>
      </c>
      <c r="L53" s="470">
        <f t="shared" si="107"/>
        <v>2900</v>
      </c>
      <c r="M53" s="417"/>
      <c r="N53" s="417"/>
      <c r="O53" s="417"/>
      <c r="P53" s="417"/>
      <c r="Q53" s="417"/>
      <c r="Z53" s="367">
        <f t="shared" ref="Z53:AH53" si="121">Z13+$G$430-$G$447</f>
        <v>263.16269114233273</v>
      </c>
      <c r="AA53" s="367">
        <f t="shared" si="121"/>
        <v>595.768976740379</v>
      </c>
      <c r="AB53" s="367">
        <f t="shared" si="121"/>
        <v>928.37526233842618</v>
      </c>
      <c r="AC53" s="367">
        <f t="shared" si="121"/>
        <v>1260.9815479364734</v>
      </c>
      <c r="AD53" s="367">
        <f t="shared" si="121"/>
        <v>1593.5878335345224</v>
      </c>
      <c r="AE53" s="367">
        <f t="shared" si="121"/>
        <v>1926.1941191325677</v>
      </c>
      <c r="AF53" s="367">
        <f t="shared" si="121"/>
        <v>2258.8004047306167</v>
      </c>
      <c r="AG53" s="367">
        <f t="shared" si="121"/>
        <v>2591.4066903286621</v>
      </c>
      <c r="AH53" s="367">
        <f t="shared" si="121"/>
        <v>2924.0129759267111</v>
      </c>
      <c r="AT53" s="805">
        <f t="shared" si="119"/>
        <v>0</v>
      </c>
      <c r="AU53" s="805">
        <f t="shared" si="109"/>
        <v>0</v>
      </c>
      <c r="AV53" s="805">
        <f t="shared" si="110"/>
        <v>0</v>
      </c>
      <c r="AW53" s="805">
        <f t="shared" si="111"/>
        <v>2</v>
      </c>
      <c r="AX53" s="805">
        <f t="shared" si="112"/>
        <v>3</v>
      </c>
      <c r="AY53" s="805">
        <f t="shared" si="113"/>
        <v>5</v>
      </c>
      <c r="AZ53" s="805">
        <f t="shared" si="114"/>
        <v>6</v>
      </c>
      <c r="BA53" s="805">
        <f t="shared" si="115"/>
        <v>7</v>
      </c>
      <c r="BB53" s="805">
        <f t="shared" si="116"/>
        <v>9</v>
      </c>
    </row>
    <row r="54" spans="1:54" ht="15" customHeight="1">
      <c r="A54" s="417"/>
      <c r="B54" s="821"/>
      <c r="C54" s="780">
        <f>C53+$G$439</f>
        <v>0.35</v>
      </c>
      <c r="D54" s="470">
        <f t="shared" si="117"/>
        <v>700</v>
      </c>
      <c r="E54" s="470">
        <f t="shared" si="100"/>
        <v>1000</v>
      </c>
      <c r="F54" s="470">
        <f t="shared" si="101"/>
        <v>1300</v>
      </c>
      <c r="G54" s="470">
        <f t="shared" si="102"/>
        <v>1600</v>
      </c>
      <c r="H54" s="470">
        <f t="shared" si="103"/>
        <v>1800</v>
      </c>
      <c r="I54" s="470">
        <f t="shared" si="104"/>
        <v>2100</v>
      </c>
      <c r="J54" s="470">
        <f t="shared" si="105"/>
        <v>2400</v>
      </c>
      <c r="K54" s="470">
        <f t="shared" si="106"/>
        <v>2700</v>
      </c>
      <c r="L54" s="470">
        <f t="shared" si="107"/>
        <v>3000</v>
      </c>
      <c r="M54" s="417"/>
      <c r="N54" s="417"/>
      <c r="O54" s="417"/>
      <c r="P54" s="417"/>
      <c r="Q54" s="417"/>
      <c r="Z54" s="367">
        <f t="shared" ref="Z54:AH54" si="122">Z14+$G$430-$G$447</f>
        <v>653.5033687264895</v>
      </c>
      <c r="AA54" s="367">
        <f t="shared" si="122"/>
        <v>952.43179450136631</v>
      </c>
      <c r="AB54" s="367">
        <f t="shared" si="122"/>
        <v>1251.3602202762449</v>
      </c>
      <c r="AC54" s="367">
        <f t="shared" si="122"/>
        <v>1550.2886460511218</v>
      </c>
      <c r="AD54" s="367">
        <f t="shared" si="122"/>
        <v>1849.2170718260004</v>
      </c>
      <c r="AE54" s="367">
        <f t="shared" si="122"/>
        <v>2148.1454976008772</v>
      </c>
      <c r="AF54" s="367">
        <f t="shared" si="122"/>
        <v>2447.0739233757558</v>
      </c>
      <c r="AG54" s="367">
        <f t="shared" si="122"/>
        <v>2746.0023491506327</v>
      </c>
      <c r="AH54" s="367">
        <f t="shared" si="122"/>
        <v>3044.9307749255095</v>
      </c>
      <c r="AT54" s="805">
        <f t="shared" si="119"/>
        <v>0</v>
      </c>
      <c r="AU54" s="805">
        <f t="shared" si="109"/>
        <v>0</v>
      </c>
      <c r="AV54" s="805">
        <f t="shared" si="110"/>
        <v>2</v>
      </c>
      <c r="AW54" s="805">
        <f t="shared" si="111"/>
        <v>3</v>
      </c>
      <c r="AX54" s="805">
        <f t="shared" si="112"/>
        <v>4</v>
      </c>
      <c r="AY54" s="805">
        <f t="shared" si="113"/>
        <v>6</v>
      </c>
      <c r="AZ54" s="805">
        <f t="shared" si="114"/>
        <v>7</v>
      </c>
      <c r="BA54" s="805">
        <f t="shared" si="115"/>
        <v>8</v>
      </c>
      <c r="BB54" s="805">
        <f t="shared" si="116"/>
        <v>9</v>
      </c>
    </row>
    <row r="55" spans="1:54" ht="15" customHeight="1">
      <c r="A55" s="417"/>
      <c r="B55" s="821"/>
      <c r="C55" s="780">
        <f>C54+$G$439</f>
        <v>0.39999999999999997</v>
      </c>
      <c r="D55" s="470">
        <f t="shared" si="117"/>
        <v>1000</v>
      </c>
      <c r="E55" s="470">
        <f t="shared" si="100"/>
        <v>1300</v>
      </c>
      <c r="F55" s="470">
        <f t="shared" si="101"/>
        <v>1600</v>
      </c>
      <c r="G55" s="470">
        <f t="shared" si="102"/>
        <v>1800</v>
      </c>
      <c r="H55" s="470">
        <f t="shared" si="103"/>
        <v>2100</v>
      </c>
      <c r="I55" s="470">
        <f t="shared" si="104"/>
        <v>2400</v>
      </c>
      <c r="J55" s="470">
        <f t="shared" si="105"/>
        <v>2600</v>
      </c>
      <c r="K55" s="470">
        <f t="shared" si="106"/>
        <v>2900</v>
      </c>
      <c r="L55" s="470">
        <f t="shared" si="107"/>
        <v>3200</v>
      </c>
      <c r="M55" s="417"/>
      <c r="N55" s="417"/>
      <c r="O55" s="417"/>
      <c r="P55" s="417"/>
      <c r="Q55" s="417"/>
      <c r="Z55" s="367">
        <f t="shared" ref="Z55:AH55" si="123">Z15+$G$430-$G$447</f>
        <v>1045.5875796134642</v>
      </c>
      <c r="AA55" s="367">
        <f t="shared" si="123"/>
        <v>1310.6729230312885</v>
      </c>
      <c r="AB55" s="367">
        <f t="shared" si="123"/>
        <v>1575.7582664491129</v>
      </c>
      <c r="AC55" s="367">
        <f t="shared" si="123"/>
        <v>1840.8436098669372</v>
      </c>
      <c r="AD55" s="367">
        <f t="shared" si="123"/>
        <v>2105.9289532847633</v>
      </c>
      <c r="AE55" s="367">
        <f t="shared" si="123"/>
        <v>2371.0142967025877</v>
      </c>
      <c r="AF55" s="367">
        <f t="shared" si="123"/>
        <v>2636.0996401204138</v>
      </c>
      <c r="AG55" s="367">
        <f t="shared" si="123"/>
        <v>2901.1849835382382</v>
      </c>
      <c r="AH55" s="367">
        <f t="shared" si="123"/>
        <v>3166.2703269560625</v>
      </c>
      <c r="AT55" s="805">
        <f t="shared" si="119"/>
        <v>1</v>
      </c>
      <c r="AU55" s="805">
        <f t="shared" si="109"/>
        <v>2</v>
      </c>
      <c r="AV55" s="805">
        <f t="shared" si="110"/>
        <v>3</v>
      </c>
      <c r="AW55" s="805">
        <f t="shared" si="111"/>
        <v>4</v>
      </c>
      <c r="AX55" s="805">
        <f t="shared" si="112"/>
        <v>5</v>
      </c>
      <c r="AY55" s="805">
        <f t="shared" si="113"/>
        <v>6</v>
      </c>
      <c r="AZ55" s="805">
        <f t="shared" si="114"/>
        <v>8</v>
      </c>
      <c r="BA55" s="805">
        <f t="shared" si="115"/>
        <v>9</v>
      </c>
      <c r="BB55" s="805">
        <f t="shared" si="116"/>
        <v>10</v>
      </c>
    </row>
    <row r="56" spans="1:54" ht="15" customHeight="1">
      <c r="A56" s="417"/>
      <c r="B56" s="822"/>
      <c r="C56" s="781">
        <f>C55+$G$439</f>
        <v>0.44999999999999996</v>
      </c>
      <c r="D56" s="772">
        <f t="shared" si="117"/>
        <v>1400</v>
      </c>
      <c r="E56" s="772">
        <f t="shared" si="100"/>
        <v>1700</v>
      </c>
      <c r="F56" s="772">
        <f t="shared" si="101"/>
        <v>1900</v>
      </c>
      <c r="G56" s="772">
        <f t="shared" si="102"/>
        <v>2100</v>
      </c>
      <c r="H56" s="772">
        <f t="shared" si="103"/>
        <v>2400</v>
      </c>
      <c r="I56" s="772">
        <f t="shared" si="104"/>
        <v>2600</v>
      </c>
      <c r="J56" s="772">
        <f t="shared" si="105"/>
        <v>2800</v>
      </c>
      <c r="K56" s="772">
        <f t="shared" si="106"/>
        <v>3100</v>
      </c>
      <c r="L56" s="772">
        <f t="shared" si="107"/>
        <v>3300</v>
      </c>
      <c r="M56" s="417"/>
      <c r="N56" s="417"/>
      <c r="O56" s="417"/>
      <c r="P56" s="417"/>
      <c r="Q56" s="417"/>
      <c r="Z56" s="367">
        <f t="shared" ref="Z56:AH56" si="124">Z16+$G$430-$G$447</f>
        <v>1439.4281859341772</v>
      </c>
      <c r="AA56" s="367">
        <f t="shared" si="124"/>
        <v>1670.5040056063081</v>
      </c>
      <c r="AB56" s="367">
        <f t="shared" si="124"/>
        <v>1901.5798252784389</v>
      </c>
      <c r="AC56" s="367">
        <f t="shared" si="124"/>
        <v>2132.6556449505697</v>
      </c>
      <c r="AD56" s="367">
        <f t="shared" si="124"/>
        <v>2363.7314646227023</v>
      </c>
      <c r="AE56" s="367">
        <f t="shared" si="124"/>
        <v>2594.8072842948332</v>
      </c>
      <c r="AF56" s="367">
        <f t="shared" si="124"/>
        <v>2825.883103966964</v>
      </c>
      <c r="AG56" s="367">
        <f t="shared" si="124"/>
        <v>3056.9589236390948</v>
      </c>
      <c r="AH56" s="367">
        <f t="shared" si="124"/>
        <v>3288.0347433112256</v>
      </c>
      <c r="AT56" s="805">
        <f t="shared" si="119"/>
        <v>2</v>
      </c>
      <c r="AU56" s="805">
        <f t="shared" si="109"/>
        <v>3</v>
      </c>
      <c r="AV56" s="805">
        <f t="shared" si="110"/>
        <v>4</v>
      </c>
      <c r="AW56" s="805">
        <f t="shared" si="111"/>
        <v>5</v>
      </c>
      <c r="AX56" s="805">
        <f t="shared" si="112"/>
        <v>6</v>
      </c>
      <c r="AY56" s="805">
        <f t="shared" si="113"/>
        <v>7</v>
      </c>
      <c r="AZ56" s="805">
        <f t="shared" si="114"/>
        <v>8</v>
      </c>
      <c r="BA56" s="805">
        <f t="shared" si="115"/>
        <v>9</v>
      </c>
      <c r="BB56" s="805">
        <f t="shared" si="116"/>
        <v>10</v>
      </c>
    </row>
    <row r="57" spans="1:54" ht="15" hidden="1" customHeight="1" outlineLevel="1">
      <c r="A57" s="417"/>
      <c r="B57" s="423" t="s">
        <v>2777</v>
      </c>
      <c r="C57" s="785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</row>
    <row r="58" spans="1:54" ht="3.95" customHeight="1" collapsed="1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</row>
    <row r="59" spans="1:54" ht="15" customHeight="1">
      <c r="A59" s="417"/>
      <c r="B59" s="148" t="s">
        <v>2547</v>
      </c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</row>
    <row r="60" spans="1:54" ht="2.1" customHeight="1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</row>
    <row r="61" spans="1:54" ht="12.75" customHeight="1">
      <c r="A61" s="417"/>
      <c r="B61" s="454"/>
      <c r="C61" s="454"/>
      <c r="D61" s="768" t="s">
        <v>2527</v>
      </c>
      <c r="E61" s="768"/>
      <c r="F61" s="768"/>
      <c r="G61" s="768"/>
      <c r="H61" s="768"/>
      <c r="I61" s="768"/>
      <c r="J61" s="768"/>
      <c r="K61" s="768"/>
      <c r="L61" s="768"/>
      <c r="M61" s="417"/>
      <c r="N61" s="417"/>
      <c r="O61" s="417"/>
      <c r="P61" s="417"/>
      <c r="Q61" s="417"/>
    </row>
    <row r="62" spans="1:54" ht="12.75" customHeight="1">
      <c r="A62" s="417"/>
      <c r="B62" s="454"/>
      <c r="C62" s="454"/>
      <c r="D62" s="769">
        <f>E62-$G$441</f>
        <v>1.0219039595619215</v>
      </c>
      <c r="E62" s="769">
        <f>F62-$G$441</f>
        <v>1.2719039595619215</v>
      </c>
      <c r="F62" s="769">
        <f>G62-$G$441</f>
        <v>1.5219039595619215</v>
      </c>
      <c r="G62" s="769">
        <f>H62-$G$441</f>
        <v>1.7719039595619215</v>
      </c>
      <c r="H62" s="769">
        <f>$G$440</f>
        <v>2.0219039595619215</v>
      </c>
      <c r="I62" s="769">
        <f>H62+$G$441</f>
        <v>2.2719039595619215</v>
      </c>
      <c r="J62" s="769">
        <f>I62+$G$441</f>
        <v>2.5219039595619215</v>
      </c>
      <c r="K62" s="769">
        <f>J62+$G$441</f>
        <v>2.7719039595619215</v>
      </c>
      <c r="L62" s="769">
        <f>K62+$G$441</f>
        <v>3.0219039595619215</v>
      </c>
      <c r="M62" s="417"/>
      <c r="N62" s="417"/>
      <c r="O62" s="417"/>
      <c r="P62" s="417"/>
      <c r="Q62" s="417"/>
      <c r="AT62" s="773" t="s">
        <v>2616</v>
      </c>
      <c r="AU62" s="427"/>
      <c r="AV62" s="427"/>
      <c r="AW62" s="427"/>
      <c r="AX62" s="427"/>
      <c r="AY62" s="427"/>
      <c r="AZ62" s="427"/>
      <c r="BA62" s="427"/>
      <c r="BB62" s="427"/>
    </row>
    <row r="63" spans="1:54" ht="15" customHeight="1">
      <c r="A63" s="417"/>
      <c r="B63" s="820" t="s">
        <v>2528</v>
      </c>
      <c r="C63" s="780">
        <f>C64-$G$439</f>
        <v>0.15000000000000002</v>
      </c>
      <c r="D63" s="490">
        <f>IFERROR(Z50/$G$447,0)</f>
        <v>-0.11982563605988714</v>
      </c>
      <c r="E63" s="490">
        <f t="shared" ref="E63:L63" si="125">IFERROR(AA50/$G$447,0)</f>
        <v>-6.2062531157781473E-2</v>
      </c>
      <c r="F63" s="490">
        <f t="shared" si="125"/>
        <v>-4.2994262556758011E-3</v>
      </c>
      <c r="G63" s="490">
        <f t="shared" si="125"/>
        <v>5.3463678646429751E-2</v>
      </c>
      <c r="H63" s="490">
        <f t="shared" si="125"/>
        <v>0.11122678354853553</v>
      </c>
      <c r="I63" s="490">
        <f t="shared" si="125"/>
        <v>0.16898988845064097</v>
      </c>
      <c r="J63" s="490">
        <f t="shared" si="125"/>
        <v>0.22675299335274662</v>
      </c>
      <c r="K63" s="490">
        <f t="shared" si="125"/>
        <v>0.28451609825485208</v>
      </c>
      <c r="L63" s="490">
        <f t="shared" si="125"/>
        <v>0.34227920315695776</v>
      </c>
      <c r="M63" s="417"/>
      <c r="N63" s="417"/>
      <c r="O63" s="417"/>
      <c r="P63" s="417"/>
      <c r="Q63" s="417"/>
      <c r="AT63" s="805">
        <f>IF(Z50&lt;$G$449,0,MIN($G$446,1+IFERROR(INT((Z50-$G$449)/$G$451),0)))</f>
        <v>0</v>
      </c>
      <c r="AU63" s="805">
        <f t="shared" ref="AU63:BB63" si="126">IF(AA50&lt;$G$449,0,MIN($G$446,1+IFERROR(INT((AA50-$G$449)/$G$451),0)))</f>
        <v>0</v>
      </c>
      <c r="AV63" s="805">
        <f t="shared" si="126"/>
        <v>0</v>
      </c>
      <c r="AW63" s="805">
        <f t="shared" si="126"/>
        <v>0</v>
      </c>
      <c r="AX63" s="805">
        <f t="shared" si="126"/>
        <v>0</v>
      </c>
      <c r="AY63" s="805">
        <f t="shared" si="126"/>
        <v>2</v>
      </c>
      <c r="AZ63" s="805">
        <f t="shared" si="126"/>
        <v>4</v>
      </c>
      <c r="BA63" s="805">
        <f t="shared" si="126"/>
        <v>5</v>
      </c>
      <c r="BB63" s="805">
        <f t="shared" si="126"/>
        <v>7</v>
      </c>
    </row>
    <row r="64" spans="1:54" ht="15" customHeight="1">
      <c r="A64" s="417"/>
      <c r="B64" s="821"/>
      <c r="C64" s="780">
        <f>C65-$G$439</f>
        <v>0.2</v>
      </c>
      <c r="D64" s="490">
        <f t="shared" ref="D64:L64" si="127">IFERROR(Z51/$G$447,0)</f>
        <v>-6.8400702401375732E-2</v>
      </c>
      <c r="E64" s="490">
        <f t="shared" si="127"/>
        <v>-1.5068604907060208E-2</v>
      </c>
      <c r="F64" s="490">
        <f t="shared" si="127"/>
        <v>3.826349258725556E-2</v>
      </c>
      <c r="G64" s="490">
        <f t="shared" si="127"/>
        <v>9.1595590081571213E-2</v>
      </c>
      <c r="H64" s="490">
        <f t="shared" si="127"/>
        <v>0.14492768757588709</v>
      </c>
      <c r="I64" s="490">
        <f t="shared" si="127"/>
        <v>0.19825978507020262</v>
      </c>
      <c r="J64" s="490">
        <f t="shared" si="127"/>
        <v>0.25159188256451837</v>
      </c>
      <c r="K64" s="490">
        <f t="shared" si="127"/>
        <v>0.30492398005883414</v>
      </c>
      <c r="L64" s="490">
        <f t="shared" si="127"/>
        <v>0.3582560775531497</v>
      </c>
      <c r="M64" s="417"/>
      <c r="N64" s="417"/>
      <c r="O64" s="417"/>
      <c r="P64" s="417"/>
      <c r="Q64" s="417"/>
      <c r="AT64" s="805">
        <f t="shared" ref="AT64:BB64" si="128">IF(Z51&lt;$G$449,0,MIN($G$446,1+IFERROR(INT((Z51-$G$449)/$G$451),0)))</f>
        <v>0</v>
      </c>
      <c r="AU64" s="805">
        <f t="shared" si="128"/>
        <v>0</v>
      </c>
      <c r="AV64" s="805">
        <f t="shared" si="128"/>
        <v>0</v>
      </c>
      <c r="AW64" s="805">
        <f t="shared" si="128"/>
        <v>0</v>
      </c>
      <c r="AX64" s="805">
        <f t="shared" si="128"/>
        <v>1</v>
      </c>
      <c r="AY64" s="805">
        <f t="shared" si="128"/>
        <v>3</v>
      </c>
      <c r="AZ64" s="805">
        <f t="shared" si="128"/>
        <v>4</v>
      </c>
      <c r="BA64" s="805">
        <f t="shared" si="128"/>
        <v>6</v>
      </c>
      <c r="BB64" s="805">
        <f t="shared" si="128"/>
        <v>8</v>
      </c>
    </row>
    <row r="65" spans="1:54" ht="15" customHeight="1">
      <c r="A65" s="417"/>
      <c r="B65" s="821"/>
      <c r="C65" s="780">
        <f>C66-$G$439</f>
        <v>0.25</v>
      </c>
      <c r="D65" s="490">
        <f t="shared" ref="D65:L65" si="129">IFERROR(Z52/$G$447,0)</f>
        <v>-1.6748047268216468E-2</v>
      </c>
      <c r="E65" s="490">
        <f t="shared" si="129"/>
        <v>3.213146323677777E-2</v>
      </c>
      <c r="F65" s="490">
        <f t="shared" si="129"/>
        <v>8.1010973741772255E-2</v>
      </c>
      <c r="G65" s="490">
        <f t="shared" si="129"/>
        <v>0.1298904842467665</v>
      </c>
      <c r="H65" s="490">
        <f t="shared" si="129"/>
        <v>0.17876999475176097</v>
      </c>
      <c r="I65" s="490">
        <f t="shared" si="129"/>
        <v>0.2276495052567552</v>
      </c>
      <c r="J65" s="490">
        <f t="shared" si="129"/>
        <v>0.27652901576174971</v>
      </c>
      <c r="K65" s="490">
        <f t="shared" si="129"/>
        <v>0.32540852626674416</v>
      </c>
      <c r="L65" s="490">
        <f t="shared" si="129"/>
        <v>0.37428803677173844</v>
      </c>
      <c r="M65" s="417"/>
      <c r="N65" s="417"/>
      <c r="O65" s="417"/>
      <c r="P65" s="417"/>
      <c r="Q65" s="417"/>
      <c r="AT65" s="805">
        <f t="shared" ref="AT65:BB65" si="130">IF(Z52&lt;$G$449,0,MIN($G$446,1+IFERROR(INT((Z52-$G$449)/$G$451),0)))</f>
        <v>0</v>
      </c>
      <c r="AU65" s="805">
        <f t="shared" si="130"/>
        <v>0</v>
      </c>
      <c r="AV65" s="805">
        <f t="shared" si="130"/>
        <v>0</v>
      </c>
      <c r="AW65" s="805">
        <f t="shared" si="130"/>
        <v>0</v>
      </c>
      <c r="AX65" s="805">
        <f t="shared" si="130"/>
        <v>2</v>
      </c>
      <c r="AY65" s="805">
        <f t="shared" si="130"/>
        <v>4</v>
      </c>
      <c r="AZ65" s="805">
        <f t="shared" si="130"/>
        <v>5</v>
      </c>
      <c r="BA65" s="805">
        <f t="shared" si="130"/>
        <v>7</v>
      </c>
      <c r="BB65" s="805">
        <f t="shared" si="130"/>
        <v>8</v>
      </c>
    </row>
    <row r="66" spans="1:54" ht="15" customHeight="1">
      <c r="A66" s="417"/>
      <c r="B66" s="821"/>
      <c r="C66" s="780">
        <f>$G$438</f>
        <v>0.3</v>
      </c>
      <c r="D66" s="490">
        <f t="shared" ref="D66:L66" si="131">IFERROR(Z53/$G$447,0)</f>
        <v>3.5133996950064167E-2</v>
      </c>
      <c r="E66" s="490">
        <f t="shared" si="131"/>
        <v>7.9539182856350629E-2</v>
      </c>
      <c r="F66" s="490">
        <f t="shared" si="131"/>
        <v>0.1239443687626372</v>
      </c>
      <c r="G66" s="490">
        <f t="shared" si="131"/>
        <v>0.16834955466892379</v>
      </c>
      <c r="H66" s="783">
        <f t="shared" si="131"/>
        <v>0.2127547405752106</v>
      </c>
      <c r="I66" s="490">
        <f t="shared" si="131"/>
        <v>0.25715992648149694</v>
      </c>
      <c r="J66" s="490">
        <f t="shared" si="131"/>
        <v>0.30156511238778377</v>
      </c>
      <c r="K66" s="490">
        <f t="shared" si="131"/>
        <v>0.34597029829407011</v>
      </c>
      <c r="L66" s="490">
        <f t="shared" si="131"/>
        <v>0.39037548420035689</v>
      </c>
      <c r="M66" s="417"/>
      <c r="N66" s="417"/>
      <c r="O66" s="417"/>
      <c r="P66" s="417"/>
      <c r="Q66" s="417"/>
      <c r="AT66" s="805">
        <f t="shared" ref="AT66:BB66" si="132">IF(Z53&lt;$G$449,0,MIN($G$446,1+IFERROR(INT((Z53-$G$449)/$G$451),0)))</f>
        <v>0</v>
      </c>
      <c r="AU66" s="805">
        <f t="shared" si="132"/>
        <v>0</v>
      </c>
      <c r="AV66" s="805">
        <f t="shared" si="132"/>
        <v>0</v>
      </c>
      <c r="AW66" s="805">
        <f t="shared" si="132"/>
        <v>2</v>
      </c>
      <c r="AX66" s="805">
        <f t="shared" si="132"/>
        <v>3</v>
      </c>
      <c r="AY66" s="805">
        <f t="shared" si="132"/>
        <v>5</v>
      </c>
      <c r="AZ66" s="805">
        <f t="shared" si="132"/>
        <v>6</v>
      </c>
      <c r="BA66" s="805">
        <f t="shared" si="132"/>
        <v>7</v>
      </c>
      <c r="BB66" s="805">
        <f t="shared" si="132"/>
        <v>9</v>
      </c>
    </row>
    <row r="67" spans="1:54" ht="15" customHeight="1">
      <c r="A67" s="417"/>
      <c r="B67" s="821"/>
      <c r="C67" s="780">
        <f>C66+$G$439</f>
        <v>0.35</v>
      </c>
      <c r="D67" s="490">
        <f t="shared" ref="D67:L67" si="133">IFERROR(Z54/$G$447,0)</f>
        <v>8.7247114186391347E-2</v>
      </c>
      <c r="E67" s="490">
        <f t="shared" si="133"/>
        <v>0.12715607830996331</v>
      </c>
      <c r="F67" s="490">
        <f t="shared" si="133"/>
        <v>0.16706504243353551</v>
      </c>
      <c r="G67" s="490">
        <f t="shared" si="133"/>
        <v>0.20697400655710746</v>
      </c>
      <c r="H67" s="490">
        <f t="shared" si="133"/>
        <v>0.24688297068067966</v>
      </c>
      <c r="I67" s="490">
        <f t="shared" si="133"/>
        <v>0.28679193480425164</v>
      </c>
      <c r="J67" s="490">
        <f t="shared" si="133"/>
        <v>0.32670089892782384</v>
      </c>
      <c r="K67" s="490">
        <f t="shared" si="133"/>
        <v>0.36660986305139576</v>
      </c>
      <c r="L67" s="490">
        <f t="shared" si="133"/>
        <v>0.40651882717496773</v>
      </c>
      <c r="M67" s="417"/>
      <c r="N67" s="417"/>
      <c r="O67" s="417"/>
      <c r="P67" s="417"/>
      <c r="Q67" s="417"/>
      <c r="AT67" s="805">
        <f t="shared" ref="AT67:BB67" si="134">IF(Z54&lt;$G$449,0,MIN($G$446,1+IFERROR(INT((Z54-$G$449)/$G$451),0)))</f>
        <v>0</v>
      </c>
      <c r="AU67" s="805">
        <f t="shared" si="134"/>
        <v>0</v>
      </c>
      <c r="AV67" s="805">
        <f t="shared" si="134"/>
        <v>2</v>
      </c>
      <c r="AW67" s="805">
        <f t="shared" si="134"/>
        <v>3</v>
      </c>
      <c r="AX67" s="805">
        <f t="shared" si="134"/>
        <v>4</v>
      </c>
      <c r="AY67" s="805">
        <f t="shared" si="134"/>
        <v>6</v>
      </c>
      <c r="AZ67" s="805">
        <f t="shared" si="134"/>
        <v>7</v>
      </c>
      <c r="BA67" s="805">
        <f t="shared" si="134"/>
        <v>8</v>
      </c>
      <c r="BB67" s="805">
        <f t="shared" si="134"/>
        <v>9</v>
      </c>
    </row>
    <row r="68" spans="1:54" ht="15" customHeight="1">
      <c r="A68" s="417"/>
      <c r="B68" s="821"/>
      <c r="C68" s="780">
        <f>C67+$G$439</f>
        <v>0.39999999999999997</v>
      </c>
      <c r="D68" s="490">
        <f t="shared" ref="D68:L68" si="135">IFERROR(Z55/$G$447,0)</f>
        <v>0.1395930048963353</v>
      </c>
      <c r="E68" s="490">
        <f t="shared" si="135"/>
        <v>0.17498368891282948</v>
      </c>
      <c r="F68" s="490">
        <f t="shared" si="135"/>
        <v>0.21037437292932368</v>
      </c>
      <c r="G68" s="490">
        <f t="shared" si="135"/>
        <v>0.24576505694581788</v>
      </c>
      <c r="H68" s="490">
        <f t="shared" si="135"/>
        <v>0.28115574096231227</v>
      </c>
      <c r="I68" s="490">
        <f t="shared" si="135"/>
        <v>0.31654642497880647</v>
      </c>
      <c r="J68" s="490">
        <f t="shared" si="135"/>
        <v>0.35193710899530095</v>
      </c>
      <c r="K68" s="490">
        <f t="shared" si="135"/>
        <v>0.3873277930117951</v>
      </c>
      <c r="L68" s="490">
        <f t="shared" si="135"/>
        <v>0.4227184770282893</v>
      </c>
      <c r="M68" s="417"/>
      <c r="N68" s="417"/>
      <c r="O68" s="417"/>
      <c r="P68" s="417"/>
      <c r="Q68" s="417"/>
      <c r="AT68" s="805">
        <f t="shared" ref="AT68:BB68" si="136">IF(Z55&lt;$G$449,0,MIN($G$446,1+IFERROR(INT((Z55-$G$449)/$G$451),0)))</f>
        <v>1</v>
      </c>
      <c r="AU68" s="805">
        <f t="shared" si="136"/>
        <v>2</v>
      </c>
      <c r="AV68" s="805">
        <f t="shared" si="136"/>
        <v>3</v>
      </c>
      <c r="AW68" s="805">
        <f t="shared" si="136"/>
        <v>4</v>
      </c>
      <c r="AX68" s="805">
        <f t="shared" si="136"/>
        <v>5</v>
      </c>
      <c r="AY68" s="805">
        <f t="shared" si="136"/>
        <v>6</v>
      </c>
      <c r="AZ68" s="805">
        <f t="shared" si="136"/>
        <v>8</v>
      </c>
      <c r="BA68" s="805">
        <f t="shared" si="136"/>
        <v>9</v>
      </c>
      <c r="BB68" s="805">
        <f t="shared" si="136"/>
        <v>10</v>
      </c>
    </row>
    <row r="69" spans="1:54" ht="15" customHeight="1">
      <c r="A69" s="417"/>
      <c r="B69" s="822"/>
      <c r="C69" s="781">
        <f>C68+$G$439</f>
        <v>0.44999999999999996</v>
      </c>
      <c r="D69" s="784">
        <f t="shared" ref="D69:L69" si="137">IFERROR(Z56/$G$447,0)</f>
        <v>0.19217338626125852</v>
      </c>
      <c r="E69" s="784">
        <f t="shared" si="137"/>
        <v>0.22302356912096802</v>
      </c>
      <c r="F69" s="784">
        <f t="shared" si="137"/>
        <v>0.25387375198067752</v>
      </c>
      <c r="G69" s="784">
        <f t="shared" si="137"/>
        <v>0.28472393484038705</v>
      </c>
      <c r="H69" s="784">
        <f t="shared" si="137"/>
        <v>0.3155741177000968</v>
      </c>
      <c r="I69" s="784">
        <f t="shared" si="137"/>
        <v>0.34642430055980633</v>
      </c>
      <c r="J69" s="784">
        <f t="shared" si="137"/>
        <v>0.3772744834195158</v>
      </c>
      <c r="K69" s="784">
        <f t="shared" si="137"/>
        <v>0.40812466627922533</v>
      </c>
      <c r="L69" s="784">
        <f t="shared" si="137"/>
        <v>0.43897484913893486</v>
      </c>
      <c r="M69" s="417"/>
      <c r="N69" s="417"/>
      <c r="O69" s="417"/>
      <c r="P69" s="417"/>
      <c r="Q69" s="417"/>
      <c r="AT69" s="805">
        <f t="shared" ref="AT69:BB69" si="138">IF(Z56&lt;$G$449,0,MIN($G$446,1+IFERROR(INT((Z56-$G$449)/$G$451),0)))</f>
        <v>2</v>
      </c>
      <c r="AU69" s="805">
        <f t="shared" si="138"/>
        <v>3</v>
      </c>
      <c r="AV69" s="805">
        <f t="shared" si="138"/>
        <v>4</v>
      </c>
      <c r="AW69" s="805">
        <f t="shared" si="138"/>
        <v>5</v>
      </c>
      <c r="AX69" s="805">
        <f t="shared" si="138"/>
        <v>6</v>
      </c>
      <c r="AY69" s="805">
        <f t="shared" si="138"/>
        <v>7</v>
      </c>
      <c r="AZ69" s="805">
        <f t="shared" si="138"/>
        <v>8</v>
      </c>
      <c r="BA69" s="805">
        <f t="shared" si="138"/>
        <v>9</v>
      </c>
      <c r="BB69" s="805">
        <f t="shared" si="138"/>
        <v>10</v>
      </c>
    </row>
    <row r="70" spans="1:54" ht="15" hidden="1" customHeight="1" outlineLevel="1">
      <c r="A70" s="417"/>
      <c r="B70" s="423" t="s">
        <v>2778</v>
      </c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</row>
    <row r="71" spans="1:54" ht="3.95" customHeight="1" collapsed="1">
      <c r="A71" s="417"/>
      <c r="M71" s="417"/>
      <c r="N71" s="417"/>
      <c r="O71" s="417"/>
      <c r="P71" s="417"/>
      <c r="Q71" s="417"/>
    </row>
    <row r="72" spans="1:54" ht="15" customHeight="1">
      <c r="A72" s="417"/>
      <c r="B72" s="148" t="s">
        <v>2548</v>
      </c>
      <c r="C72" s="417"/>
      <c r="D72" s="417"/>
      <c r="E72" s="417"/>
      <c r="F72" s="417"/>
      <c r="G72" s="417"/>
      <c r="H72" s="417"/>
      <c r="I72" s="417"/>
      <c r="J72" s="417"/>
      <c r="K72" s="417"/>
      <c r="L72" s="417"/>
      <c r="M72" s="417"/>
      <c r="N72" s="417"/>
      <c r="O72" s="417"/>
      <c r="P72" s="417"/>
      <c r="Q72" s="417"/>
    </row>
    <row r="73" spans="1:54" ht="2.1" customHeight="1">
      <c r="A73" s="417"/>
      <c r="B73" s="417"/>
      <c r="C73" s="417"/>
      <c r="D73" s="417"/>
      <c r="E73" s="417"/>
      <c r="F73" s="417"/>
      <c r="G73" s="417"/>
      <c r="H73" s="417"/>
      <c r="I73" s="417"/>
      <c r="J73" s="417"/>
      <c r="K73" s="417"/>
      <c r="L73" s="417"/>
      <c r="M73" s="417"/>
      <c r="N73" s="417"/>
      <c r="O73" s="417"/>
      <c r="P73" s="417"/>
      <c r="Q73" s="417"/>
    </row>
    <row r="74" spans="1:54" ht="12.75" customHeight="1">
      <c r="A74" s="417"/>
      <c r="B74" s="454"/>
      <c r="C74" s="454"/>
      <c r="D74" s="768" t="s">
        <v>2527</v>
      </c>
      <c r="E74" s="768"/>
      <c r="F74" s="768"/>
      <c r="G74" s="768"/>
      <c r="H74" s="768"/>
      <c r="I74" s="768"/>
      <c r="J74" s="768"/>
      <c r="K74" s="768"/>
      <c r="L74" s="768"/>
      <c r="M74" s="417"/>
      <c r="N74" s="417"/>
      <c r="O74" s="417"/>
      <c r="P74" s="417"/>
      <c r="Q74" s="417"/>
    </row>
    <row r="75" spans="1:54" ht="12.75" customHeight="1">
      <c r="A75" s="417"/>
      <c r="B75" s="454"/>
      <c r="C75" s="454"/>
      <c r="D75" s="769">
        <f>E75-$G$441</f>
        <v>1.0219039595619215</v>
      </c>
      <c r="E75" s="769">
        <f>F75-$G$441</f>
        <v>1.2719039595619215</v>
      </c>
      <c r="F75" s="769">
        <f>G75-$G$441</f>
        <v>1.5219039595619215</v>
      </c>
      <c r="G75" s="769">
        <f>H75-$G$441</f>
        <v>1.7719039595619215</v>
      </c>
      <c r="H75" s="769">
        <f>$G$440</f>
        <v>2.0219039595619215</v>
      </c>
      <c r="I75" s="769">
        <f>H75+$G$441</f>
        <v>2.2719039595619215</v>
      </c>
      <c r="J75" s="769">
        <f>I75+$G$441</f>
        <v>2.5219039595619215</v>
      </c>
      <c r="K75" s="769">
        <f>J75+$G$441</f>
        <v>2.7719039595619215</v>
      </c>
      <c r="L75" s="769">
        <f>K75+$G$441</f>
        <v>3.0219039595619215</v>
      </c>
      <c r="M75" s="417"/>
      <c r="N75" s="417"/>
      <c r="O75" s="417"/>
      <c r="P75" s="417"/>
      <c r="Q75" s="417"/>
      <c r="AT75" s="773" t="s">
        <v>2616</v>
      </c>
      <c r="AU75" s="427"/>
      <c r="AV75" s="427"/>
      <c r="AW75" s="427"/>
      <c r="AX75" s="427"/>
      <c r="AY75" s="427"/>
      <c r="AZ75" s="427"/>
      <c r="BA75" s="427"/>
      <c r="BB75" s="427"/>
    </row>
    <row r="76" spans="1:54" ht="15" customHeight="1">
      <c r="A76" s="417"/>
      <c r="B76" s="820" t="s">
        <v>2528</v>
      </c>
      <c r="C76" s="780">
        <f>C77-$G$439</f>
        <v>0.15000000000000002</v>
      </c>
      <c r="D76" s="632">
        <f>D36-$G$448</f>
        <v>3.0690735113620971E-3</v>
      </c>
      <c r="E76" s="632">
        <f t="shared" ref="E76:L76" si="139">E36-$G$448</f>
        <v>2.0109507233419865E-2</v>
      </c>
      <c r="F76" s="632">
        <f t="shared" si="139"/>
        <v>3.6248515065571363E-2</v>
      </c>
      <c r="G76" s="632">
        <f t="shared" si="139"/>
        <v>5.1586771899406969E-2</v>
      </c>
      <c r="H76" s="632">
        <f t="shared" si="139"/>
        <v>6.620847850681022E-2</v>
      </c>
      <c r="I76" s="632">
        <f t="shared" si="139"/>
        <v>8.018481913265374E-2</v>
      </c>
      <c r="J76" s="632">
        <f t="shared" si="139"/>
        <v>9.3576550179128137E-2</v>
      </c>
      <c r="K76" s="632">
        <f t="shared" si="139"/>
        <v>0.10643597078445666</v>
      </c>
      <c r="L76" s="632">
        <f t="shared" si="139"/>
        <v>0.11880844515509326</v>
      </c>
      <c r="M76" s="417"/>
      <c r="N76" s="417"/>
      <c r="O76" s="417"/>
      <c r="P76" s="417"/>
      <c r="Q76" s="417"/>
      <c r="AT76" s="805">
        <f>IF(Z50&lt;$G$449,0,MIN($G$446,1+IFERROR(INT((Z50-$G$449)/$G$451),0)))</f>
        <v>0</v>
      </c>
      <c r="AU76" s="805">
        <f t="shared" ref="AU76:BB76" si="140">IF(AA50&lt;$G$449,0,MIN($G$446,1+IFERROR(INT((AA50-$G$449)/$G$451),0)))</f>
        <v>0</v>
      </c>
      <c r="AV76" s="805">
        <f t="shared" si="140"/>
        <v>0</v>
      </c>
      <c r="AW76" s="805">
        <f t="shared" si="140"/>
        <v>0</v>
      </c>
      <c r="AX76" s="805">
        <f t="shared" si="140"/>
        <v>0</v>
      </c>
      <c r="AY76" s="805">
        <f t="shared" si="140"/>
        <v>2</v>
      </c>
      <c r="AZ76" s="805">
        <f t="shared" si="140"/>
        <v>4</v>
      </c>
      <c r="BA76" s="805">
        <f t="shared" si="140"/>
        <v>5</v>
      </c>
      <c r="BB76" s="805">
        <f t="shared" si="140"/>
        <v>7</v>
      </c>
    </row>
    <row r="77" spans="1:54" ht="15" customHeight="1">
      <c r="A77" s="417"/>
      <c r="B77" s="821"/>
      <c r="C77" s="780">
        <f>C78-$G$439</f>
        <v>0.2</v>
      </c>
      <c r="D77" s="632">
        <f t="shared" ref="D77:L77" si="141">D37-$G$448</f>
        <v>1.8285741599859184E-2</v>
      </c>
      <c r="E77" s="632">
        <f t="shared" si="141"/>
        <v>3.3303107069704074E-2</v>
      </c>
      <c r="F77" s="632">
        <f t="shared" si="141"/>
        <v>4.7623208246323046E-2</v>
      </c>
      <c r="G77" s="632">
        <f t="shared" si="141"/>
        <v>6.1314912406983613E-2</v>
      </c>
      <c r="H77" s="632">
        <f t="shared" si="141"/>
        <v>7.4437053802928421E-2</v>
      </c>
      <c r="I77" s="632">
        <f t="shared" si="141"/>
        <v>8.7040319712514247E-2</v>
      </c>
      <c r="J77" s="632">
        <f t="shared" si="141"/>
        <v>9.9168709659005705E-2</v>
      </c>
      <c r="K77" s="632">
        <f t="shared" si="141"/>
        <v>0.11086067930494448</v>
      </c>
      <c r="L77" s="632">
        <f t="shared" si="141"/>
        <v>0.12215004772954496</v>
      </c>
      <c r="M77" s="417"/>
      <c r="N77" s="417"/>
      <c r="O77" s="417"/>
      <c r="P77" s="417"/>
      <c r="Q77" s="417"/>
      <c r="AT77" s="805">
        <f t="shared" ref="AT77:BB77" si="142">IF(Z51&lt;$G$449,0,MIN($G$446,1+IFERROR(INT((Z51-$G$449)/$G$451),0)))</f>
        <v>0</v>
      </c>
      <c r="AU77" s="805">
        <f t="shared" si="142"/>
        <v>0</v>
      </c>
      <c r="AV77" s="805">
        <f t="shared" si="142"/>
        <v>0</v>
      </c>
      <c r="AW77" s="805">
        <f t="shared" si="142"/>
        <v>0</v>
      </c>
      <c r="AX77" s="805">
        <f t="shared" si="142"/>
        <v>1</v>
      </c>
      <c r="AY77" s="805">
        <f t="shared" si="142"/>
        <v>3</v>
      </c>
      <c r="AZ77" s="805">
        <f t="shared" si="142"/>
        <v>4</v>
      </c>
      <c r="BA77" s="805">
        <f t="shared" si="142"/>
        <v>6</v>
      </c>
      <c r="BB77" s="805">
        <f t="shared" si="142"/>
        <v>8</v>
      </c>
    </row>
    <row r="78" spans="1:54" ht="15" customHeight="1">
      <c r="A78" s="417"/>
      <c r="B78" s="821"/>
      <c r="C78" s="780">
        <f>C79-$G$439</f>
        <v>0.25</v>
      </c>
      <c r="D78" s="632">
        <f t="shared" ref="D78:L78" si="143">D38-$G$448</f>
        <v>3.284123034275388E-2</v>
      </c>
      <c r="E78" s="632">
        <f t="shared" si="143"/>
        <v>4.6009885610862167E-2</v>
      </c>
      <c r="F78" s="632">
        <f t="shared" si="143"/>
        <v>5.8644617209757222E-2</v>
      </c>
      <c r="G78" s="632">
        <f t="shared" si="143"/>
        <v>7.0791794323330715E-2</v>
      </c>
      <c r="H78" s="632">
        <f t="shared" si="143"/>
        <v>8.2491808998196969E-2</v>
      </c>
      <c r="I78" s="632">
        <f t="shared" si="143"/>
        <v>9.3780075957949016E-2</v>
      </c>
      <c r="J78" s="632">
        <f t="shared" si="143"/>
        <v>0.10468783004902793</v>
      </c>
      <c r="K78" s="632">
        <f t="shared" si="143"/>
        <v>0.11524276875872186</v>
      </c>
      <c r="L78" s="632">
        <f t="shared" si="143"/>
        <v>0.12546957487843002</v>
      </c>
      <c r="M78" s="417"/>
      <c r="N78" s="417"/>
      <c r="O78" s="417"/>
      <c r="P78" s="417"/>
      <c r="Q78" s="417"/>
      <c r="AT78" s="805">
        <f t="shared" ref="AT78:BB78" si="144">IF(Z52&lt;$G$449,0,MIN($G$446,1+IFERROR(INT((Z52-$G$449)/$G$451),0)))</f>
        <v>0</v>
      </c>
      <c r="AU78" s="805">
        <f t="shared" si="144"/>
        <v>0</v>
      </c>
      <c r="AV78" s="805">
        <f t="shared" si="144"/>
        <v>0</v>
      </c>
      <c r="AW78" s="805">
        <f t="shared" si="144"/>
        <v>0</v>
      </c>
      <c r="AX78" s="805">
        <f t="shared" si="144"/>
        <v>2</v>
      </c>
      <c r="AY78" s="805">
        <f t="shared" si="144"/>
        <v>4</v>
      </c>
      <c r="AZ78" s="805">
        <f t="shared" si="144"/>
        <v>5</v>
      </c>
      <c r="BA78" s="805">
        <f t="shared" si="144"/>
        <v>7</v>
      </c>
      <c r="BB78" s="805">
        <f t="shared" si="144"/>
        <v>8</v>
      </c>
    </row>
    <row r="79" spans="1:54" ht="15" customHeight="1">
      <c r="A79" s="417"/>
      <c r="B79" s="821"/>
      <c r="C79" s="780">
        <f>$G$438</f>
        <v>0.3</v>
      </c>
      <c r="D79" s="632">
        <f t="shared" ref="D79:L79" si="145">D39-$G$448</f>
        <v>4.6800887931307544E-2</v>
      </c>
      <c r="E79" s="632">
        <f t="shared" si="145"/>
        <v>5.8271513856421153E-2</v>
      </c>
      <c r="F79" s="632">
        <f t="shared" si="145"/>
        <v>6.9338755614333891E-2</v>
      </c>
      <c r="G79" s="632">
        <f t="shared" si="145"/>
        <v>8.0033192459237235E-2</v>
      </c>
      <c r="H79" s="790">
        <f t="shared" si="145"/>
        <v>9.0381942850864538E-2</v>
      </c>
      <c r="I79" s="632">
        <f t="shared" si="145"/>
        <v>0.10040917543791528</v>
      </c>
      <c r="J79" s="632">
        <f t="shared" si="145"/>
        <v>0.11013652831392329</v>
      </c>
      <c r="K79" s="632">
        <f t="shared" si="145"/>
        <v>0.11958345562955031</v>
      </c>
      <c r="L79" s="632">
        <f t="shared" si="145"/>
        <v>0.12876751643678541</v>
      </c>
      <c r="M79" s="417"/>
      <c r="N79" s="417"/>
      <c r="O79" s="417"/>
      <c r="P79" s="417"/>
      <c r="Q79" s="417"/>
      <c r="AT79" s="805">
        <f t="shared" ref="AT79:BB79" si="146">IF(Z53&lt;$G$449,0,MIN($G$446,1+IFERROR(INT((Z53-$G$449)/$G$451),0)))</f>
        <v>0</v>
      </c>
      <c r="AU79" s="805">
        <f t="shared" si="146"/>
        <v>0</v>
      </c>
      <c r="AV79" s="805">
        <f t="shared" si="146"/>
        <v>0</v>
      </c>
      <c r="AW79" s="805">
        <f t="shared" si="146"/>
        <v>2</v>
      </c>
      <c r="AX79" s="805">
        <f t="shared" si="146"/>
        <v>3</v>
      </c>
      <c r="AY79" s="805">
        <f t="shared" si="146"/>
        <v>5</v>
      </c>
      <c r="AZ79" s="805">
        <f t="shared" si="146"/>
        <v>6</v>
      </c>
      <c r="BA79" s="805">
        <f t="shared" si="146"/>
        <v>7</v>
      </c>
      <c r="BB79" s="805">
        <f t="shared" si="146"/>
        <v>9</v>
      </c>
    </row>
    <row r="80" spans="1:54" ht="15" customHeight="1">
      <c r="A80" s="417"/>
      <c r="B80" s="821"/>
      <c r="C80" s="780">
        <f>C79+$G$439</f>
        <v>0.35</v>
      </c>
      <c r="D80" s="632">
        <f t="shared" ref="D80:L80" si="147">D40-$G$448</f>
        <v>6.0220611822220382E-2</v>
      </c>
      <c r="E80" s="632">
        <f t="shared" si="147"/>
        <v>7.0124418955491485E-2</v>
      </c>
      <c r="F80" s="632">
        <f t="shared" si="147"/>
        <v>7.9728812066200083E-2</v>
      </c>
      <c r="G80" s="632">
        <f t="shared" si="147"/>
        <v>8.9053418997751654E-2</v>
      </c>
      <c r="H80" s="632">
        <f t="shared" si="147"/>
        <v>9.8115936172583407E-2</v>
      </c>
      <c r="I80" s="632">
        <f t="shared" si="147"/>
        <v>0.10693237781316145</v>
      </c>
      <c r="J80" s="632">
        <f t="shared" si="147"/>
        <v>0.11551728580959542</v>
      </c>
      <c r="K80" s="632">
        <f t="shared" si="147"/>
        <v>0.12388390766179014</v>
      </c>
      <c r="L80" s="632">
        <f t="shared" si="147"/>
        <v>0.13204434800969955</v>
      </c>
      <c r="M80" s="417"/>
      <c r="N80" s="417"/>
      <c r="O80" s="417"/>
      <c r="P80" s="417"/>
      <c r="Q80" s="417"/>
      <c r="AT80" s="805">
        <f t="shared" ref="AT80:BB80" si="148">IF(Z54&lt;$G$449,0,MIN($G$446,1+IFERROR(INT((Z54-$G$449)/$G$451),0)))</f>
        <v>0</v>
      </c>
      <c r="AU80" s="805">
        <f t="shared" si="148"/>
        <v>0</v>
      </c>
      <c r="AV80" s="805">
        <f t="shared" si="148"/>
        <v>2</v>
      </c>
      <c r="AW80" s="805">
        <f t="shared" si="148"/>
        <v>3</v>
      </c>
      <c r="AX80" s="805">
        <f t="shared" si="148"/>
        <v>4</v>
      </c>
      <c r="AY80" s="805">
        <f t="shared" si="148"/>
        <v>6</v>
      </c>
      <c r="AZ80" s="805">
        <f t="shared" si="148"/>
        <v>7</v>
      </c>
      <c r="BA80" s="805">
        <f t="shared" si="148"/>
        <v>8</v>
      </c>
      <c r="BB80" s="805">
        <f t="shared" si="148"/>
        <v>9</v>
      </c>
    </row>
    <row r="81" spans="1:54" ht="15" customHeight="1">
      <c r="A81" s="417"/>
      <c r="B81" s="821"/>
      <c r="C81" s="780">
        <f>C80+$G$439</f>
        <v>0.39999999999999997</v>
      </c>
      <c r="D81" s="632">
        <f t="shared" ref="D81:L81" si="149">D41-$G$448</f>
        <v>7.3148612284019254E-2</v>
      </c>
      <c r="E81" s="632">
        <f t="shared" si="149"/>
        <v>8.1600641125796347E-2</v>
      </c>
      <c r="F81" s="632">
        <f t="shared" si="149"/>
        <v>8.9835550933532016E-2</v>
      </c>
      <c r="G81" s="632">
        <f t="shared" si="149"/>
        <v>9.7865501695266977E-2</v>
      </c>
      <c r="H81" s="632">
        <f t="shared" si="149"/>
        <v>0.10570162590227339</v>
      </c>
      <c r="I81" s="632">
        <f t="shared" si="149"/>
        <v>0.11335414289185364</v>
      </c>
      <c r="J81" s="632">
        <f t="shared" si="149"/>
        <v>0.12083245766903139</v>
      </c>
      <c r="K81" s="632">
        <f t="shared" si="149"/>
        <v>0.12814524651213022</v>
      </c>
      <c r="L81" s="632">
        <f t="shared" si="149"/>
        <v>0.13530053155051269</v>
      </c>
      <c r="M81" s="417"/>
      <c r="N81" s="417"/>
      <c r="O81" s="417"/>
      <c r="P81" s="417"/>
      <c r="Q81" s="417"/>
      <c r="AT81" s="805">
        <f t="shared" ref="AT81:BB81" si="150">IF(Z55&lt;$G$449,0,MIN($G$446,1+IFERROR(INT((Z55-$G$449)/$G$451),0)))</f>
        <v>1</v>
      </c>
      <c r="AU81" s="805">
        <f t="shared" si="150"/>
        <v>2</v>
      </c>
      <c r="AV81" s="805">
        <f t="shared" si="150"/>
        <v>3</v>
      </c>
      <c r="AW81" s="805">
        <f t="shared" si="150"/>
        <v>4</v>
      </c>
      <c r="AX81" s="805">
        <f t="shared" si="150"/>
        <v>5</v>
      </c>
      <c r="AY81" s="805">
        <f t="shared" si="150"/>
        <v>6</v>
      </c>
      <c r="AZ81" s="805">
        <f t="shared" si="150"/>
        <v>8</v>
      </c>
      <c r="BA81" s="805">
        <f t="shared" si="150"/>
        <v>9</v>
      </c>
      <c r="BB81" s="805">
        <f t="shared" si="150"/>
        <v>10</v>
      </c>
    </row>
    <row r="82" spans="1:54" ht="15" customHeight="1">
      <c r="A82" s="417"/>
      <c r="B82" s="822"/>
      <c r="C82" s="781">
        <f>C81+$G$439</f>
        <v>0.44999999999999996</v>
      </c>
      <c r="D82" s="791">
        <f t="shared" ref="D82:L82" si="151">D42-$G$448</f>
        <v>8.5626779739894854E-2</v>
      </c>
      <c r="E82" s="791">
        <f t="shared" si="151"/>
        <v>9.272852101064144E-2</v>
      </c>
      <c r="F82" s="791">
        <f t="shared" si="151"/>
        <v>9.9677643933538729E-2</v>
      </c>
      <c r="G82" s="791">
        <f t="shared" si="151"/>
        <v>0.10648133553677841</v>
      </c>
      <c r="H82" s="791">
        <f t="shared" si="151"/>
        <v>0.11314626972767461</v>
      </c>
      <c r="I82" s="791">
        <f t="shared" si="151"/>
        <v>0.11967865583970871</v>
      </c>
      <c r="J82" s="791">
        <f t="shared" si="151"/>
        <v>0.12608428142431416</v>
      </c>
      <c r="K82" s="791">
        <f t="shared" si="151"/>
        <v>0.13236855022233751</v>
      </c>
      <c r="L82" s="791">
        <f t="shared" si="151"/>
        <v>0.13853651590999494</v>
      </c>
      <c r="M82" s="417"/>
      <c r="N82" s="417"/>
      <c r="O82" s="417"/>
      <c r="P82" s="417"/>
      <c r="Q82" s="417"/>
      <c r="AT82" s="805">
        <f t="shared" ref="AT82:BB82" si="152">IF(Z56&lt;$G$449,0,MIN($G$446,1+IFERROR(INT((Z56-$G$449)/$G$451),0)))</f>
        <v>2</v>
      </c>
      <c r="AU82" s="805">
        <f t="shared" si="152"/>
        <v>3</v>
      </c>
      <c r="AV82" s="805">
        <f t="shared" si="152"/>
        <v>4</v>
      </c>
      <c r="AW82" s="805">
        <f t="shared" si="152"/>
        <v>5</v>
      </c>
      <c r="AX82" s="805">
        <f t="shared" si="152"/>
        <v>6</v>
      </c>
      <c r="AY82" s="805">
        <f t="shared" si="152"/>
        <v>7</v>
      </c>
      <c r="AZ82" s="805">
        <f t="shared" si="152"/>
        <v>8</v>
      </c>
      <c r="BA82" s="805">
        <f t="shared" si="152"/>
        <v>9</v>
      </c>
      <c r="BB82" s="805">
        <f t="shared" si="152"/>
        <v>10</v>
      </c>
    </row>
    <row r="83" spans="1:54" ht="15" hidden="1" customHeight="1" outlineLevel="1">
      <c r="A83" s="417"/>
      <c r="B83" s="423" t="s">
        <v>2779</v>
      </c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  <c r="P83" s="417"/>
      <c r="Q83" s="417"/>
    </row>
    <row r="84" spans="1:54" ht="3.95" customHeight="1" collapsed="1">
      <c r="A84" s="417"/>
      <c r="B84" s="417"/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  <c r="P84" s="417"/>
      <c r="Q84" s="417"/>
    </row>
    <row r="85" spans="1:54" ht="15" customHeight="1">
      <c r="A85" s="417"/>
      <c r="B85" s="796" t="s">
        <v>2574</v>
      </c>
      <c r="C85" s="797"/>
      <c r="D85" s="797"/>
      <c r="E85" s="797"/>
      <c r="F85" s="797"/>
      <c r="G85" s="797"/>
      <c r="H85" s="797"/>
      <c r="I85" s="797"/>
      <c r="J85" s="797"/>
      <c r="K85" s="797"/>
      <c r="L85" s="797"/>
      <c r="M85" s="417"/>
      <c r="N85" s="417"/>
      <c r="O85" s="417"/>
      <c r="P85" s="417"/>
      <c r="Q85" s="417"/>
    </row>
    <row r="86" spans="1:54" ht="15" customHeight="1">
      <c r="A86" s="417"/>
      <c r="B86" s="148" t="s">
        <v>2568</v>
      </c>
      <c r="C86" s="417"/>
      <c r="D86" s="417"/>
      <c r="E86" s="417"/>
      <c r="F86" s="417"/>
      <c r="G86" s="417"/>
      <c r="H86" s="417"/>
      <c r="I86" s="417"/>
      <c r="J86" s="417"/>
      <c r="K86" s="417"/>
      <c r="L86" s="417"/>
      <c r="M86" s="417"/>
      <c r="N86" s="417"/>
      <c r="O86" s="417"/>
      <c r="P86" s="417"/>
      <c r="Q86" s="417"/>
    </row>
    <row r="87" spans="1:54" ht="2.1" customHeight="1">
      <c r="A87" s="417"/>
      <c r="B87" s="417"/>
      <c r="C87" s="417"/>
      <c r="D87" s="417"/>
      <c r="E87" s="417"/>
      <c r="F87" s="417"/>
      <c r="G87" s="417"/>
      <c r="H87" s="417"/>
      <c r="I87" s="417"/>
      <c r="J87" s="417"/>
      <c r="K87" s="417"/>
      <c r="L87" s="417"/>
      <c r="M87" s="417"/>
      <c r="N87" s="417"/>
      <c r="O87" s="417"/>
      <c r="P87" s="417"/>
      <c r="Q87" s="417"/>
    </row>
    <row r="88" spans="1:54" ht="12.75" customHeight="1">
      <c r="A88" s="417"/>
      <c r="B88" s="454"/>
      <c r="C88" s="454"/>
      <c r="D88" s="768" t="s">
        <v>2567</v>
      </c>
      <c r="E88" s="768"/>
      <c r="F88" s="768"/>
      <c r="G88" s="768"/>
      <c r="H88" s="768"/>
      <c r="I88" s="768"/>
      <c r="J88" s="768"/>
      <c r="K88" s="768"/>
      <c r="L88" s="768"/>
      <c r="M88" s="417"/>
      <c r="N88" s="417"/>
      <c r="O88" s="417"/>
      <c r="P88" s="417"/>
      <c r="Q88" s="417"/>
      <c r="Z88" s="787" t="s">
        <v>2576</v>
      </c>
      <c r="AA88" s="747"/>
      <c r="AB88" s="747"/>
      <c r="AC88" s="747"/>
      <c r="AD88" s="747"/>
      <c r="AE88" s="747"/>
      <c r="AF88" s="747"/>
      <c r="AG88" s="747"/>
      <c r="AH88" s="747"/>
      <c r="AJ88" s="787" t="s">
        <v>2575</v>
      </c>
      <c r="AK88" s="747"/>
      <c r="AL88" s="747"/>
      <c r="AM88" s="747"/>
      <c r="AN88" s="747"/>
      <c r="AO88" s="747"/>
      <c r="AP88" s="747"/>
      <c r="AQ88" s="747"/>
      <c r="AR88" s="747"/>
    </row>
    <row r="89" spans="1:54" ht="12.75" customHeight="1">
      <c r="A89" s="417"/>
      <c r="B89" s="454"/>
      <c r="C89" s="454"/>
      <c r="D89" s="800">
        <f>E89+$G$458</f>
        <v>64</v>
      </c>
      <c r="E89" s="800">
        <f>F89+$G$458</f>
        <v>60</v>
      </c>
      <c r="F89" s="800">
        <f>G89+$G$458</f>
        <v>56</v>
      </c>
      <c r="G89" s="800">
        <f>H89+$G$458</f>
        <v>52</v>
      </c>
      <c r="H89" s="800">
        <f>$G$457</f>
        <v>48</v>
      </c>
      <c r="I89" s="800">
        <f>H89-$G$458</f>
        <v>44</v>
      </c>
      <c r="J89" s="800">
        <f>I89-$G$458</f>
        <v>40</v>
      </c>
      <c r="K89" s="800">
        <f>J89-$G$458</f>
        <v>36</v>
      </c>
      <c r="L89" s="800">
        <f>K89-$G$458</f>
        <v>32</v>
      </c>
      <c r="M89" s="417"/>
      <c r="N89" s="773" t="s">
        <v>2498</v>
      </c>
      <c r="O89" s="773" t="s">
        <v>2499</v>
      </c>
      <c r="P89" s="773" t="s">
        <v>2500</v>
      </c>
      <c r="Q89" s="773" t="s">
        <v>2501</v>
      </c>
      <c r="R89" s="773" t="s">
        <v>2502</v>
      </c>
      <c r="Z89" s="367">
        <f>D$89</f>
        <v>64</v>
      </c>
      <c r="AA89" s="367">
        <f t="shared" ref="AA89:AH89" si="153">E$89</f>
        <v>60</v>
      </c>
      <c r="AB89" s="367">
        <f t="shared" si="153"/>
        <v>56</v>
      </c>
      <c r="AC89" s="367">
        <f t="shared" si="153"/>
        <v>52</v>
      </c>
      <c r="AD89" s="367">
        <f t="shared" si="153"/>
        <v>48</v>
      </c>
      <c r="AE89" s="367">
        <f t="shared" si="153"/>
        <v>44</v>
      </c>
      <c r="AF89" s="367">
        <f t="shared" si="153"/>
        <v>40</v>
      </c>
      <c r="AG89" s="367">
        <f t="shared" si="153"/>
        <v>36</v>
      </c>
      <c r="AH89" s="367">
        <f t="shared" si="153"/>
        <v>32</v>
      </c>
      <c r="AI89" s="686"/>
      <c r="AJ89" s="367">
        <f>D$89</f>
        <v>64</v>
      </c>
      <c r="AK89" s="367">
        <f t="shared" ref="AK89:AR89" si="154">E$89</f>
        <v>60</v>
      </c>
      <c r="AL89" s="367">
        <f t="shared" si="154"/>
        <v>56</v>
      </c>
      <c r="AM89" s="367">
        <f t="shared" si="154"/>
        <v>52</v>
      </c>
      <c r="AN89" s="367">
        <f t="shared" si="154"/>
        <v>48</v>
      </c>
      <c r="AO89" s="367">
        <f t="shared" si="154"/>
        <v>44</v>
      </c>
      <c r="AP89" s="367">
        <f t="shared" si="154"/>
        <v>40</v>
      </c>
      <c r="AQ89" s="367">
        <f t="shared" si="154"/>
        <v>36</v>
      </c>
      <c r="AR89" s="367">
        <f t="shared" si="154"/>
        <v>32</v>
      </c>
      <c r="AT89" s="773" t="s">
        <v>2616</v>
      </c>
      <c r="AU89" s="427"/>
      <c r="AV89" s="427"/>
      <c r="AW89" s="427"/>
      <c r="AX89" s="427"/>
      <c r="AY89" s="427"/>
      <c r="AZ89" s="427"/>
      <c r="BA89" s="427"/>
      <c r="BB89" s="427"/>
    </row>
    <row r="90" spans="1:54" ht="15" customHeight="1">
      <c r="A90" s="417"/>
      <c r="B90" s="820" t="s">
        <v>2528</v>
      </c>
      <c r="C90" s="780">
        <f>C91-$G$439</f>
        <v>0.15000000000000002</v>
      </c>
      <c r="D90" s="621">
        <f>ROUND(Z90,$G$452)</f>
        <v>5800</v>
      </c>
      <c r="E90" s="621">
        <f t="shared" ref="E90:E96" si="155">ROUND(AA90,$G$452)</f>
        <v>5700</v>
      </c>
      <c r="F90" s="621">
        <f t="shared" ref="F90:F96" si="156">ROUND(AB90,$G$452)</f>
        <v>5600</v>
      </c>
      <c r="G90" s="621">
        <f t="shared" ref="G90:G96" si="157">ROUND(AC90,$G$452)</f>
        <v>5400</v>
      </c>
      <c r="H90" s="621">
        <f t="shared" ref="H90:H96" si="158">ROUND(AD90,$G$452)</f>
        <v>5300</v>
      </c>
      <c r="I90" s="621">
        <f t="shared" ref="I90:I96" si="159">ROUND(AE90,$G$452)</f>
        <v>5200</v>
      </c>
      <c r="J90" s="621">
        <f t="shared" ref="J90:J96" si="160">ROUND(AF90,$G$452)</f>
        <v>5100</v>
      </c>
      <c r="K90" s="621">
        <f t="shared" ref="K90:K96" si="161">ROUND(AG90,$G$452)</f>
        <v>5000</v>
      </c>
      <c r="L90" s="621">
        <f t="shared" ref="L90:L96" si="162">ROUND(AH90,$G$452)</f>
        <v>4900</v>
      </c>
      <c r="M90" s="417"/>
      <c r="N90" s="770">
        <f t="shared" ref="N90:N96" si="163">$C90</f>
        <v>0.15000000000000002</v>
      </c>
      <c r="O90" s="428">
        <f t="shared" ref="O90:O96" si="164">$G$433</f>
        <v>650</v>
      </c>
      <c r="P90" s="428">
        <f t="shared" ref="P90:P96" si="165">$G$430*(1-N90)-O90</f>
        <v>1900</v>
      </c>
      <c r="Q90" s="428">
        <f t="shared" ref="Q90:Q96" si="166">$G$432-O90</f>
        <v>59350</v>
      </c>
      <c r="R90" s="771">
        <f t="shared" ref="R90:R96" si="167">IFERROR(P90/(Q90+$G$430*(1-N90)),0)*(1-$G$434)</f>
        <v>2.9159935379644585E-2</v>
      </c>
      <c r="Z90" s="367">
        <f t="shared" ref="Z90:AH96" si="168">$O90+$G$435+$N90*AJ$90+$R90*($Q90*(1+$G$437)+AJ$90*(1-$N90))-$G$430</f>
        <v>5788.4866065510432</v>
      </c>
      <c r="AA90" s="367">
        <f t="shared" si="168"/>
        <v>5672.2086975402999</v>
      </c>
      <c r="AB90" s="367">
        <f t="shared" si="168"/>
        <v>5555.9307885295566</v>
      </c>
      <c r="AC90" s="367">
        <f t="shared" si="168"/>
        <v>5439.6528795188151</v>
      </c>
      <c r="AD90" s="367">
        <f t="shared" si="168"/>
        <v>5323.3749705080736</v>
      </c>
      <c r="AE90" s="367">
        <f t="shared" si="168"/>
        <v>5207.0970614973303</v>
      </c>
      <c r="AF90" s="367">
        <f t="shared" si="168"/>
        <v>5090.819152486587</v>
      </c>
      <c r="AG90" s="367">
        <f t="shared" si="168"/>
        <v>4974.5412434758446</v>
      </c>
      <c r="AH90" s="367">
        <f t="shared" si="168"/>
        <v>4858.2633344651013</v>
      </c>
      <c r="AJ90" s="367">
        <f>($G$453+AJ$89*$G$445*$G$454)*$G$455</f>
        <v>16641.224756384177</v>
      </c>
      <c r="AK90" s="367">
        <f t="shared" ref="AK90:AR90" si="169">($G$453+AK$89*$G$445*$G$454)*$G$455</f>
        <v>15975.965836610165</v>
      </c>
      <c r="AL90" s="367">
        <f t="shared" si="169"/>
        <v>15310.706916836156</v>
      </c>
      <c r="AM90" s="367">
        <f t="shared" si="169"/>
        <v>14645.447997062143</v>
      </c>
      <c r="AN90" s="367">
        <f t="shared" si="169"/>
        <v>13980.189077288132</v>
      </c>
      <c r="AO90" s="367">
        <f t="shared" si="169"/>
        <v>13314.930157514122</v>
      </c>
      <c r="AP90" s="367">
        <f t="shared" si="169"/>
        <v>12649.671237740109</v>
      </c>
      <c r="AQ90" s="367">
        <f t="shared" si="169"/>
        <v>11984.4123179661</v>
      </c>
      <c r="AR90" s="367">
        <f t="shared" si="169"/>
        <v>11319.153398192087</v>
      </c>
      <c r="AT90" s="805">
        <f>IF(Z130&lt;$G$449,0,MIN($G$446,1+IFERROR(INT((Z130-$G$449)/$G$463),0)))</f>
        <v>0</v>
      </c>
      <c r="AU90" s="805">
        <f t="shared" ref="AU90:BB90" si="170">IF(AA130&lt;$G$449,0,MIN($G$446,1+IFERROR(INT((AA130-$G$449)/$G$463),0)))</f>
        <v>0</v>
      </c>
      <c r="AV90" s="805">
        <f t="shared" si="170"/>
        <v>0</v>
      </c>
      <c r="AW90" s="805">
        <f t="shared" si="170"/>
        <v>0</v>
      </c>
      <c r="AX90" s="805">
        <f t="shared" si="170"/>
        <v>0</v>
      </c>
      <c r="AY90" s="805">
        <f t="shared" si="170"/>
        <v>1</v>
      </c>
      <c r="AZ90" s="805">
        <f t="shared" si="170"/>
        <v>3</v>
      </c>
      <c r="BA90" s="805">
        <f t="shared" si="170"/>
        <v>5</v>
      </c>
      <c r="BB90" s="805">
        <f t="shared" si="170"/>
        <v>6</v>
      </c>
    </row>
    <row r="91" spans="1:54" ht="15" customHeight="1">
      <c r="A91" s="417"/>
      <c r="B91" s="821"/>
      <c r="C91" s="780">
        <f>C92-$G$439</f>
        <v>0.2</v>
      </c>
      <c r="D91" s="470">
        <f t="shared" ref="D91:D96" si="171">ROUND(Z91,$G$452)</f>
        <v>6200</v>
      </c>
      <c r="E91" s="470">
        <f t="shared" si="155"/>
        <v>6000</v>
      </c>
      <c r="F91" s="470">
        <f t="shared" si="156"/>
        <v>5900</v>
      </c>
      <c r="G91" s="470">
        <f t="shared" si="157"/>
        <v>5700</v>
      </c>
      <c r="H91" s="470">
        <f t="shared" si="158"/>
        <v>5600</v>
      </c>
      <c r="I91" s="470">
        <f t="shared" si="159"/>
        <v>5400</v>
      </c>
      <c r="J91" s="470">
        <f t="shared" si="160"/>
        <v>5300</v>
      </c>
      <c r="K91" s="470">
        <f t="shared" si="161"/>
        <v>5100</v>
      </c>
      <c r="L91" s="470">
        <f t="shared" si="162"/>
        <v>5000</v>
      </c>
      <c r="M91" s="417"/>
      <c r="N91" s="770">
        <f t="shared" si="163"/>
        <v>0.2</v>
      </c>
      <c r="O91" s="428">
        <f t="shared" si="164"/>
        <v>650</v>
      </c>
      <c r="P91" s="428">
        <f t="shared" si="165"/>
        <v>1750</v>
      </c>
      <c r="Q91" s="428">
        <f t="shared" si="166"/>
        <v>59350</v>
      </c>
      <c r="R91" s="771">
        <f t="shared" si="167"/>
        <v>2.6923076923076921E-2</v>
      </c>
      <c r="Z91" s="367">
        <f t="shared" si="168"/>
        <v>6165.3251767989568</v>
      </c>
      <c r="AA91" s="367">
        <f t="shared" si="168"/>
        <v>6017.9447391874837</v>
      </c>
      <c r="AB91" s="367">
        <f t="shared" si="168"/>
        <v>5870.5643015760106</v>
      </c>
      <c r="AC91" s="367">
        <f t="shared" si="168"/>
        <v>5723.1838639645375</v>
      </c>
      <c r="AD91" s="367">
        <f t="shared" si="168"/>
        <v>5575.8034263530644</v>
      </c>
      <c r="AE91" s="367">
        <f t="shared" si="168"/>
        <v>5428.4229887415913</v>
      </c>
      <c r="AF91" s="367">
        <f t="shared" si="168"/>
        <v>5281.0425511301164</v>
      </c>
      <c r="AG91" s="367">
        <f t="shared" si="168"/>
        <v>5133.6621135186433</v>
      </c>
      <c r="AH91" s="367">
        <f t="shared" si="168"/>
        <v>4986.2816759071711</v>
      </c>
      <c r="AT91" s="805">
        <f t="shared" ref="AT91:BB91" si="172">IF(Z131&lt;$G$449,0,MIN($G$446,1+IFERROR(INT((Z131-$G$449)/$G$463),0)))</f>
        <v>0</v>
      </c>
      <c r="AU91" s="805">
        <f t="shared" si="172"/>
        <v>0</v>
      </c>
      <c r="AV91" s="805">
        <f t="shared" si="172"/>
        <v>0</v>
      </c>
      <c r="AW91" s="805">
        <f t="shared" si="172"/>
        <v>0</v>
      </c>
      <c r="AX91" s="805">
        <f t="shared" si="172"/>
        <v>1</v>
      </c>
      <c r="AY91" s="805">
        <f t="shared" si="172"/>
        <v>2</v>
      </c>
      <c r="AZ91" s="805">
        <f t="shared" si="172"/>
        <v>4</v>
      </c>
      <c r="BA91" s="805">
        <f t="shared" si="172"/>
        <v>5</v>
      </c>
      <c r="BB91" s="805">
        <f t="shared" si="172"/>
        <v>7</v>
      </c>
    </row>
    <row r="92" spans="1:54" ht="15" customHeight="1">
      <c r="A92" s="417"/>
      <c r="B92" s="821"/>
      <c r="C92" s="780">
        <f>C93-$G$439</f>
        <v>0.25</v>
      </c>
      <c r="D92" s="470">
        <f t="shared" si="171"/>
        <v>6500</v>
      </c>
      <c r="E92" s="470">
        <f t="shared" si="155"/>
        <v>6400</v>
      </c>
      <c r="F92" s="470">
        <f t="shared" si="156"/>
        <v>6200</v>
      </c>
      <c r="G92" s="470">
        <f t="shared" si="157"/>
        <v>6000</v>
      </c>
      <c r="H92" s="470">
        <f t="shared" si="158"/>
        <v>5800</v>
      </c>
      <c r="I92" s="470">
        <f t="shared" si="159"/>
        <v>5700</v>
      </c>
      <c r="J92" s="470">
        <f t="shared" si="160"/>
        <v>5500</v>
      </c>
      <c r="K92" s="470">
        <f t="shared" si="161"/>
        <v>5300</v>
      </c>
      <c r="L92" s="470">
        <f t="shared" si="162"/>
        <v>5100</v>
      </c>
      <c r="M92" s="417"/>
      <c r="N92" s="770">
        <f t="shared" si="163"/>
        <v>0.25</v>
      </c>
      <c r="O92" s="428">
        <f t="shared" si="164"/>
        <v>650</v>
      </c>
      <c r="P92" s="428">
        <f t="shared" si="165"/>
        <v>1600</v>
      </c>
      <c r="Q92" s="428">
        <f t="shared" si="166"/>
        <v>59350</v>
      </c>
      <c r="R92" s="771">
        <f t="shared" si="167"/>
        <v>2.4675324675324677E-2</v>
      </c>
      <c r="Z92" s="367">
        <f t="shared" si="168"/>
        <v>6543.7963875096484</v>
      </c>
      <c r="AA92" s="367">
        <f t="shared" si="168"/>
        <v>6365.1700476872102</v>
      </c>
      <c r="AB92" s="367">
        <f t="shared" si="168"/>
        <v>6186.5437078647738</v>
      </c>
      <c r="AC92" s="367">
        <f t="shared" si="168"/>
        <v>6007.9173680423373</v>
      </c>
      <c r="AD92" s="367">
        <f t="shared" si="168"/>
        <v>5829.2910282198991</v>
      </c>
      <c r="AE92" s="367">
        <f t="shared" si="168"/>
        <v>5650.6646883974608</v>
      </c>
      <c r="AF92" s="367">
        <f t="shared" si="168"/>
        <v>5472.0383485750244</v>
      </c>
      <c r="AG92" s="367">
        <f t="shared" si="168"/>
        <v>5293.412008752588</v>
      </c>
      <c r="AH92" s="367">
        <f t="shared" si="168"/>
        <v>5114.7856689301498</v>
      </c>
      <c r="AJ92" s="787" t="s">
        <v>2589</v>
      </c>
      <c r="AK92" s="747"/>
      <c r="AL92" s="747"/>
      <c r="AM92" s="747"/>
      <c r="AN92" s="747"/>
      <c r="AO92" s="747"/>
      <c r="AP92" s="747"/>
      <c r="AQ92" s="747"/>
      <c r="AR92" s="747"/>
      <c r="AT92" s="805">
        <f t="shared" ref="AT92:BB92" si="173">IF(Z132&lt;$G$449,0,MIN($G$446,1+IFERROR(INT((Z132-$G$449)/$G$463),0)))</f>
        <v>0</v>
      </c>
      <c r="AU92" s="805">
        <f t="shared" si="173"/>
        <v>0</v>
      </c>
      <c r="AV92" s="805">
        <f t="shared" si="173"/>
        <v>0</v>
      </c>
      <c r="AW92" s="805">
        <f t="shared" si="173"/>
        <v>1</v>
      </c>
      <c r="AX92" s="805">
        <f t="shared" si="173"/>
        <v>2</v>
      </c>
      <c r="AY92" s="805">
        <f t="shared" si="173"/>
        <v>4</v>
      </c>
      <c r="AZ92" s="805">
        <f t="shared" si="173"/>
        <v>5</v>
      </c>
      <c r="BA92" s="805">
        <f t="shared" si="173"/>
        <v>6</v>
      </c>
      <c r="BB92" s="805">
        <f t="shared" si="173"/>
        <v>8</v>
      </c>
    </row>
    <row r="93" spans="1:54" ht="15" customHeight="1">
      <c r="A93" s="417"/>
      <c r="B93" s="821"/>
      <c r="C93" s="780">
        <f>$G$438</f>
        <v>0.3</v>
      </c>
      <c r="D93" s="470">
        <f t="shared" si="171"/>
        <v>6900</v>
      </c>
      <c r="E93" s="470">
        <f t="shared" si="155"/>
        <v>6700</v>
      </c>
      <c r="F93" s="470">
        <f t="shared" si="156"/>
        <v>6500</v>
      </c>
      <c r="G93" s="470">
        <f t="shared" si="157"/>
        <v>6300</v>
      </c>
      <c r="H93" s="782">
        <f t="shared" si="158"/>
        <v>6100</v>
      </c>
      <c r="I93" s="470">
        <f t="shared" si="159"/>
        <v>5900</v>
      </c>
      <c r="J93" s="470">
        <f t="shared" si="160"/>
        <v>5700</v>
      </c>
      <c r="K93" s="470">
        <f t="shared" si="161"/>
        <v>5500</v>
      </c>
      <c r="L93" s="470">
        <f t="shared" si="162"/>
        <v>5200</v>
      </c>
      <c r="M93" s="417"/>
      <c r="N93" s="770">
        <f t="shared" si="163"/>
        <v>0.3</v>
      </c>
      <c r="O93" s="428">
        <f t="shared" si="164"/>
        <v>650</v>
      </c>
      <c r="P93" s="428">
        <f t="shared" si="165"/>
        <v>1450</v>
      </c>
      <c r="Q93" s="428">
        <f t="shared" si="166"/>
        <v>59350</v>
      </c>
      <c r="R93" s="771">
        <f t="shared" si="167"/>
        <v>2.2416598860862488E-2</v>
      </c>
      <c r="Z93" s="367">
        <f t="shared" si="168"/>
        <v>6923.9121945530642</v>
      </c>
      <c r="AA93" s="367">
        <f t="shared" si="168"/>
        <v>6713.8955289806308</v>
      </c>
      <c r="AB93" s="367">
        <f t="shared" si="168"/>
        <v>6503.8788634081975</v>
      </c>
      <c r="AC93" s="367">
        <f t="shared" si="168"/>
        <v>6293.862197835766</v>
      </c>
      <c r="AD93" s="367">
        <f t="shared" si="168"/>
        <v>6083.8455322633345</v>
      </c>
      <c r="AE93" s="367">
        <f t="shared" si="168"/>
        <v>5873.8288666908993</v>
      </c>
      <c r="AF93" s="367">
        <f t="shared" si="168"/>
        <v>5663.8122011184678</v>
      </c>
      <c r="AG93" s="367">
        <f t="shared" si="168"/>
        <v>5453.7955355460363</v>
      </c>
      <c r="AH93" s="367">
        <f t="shared" si="168"/>
        <v>5243.7788699736029</v>
      </c>
      <c r="AJ93" s="367">
        <f>($G$453+(AJ$89-$G$459)*$G$445*$G$460)*$G$461*$G$462</f>
        <v>9153.40499816384</v>
      </c>
      <c r="AK93" s="367">
        <f t="shared" ref="AK93:AR93" si="174">($G$453+(AK$89-$G$459)*$G$445*$G$460)*$G$461*$G$462</f>
        <v>8737.6181733050835</v>
      </c>
      <c r="AL93" s="367">
        <f t="shared" si="174"/>
        <v>8321.8313484463251</v>
      </c>
      <c r="AM93" s="367">
        <f t="shared" si="174"/>
        <v>7906.0445235875686</v>
      </c>
      <c r="AN93" s="367">
        <f t="shared" si="174"/>
        <v>7490.2576987288121</v>
      </c>
      <c r="AO93" s="367">
        <f t="shared" si="174"/>
        <v>7074.4708738700547</v>
      </c>
      <c r="AP93" s="367">
        <f t="shared" si="174"/>
        <v>6658.6840490112991</v>
      </c>
      <c r="AQ93" s="367">
        <f t="shared" si="174"/>
        <v>6242.8972241525407</v>
      </c>
      <c r="AR93" s="367">
        <f t="shared" si="174"/>
        <v>5827.1103992937842</v>
      </c>
      <c r="AT93" s="805">
        <f t="shared" ref="AT93:BB93" si="175">IF(Z133&lt;$G$449,0,MIN($G$446,1+IFERROR(INT((Z133-$G$449)/$G$463),0)))</f>
        <v>0</v>
      </c>
      <c r="AU93" s="805">
        <f t="shared" si="175"/>
        <v>0</v>
      </c>
      <c r="AV93" s="805">
        <f t="shared" si="175"/>
        <v>2</v>
      </c>
      <c r="AW93" s="805">
        <f t="shared" si="175"/>
        <v>3</v>
      </c>
      <c r="AX93" s="805">
        <f t="shared" si="175"/>
        <v>4</v>
      </c>
      <c r="AY93" s="805">
        <f t="shared" si="175"/>
        <v>5</v>
      </c>
      <c r="AZ93" s="805">
        <f t="shared" si="175"/>
        <v>6</v>
      </c>
      <c r="BA93" s="805">
        <f t="shared" si="175"/>
        <v>7</v>
      </c>
      <c r="BB93" s="805">
        <f t="shared" si="175"/>
        <v>8</v>
      </c>
    </row>
    <row r="94" spans="1:54" ht="15" customHeight="1">
      <c r="A94" s="417"/>
      <c r="B94" s="821"/>
      <c r="C94" s="780">
        <f>C93+$G$439</f>
        <v>0.35</v>
      </c>
      <c r="D94" s="470">
        <f t="shared" si="171"/>
        <v>7300</v>
      </c>
      <c r="E94" s="470">
        <f t="shared" si="155"/>
        <v>7100</v>
      </c>
      <c r="F94" s="470">
        <f t="shared" si="156"/>
        <v>6800</v>
      </c>
      <c r="G94" s="470">
        <f t="shared" si="157"/>
        <v>6600</v>
      </c>
      <c r="H94" s="470">
        <f t="shared" si="158"/>
        <v>6300</v>
      </c>
      <c r="I94" s="470">
        <f t="shared" si="159"/>
        <v>6100</v>
      </c>
      <c r="J94" s="470">
        <f t="shared" si="160"/>
        <v>5900</v>
      </c>
      <c r="K94" s="470">
        <f t="shared" si="161"/>
        <v>5600</v>
      </c>
      <c r="L94" s="470">
        <f t="shared" si="162"/>
        <v>5400</v>
      </c>
      <c r="M94" s="417"/>
      <c r="N94" s="770">
        <f t="shared" si="163"/>
        <v>0.35</v>
      </c>
      <c r="O94" s="428">
        <f t="shared" si="164"/>
        <v>650</v>
      </c>
      <c r="P94" s="428">
        <f t="shared" si="165"/>
        <v>1300</v>
      </c>
      <c r="Q94" s="428">
        <f t="shared" si="166"/>
        <v>59350</v>
      </c>
      <c r="R94" s="771">
        <f t="shared" si="167"/>
        <v>2.0146818923327897E-2</v>
      </c>
      <c r="Z94" s="367">
        <f t="shared" si="168"/>
        <v>7305.6846708223475</v>
      </c>
      <c r="AA94" s="367">
        <f t="shared" si="168"/>
        <v>7064.1321957554646</v>
      </c>
      <c r="AB94" s="367">
        <f t="shared" si="168"/>
        <v>6822.57972068858</v>
      </c>
      <c r="AC94" s="367">
        <f t="shared" si="168"/>
        <v>6581.0272456216953</v>
      </c>
      <c r="AD94" s="367">
        <f t="shared" si="168"/>
        <v>6339.4747705548125</v>
      </c>
      <c r="AE94" s="367">
        <f t="shared" si="168"/>
        <v>6097.9222954879278</v>
      </c>
      <c r="AF94" s="367">
        <f t="shared" si="168"/>
        <v>5856.3698204210432</v>
      </c>
      <c r="AG94" s="367">
        <f t="shared" si="168"/>
        <v>5614.8173453541604</v>
      </c>
      <c r="AH94" s="367">
        <f t="shared" si="168"/>
        <v>5373.2648702872757</v>
      </c>
      <c r="AJ94" s="787" t="s">
        <v>2590</v>
      </c>
      <c r="AK94" s="747"/>
      <c r="AL94" s="747"/>
      <c r="AM94" s="747"/>
      <c r="AN94" s="747"/>
      <c r="AO94" s="747"/>
      <c r="AP94" s="747"/>
      <c r="AQ94" s="747"/>
      <c r="AR94" s="747"/>
      <c r="AT94" s="805">
        <f t="shared" ref="AT94:BB94" si="176">IF(Z134&lt;$G$449,0,MIN($G$446,1+IFERROR(INT((Z134-$G$449)/$G$463),0)))</f>
        <v>1</v>
      </c>
      <c r="AU94" s="805">
        <f t="shared" si="176"/>
        <v>2</v>
      </c>
      <c r="AV94" s="805">
        <f t="shared" si="176"/>
        <v>3</v>
      </c>
      <c r="AW94" s="805">
        <f t="shared" si="176"/>
        <v>4</v>
      </c>
      <c r="AX94" s="805">
        <f t="shared" si="176"/>
        <v>5</v>
      </c>
      <c r="AY94" s="805">
        <f t="shared" si="176"/>
        <v>6</v>
      </c>
      <c r="AZ94" s="805">
        <f t="shared" si="176"/>
        <v>7</v>
      </c>
      <c r="BA94" s="805">
        <f t="shared" si="176"/>
        <v>8</v>
      </c>
      <c r="BB94" s="805">
        <f t="shared" si="176"/>
        <v>9</v>
      </c>
    </row>
    <row r="95" spans="1:54" ht="15" customHeight="1">
      <c r="A95" s="417"/>
      <c r="B95" s="821"/>
      <c r="C95" s="780">
        <f>C94+$G$439</f>
        <v>0.39999999999999997</v>
      </c>
      <c r="D95" s="470">
        <f t="shared" si="171"/>
        <v>7700</v>
      </c>
      <c r="E95" s="470">
        <f t="shared" si="155"/>
        <v>7400</v>
      </c>
      <c r="F95" s="470">
        <f t="shared" si="156"/>
        <v>7100</v>
      </c>
      <c r="G95" s="470">
        <f t="shared" si="157"/>
        <v>6900</v>
      </c>
      <c r="H95" s="470">
        <f t="shared" si="158"/>
        <v>6600</v>
      </c>
      <c r="I95" s="470">
        <f t="shared" si="159"/>
        <v>6300</v>
      </c>
      <c r="J95" s="470">
        <f t="shared" si="160"/>
        <v>6000</v>
      </c>
      <c r="K95" s="470">
        <f t="shared" si="161"/>
        <v>5800</v>
      </c>
      <c r="L95" s="470">
        <f t="shared" si="162"/>
        <v>5500</v>
      </c>
      <c r="M95" s="417"/>
      <c r="N95" s="770">
        <f t="shared" si="163"/>
        <v>0.39999999999999997</v>
      </c>
      <c r="O95" s="428">
        <f t="shared" si="164"/>
        <v>650</v>
      </c>
      <c r="P95" s="428">
        <f t="shared" si="165"/>
        <v>1150.0000000000002</v>
      </c>
      <c r="Q95" s="428">
        <f t="shared" si="166"/>
        <v>59350</v>
      </c>
      <c r="R95" s="771">
        <f t="shared" si="167"/>
        <v>1.7865903515944404E-2</v>
      </c>
      <c r="Z95" s="367">
        <f t="shared" si="168"/>
        <v>7689.1260076691233</v>
      </c>
      <c r="AA95" s="367">
        <f t="shared" si="168"/>
        <v>7415.8911687552354</v>
      </c>
      <c r="AB95" s="367">
        <f t="shared" si="168"/>
        <v>7142.6563298413494</v>
      </c>
      <c r="AC95" s="367">
        <f t="shared" si="168"/>
        <v>6869.4214909274633</v>
      </c>
      <c r="AD95" s="367">
        <f t="shared" si="168"/>
        <v>6596.1866520135754</v>
      </c>
      <c r="AE95" s="367">
        <f t="shared" si="168"/>
        <v>6322.9518130996894</v>
      </c>
      <c r="AF95" s="367">
        <f t="shared" si="168"/>
        <v>6049.7169741858015</v>
      </c>
      <c r="AG95" s="367">
        <f t="shared" si="168"/>
        <v>5776.4821352719155</v>
      </c>
      <c r="AH95" s="367">
        <f t="shared" si="168"/>
        <v>5503.2472963580294</v>
      </c>
      <c r="AJ95" s="801">
        <f>IFERROR((AJ$93/$G$430)^(1/$G$445)-1,0)</f>
        <v>0.24994897498434709</v>
      </c>
      <c r="AK95" s="801">
        <f t="shared" ref="AK95:AR95" si="177">IFERROR((AK$93/$G$430)^(1/$G$445)-1,0)</f>
        <v>0.23838123203554318</v>
      </c>
      <c r="AL95" s="801">
        <f t="shared" si="177"/>
        <v>0.22636438906489675</v>
      </c>
      <c r="AM95" s="801">
        <f t="shared" si="177"/>
        <v>0.21385720427347321</v>
      </c>
      <c r="AN95" s="801">
        <f t="shared" si="177"/>
        <v>0.20081222595661186</v>
      </c>
      <c r="AO95" s="801">
        <f t="shared" si="177"/>
        <v>0.18717445096254881</v>
      </c>
      <c r="AP95" s="801">
        <f t="shared" si="177"/>
        <v>0.17287959485981652</v>
      </c>
      <c r="AQ95" s="801">
        <f t="shared" si="177"/>
        <v>0.15785182924075603</v>
      </c>
      <c r="AR95" s="801">
        <f t="shared" si="177"/>
        <v>0.14200077411811796</v>
      </c>
      <c r="AT95" s="805">
        <f t="shared" ref="AT95:BB95" si="178">IF(Z135&lt;$G$449,0,MIN($G$446,1+IFERROR(INT((Z135-$G$449)/$G$463),0)))</f>
        <v>3</v>
      </c>
      <c r="AU95" s="805">
        <f t="shared" si="178"/>
        <v>4</v>
      </c>
      <c r="AV95" s="805">
        <f t="shared" si="178"/>
        <v>5</v>
      </c>
      <c r="AW95" s="805">
        <f t="shared" si="178"/>
        <v>6</v>
      </c>
      <c r="AX95" s="805">
        <f t="shared" si="178"/>
        <v>7</v>
      </c>
      <c r="AY95" s="805">
        <f t="shared" si="178"/>
        <v>7</v>
      </c>
      <c r="AZ95" s="805">
        <f t="shared" si="178"/>
        <v>8</v>
      </c>
      <c r="BA95" s="805">
        <f t="shared" si="178"/>
        <v>9</v>
      </c>
      <c r="BB95" s="805">
        <f t="shared" si="178"/>
        <v>10</v>
      </c>
    </row>
    <row r="96" spans="1:54" ht="15" customHeight="1">
      <c r="A96" s="417"/>
      <c r="B96" s="822"/>
      <c r="C96" s="781">
        <f>C95+$G$439</f>
        <v>0.44999999999999996</v>
      </c>
      <c r="D96" s="772">
        <f t="shared" si="171"/>
        <v>8100</v>
      </c>
      <c r="E96" s="772">
        <f t="shared" si="155"/>
        <v>7800</v>
      </c>
      <c r="F96" s="772">
        <f t="shared" si="156"/>
        <v>7500</v>
      </c>
      <c r="G96" s="772">
        <f t="shared" si="157"/>
        <v>7200</v>
      </c>
      <c r="H96" s="772">
        <f t="shared" si="158"/>
        <v>6900</v>
      </c>
      <c r="I96" s="772">
        <f t="shared" si="159"/>
        <v>6500</v>
      </c>
      <c r="J96" s="772">
        <f t="shared" si="160"/>
        <v>6200</v>
      </c>
      <c r="K96" s="772">
        <f t="shared" si="161"/>
        <v>5900</v>
      </c>
      <c r="L96" s="772">
        <f t="shared" si="162"/>
        <v>5600</v>
      </c>
      <c r="M96" s="417"/>
      <c r="N96" s="770">
        <f t="shared" si="163"/>
        <v>0.44999999999999996</v>
      </c>
      <c r="O96" s="428">
        <f t="shared" si="164"/>
        <v>650</v>
      </c>
      <c r="P96" s="428">
        <f t="shared" si="165"/>
        <v>1000.0000000000002</v>
      </c>
      <c r="Q96" s="428">
        <f t="shared" si="166"/>
        <v>59350</v>
      </c>
      <c r="R96" s="771">
        <f t="shared" si="167"/>
        <v>1.5573770491803283E-2</v>
      </c>
      <c r="Z96" s="367">
        <f t="shared" si="168"/>
        <v>8074.2485163599413</v>
      </c>
      <c r="AA96" s="367">
        <f t="shared" si="168"/>
        <v>7769.1836781078346</v>
      </c>
      <c r="AB96" s="367">
        <f t="shared" si="168"/>
        <v>7464.1188398557279</v>
      </c>
      <c r="AC96" s="367">
        <f t="shared" si="168"/>
        <v>7159.0540016036193</v>
      </c>
      <c r="AD96" s="367">
        <f t="shared" si="168"/>
        <v>6853.9891633515144</v>
      </c>
      <c r="AE96" s="367">
        <f t="shared" si="168"/>
        <v>6548.9243250994059</v>
      </c>
      <c r="AF96" s="367">
        <f t="shared" si="168"/>
        <v>6243.8594868472992</v>
      </c>
      <c r="AG96" s="367">
        <f t="shared" si="168"/>
        <v>5938.7946485951925</v>
      </c>
      <c r="AH96" s="367">
        <f t="shared" si="168"/>
        <v>5633.7298103430858</v>
      </c>
      <c r="AT96" s="805">
        <f t="shared" ref="AT96:BB96" si="179">IF(Z136&lt;$G$449,0,MIN($G$446,1+IFERROR(INT((Z136-$G$449)/$G$463),0)))</f>
        <v>6</v>
      </c>
      <c r="AU96" s="805">
        <f t="shared" si="179"/>
        <v>6</v>
      </c>
      <c r="AV96" s="805">
        <f t="shared" si="179"/>
        <v>7</v>
      </c>
      <c r="AW96" s="805">
        <f t="shared" si="179"/>
        <v>7</v>
      </c>
      <c r="AX96" s="805">
        <f t="shared" si="179"/>
        <v>8</v>
      </c>
      <c r="AY96" s="805">
        <f t="shared" si="179"/>
        <v>9</v>
      </c>
      <c r="AZ96" s="805">
        <f t="shared" si="179"/>
        <v>9</v>
      </c>
      <c r="BA96" s="805">
        <f t="shared" si="179"/>
        <v>10</v>
      </c>
      <c r="BB96" s="805">
        <f t="shared" si="179"/>
        <v>10</v>
      </c>
    </row>
    <row r="97" spans="1:54" ht="15" hidden="1" customHeight="1" outlineLevel="1">
      <c r="A97" s="417"/>
      <c r="B97" s="423" t="s">
        <v>2780</v>
      </c>
      <c r="C97" s="785"/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7"/>
      <c r="O97" s="417"/>
      <c r="P97" s="417"/>
      <c r="Q97" s="417"/>
    </row>
    <row r="98" spans="1:54" ht="3.95" customHeight="1" collapsed="1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</row>
    <row r="99" spans="1:54" ht="15" customHeight="1">
      <c r="A99" s="417"/>
      <c r="B99" s="148" t="s">
        <v>2569</v>
      </c>
      <c r="C99" s="417"/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7"/>
      <c r="O99" s="417"/>
      <c r="P99" s="417"/>
      <c r="Q99" s="417"/>
    </row>
    <row r="100" spans="1:54" ht="2.1" customHeight="1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7"/>
      <c r="O100" s="417"/>
      <c r="P100" s="417"/>
      <c r="Q100" s="417"/>
    </row>
    <row r="101" spans="1:54" ht="12.75" customHeight="1">
      <c r="A101" s="417"/>
      <c r="B101" s="454"/>
      <c r="C101" s="454"/>
      <c r="D101" s="768" t="s">
        <v>2567</v>
      </c>
      <c r="E101" s="768"/>
      <c r="F101" s="768"/>
      <c r="G101" s="768"/>
      <c r="H101" s="768"/>
      <c r="I101" s="768"/>
      <c r="J101" s="768"/>
      <c r="K101" s="768"/>
      <c r="L101" s="768"/>
      <c r="M101" s="417"/>
      <c r="N101" s="417"/>
      <c r="O101" s="417"/>
      <c r="P101" s="417"/>
      <c r="Q101" s="417"/>
    </row>
    <row r="102" spans="1:54" ht="12.75" customHeight="1">
      <c r="A102" s="417"/>
      <c r="B102" s="454"/>
      <c r="C102" s="454"/>
      <c r="D102" s="800">
        <f>E102+$G$458</f>
        <v>64</v>
      </c>
      <c r="E102" s="800">
        <f>F102+$G$458</f>
        <v>60</v>
      </c>
      <c r="F102" s="800">
        <f>G102+$G$458</f>
        <v>56</v>
      </c>
      <c r="G102" s="800">
        <f>H102+$G$458</f>
        <v>52</v>
      </c>
      <c r="H102" s="800">
        <f>$G$457</f>
        <v>48</v>
      </c>
      <c r="I102" s="800">
        <f>H102-$G$458</f>
        <v>44</v>
      </c>
      <c r="J102" s="800">
        <f>I102-$G$458</f>
        <v>40</v>
      </c>
      <c r="K102" s="800">
        <f>J102-$G$458</f>
        <v>36</v>
      </c>
      <c r="L102" s="800">
        <f>K102-$G$458</f>
        <v>32</v>
      </c>
      <c r="M102" s="417"/>
      <c r="N102" s="417"/>
      <c r="O102" s="417"/>
      <c r="P102" s="417"/>
      <c r="Q102" s="417"/>
      <c r="AT102" s="773" t="s">
        <v>2616</v>
      </c>
      <c r="AU102" s="427"/>
      <c r="AV102" s="427"/>
      <c r="AW102" s="427"/>
      <c r="AX102" s="427"/>
      <c r="AY102" s="427"/>
      <c r="AZ102" s="427"/>
      <c r="BA102" s="427"/>
      <c r="BB102" s="427"/>
    </row>
    <row r="103" spans="1:54" ht="15" customHeight="1">
      <c r="A103" s="417"/>
      <c r="B103" s="820" t="s">
        <v>2528</v>
      </c>
      <c r="C103" s="780">
        <f>C104-$G$439</f>
        <v>0.15000000000000002</v>
      </c>
      <c r="D103" s="490">
        <f>IFERROR(Z90/$G$430,0)</f>
        <v>1.9294955355170145</v>
      </c>
      <c r="E103" s="490">
        <f t="shared" ref="E103:E109" si="180">IFERROR(AA90/$G$430,0)</f>
        <v>1.8907362325134334</v>
      </c>
      <c r="F103" s="490">
        <f t="shared" ref="F103:F109" si="181">IFERROR(AB90/$G$430,0)</f>
        <v>1.8519769295098523</v>
      </c>
      <c r="G103" s="490">
        <f t="shared" ref="G103:G109" si="182">IFERROR(AC90/$G$430,0)</f>
        <v>1.8132176265062716</v>
      </c>
      <c r="H103" s="490">
        <f t="shared" ref="H103:H109" si="183">IFERROR(AD90/$G$430,0)</f>
        <v>1.7744583235026912</v>
      </c>
      <c r="I103" s="490">
        <f t="shared" ref="I103:I109" si="184">IFERROR(AE90/$G$430,0)</f>
        <v>1.7356990204991101</v>
      </c>
      <c r="J103" s="490">
        <f t="shared" ref="J103:J109" si="185">IFERROR(AF90/$G$430,0)</f>
        <v>1.696939717495529</v>
      </c>
      <c r="K103" s="490">
        <f t="shared" ref="K103:K109" si="186">IFERROR(AG90/$G$430,0)</f>
        <v>1.6581804144919481</v>
      </c>
      <c r="L103" s="490">
        <f t="shared" ref="L103:L109" si="187">IFERROR(AH90/$G$430,0)</f>
        <v>1.619421111488367</v>
      </c>
      <c r="M103" s="417"/>
      <c r="N103" s="417"/>
      <c r="O103" s="417"/>
      <c r="P103" s="417"/>
      <c r="Q103" s="417"/>
      <c r="AT103" s="805">
        <f>IF(Z130&lt;$G$449,0,MIN($G$446,1+IFERROR(INT((Z130-$G$449)/$G$463),0)))</f>
        <v>0</v>
      </c>
      <c r="AU103" s="805">
        <f t="shared" ref="AU103:BB103" si="188">IF(AA130&lt;$G$449,0,MIN($G$446,1+IFERROR(INT((AA130-$G$449)/$G$463),0)))</f>
        <v>0</v>
      </c>
      <c r="AV103" s="805">
        <f t="shared" si="188"/>
        <v>0</v>
      </c>
      <c r="AW103" s="805">
        <f t="shared" si="188"/>
        <v>0</v>
      </c>
      <c r="AX103" s="805">
        <f t="shared" si="188"/>
        <v>0</v>
      </c>
      <c r="AY103" s="805">
        <f t="shared" si="188"/>
        <v>1</v>
      </c>
      <c r="AZ103" s="805">
        <f t="shared" si="188"/>
        <v>3</v>
      </c>
      <c r="BA103" s="805">
        <f t="shared" si="188"/>
        <v>5</v>
      </c>
      <c r="BB103" s="805">
        <f t="shared" si="188"/>
        <v>6</v>
      </c>
    </row>
    <row r="104" spans="1:54" ht="15" customHeight="1">
      <c r="A104" s="417"/>
      <c r="B104" s="821"/>
      <c r="C104" s="780">
        <f>C105-$G$439</f>
        <v>0.2</v>
      </c>
      <c r="D104" s="490">
        <f t="shared" ref="D104:D109" si="189">IFERROR(Z91/$G$430,0)</f>
        <v>2.0551083922663191</v>
      </c>
      <c r="E104" s="490">
        <f t="shared" si="180"/>
        <v>2.0059815797291614</v>
      </c>
      <c r="F104" s="490">
        <f t="shared" si="181"/>
        <v>1.9568547671920036</v>
      </c>
      <c r="G104" s="490">
        <f t="shared" si="182"/>
        <v>1.9077279546548458</v>
      </c>
      <c r="H104" s="490">
        <f t="shared" si="183"/>
        <v>1.8586011421176882</v>
      </c>
      <c r="I104" s="490">
        <f t="shared" si="184"/>
        <v>1.8094743295805304</v>
      </c>
      <c r="J104" s="490">
        <f t="shared" si="185"/>
        <v>1.7603475170433722</v>
      </c>
      <c r="K104" s="490">
        <f t="shared" si="186"/>
        <v>1.7112207045062144</v>
      </c>
      <c r="L104" s="490">
        <f t="shared" si="187"/>
        <v>1.6620938919690571</v>
      </c>
      <c r="M104" s="417"/>
      <c r="N104" s="417"/>
      <c r="O104" s="417"/>
      <c r="P104" s="417"/>
      <c r="Q104" s="417"/>
      <c r="AT104" s="805">
        <f t="shared" ref="AT104:BB104" si="190">IF(Z131&lt;$G$449,0,MIN($G$446,1+IFERROR(INT((Z131-$G$449)/$G$463),0)))</f>
        <v>0</v>
      </c>
      <c r="AU104" s="805">
        <f t="shared" si="190"/>
        <v>0</v>
      </c>
      <c r="AV104" s="805">
        <f t="shared" si="190"/>
        <v>0</v>
      </c>
      <c r="AW104" s="805">
        <f t="shared" si="190"/>
        <v>0</v>
      </c>
      <c r="AX104" s="805">
        <f t="shared" si="190"/>
        <v>1</v>
      </c>
      <c r="AY104" s="805">
        <f t="shared" si="190"/>
        <v>2</v>
      </c>
      <c r="AZ104" s="805">
        <f t="shared" si="190"/>
        <v>4</v>
      </c>
      <c r="BA104" s="805">
        <f t="shared" si="190"/>
        <v>5</v>
      </c>
      <c r="BB104" s="805">
        <f t="shared" si="190"/>
        <v>7</v>
      </c>
    </row>
    <row r="105" spans="1:54" ht="15" customHeight="1">
      <c r="A105" s="417"/>
      <c r="B105" s="821"/>
      <c r="C105" s="780">
        <f>C106-$G$439</f>
        <v>0.25</v>
      </c>
      <c r="D105" s="490">
        <f t="shared" si="189"/>
        <v>2.181265462503216</v>
      </c>
      <c r="E105" s="490">
        <f t="shared" si="180"/>
        <v>2.1217233492290699</v>
      </c>
      <c r="F105" s="490">
        <f t="shared" si="181"/>
        <v>2.0621812359549248</v>
      </c>
      <c r="G105" s="490">
        <f t="shared" si="182"/>
        <v>2.0026391226807791</v>
      </c>
      <c r="H105" s="490">
        <f t="shared" si="183"/>
        <v>1.9430970094066331</v>
      </c>
      <c r="I105" s="490">
        <f t="shared" si="184"/>
        <v>1.8835548961324871</v>
      </c>
      <c r="J105" s="490">
        <f t="shared" si="185"/>
        <v>1.8240127828583415</v>
      </c>
      <c r="K105" s="490">
        <f t="shared" si="186"/>
        <v>1.7644706695841961</v>
      </c>
      <c r="L105" s="490">
        <f t="shared" si="187"/>
        <v>1.70492855631005</v>
      </c>
      <c r="M105" s="417"/>
      <c r="N105" s="417"/>
      <c r="O105" s="417"/>
      <c r="P105" s="417"/>
      <c r="Q105" s="417"/>
      <c r="AT105" s="805">
        <f t="shared" ref="AT105:BB105" si="191">IF(Z132&lt;$G$449,0,MIN($G$446,1+IFERROR(INT((Z132-$G$449)/$G$463),0)))</f>
        <v>0</v>
      </c>
      <c r="AU105" s="805">
        <f t="shared" si="191"/>
        <v>0</v>
      </c>
      <c r="AV105" s="805">
        <f t="shared" si="191"/>
        <v>0</v>
      </c>
      <c r="AW105" s="805">
        <f t="shared" si="191"/>
        <v>1</v>
      </c>
      <c r="AX105" s="805">
        <f t="shared" si="191"/>
        <v>2</v>
      </c>
      <c r="AY105" s="805">
        <f t="shared" si="191"/>
        <v>4</v>
      </c>
      <c r="AZ105" s="805">
        <f t="shared" si="191"/>
        <v>5</v>
      </c>
      <c r="BA105" s="805">
        <f t="shared" si="191"/>
        <v>6</v>
      </c>
      <c r="BB105" s="805">
        <f t="shared" si="191"/>
        <v>8</v>
      </c>
    </row>
    <row r="106" spans="1:54" ht="15" customHeight="1">
      <c r="A106" s="417"/>
      <c r="B106" s="821"/>
      <c r="C106" s="780">
        <f>$G$438</f>
        <v>0.3</v>
      </c>
      <c r="D106" s="490">
        <f t="shared" si="189"/>
        <v>2.3079707315176883</v>
      </c>
      <c r="E106" s="490">
        <f t="shared" si="180"/>
        <v>2.2379651763268771</v>
      </c>
      <c r="F106" s="490">
        <f t="shared" si="181"/>
        <v>2.1679596211360659</v>
      </c>
      <c r="G106" s="490">
        <f t="shared" si="182"/>
        <v>2.0979540659452551</v>
      </c>
      <c r="H106" s="783">
        <f t="shared" si="183"/>
        <v>2.0279485107544448</v>
      </c>
      <c r="I106" s="490">
        <f t="shared" si="184"/>
        <v>1.9579429555636332</v>
      </c>
      <c r="J106" s="490">
        <f t="shared" si="185"/>
        <v>1.8879374003728226</v>
      </c>
      <c r="K106" s="490">
        <f t="shared" si="186"/>
        <v>1.8179318451820121</v>
      </c>
      <c r="L106" s="490">
        <f t="shared" si="187"/>
        <v>1.7479262899912009</v>
      </c>
      <c r="M106" s="417"/>
      <c r="N106" s="417"/>
      <c r="O106" s="417"/>
      <c r="P106" s="417"/>
      <c r="Q106" s="417"/>
      <c r="AT106" s="805">
        <f t="shared" ref="AT106:BB106" si="192">IF(Z133&lt;$G$449,0,MIN($G$446,1+IFERROR(INT((Z133-$G$449)/$G$463),0)))</f>
        <v>0</v>
      </c>
      <c r="AU106" s="805">
        <f t="shared" si="192"/>
        <v>0</v>
      </c>
      <c r="AV106" s="805">
        <f t="shared" si="192"/>
        <v>2</v>
      </c>
      <c r="AW106" s="805">
        <f t="shared" si="192"/>
        <v>3</v>
      </c>
      <c r="AX106" s="805">
        <f t="shared" si="192"/>
        <v>4</v>
      </c>
      <c r="AY106" s="805">
        <f t="shared" si="192"/>
        <v>5</v>
      </c>
      <c r="AZ106" s="805">
        <f t="shared" si="192"/>
        <v>6</v>
      </c>
      <c r="BA106" s="805">
        <f t="shared" si="192"/>
        <v>7</v>
      </c>
      <c r="BB106" s="805">
        <f t="shared" si="192"/>
        <v>8</v>
      </c>
    </row>
    <row r="107" spans="1:54" ht="15" customHeight="1">
      <c r="A107" s="417"/>
      <c r="B107" s="821"/>
      <c r="C107" s="780">
        <f>C106+$G$439</f>
        <v>0.35</v>
      </c>
      <c r="D107" s="490">
        <f t="shared" si="189"/>
        <v>2.4352282236074489</v>
      </c>
      <c r="E107" s="490">
        <f t="shared" si="180"/>
        <v>2.3547107319184883</v>
      </c>
      <c r="F107" s="490">
        <f t="shared" si="181"/>
        <v>2.2741932402295268</v>
      </c>
      <c r="G107" s="490">
        <f t="shared" si="182"/>
        <v>2.1936757485405649</v>
      </c>
      <c r="H107" s="490">
        <f t="shared" si="183"/>
        <v>2.1131582568516043</v>
      </c>
      <c r="I107" s="490">
        <f t="shared" si="184"/>
        <v>2.0326407651626428</v>
      </c>
      <c r="J107" s="490">
        <f t="shared" si="185"/>
        <v>1.9521232734736811</v>
      </c>
      <c r="K107" s="490">
        <f t="shared" si="186"/>
        <v>1.87160578178472</v>
      </c>
      <c r="L107" s="490">
        <f t="shared" si="187"/>
        <v>1.7910882900957585</v>
      </c>
      <c r="M107" s="417"/>
      <c r="N107" s="417"/>
      <c r="O107" s="417"/>
      <c r="P107" s="417"/>
      <c r="Q107" s="417"/>
      <c r="AT107" s="805">
        <f t="shared" ref="AT107:BB107" si="193">IF(Z134&lt;$G$449,0,MIN($G$446,1+IFERROR(INT((Z134-$G$449)/$G$463),0)))</f>
        <v>1</v>
      </c>
      <c r="AU107" s="805">
        <f t="shared" si="193"/>
        <v>2</v>
      </c>
      <c r="AV107" s="805">
        <f t="shared" si="193"/>
        <v>3</v>
      </c>
      <c r="AW107" s="805">
        <f t="shared" si="193"/>
        <v>4</v>
      </c>
      <c r="AX107" s="805">
        <f t="shared" si="193"/>
        <v>5</v>
      </c>
      <c r="AY107" s="805">
        <f t="shared" si="193"/>
        <v>6</v>
      </c>
      <c r="AZ107" s="805">
        <f t="shared" si="193"/>
        <v>7</v>
      </c>
      <c r="BA107" s="805">
        <f t="shared" si="193"/>
        <v>8</v>
      </c>
      <c r="BB107" s="805">
        <f t="shared" si="193"/>
        <v>9</v>
      </c>
    </row>
    <row r="108" spans="1:54" ht="15" customHeight="1">
      <c r="A108" s="417"/>
      <c r="B108" s="821"/>
      <c r="C108" s="780">
        <f>C107+$G$439</f>
        <v>0.39999999999999997</v>
      </c>
      <c r="D108" s="490">
        <f t="shared" si="189"/>
        <v>2.5630420025563745</v>
      </c>
      <c r="E108" s="490">
        <f t="shared" si="180"/>
        <v>2.4719637229184119</v>
      </c>
      <c r="F108" s="490">
        <f t="shared" si="181"/>
        <v>2.3808854432804498</v>
      </c>
      <c r="G108" s="490">
        <f t="shared" si="182"/>
        <v>2.2898071636424877</v>
      </c>
      <c r="H108" s="490">
        <f t="shared" si="183"/>
        <v>2.1987288840045252</v>
      </c>
      <c r="I108" s="490">
        <f t="shared" si="184"/>
        <v>2.107650604366563</v>
      </c>
      <c r="J108" s="490">
        <f t="shared" si="185"/>
        <v>2.0165723247286005</v>
      </c>
      <c r="K108" s="490">
        <f t="shared" si="186"/>
        <v>1.9254940450906386</v>
      </c>
      <c r="L108" s="490">
        <f t="shared" si="187"/>
        <v>1.8344157654526765</v>
      </c>
      <c r="M108" s="417"/>
      <c r="N108" s="417"/>
      <c r="O108" s="417"/>
      <c r="P108" s="417"/>
      <c r="Q108" s="417"/>
      <c r="AT108" s="805">
        <f t="shared" ref="AT108:BB108" si="194">IF(Z135&lt;$G$449,0,MIN($G$446,1+IFERROR(INT((Z135-$G$449)/$G$463),0)))</f>
        <v>3</v>
      </c>
      <c r="AU108" s="805">
        <f t="shared" si="194"/>
        <v>4</v>
      </c>
      <c r="AV108" s="805">
        <f t="shared" si="194"/>
        <v>5</v>
      </c>
      <c r="AW108" s="805">
        <f t="shared" si="194"/>
        <v>6</v>
      </c>
      <c r="AX108" s="805">
        <f t="shared" si="194"/>
        <v>7</v>
      </c>
      <c r="AY108" s="805">
        <f t="shared" si="194"/>
        <v>7</v>
      </c>
      <c r="AZ108" s="805">
        <f t="shared" si="194"/>
        <v>8</v>
      </c>
      <c r="BA108" s="805">
        <f t="shared" si="194"/>
        <v>9</v>
      </c>
      <c r="BB108" s="805">
        <f t="shared" si="194"/>
        <v>10</v>
      </c>
    </row>
    <row r="109" spans="1:54" ht="15" customHeight="1">
      <c r="A109" s="417"/>
      <c r="B109" s="822"/>
      <c r="C109" s="781">
        <f>C108+$G$439</f>
        <v>0.44999999999999996</v>
      </c>
      <c r="D109" s="784">
        <f t="shared" si="189"/>
        <v>2.6914161721199803</v>
      </c>
      <c r="E109" s="784">
        <f t="shared" si="180"/>
        <v>2.5897278927026117</v>
      </c>
      <c r="F109" s="784">
        <f t="shared" si="181"/>
        <v>2.4880396132852427</v>
      </c>
      <c r="G109" s="784">
        <f t="shared" si="182"/>
        <v>2.3863513338678732</v>
      </c>
      <c r="H109" s="784">
        <f t="shared" si="183"/>
        <v>2.2846630544505047</v>
      </c>
      <c r="I109" s="784">
        <f t="shared" si="184"/>
        <v>2.1829747750331352</v>
      </c>
      <c r="J109" s="784">
        <f t="shared" si="185"/>
        <v>2.0812864956157666</v>
      </c>
      <c r="K109" s="784">
        <f t="shared" si="186"/>
        <v>1.9795982161983976</v>
      </c>
      <c r="L109" s="784">
        <f t="shared" si="187"/>
        <v>1.8779099367810286</v>
      </c>
      <c r="M109" s="417"/>
      <c r="N109" s="417"/>
      <c r="O109" s="417"/>
      <c r="P109" s="417"/>
      <c r="Q109" s="417"/>
      <c r="AT109" s="805">
        <f t="shared" ref="AT109:BB109" si="195">IF(Z136&lt;$G$449,0,MIN($G$446,1+IFERROR(INT((Z136-$G$449)/$G$463),0)))</f>
        <v>6</v>
      </c>
      <c r="AU109" s="805">
        <f t="shared" si="195"/>
        <v>6</v>
      </c>
      <c r="AV109" s="805">
        <f t="shared" si="195"/>
        <v>7</v>
      </c>
      <c r="AW109" s="805">
        <f t="shared" si="195"/>
        <v>7</v>
      </c>
      <c r="AX109" s="805">
        <f t="shared" si="195"/>
        <v>8</v>
      </c>
      <c r="AY109" s="805">
        <f t="shared" si="195"/>
        <v>9</v>
      </c>
      <c r="AZ109" s="805">
        <f t="shared" si="195"/>
        <v>9</v>
      </c>
      <c r="BA109" s="805">
        <f t="shared" si="195"/>
        <v>10</v>
      </c>
      <c r="BB109" s="805">
        <f t="shared" si="195"/>
        <v>10</v>
      </c>
    </row>
    <row r="110" spans="1:54" ht="15" hidden="1" customHeight="1" outlineLevel="1">
      <c r="A110" s="417"/>
      <c r="B110" s="423" t="s">
        <v>2776</v>
      </c>
      <c r="D110" s="417"/>
      <c r="E110" s="417"/>
      <c r="F110" s="417"/>
      <c r="G110" s="417"/>
      <c r="H110" s="417"/>
      <c r="I110" s="417"/>
      <c r="J110" s="417"/>
      <c r="K110" s="417"/>
      <c r="L110" s="417"/>
      <c r="M110" s="417"/>
      <c r="N110" s="417"/>
      <c r="O110" s="417"/>
      <c r="P110" s="417"/>
      <c r="Q110" s="417"/>
    </row>
    <row r="111" spans="1:54" ht="3.95" customHeight="1" collapsed="1">
      <c r="A111" s="417"/>
      <c r="M111" s="417"/>
      <c r="N111" s="417"/>
      <c r="O111" s="417"/>
      <c r="P111" s="417"/>
      <c r="Q111" s="417"/>
    </row>
    <row r="112" spans="1:54" ht="15" customHeight="1">
      <c r="A112" s="417"/>
      <c r="B112" s="148" t="s">
        <v>2570</v>
      </c>
      <c r="C112" s="417"/>
      <c r="D112" s="417"/>
      <c r="E112" s="417"/>
      <c r="F112" s="417"/>
      <c r="G112" s="417"/>
      <c r="H112" s="417"/>
      <c r="I112" s="417"/>
      <c r="J112" s="417"/>
      <c r="K112" s="417"/>
      <c r="L112" s="417"/>
      <c r="M112" s="417"/>
      <c r="N112" s="417"/>
      <c r="O112" s="417"/>
      <c r="P112" s="417"/>
      <c r="Q112" s="417"/>
    </row>
    <row r="113" spans="1:109" ht="2.1" customHeight="1">
      <c r="A113" s="417"/>
      <c r="B113" s="417"/>
      <c r="C113" s="417"/>
      <c r="D113" s="417"/>
      <c r="E113" s="417"/>
      <c r="F113" s="417"/>
      <c r="G113" s="417"/>
      <c r="H113" s="417"/>
      <c r="I113" s="417"/>
      <c r="J113" s="417"/>
      <c r="K113" s="417"/>
      <c r="L113" s="417"/>
      <c r="M113" s="417"/>
      <c r="N113" s="417"/>
      <c r="O113" s="417"/>
      <c r="P113" s="417"/>
      <c r="Q113" s="417"/>
    </row>
    <row r="114" spans="1:109" ht="12.75" customHeight="1">
      <c r="A114" s="417"/>
      <c r="B114" s="454"/>
      <c r="C114" s="454"/>
      <c r="D114" s="768" t="s">
        <v>2567</v>
      </c>
      <c r="E114" s="768"/>
      <c r="F114" s="768"/>
      <c r="G114" s="768"/>
      <c r="H114" s="768"/>
      <c r="I114" s="768"/>
      <c r="J114" s="768"/>
      <c r="K114" s="768"/>
      <c r="L114" s="768"/>
      <c r="M114" s="417"/>
      <c r="N114" s="417"/>
      <c r="O114" s="417"/>
      <c r="P114" s="417"/>
      <c r="Q114" s="417"/>
      <c r="BD114" s="773" t="s">
        <v>2805</v>
      </c>
      <c r="BE114" s="773"/>
      <c r="BF114" s="773"/>
      <c r="BG114" s="773"/>
      <c r="BH114" s="773"/>
      <c r="BI114" s="773"/>
      <c r="BJ114" s="773" t="s">
        <v>2806</v>
      </c>
      <c r="BK114" s="773"/>
      <c r="BL114" s="773"/>
      <c r="BM114" s="773"/>
      <c r="BN114" s="773"/>
      <c r="BO114" s="773"/>
      <c r="BP114" s="773" t="s">
        <v>2807</v>
      </c>
      <c r="BQ114" s="773"/>
      <c r="BR114" s="773"/>
      <c r="BS114" s="773"/>
      <c r="BT114" s="773"/>
      <c r="BU114" s="773"/>
      <c r="BV114" s="773" t="s">
        <v>2808</v>
      </c>
      <c r="BW114" s="773"/>
      <c r="BX114" s="773"/>
      <c r="BY114" s="773"/>
      <c r="BZ114" s="773"/>
      <c r="CA114" s="773"/>
      <c r="CB114" s="773" t="s">
        <v>2809</v>
      </c>
      <c r="CC114" s="773"/>
      <c r="CD114" s="773"/>
      <c r="CE114" s="773"/>
      <c r="CF114" s="773"/>
      <c r="CG114" s="773"/>
      <c r="CH114" s="773" t="s">
        <v>2810</v>
      </c>
      <c r="CI114" s="773"/>
      <c r="CJ114" s="773"/>
      <c r="CK114" s="773"/>
      <c r="CL114" s="773"/>
      <c r="CM114" s="773"/>
      <c r="CN114" s="773" t="s">
        <v>2811</v>
      </c>
      <c r="CO114" s="773"/>
      <c r="CP114" s="773"/>
      <c r="CQ114" s="773"/>
      <c r="CR114" s="773"/>
      <c r="CS114" s="773"/>
      <c r="CT114" s="773" t="s">
        <v>2812</v>
      </c>
      <c r="CU114" s="773"/>
      <c r="CV114" s="773"/>
      <c r="CW114" s="773"/>
      <c r="CX114" s="773"/>
      <c r="CY114" s="773"/>
      <c r="CZ114" s="773" t="s">
        <v>2813</v>
      </c>
      <c r="DA114" s="773"/>
      <c r="DB114" s="773"/>
      <c r="DC114" s="773"/>
      <c r="DD114" s="773"/>
      <c r="DE114" s="773"/>
    </row>
    <row r="115" spans="1:109" ht="12.75" customHeight="1">
      <c r="A115" s="417"/>
      <c r="B115" s="454"/>
      <c r="C115" s="454"/>
      <c r="D115" s="800">
        <f>E115+$G$458</f>
        <v>64</v>
      </c>
      <c r="E115" s="800">
        <f>F115+$G$458</f>
        <v>60</v>
      </c>
      <c r="F115" s="800">
        <f>G115+$G$458</f>
        <v>56</v>
      </c>
      <c r="G115" s="800">
        <f>H115+$G$458</f>
        <v>52</v>
      </c>
      <c r="H115" s="800">
        <f>$G$457</f>
        <v>48</v>
      </c>
      <c r="I115" s="800">
        <f>H115-$G$458</f>
        <v>44</v>
      </c>
      <c r="J115" s="800">
        <f>I115-$G$458</f>
        <v>40</v>
      </c>
      <c r="K115" s="800">
        <f>J115-$G$458</f>
        <v>36</v>
      </c>
      <c r="L115" s="800">
        <f>K115-$G$458</f>
        <v>32</v>
      </c>
      <c r="M115" s="417"/>
      <c r="N115" s="417"/>
      <c r="O115" s="417"/>
      <c r="P115" s="417"/>
      <c r="Q115" s="417"/>
      <c r="AT115" s="773" t="s">
        <v>2616</v>
      </c>
      <c r="AU115" s="427"/>
      <c r="AV115" s="427"/>
      <c r="AW115" s="427"/>
      <c r="AX115" s="427"/>
      <c r="AY115" s="427"/>
      <c r="AZ115" s="427"/>
      <c r="BA115" s="427"/>
      <c r="BB115" s="427"/>
      <c r="BD115" s="819">
        <f>$S$9</f>
        <v>0</v>
      </c>
      <c r="BE115" s="819">
        <f>$T$9</f>
        <v>1</v>
      </c>
      <c r="BF115" s="819">
        <f>$U$9</f>
        <v>2</v>
      </c>
      <c r="BG115" s="819">
        <f>$V$9</f>
        <v>3</v>
      </c>
      <c r="BH115" s="819">
        <f>$W$9</f>
        <v>4</v>
      </c>
      <c r="BI115" s="819">
        <f>$X$9</f>
        <v>5</v>
      </c>
      <c r="BJ115" s="819">
        <f>$S$9</f>
        <v>0</v>
      </c>
      <c r="BK115" s="819">
        <f>$T$9</f>
        <v>1</v>
      </c>
      <c r="BL115" s="819">
        <f>$U$9</f>
        <v>2</v>
      </c>
      <c r="BM115" s="819">
        <f>$V$9</f>
        <v>3</v>
      </c>
      <c r="BN115" s="819">
        <f>$W$9</f>
        <v>4</v>
      </c>
      <c r="BO115" s="819">
        <f>$X$9</f>
        <v>5</v>
      </c>
      <c r="BP115" s="819">
        <f>$S$9</f>
        <v>0</v>
      </c>
      <c r="BQ115" s="819">
        <f>$T$9</f>
        <v>1</v>
      </c>
      <c r="BR115" s="819">
        <f>$U$9</f>
        <v>2</v>
      </c>
      <c r="BS115" s="819">
        <f>$V$9</f>
        <v>3</v>
      </c>
      <c r="BT115" s="819">
        <f>$W$9</f>
        <v>4</v>
      </c>
      <c r="BU115" s="819">
        <f>$X$9</f>
        <v>5</v>
      </c>
      <c r="BV115" s="819">
        <f>$S$9</f>
        <v>0</v>
      </c>
      <c r="BW115" s="819">
        <f>$T$9</f>
        <v>1</v>
      </c>
      <c r="BX115" s="819">
        <f>$U$9</f>
        <v>2</v>
      </c>
      <c r="BY115" s="819">
        <f>$V$9</f>
        <v>3</v>
      </c>
      <c r="BZ115" s="819">
        <f>$W$9</f>
        <v>4</v>
      </c>
      <c r="CA115" s="819">
        <f>$X$9</f>
        <v>5</v>
      </c>
      <c r="CB115" s="819">
        <f>$S$9</f>
        <v>0</v>
      </c>
      <c r="CC115" s="819">
        <f>$T$9</f>
        <v>1</v>
      </c>
      <c r="CD115" s="819">
        <f>$U$9</f>
        <v>2</v>
      </c>
      <c r="CE115" s="819">
        <f>$V$9</f>
        <v>3</v>
      </c>
      <c r="CF115" s="819">
        <f>$W$9</f>
        <v>4</v>
      </c>
      <c r="CG115" s="819">
        <f>$X$9</f>
        <v>5</v>
      </c>
      <c r="CH115" s="819">
        <f>$S$9</f>
        <v>0</v>
      </c>
      <c r="CI115" s="819">
        <f>$T$9</f>
        <v>1</v>
      </c>
      <c r="CJ115" s="819">
        <f>$U$9</f>
        <v>2</v>
      </c>
      <c r="CK115" s="819">
        <f>$V$9</f>
        <v>3</v>
      </c>
      <c r="CL115" s="819">
        <f>$W$9</f>
        <v>4</v>
      </c>
      <c r="CM115" s="819">
        <f>$X$9</f>
        <v>5</v>
      </c>
      <c r="CN115" s="819">
        <f>$S$9</f>
        <v>0</v>
      </c>
      <c r="CO115" s="819">
        <f>$T$9</f>
        <v>1</v>
      </c>
      <c r="CP115" s="819">
        <f>$U$9</f>
        <v>2</v>
      </c>
      <c r="CQ115" s="819">
        <f>$V$9</f>
        <v>3</v>
      </c>
      <c r="CR115" s="819">
        <f>$W$9</f>
        <v>4</v>
      </c>
      <c r="CS115" s="819">
        <f>$X$9</f>
        <v>5</v>
      </c>
      <c r="CT115" s="819">
        <f>$S$9</f>
        <v>0</v>
      </c>
      <c r="CU115" s="819">
        <f>$T$9</f>
        <v>1</v>
      </c>
      <c r="CV115" s="819">
        <f>$U$9</f>
        <v>2</v>
      </c>
      <c r="CW115" s="819">
        <f>$V$9</f>
        <v>3</v>
      </c>
      <c r="CX115" s="819">
        <f>$W$9</f>
        <v>4</v>
      </c>
      <c r="CY115" s="819">
        <f>$X$9</f>
        <v>5</v>
      </c>
      <c r="CZ115" s="819">
        <f>$S$9</f>
        <v>0</v>
      </c>
      <c r="DA115" s="819">
        <f>$T$9</f>
        <v>1</v>
      </c>
      <c r="DB115" s="819">
        <f>$U$9</f>
        <v>2</v>
      </c>
      <c r="DC115" s="819">
        <f>$V$9</f>
        <v>3</v>
      </c>
      <c r="DD115" s="819">
        <f>$W$9</f>
        <v>4</v>
      </c>
      <c r="DE115" s="819">
        <f>$X$9</f>
        <v>5</v>
      </c>
    </row>
    <row r="116" spans="1:109" ht="15" customHeight="1">
      <c r="A116" s="417"/>
      <c r="B116" s="820" t="s">
        <v>2528</v>
      </c>
      <c r="C116" s="780">
        <f>C117-$G$439</f>
        <v>0.15000000000000002</v>
      </c>
      <c r="D116" s="632">
        <f t="shared" ref="D116:D122" si="196">IFERROR(IRR(BD116:BI116),0)</f>
        <v>0.28202105612625195</v>
      </c>
      <c r="E116" s="632">
        <f t="shared" ref="E116:E122" si="197">IFERROR(IRR(BJ116:BO116),0)</f>
        <v>0.27833658637435832</v>
      </c>
      <c r="F116" s="632">
        <f t="shared" ref="F116:F122" si="198">IFERROR(IRR(BP116:BU116),0)</f>
        <v>0.27460914220066157</v>
      </c>
      <c r="G116" s="632">
        <f t="shared" ref="G116:G122" si="199">IFERROR(IRR(BV116:CA116),0)</f>
        <v>0.2708375791058395</v>
      </c>
      <c r="H116" s="632">
        <f t="shared" ref="H116:H122" si="200">IFERROR(IRR(CB116:CG116),0)</f>
        <v>0.26702070446342208</v>
      </c>
      <c r="I116" s="632">
        <f t="shared" ref="I116:I122" si="201">IFERROR(IRR(CH116:CM116),0)</f>
        <v>0.26315727473128403</v>
      </c>
      <c r="J116" s="632">
        <f t="shared" ref="J116:J122" si="202">IFERROR(IRR(CN116:CS116),0)</f>
        <v>0.25924599245588853</v>
      </c>
      <c r="K116" s="632">
        <f t="shared" ref="K116:K122" si="203">IFERROR(IRR(CT116:CY116),0)</f>
        <v>0.25528550305037201</v>
      </c>
      <c r="L116" s="632">
        <f t="shared" ref="L116:L122" si="204">IFERROR(IRR(CZ116:DE116),0)</f>
        <v>0.25127439132551666</v>
      </c>
      <c r="M116" s="417"/>
      <c r="N116" s="417"/>
      <c r="O116" s="417"/>
      <c r="P116" s="417"/>
      <c r="Q116" s="417"/>
      <c r="AT116" s="805">
        <f>IF(Z130&lt;$G$449,0,MIN($G$446,1+IFERROR(INT((Z130-$G$449)/$G$463),0)))</f>
        <v>0</v>
      </c>
      <c r="AU116" s="805">
        <f t="shared" ref="AU116:BB116" si="205">IF(AA130&lt;$G$449,0,MIN($G$446,1+IFERROR(INT((AA130-$G$449)/$G$463),0)))</f>
        <v>0</v>
      </c>
      <c r="AV116" s="805">
        <f t="shared" si="205"/>
        <v>0</v>
      </c>
      <c r="AW116" s="805">
        <f t="shared" si="205"/>
        <v>0</v>
      </c>
      <c r="AX116" s="805">
        <f t="shared" si="205"/>
        <v>0</v>
      </c>
      <c r="AY116" s="805">
        <f t="shared" si="205"/>
        <v>1</v>
      </c>
      <c r="AZ116" s="805">
        <f t="shared" si="205"/>
        <v>3</v>
      </c>
      <c r="BA116" s="805">
        <f t="shared" si="205"/>
        <v>5</v>
      </c>
      <c r="BB116" s="805">
        <f t="shared" si="205"/>
        <v>6</v>
      </c>
      <c r="BD116" s="428">
        <f t="shared" ref="BD116:BD122" si="206">(BD$115=0)*($O90-$G$430)+(BD$115=$G$444)*$G$435+(BD$115=$G$445)*(Z90+$G$430-$O90-$G$435)</f>
        <v>-2350</v>
      </c>
      <c r="BE116" s="428">
        <f t="shared" ref="BE116:BE122" si="207">(BE$115=0)*($O90-$G$430)+(BE$115=$G$444)*$G$435+(BE$115=$G$445)*(Z90+$G$430-$O90-$G$435)</f>
        <v>0</v>
      </c>
      <c r="BF116" s="428">
        <f t="shared" ref="BF116:BF122" si="208">(BF$115=0)*($O90-$G$430)+(BF$115=$G$444)*$G$435+(BF$115=$G$445)*(Z90+$G$430-$O90-$G$435)</f>
        <v>0</v>
      </c>
      <c r="BG116" s="428">
        <f t="shared" ref="BG116:BG122" si="209">(BG$115=0)*($O90-$G$430)+(BG$115=$G$444)*$G$435+(BG$115=$G$445)*(Z90+$G$430-$O90-$G$435)</f>
        <v>0</v>
      </c>
      <c r="BH116" s="428">
        <f t="shared" ref="BH116:BH122" si="210">(BH$115=0)*($O90-$G$430)+(BH$115=$G$444)*$G$435+(BH$115=$G$445)*(Z90+$G$430-$O90-$G$435)</f>
        <v>0</v>
      </c>
      <c r="BI116" s="428">
        <f t="shared" ref="BI116:BJ122" si="211">(BI$115=0)*($O90-$G$430)+(BI$115=$G$444)*$G$435+(BI$115=$G$445)*(Z90+$G$430-$O90-$G$435)</f>
        <v>8138.4866065510432</v>
      </c>
      <c r="BJ116" s="428">
        <f t="shared" si="211"/>
        <v>-2350</v>
      </c>
      <c r="BK116" s="428">
        <f t="shared" ref="BK116:BK122" si="212">(BK$115=0)*($O90-$G$430)+(BK$115=$G$444)*$G$435+(BK$115=$G$445)*(AA90+$G$430-$O90-$G$435)</f>
        <v>0</v>
      </c>
      <c r="BL116" s="428">
        <f t="shared" ref="BL116:BL122" si="213">(BL$115=0)*($O90-$G$430)+(BL$115=$G$444)*$G$435+(BL$115=$G$445)*(AA90+$G$430-$O90-$G$435)</f>
        <v>0</v>
      </c>
      <c r="BM116" s="428">
        <f t="shared" ref="BM116:BM122" si="214">(BM$115=0)*($O90-$G$430)+(BM$115=$G$444)*$G$435+(BM$115=$G$445)*(AA90+$G$430-$O90-$G$435)</f>
        <v>0</v>
      </c>
      <c r="BN116" s="428">
        <f t="shared" ref="BN116:BN122" si="215">(BN$115=0)*($O90-$G$430)+(BN$115=$G$444)*$G$435+(BN$115=$G$445)*(AA90+$G$430-$O90-$G$435)</f>
        <v>0</v>
      </c>
      <c r="BO116" s="428">
        <f t="shared" ref="BO116:BP122" si="216">(BO$115=0)*($O90-$G$430)+(BO$115=$G$444)*$G$435+(BO$115=$G$445)*(AA90+$G$430-$O90-$G$435)</f>
        <v>8022.2086975402999</v>
      </c>
      <c r="BP116" s="428">
        <f t="shared" si="216"/>
        <v>-2350</v>
      </c>
      <c r="BQ116" s="428">
        <f t="shared" ref="BQ116:BQ122" si="217">(BQ$115=0)*($O90-$G$430)+(BQ$115=$G$444)*$G$435+(BQ$115=$G$445)*(AB90+$G$430-$O90-$G$435)</f>
        <v>0</v>
      </c>
      <c r="BR116" s="428">
        <f t="shared" ref="BR116:BR122" si="218">(BR$115=0)*($O90-$G$430)+(BR$115=$G$444)*$G$435+(BR$115=$G$445)*(AB90+$G$430-$O90-$G$435)</f>
        <v>0</v>
      </c>
      <c r="BS116" s="428">
        <f t="shared" ref="BS116:BS122" si="219">(BS$115=0)*($O90-$G$430)+(BS$115=$G$444)*$G$435+(BS$115=$G$445)*(AB90+$G$430-$O90-$G$435)</f>
        <v>0</v>
      </c>
      <c r="BT116" s="428">
        <f t="shared" ref="BT116:BT122" si="220">(BT$115=0)*($O90-$G$430)+(BT$115=$G$444)*$G$435+(BT$115=$G$445)*(AB90+$G$430-$O90-$G$435)</f>
        <v>0</v>
      </c>
      <c r="BU116" s="428">
        <f t="shared" ref="BU116:BV122" si="221">(BU$115=0)*($O90-$G$430)+(BU$115=$G$444)*$G$435+(BU$115=$G$445)*(AB90+$G$430-$O90-$G$435)</f>
        <v>7905.9307885295566</v>
      </c>
      <c r="BV116" s="428">
        <f t="shared" si="221"/>
        <v>-2350</v>
      </c>
      <c r="BW116" s="428">
        <f t="shared" ref="BW116:BW122" si="222">(BW$115=0)*($O90-$G$430)+(BW$115=$G$444)*$G$435+(BW$115=$G$445)*(AC90+$G$430-$O90-$G$435)</f>
        <v>0</v>
      </c>
      <c r="BX116" s="428">
        <f t="shared" ref="BX116:BX122" si="223">(BX$115=0)*($O90-$G$430)+(BX$115=$G$444)*$G$435+(BX$115=$G$445)*(AC90+$G$430-$O90-$G$435)</f>
        <v>0</v>
      </c>
      <c r="BY116" s="428">
        <f t="shared" ref="BY116:BY122" si="224">(BY$115=0)*($O90-$G$430)+(BY$115=$G$444)*$G$435+(BY$115=$G$445)*(AC90+$G$430-$O90-$G$435)</f>
        <v>0</v>
      </c>
      <c r="BZ116" s="428">
        <f t="shared" ref="BZ116:BZ122" si="225">(BZ$115=0)*($O90-$G$430)+(BZ$115=$G$444)*$G$435+(BZ$115=$G$445)*(AC90+$G$430-$O90-$G$435)</f>
        <v>0</v>
      </c>
      <c r="CA116" s="428">
        <f t="shared" ref="CA116:CB122" si="226">(CA$115=0)*($O90-$G$430)+(CA$115=$G$444)*$G$435+(CA$115=$G$445)*(AC90+$G$430-$O90-$G$435)</f>
        <v>7789.6528795188151</v>
      </c>
      <c r="CB116" s="428">
        <f t="shared" si="226"/>
        <v>-2350</v>
      </c>
      <c r="CC116" s="428">
        <f t="shared" ref="CC116:CC122" si="227">(CC$115=0)*($O90-$G$430)+(CC$115=$G$444)*$G$435+(CC$115=$G$445)*(AD90+$G$430-$O90-$G$435)</f>
        <v>0</v>
      </c>
      <c r="CD116" s="428">
        <f t="shared" ref="CD116:CD122" si="228">(CD$115=0)*($O90-$G$430)+(CD$115=$G$444)*$G$435+(CD$115=$G$445)*(AD90+$G$430-$O90-$G$435)</f>
        <v>0</v>
      </c>
      <c r="CE116" s="428">
        <f t="shared" ref="CE116:CE122" si="229">(CE$115=0)*($O90-$G$430)+(CE$115=$G$444)*$G$435+(CE$115=$G$445)*(AD90+$G$430-$O90-$G$435)</f>
        <v>0</v>
      </c>
      <c r="CF116" s="428">
        <f t="shared" ref="CF116:CF122" si="230">(CF$115=0)*($O90-$G$430)+(CF$115=$G$444)*$G$435+(CF$115=$G$445)*(AD90+$G$430-$O90-$G$435)</f>
        <v>0</v>
      </c>
      <c r="CG116" s="428">
        <f t="shared" ref="CG116:CH122" si="231">(CG$115=0)*($O90-$G$430)+(CG$115=$G$444)*$G$435+(CG$115=$G$445)*(AD90+$G$430-$O90-$G$435)</f>
        <v>7673.3749705080736</v>
      </c>
      <c r="CH116" s="428">
        <f t="shared" si="231"/>
        <v>-2350</v>
      </c>
      <c r="CI116" s="428">
        <f t="shared" ref="CI116:CI122" si="232">(CI$115=0)*($O90-$G$430)+(CI$115=$G$444)*$G$435+(CI$115=$G$445)*(AE90+$G$430-$O90-$G$435)</f>
        <v>0</v>
      </c>
      <c r="CJ116" s="428">
        <f t="shared" ref="CJ116:CJ122" si="233">(CJ$115=0)*($O90-$G$430)+(CJ$115=$G$444)*$G$435+(CJ$115=$G$445)*(AE90+$G$430-$O90-$G$435)</f>
        <v>0</v>
      </c>
      <c r="CK116" s="428">
        <f t="shared" ref="CK116:CK122" si="234">(CK$115=0)*($O90-$G$430)+(CK$115=$G$444)*$G$435+(CK$115=$G$445)*(AE90+$G$430-$O90-$G$435)</f>
        <v>0</v>
      </c>
      <c r="CL116" s="428">
        <f t="shared" ref="CL116:CL122" si="235">(CL$115=0)*($O90-$G$430)+(CL$115=$G$444)*$G$435+(CL$115=$G$445)*(AE90+$G$430-$O90-$G$435)</f>
        <v>0</v>
      </c>
      <c r="CM116" s="428">
        <f t="shared" ref="CM116:CN122" si="236">(CM$115=0)*($O90-$G$430)+(CM$115=$G$444)*$G$435+(CM$115=$G$445)*(AE90+$G$430-$O90-$G$435)</f>
        <v>7557.0970614973303</v>
      </c>
      <c r="CN116" s="428">
        <f t="shared" si="236"/>
        <v>-2350</v>
      </c>
      <c r="CO116" s="428">
        <f t="shared" ref="CO116:CO122" si="237">(CO$115=0)*($O90-$G$430)+(CO$115=$G$444)*$G$435+(CO$115=$G$445)*(AF90+$G$430-$O90-$G$435)</f>
        <v>0</v>
      </c>
      <c r="CP116" s="428">
        <f t="shared" ref="CP116:CP122" si="238">(CP$115=0)*($O90-$G$430)+(CP$115=$G$444)*$G$435+(CP$115=$G$445)*(AF90+$G$430-$O90-$G$435)</f>
        <v>0</v>
      </c>
      <c r="CQ116" s="428">
        <f t="shared" ref="CQ116:CQ122" si="239">(CQ$115=0)*($O90-$G$430)+(CQ$115=$G$444)*$G$435+(CQ$115=$G$445)*(AF90+$G$430-$O90-$G$435)</f>
        <v>0</v>
      </c>
      <c r="CR116" s="428">
        <f t="shared" ref="CR116:CR122" si="240">(CR$115=0)*($O90-$G$430)+(CR$115=$G$444)*$G$435+(CR$115=$G$445)*(AF90+$G$430-$O90-$G$435)</f>
        <v>0</v>
      </c>
      <c r="CS116" s="428">
        <f t="shared" ref="CS116:CT122" si="241">(CS$115=0)*($O90-$G$430)+(CS$115=$G$444)*$G$435+(CS$115=$G$445)*(AF90+$G$430-$O90-$G$435)</f>
        <v>7440.819152486587</v>
      </c>
      <c r="CT116" s="428">
        <f t="shared" si="241"/>
        <v>-2350</v>
      </c>
      <c r="CU116" s="428">
        <f t="shared" ref="CU116:CU122" si="242">(CU$115=0)*($O90-$G$430)+(CU$115=$G$444)*$G$435+(CU$115=$G$445)*(AG90+$G$430-$O90-$G$435)</f>
        <v>0</v>
      </c>
      <c r="CV116" s="428">
        <f t="shared" ref="CV116:CV122" si="243">(CV$115=0)*($O90-$G$430)+(CV$115=$G$444)*$G$435+(CV$115=$G$445)*(AG90+$G$430-$O90-$G$435)</f>
        <v>0</v>
      </c>
      <c r="CW116" s="428">
        <f t="shared" ref="CW116:CW122" si="244">(CW$115=0)*($O90-$G$430)+(CW$115=$G$444)*$G$435+(CW$115=$G$445)*(AG90+$G$430-$O90-$G$435)</f>
        <v>0</v>
      </c>
      <c r="CX116" s="428">
        <f t="shared" ref="CX116:CX122" si="245">(CX$115=0)*($O90-$G$430)+(CX$115=$G$444)*$G$435+(CX$115=$G$445)*(AG90+$G$430-$O90-$G$435)</f>
        <v>0</v>
      </c>
      <c r="CY116" s="428">
        <f t="shared" ref="CY116:CZ122" si="246">(CY$115=0)*($O90-$G$430)+(CY$115=$G$444)*$G$435+(CY$115=$G$445)*(AG90+$G$430-$O90-$G$435)</f>
        <v>7324.5412434758446</v>
      </c>
      <c r="CZ116" s="428">
        <f t="shared" si="246"/>
        <v>-2350</v>
      </c>
      <c r="DA116" s="428">
        <f t="shared" ref="DA116:DA122" si="247">(DA$115=0)*($O90-$G$430)+(DA$115=$G$444)*$G$435+(DA$115=$G$445)*(AH90+$G$430-$O90-$G$435)</f>
        <v>0</v>
      </c>
      <c r="DB116" s="428">
        <f t="shared" ref="DB116:DB122" si="248">(DB$115=0)*($O90-$G$430)+(DB$115=$G$444)*$G$435+(DB$115=$G$445)*(AH90+$G$430-$O90-$G$435)</f>
        <v>0</v>
      </c>
      <c r="DC116" s="428">
        <f t="shared" ref="DC116:DC122" si="249">(DC$115=0)*($O90-$G$430)+(DC$115=$G$444)*$G$435+(DC$115=$G$445)*(AH90+$G$430-$O90-$G$435)</f>
        <v>0</v>
      </c>
      <c r="DD116" s="428">
        <f t="shared" ref="DD116:DD122" si="250">(DD$115=0)*($O90-$G$430)+(DD$115=$G$444)*$G$435+(DD$115=$G$445)*(AH90+$G$430-$O90-$G$435)</f>
        <v>0</v>
      </c>
      <c r="DE116" s="428">
        <f t="shared" ref="DE116:DE122" si="251">(DE$115=0)*($O90-$G$430)+(DE$115=$G$444)*$G$435+(DE$115=$G$445)*(AH90+$G$430-$O90-$G$435)</f>
        <v>7208.2633344651013</v>
      </c>
    </row>
    <row r="117" spans="1:109" ht="15" customHeight="1">
      <c r="A117" s="417"/>
      <c r="B117" s="821"/>
      <c r="C117" s="780">
        <f>C118-$G$439</f>
        <v>0.2</v>
      </c>
      <c r="D117" s="632">
        <f t="shared" si="196"/>
        <v>0.29367943659587081</v>
      </c>
      <c r="E117" s="632">
        <f t="shared" si="197"/>
        <v>0.28916999306163871</v>
      </c>
      <c r="F117" s="632">
        <f t="shared" si="198"/>
        <v>0.28459655706241094</v>
      </c>
      <c r="G117" s="632">
        <f t="shared" si="199"/>
        <v>0.27995704840232682</v>
      </c>
      <c r="H117" s="632">
        <f t="shared" si="200"/>
        <v>0.27524927975954028</v>
      </c>
      <c r="I117" s="632">
        <f t="shared" si="201"/>
        <v>0.27047094905862923</v>
      </c>
      <c r="J117" s="632">
        <f t="shared" si="202"/>
        <v>0.26561963114385345</v>
      </c>
      <c r="K117" s="632">
        <f t="shared" si="203"/>
        <v>0.26069276867432278</v>
      </c>
      <c r="L117" s="632">
        <f t="shared" si="204"/>
        <v>0.25568766215145788</v>
      </c>
      <c r="M117" s="417"/>
      <c r="N117" s="417"/>
      <c r="O117" s="417"/>
      <c r="P117" s="417"/>
      <c r="Q117" s="417"/>
      <c r="AT117" s="805">
        <f t="shared" ref="AT117:BB117" si="252">IF(Z131&lt;$G$449,0,MIN($G$446,1+IFERROR(INT((Z131-$G$449)/$G$463),0)))</f>
        <v>0</v>
      </c>
      <c r="AU117" s="805">
        <f t="shared" si="252"/>
        <v>0</v>
      </c>
      <c r="AV117" s="805">
        <f t="shared" si="252"/>
        <v>0</v>
      </c>
      <c r="AW117" s="805">
        <f t="shared" si="252"/>
        <v>0</v>
      </c>
      <c r="AX117" s="805">
        <f t="shared" si="252"/>
        <v>1</v>
      </c>
      <c r="AY117" s="805">
        <f t="shared" si="252"/>
        <v>2</v>
      </c>
      <c r="AZ117" s="805">
        <f t="shared" si="252"/>
        <v>4</v>
      </c>
      <c r="BA117" s="805">
        <f t="shared" si="252"/>
        <v>5</v>
      </c>
      <c r="BB117" s="805">
        <f t="shared" si="252"/>
        <v>7</v>
      </c>
      <c r="BD117" s="428">
        <f t="shared" si="206"/>
        <v>-2350</v>
      </c>
      <c r="BE117" s="428">
        <f t="shared" si="207"/>
        <v>0</v>
      </c>
      <c r="BF117" s="428">
        <f t="shared" si="208"/>
        <v>0</v>
      </c>
      <c r="BG117" s="428">
        <f t="shared" si="209"/>
        <v>0</v>
      </c>
      <c r="BH117" s="428">
        <f t="shared" si="210"/>
        <v>0</v>
      </c>
      <c r="BI117" s="428">
        <f t="shared" si="211"/>
        <v>8515.3251767989568</v>
      </c>
      <c r="BJ117" s="428">
        <f t="shared" si="211"/>
        <v>-2350</v>
      </c>
      <c r="BK117" s="428">
        <f t="shared" si="212"/>
        <v>0</v>
      </c>
      <c r="BL117" s="428">
        <f t="shared" si="213"/>
        <v>0</v>
      </c>
      <c r="BM117" s="428">
        <f t="shared" si="214"/>
        <v>0</v>
      </c>
      <c r="BN117" s="428">
        <f t="shared" si="215"/>
        <v>0</v>
      </c>
      <c r="BO117" s="428">
        <f t="shared" si="216"/>
        <v>8367.9447391874837</v>
      </c>
      <c r="BP117" s="428">
        <f t="shared" si="216"/>
        <v>-2350</v>
      </c>
      <c r="BQ117" s="428">
        <f t="shared" si="217"/>
        <v>0</v>
      </c>
      <c r="BR117" s="428">
        <f t="shared" si="218"/>
        <v>0</v>
      </c>
      <c r="BS117" s="428">
        <f t="shared" si="219"/>
        <v>0</v>
      </c>
      <c r="BT117" s="428">
        <f t="shared" si="220"/>
        <v>0</v>
      </c>
      <c r="BU117" s="428">
        <f t="shared" si="221"/>
        <v>8220.5643015760106</v>
      </c>
      <c r="BV117" s="428">
        <f t="shared" si="221"/>
        <v>-2350</v>
      </c>
      <c r="BW117" s="428">
        <f t="shared" si="222"/>
        <v>0</v>
      </c>
      <c r="BX117" s="428">
        <f t="shared" si="223"/>
        <v>0</v>
      </c>
      <c r="BY117" s="428">
        <f t="shared" si="224"/>
        <v>0</v>
      </c>
      <c r="BZ117" s="428">
        <f t="shared" si="225"/>
        <v>0</v>
      </c>
      <c r="CA117" s="428">
        <f t="shared" si="226"/>
        <v>8073.1838639645375</v>
      </c>
      <c r="CB117" s="428">
        <f t="shared" si="226"/>
        <v>-2350</v>
      </c>
      <c r="CC117" s="428">
        <f t="shared" si="227"/>
        <v>0</v>
      </c>
      <c r="CD117" s="428">
        <f t="shared" si="228"/>
        <v>0</v>
      </c>
      <c r="CE117" s="428">
        <f t="shared" si="229"/>
        <v>0</v>
      </c>
      <c r="CF117" s="428">
        <f t="shared" si="230"/>
        <v>0</v>
      </c>
      <c r="CG117" s="428">
        <f t="shared" si="231"/>
        <v>7925.8034263530644</v>
      </c>
      <c r="CH117" s="428">
        <f t="shared" si="231"/>
        <v>-2350</v>
      </c>
      <c r="CI117" s="428">
        <f t="shared" si="232"/>
        <v>0</v>
      </c>
      <c r="CJ117" s="428">
        <f t="shared" si="233"/>
        <v>0</v>
      </c>
      <c r="CK117" s="428">
        <f t="shared" si="234"/>
        <v>0</v>
      </c>
      <c r="CL117" s="428">
        <f t="shared" si="235"/>
        <v>0</v>
      </c>
      <c r="CM117" s="428">
        <f t="shared" si="236"/>
        <v>7778.4229887415913</v>
      </c>
      <c r="CN117" s="428">
        <f t="shared" si="236"/>
        <v>-2350</v>
      </c>
      <c r="CO117" s="428">
        <f t="shared" si="237"/>
        <v>0</v>
      </c>
      <c r="CP117" s="428">
        <f t="shared" si="238"/>
        <v>0</v>
      </c>
      <c r="CQ117" s="428">
        <f t="shared" si="239"/>
        <v>0</v>
      </c>
      <c r="CR117" s="428">
        <f t="shared" si="240"/>
        <v>0</v>
      </c>
      <c r="CS117" s="428">
        <f t="shared" si="241"/>
        <v>7631.0425511301164</v>
      </c>
      <c r="CT117" s="428">
        <f t="shared" si="241"/>
        <v>-2350</v>
      </c>
      <c r="CU117" s="428">
        <f t="shared" si="242"/>
        <v>0</v>
      </c>
      <c r="CV117" s="428">
        <f t="shared" si="243"/>
        <v>0</v>
      </c>
      <c r="CW117" s="428">
        <f t="shared" si="244"/>
        <v>0</v>
      </c>
      <c r="CX117" s="428">
        <f t="shared" si="245"/>
        <v>0</v>
      </c>
      <c r="CY117" s="428">
        <f t="shared" si="246"/>
        <v>7483.6621135186433</v>
      </c>
      <c r="CZ117" s="428">
        <f t="shared" si="246"/>
        <v>-2350</v>
      </c>
      <c r="DA117" s="428">
        <f t="shared" si="247"/>
        <v>0</v>
      </c>
      <c r="DB117" s="428">
        <f t="shared" si="248"/>
        <v>0</v>
      </c>
      <c r="DC117" s="428">
        <f t="shared" si="249"/>
        <v>0</v>
      </c>
      <c r="DD117" s="428">
        <f t="shared" si="250"/>
        <v>0</v>
      </c>
      <c r="DE117" s="428">
        <f t="shared" si="251"/>
        <v>7336.2816759071711</v>
      </c>
    </row>
    <row r="118" spans="1:109" ht="15" customHeight="1">
      <c r="A118" s="417"/>
      <c r="B118" s="821"/>
      <c r="C118" s="780">
        <f>C119-$G$439</f>
        <v>0.25</v>
      </c>
      <c r="D118" s="632">
        <f t="shared" si="196"/>
        <v>0.30498002492387477</v>
      </c>
      <c r="E118" s="632">
        <f t="shared" si="197"/>
        <v>0.29969545616198756</v>
      </c>
      <c r="F118" s="632">
        <f t="shared" si="198"/>
        <v>0.29432351436316972</v>
      </c>
      <c r="G118" s="632">
        <f t="shared" si="199"/>
        <v>0.28886088044081282</v>
      </c>
      <c r="H118" s="632">
        <f t="shared" si="200"/>
        <v>0.28330403495480883</v>
      </c>
      <c r="I118" s="632">
        <f t="shared" si="201"/>
        <v>0.27764924132000401</v>
      </c>
      <c r="J118" s="632">
        <f t="shared" si="202"/>
        <v>0.27189252721319712</v>
      </c>
      <c r="K118" s="632">
        <f t="shared" si="203"/>
        <v>0.26602966392267469</v>
      </c>
      <c r="L118" s="632">
        <f t="shared" si="204"/>
        <v>0.26005614335869098</v>
      </c>
      <c r="M118" s="417"/>
      <c r="N118" s="417"/>
      <c r="O118" s="417"/>
      <c r="P118" s="417"/>
      <c r="Q118" s="417"/>
      <c r="AT118" s="805">
        <f t="shared" ref="AT118:BB118" si="253">IF(Z132&lt;$G$449,0,MIN($G$446,1+IFERROR(INT((Z132-$G$449)/$G$463),0)))</f>
        <v>0</v>
      </c>
      <c r="AU118" s="805">
        <f t="shared" si="253"/>
        <v>0</v>
      </c>
      <c r="AV118" s="805">
        <f t="shared" si="253"/>
        <v>0</v>
      </c>
      <c r="AW118" s="805">
        <f t="shared" si="253"/>
        <v>1</v>
      </c>
      <c r="AX118" s="805">
        <f t="shared" si="253"/>
        <v>2</v>
      </c>
      <c r="AY118" s="805">
        <f t="shared" si="253"/>
        <v>4</v>
      </c>
      <c r="AZ118" s="805">
        <f t="shared" si="253"/>
        <v>5</v>
      </c>
      <c r="BA118" s="805">
        <f t="shared" si="253"/>
        <v>6</v>
      </c>
      <c r="BB118" s="805">
        <f t="shared" si="253"/>
        <v>8</v>
      </c>
      <c r="BD118" s="428">
        <f t="shared" si="206"/>
        <v>-2350</v>
      </c>
      <c r="BE118" s="428">
        <f t="shared" si="207"/>
        <v>0</v>
      </c>
      <c r="BF118" s="428">
        <f t="shared" si="208"/>
        <v>0</v>
      </c>
      <c r="BG118" s="428">
        <f t="shared" si="209"/>
        <v>0</v>
      </c>
      <c r="BH118" s="428">
        <f t="shared" si="210"/>
        <v>0</v>
      </c>
      <c r="BI118" s="428">
        <f t="shared" si="211"/>
        <v>8893.7963875096484</v>
      </c>
      <c r="BJ118" s="428">
        <f t="shared" si="211"/>
        <v>-2350</v>
      </c>
      <c r="BK118" s="428">
        <f t="shared" si="212"/>
        <v>0</v>
      </c>
      <c r="BL118" s="428">
        <f t="shared" si="213"/>
        <v>0</v>
      </c>
      <c r="BM118" s="428">
        <f t="shared" si="214"/>
        <v>0</v>
      </c>
      <c r="BN118" s="428">
        <f t="shared" si="215"/>
        <v>0</v>
      </c>
      <c r="BO118" s="428">
        <f t="shared" si="216"/>
        <v>8715.1700476872102</v>
      </c>
      <c r="BP118" s="428">
        <f t="shared" si="216"/>
        <v>-2350</v>
      </c>
      <c r="BQ118" s="428">
        <f t="shared" si="217"/>
        <v>0</v>
      </c>
      <c r="BR118" s="428">
        <f t="shared" si="218"/>
        <v>0</v>
      </c>
      <c r="BS118" s="428">
        <f t="shared" si="219"/>
        <v>0</v>
      </c>
      <c r="BT118" s="428">
        <f t="shared" si="220"/>
        <v>0</v>
      </c>
      <c r="BU118" s="428">
        <f t="shared" si="221"/>
        <v>8536.5437078647738</v>
      </c>
      <c r="BV118" s="428">
        <f t="shared" si="221"/>
        <v>-2350</v>
      </c>
      <c r="BW118" s="428">
        <f t="shared" si="222"/>
        <v>0</v>
      </c>
      <c r="BX118" s="428">
        <f t="shared" si="223"/>
        <v>0</v>
      </c>
      <c r="BY118" s="428">
        <f t="shared" si="224"/>
        <v>0</v>
      </c>
      <c r="BZ118" s="428">
        <f t="shared" si="225"/>
        <v>0</v>
      </c>
      <c r="CA118" s="428">
        <f t="shared" si="226"/>
        <v>8357.9173680423373</v>
      </c>
      <c r="CB118" s="428">
        <f t="shared" si="226"/>
        <v>-2350</v>
      </c>
      <c r="CC118" s="428">
        <f t="shared" si="227"/>
        <v>0</v>
      </c>
      <c r="CD118" s="428">
        <f t="shared" si="228"/>
        <v>0</v>
      </c>
      <c r="CE118" s="428">
        <f t="shared" si="229"/>
        <v>0</v>
      </c>
      <c r="CF118" s="428">
        <f t="shared" si="230"/>
        <v>0</v>
      </c>
      <c r="CG118" s="428">
        <f t="shared" si="231"/>
        <v>8179.2910282198991</v>
      </c>
      <c r="CH118" s="428">
        <f t="shared" si="231"/>
        <v>-2350</v>
      </c>
      <c r="CI118" s="428">
        <f t="shared" si="232"/>
        <v>0</v>
      </c>
      <c r="CJ118" s="428">
        <f t="shared" si="233"/>
        <v>0</v>
      </c>
      <c r="CK118" s="428">
        <f t="shared" si="234"/>
        <v>0</v>
      </c>
      <c r="CL118" s="428">
        <f t="shared" si="235"/>
        <v>0</v>
      </c>
      <c r="CM118" s="428">
        <f t="shared" si="236"/>
        <v>8000.6646883974608</v>
      </c>
      <c r="CN118" s="428">
        <f t="shared" si="236"/>
        <v>-2350</v>
      </c>
      <c r="CO118" s="428">
        <f t="shared" si="237"/>
        <v>0</v>
      </c>
      <c r="CP118" s="428">
        <f t="shared" si="238"/>
        <v>0</v>
      </c>
      <c r="CQ118" s="428">
        <f t="shared" si="239"/>
        <v>0</v>
      </c>
      <c r="CR118" s="428">
        <f t="shared" si="240"/>
        <v>0</v>
      </c>
      <c r="CS118" s="428">
        <f t="shared" si="241"/>
        <v>7822.0383485750244</v>
      </c>
      <c r="CT118" s="428">
        <f t="shared" si="241"/>
        <v>-2350</v>
      </c>
      <c r="CU118" s="428">
        <f t="shared" si="242"/>
        <v>0</v>
      </c>
      <c r="CV118" s="428">
        <f t="shared" si="243"/>
        <v>0</v>
      </c>
      <c r="CW118" s="428">
        <f t="shared" si="244"/>
        <v>0</v>
      </c>
      <c r="CX118" s="428">
        <f t="shared" si="245"/>
        <v>0</v>
      </c>
      <c r="CY118" s="428">
        <f t="shared" si="246"/>
        <v>7643.412008752588</v>
      </c>
      <c r="CZ118" s="428">
        <f t="shared" si="246"/>
        <v>-2350</v>
      </c>
      <c r="DA118" s="428">
        <f t="shared" si="247"/>
        <v>0</v>
      </c>
      <c r="DB118" s="428">
        <f t="shared" si="248"/>
        <v>0</v>
      </c>
      <c r="DC118" s="428">
        <f t="shared" si="249"/>
        <v>0</v>
      </c>
      <c r="DD118" s="428">
        <f t="shared" si="250"/>
        <v>0</v>
      </c>
      <c r="DE118" s="428">
        <f t="shared" si="251"/>
        <v>7464.7856689301498</v>
      </c>
    </row>
    <row r="119" spans="1:109" ht="15" customHeight="1">
      <c r="A119" s="417"/>
      <c r="B119" s="821"/>
      <c r="C119" s="780">
        <f>$G$438</f>
        <v>0.3</v>
      </c>
      <c r="D119" s="632">
        <f t="shared" si="196"/>
        <v>0.31594889422115657</v>
      </c>
      <c r="E119" s="632">
        <f t="shared" si="197"/>
        <v>0.30993397334336126</v>
      </c>
      <c r="F119" s="632">
        <f t="shared" si="198"/>
        <v>0.3038065025758323</v>
      </c>
      <c r="G119" s="632">
        <f t="shared" si="199"/>
        <v>0.29756162962574795</v>
      </c>
      <c r="H119" s="790">
        <f t="shared" si="200"/>
        <v>0.29119416880747639</v>
      </c>
      <c r="I119" s="632">
        <f t="shared" si="201"/>
        <v>0.28469856911304725</v>
      </c>
      <c r="J119" s="632">
        <f t="shared" si="202"/>
        <v>0.27806887842667893</v>
      </c>
      <c r="K119" s="632">
        <f t="shared" si="203"/>
        <v>0.27129870313073168</v>
      </c>
      <c r="L119" s="632">
        <f t="shared" si="204"/>
        <v>0.26438116244835519</v>
      </c>
      <c r="M119" s="417"/>
      <c r="N119" s="417"/>
      <c r="O119" s="417"/>
      <c r="P119" s="417"/>
      <c r="Q119" s="417"/>
      <c r="AT119" s="805">
        <f t="shared" ref="AT119:BB119" si="254">IF(Z133&lt;$G$449,0,MIN($G$446,1+IFERROR(INT((Z133-$G$449)/$G$463),0)))</f>
        <v>0</v>
      </c>
      <c r="AU119" s="805">
        <f t="shared" si="254"/>
        <v>0</v>
      </c>
      <c r="AV119" s="805">
        <f t="shared" si="254"/>
        <v>2</v>
      </c>
      <c r="AW119" s="805">
        <f t="shared" si="254"/>
        <v>3</v>
      </c>
      <c r="AX119" s="805">
        <f t="shared" si="254"/>
        <v>4</v>
      </c>
      <c r="AY119" s="805">
        <f t="shared" si="254"/>
        <v>5</v>
      </c>
      <c r="AZ119" s="805">
        <f t="shared" si="254"/>
        <v>6</v>
      </c>
      <c r="BA119" s="805">
        <f t="shared" si="254"/>
        <v>7</v>
      </c>
      <c r="BB119" s="805">
        <f t="shared" si="254"/>
        <v>8</v>
      </c>
      <c r="BD119" s="428">
        <f t="shared" si="206"/>
        <v>-2350</v>
      </c>
      <c r="BE119" s="428">
        <f t="shared" si="207"/>
        <v>0</v>
      </c>
      <c r="BF119" s="428">
        <f t="shared" si="208"/>
        <v>0</v>
      </c>
      <c r="BG119" s="428">
        <f t="shared" si="209"/>
        <v>0</v>
      </c>
      <c r="BH119" s="428">
        <f t="shared" si="210"/>
        <v>0</v>
      </c>
      <c r="BI119" s="428">
        <f t="shared" si="211"/>
        <v>9273.9121945530642</v>
      </c>
      <c r="BJ119" s="428">
        <f t="shared" si="211"/>
        <v>-2350</v>
      </c>
      <c r="BK119" s="428">
        <f t="shared" si="212"/>
        <v>0</v>
      </c>
      <c r="BL119" s="428">
        <f t="shared" si="213"/>
        <v>0</v>
      </c>
      <c r="BM119" s="428">
        <f t="shared" si="214"/>
        <v>0</v>
      </c>
      <c r="BN119" s="428">
        <f t="shared" si="215"/>
        <v>0</v>
      </c>
      <c r="BO119" s="428">
        <f t="shared" si="216"/>
        <v>9063.8955289806308</v>
      </c>
      <c r="BP119" s="428">
        <f t="shared" si="216"/>
        <v>-2350</v>
      </c>
      <c r="BQ119" s="428">
        <f t="shared" si="217"/>
        <v>0</v>
      </c>
      <c r="BR119" s="428">
        <f t="shared" si="218"/>
        <v>0</v>
      </c>
      <c r="BS119" s="428">
        <f t="shared" si="219"/>
        <v>0</v>
      </c>
      <c r="BT119" s="428">
        <f t="shared" si="220"/>
        <v>0</v>
      </c>
      <c r="BU119" s="428">
        <f t="shared" si="221"/>
        <v>8853.8788634081975</v>
      </c>
      <c r="BV119" s="428">
        <f t="shared" si="221"/>
        <v>-2350</v>
      </c>
      <c r="BW119" s="428">
        <f t="shared" si="222"/>
        <v>0</v>
      </c>
      <c r="BX119" s="428">
        <f t="shared" si="223"/>
        <v>0</v>
      </c>
      <c r="BY119" s="428">
        <f t="shared" si="224"/>
        <v>0</v>
      </c>
      <c r="BZ119" s="428">
        <f t="shared" si="225"/>
        <v>0</v>
      </c>
      <c r="CA119" s="428">
        <f t="shared" si="226"/>
        <v>8643.862197835766</v>
      </c>
      <c r="CB119" s="428">
        <f t="shared" si="226"/>
        <v>-2350</v>
      </c>
      <c r="CC119" s="428">
        <f t="shared" si="227"/>
        <v>0</v>
      </c>
      <c r="CD119" s="428">
        <f t="shared" si="228"/>
        <v>0</v>
      </c>
      <c r="CE119" s="428">
        <f t="shared" si="229"/>
        <v>0</v>
      </c>
      <c r="CF119" s="428">
        <f t="shared" si="230"/>
        <v>0</v>
      </c>
      <c r="CG119" s="428">
        <f t="shared" si="231"/>
        <v>8433.8455322633345</v>
      </c>
      <c r="CH119" s="428">
        <f t="shared" si="231"/>
        <v>-2350</v>
      </c>
      <c r="CI119" s="428">
        <f t="shared" si="232"/>
        <v>0</v>
      </c>
      <c r="CJ119" s="428">
        <f t="shared" si="233"/>
        <v>0</v>
      </c>
      <c r="CK119" s="428">
        <f t="shared" si="234"/>
        <v>0</v>
      </c>
      <c r="CL119" s="428">
        <f t="shared" si="235"/>
        <v>0</v>
      </c>
      <c r="CM119" s="428">
        <f t="shared" si="236"/>
        <v>8223.8288666908993</v>
      </c>
      <c r="CN119" s="428">
        <f t="shared" si="236"/>
        <v>-2350</v>
      </c>
      <c r="CO119" s="428">
        <f t="shared" si="237"/>
        <v>0</v>
      </c>
      <c r="CP119" s="428">
        <f t="shared" si="238"/>
        <v>0</v>
      </c>
      <c r="CQ119" s="428">
        <f t="shared" si="239"/>
        <v>0</v>
      </c>
      <c r="CR119" s="428">
        <f t="shared" si="240"/>
        <v>0</v>
      </c>
      <c r="CS119" s="428">
        <f t="shared" si="241"/>
        <v>8013.8122011184678</v>
      </c>
      <c r="CT119" s="428">
        <f t="shared" si="241"/>
        <v>-2350</v>
      </c>
      <c r="CU119" s="428">
        <f t="shared" si="242"/>
        <v>0</v>
      </c>
      <c r="CV119" s="428">
        <f t="shared" si="243"/>
        <v>0</v>
      </c>
      <c r="CW119" s="428">
        <f t="shared" si="244"/>
        <v>0</v>
      </c>
      <c r="CX119" s="428">
        <f t="shared" si="245"/>
        <v>0</v>
      </c>
      <c r="CY119" s="428">
        <f t="shared" si="246"/>
        <v>7803.7955355460363</v>
      </c>
      <c r="CZ119" s="428">
        <f t="shared" si="246"/>
        <v>-2350</v>
      </c>
      <c r="DA119" s="428">
        <f t="shared" si="247"/>
        <v>0</v>
      </c>
      <c r="DB119" s="428">
        <f t="shared" si="248"/>
        <v>0</v>
      </c>
      <c r="DC119" s="428">
        <f t="shared" si="249"/>
        <v>0</v>
      </c>
      <c r="DD119" s="428">
        <f t="shared" si="250"/>
        <v>0</v>
      </c>
      <c r="DE119" s="428">
        <f t="shared" si="251"/>
        <v>7593.7788699736029</v>
      </c>
    </row>
    <row r="120" spans="1:109" ht="15" customHeight="1">
      <c r="A120" s="417"/>
      <c r="B120" s="821"/>
      <c r="C120" s="780">
        <f>C119+$G$439</f>
        <v>0.35</v>
      </c>
      <c r="D120" s="632">
        <f t="shared" si="196"/>
        <v>0.32660931495758683</v>
      </c>
      <c r="E120" s="632">
        <f t="shared" si="197"/>
        <v>0.31990442864793289</v>
      </c>
      <c r="F120" s="632">
        <f t="shared" si="198"/>
        <v>0.31306046864569437</v>
      </c>
      <c r="G120" s="632">
        <f t="shared" si="199"/>
        <v>0.30607077117110459</v>
      </c>
      <c r="H120" s="632">
        <f t="shared" si="200"/>
        <v>0.29892816212919526</v>
      </c>
      <c r="I120" s="632">
        <f t="shared" si="201"/>
        <v>0.29162490261411755</v>
      </c>
      <c r="J120" s="632">
        <f t="shared" si="202"/>
        <v>0.2841526267426655</v>
      </c>
      <c r="K120" s="632">
        <f t="shared" si="203"/>
        <v>0.27650227071251954</v>
      </c>
      <c r="L120" s="632">
        <f t="shared" si="204"/>
        <v>0.26866399133239605</v>
      </c>
      <c r="M120" s="417"/>
      <c r="N120" s="417"/>
      <c r="O120" s="417"/>
      <c r="P120" s="417"/>
      <c r="Q120" s="417"/>
      <c r="AT120" s="805">
        <f t="shared" ref="AT120:BB120" si="255">IF(Z134&lt;$G$449,0,MIN($G$446,1+IFERROR(INT((Z134-$G$449)/$G$463),0)))</f>
        <v>1</v>
      </c>
      <c r="AU120" s="805">
        <f t="shared" si="255"/>
        <v>2</v>
      </c>
      <c r="AV120" s="805">
        <f t="shared" si="255"/>
        <v>3</v>
      </c>
      <c r="AW120" s="805">
        <f t="shared" si="255"/>
        <v>4</v>
      </c>
      <c r="AX120" s="805">
        <f t="shared" si="255"/>
        <v>5</v>
      </c>
      <c r="AY120" s="805">
        <f t="shared" si="255"/>
        <v>6</v>
      </c>
      <c r="AZ120" s="805">
        <f t="shared" si="255"/>
        <v>7</v>
      </c>
      <c r="BA120" s="805">
        <f t="shared" si="255"/>
        <v>8</v>
      </c>
      <c r="BB120" s="805">
        <f t="shared" si="255"/>
        <v>9</v>
      </c>
      <c r="BD120" s="428">
        <f t="shared" si="206"/>
        <v>-2350</v>
      </c>
      <c r="BE120" s="428">
        <f t="shared" si="207"/>
        <v>0</v>
      </c>
      <c r="BF120" s="428">
        <f t="shared" si="208"/>
        <v>0</v>
      </c>
      <c r="BG120" s="428">
        <f t="shared" si="209"/>
        <v>0</v>
      </c>
      <c r="BH120" s="428">
        <f t="shared" si="210"/>
        <v>0</v>
      </c>
      <c r="BI120" s="428">
        <f t="shared" si="211"/>
        <v>9655.6846708223475</v>
      </c>
      <c r="BJ120" s="428">
        <f t="shared" si="211"/>
        <v>-2350</v>
      </c>
      <c r="BK120" s="428">
        <f t="shared" si="212"/>
        <v>0</v>
      </c>
      <c r="BL120" s="428">
        <f t="shared" si="213"/>
        <v>0</v>
      </c>
      <c r="BM120" s="428">
        <f t="shared" si="214"/>
        <v>0</v>
      </c>
      <c r="BN120" s="428">
        <f t="shared" si="215"/>
        <v>0</v>
      </c>
      <c r="BO120" s="428">
        <f t="shared" si="216"/>
        <v>9414.1321957554646</v>
      </c>
      <c r="BP120" s="428">
        <f t="shared" si="216"/>
        <v>-2350</v>
      </c>
      <c r="BQ120" s="428">
        <f t="shared" si="217"/>
        <v>0</v>
      </c>
      <c r="BR120" s="428">
        <f t="shared" si="218"/>
        <v>0</v>
      </c>
      <c r="BS120" s="428">
        <f t="shared" si="219"/>
        <v>0</v>
      </c>
      <c r="BT120" s="428">
        <f t="shared" si="220"/>
        <v>0</v>
      </c>
      <c r="BU120" s="428">
        <f t="shared" si="221"/>
        <v>9172.57972068858</v>
      </c>
      <c r="BV120" s="428">
        <f t="shared" si="221"/>
        <v>-2350</v>
      </c>
      <c r="BW120" s="428">
        <f t="shared" si="222"/>
        <v>0</v>
      </c>
      <c r="BX120" s="428">
        <f t="shared" si="223"/>
        <v>0</v>
      </c>
      <c r="BY120" s="428">
        <f t="shared" si="224"/>
        <v>0</v>
      </c>
      <c r="BZ120" s="428">
        <f t="shared" si="225"/>
        <v>0</v>
      </c>
      <c r="CA120" s="428">
        <f t="shared" si="226"/>
        <v>8931.0272456216953</v>
      </c>
      <c r="CB120" s="428">
        <f t="shared" si="226"/>
        <v>-2350</v>
      </c>
      <c r="CC120" s="428">
        <f t="shared" si="227"/>
        <v>0</v>
      </c>
      <c r="CD120" s="428">
        <f t="shared" si="228"/>
        <v>0</v>
      </c>
      <c r="CE120" s="428">
        <f t="shared" si="229"/>
        <v>0</v>
      </c>
      <c r="CF120" s="428">
        <f t="shared" si="230"/>
        <v>0</v>
      </c>
      <c r="CG120" s="428">
        <f t="shared" si="231"/>
        <v>8689.4747705548125</v>
      </c>
      <c r="CH120" s="428">
        <f t="shared" si="231"/>
        <v>-2350</v>
      </c>
      <c r="CI120" s="428">
        <f t="shared" si="232"/>
        <v>0</v>
      </c>
      <c r="CJ120" s="428">
        <f t="shared" si="233"/>
        <v>0</v>
      </c>
      <c r="CK120" s="428">
        <f t="shared" si="234"/>
        <v>0</v>
      </c>
      <c r="CL120" s="428">
        <f t="shared" si="235"/>
        <v>0</v>
      </c>
      <c r="CM120" s="428">
        <f t="shared" si="236"/>
        <v>8447.9222954879278</v>
      </c>
      <c r="CN120" s="428">
        <f t="shared" si="236"/>
        <v>-2350</v>
      </c>
      <c r="CO120" s="428">
        <f t="shared" si="237"/>
        <v>0</v>
      </c>
      <c r="CP120" s="428">
        <f t="shared" si="238"/>
        <v>0</v>
      </c>
      <c r="CQ120" s="428">
        <f t="shared" si="239"/>
        <v>0</v>
      </c>
      <c r="CR120" s="428">
        <f t="shared" si="240"/>
        <v>0</v>
      </c>
      <c r="CS120" s="428">
        <f t="shared" si="241"/>
        <v>8206.3698204210432</v>
      </c>
      <c r="CT120" s="428">
        <f t="shared" si="241"/>
        <v>-2350</v>
      </c>
      <c r="CU120" s="428">
        <f t="shared" si="242"/>
        <v>0</v>
      </c>
      <c r="CV120" s="428">
        <f t="shared" si="243"/>
        <v>0</v>
      </c>
      <c r="CW120" s="428">
        <f t="shared" si="244"/>
        <v>0</v>
      </c>
      <c r="CX120" s="428">
        <f t="shared" si="245"/>
        <v>0</v>
      </c>
      <c r="CY120" s="428">
        <f t="shared" si="246"/>
        <v>7964.8173453541604</v>
      </c>
      <c r="CZ120" s="428">
        <f t="shared" si="246"/>
        <v>-2350</v>
      </c>
      <c r="DA120" s="428">
        <f t="shared" si="247"/>
        <v>0</v>
      </c>
      <c r="DB120" s="428">
        <f t="shared" si="248"/>
        <v>0</v>
      </c>
      <c r="DC120" s="428">
        <f t="shared" si="249"/>
        <v>0</v>
      </c>
      <c r="DD120" s="428">
        <f t="shared" si="250"/>
        <v>0</v>
      </c>
      <c r="DE120" s="428">
        <f t="shared" si="251"/>
        <v>7723.2648702872757</v>
      </c>
    </row>
    <row r="121" spans="1:109" ht="15" customHeight="1">
      <c r="A121" s="417"/>
      <c r="B121" s="821"/>
      <c r="C121" s="780">
        <f>C120+$G$439</f>
        <v>0.39999999999999997</v>
      </c>
      <c r="D121" s="632">
        <f t="shared" si="196"/>
        <v>0.33698214867977461</v>
      </c>
      <c r="E121" s="632">
        <f t="shared" si="197"/>
        <v>0.32962387130343873</v>
      </c>
      <c r="F121" s="632">
        <f t="shared" si="198"/>
        <v>0.32209900735103725</v>
      </c>
      <c r="G121" s="632">
        <f t="shared" si="199"/>
        <v>0.31439882327618873</v>
      </c>
      <c r="H121" s="632">
        <f t="shared" si="200"/>
        <v>0.30651385185888524</v>
      </c>
      <c r="I121" s="632">
        <f t="shared" si="201"/>
        <v>0.29843380595730928</v>
      </c>
      <c r="J121" s="632">
        <f t="shared" si="202"/>
        <v>0.29014747908673311</v>
      </c>
      <c r="K121" s="632">
        <f t="shared" si="203"/>
        <v>0.28164263016135083</v>
      </c>
      <c r="L121" s="632">
        <f t="shared" si="204"/>
        <v>0.27290584948613583</v>
      </c>
      <c r="M121" s="417"/>
      <c r="N121" s="417"/>
      <c r="O121" s="417"/>
      <c r="P121" s="417"/>
      <c r="Q121" s="417"/>
      <c r="AT121" s="805">
        <f t="shared" ref="AT121:BB121" si="256">IF(Z135&lt;$G$449,0,MIN($G$446,1+IFERROR(INT((Z135-$G$449)/$G$463),0)))</f>
        <v>3</v>
      </c>
      <c r="AU121" s="805">
        <f t="shared" si="256"/>
        <v>4</v>
      </c>
      <c r="AV121" s="805">
        <f t="shared" si="256"/>
        <v>5</v>
      </c>
      <c r="AW121" s="805">
        <f t="shared" si="256"/>
        <v>6</v>
      </c>
      <c r="AX121" s="805">
        <f t="shared" si="256"/>
        <v>7</v>
      </c>
      <c r="AY121" s="805">
        <f t="shared" si="256"/>
        <v>7</v>
      </c>
      <c r="AZ121" s="805">
        <f t="shared" si="256"/>
        <v>8</v>
      </c>
      <c r="BA121" s="805">
        <f t="shared" si="256"/>
        <v>9</v>
      </c>
      <c r="BB121" s="805">
        <f t="shared" si="256"/>
        <v>10</v>
      </c>
      <c r="BD121" s="428">
        <f t="shared" si="206"/>
        <v>-2350</v>
      </c>
      <c r="BE121" s="428">
        <f t="shared" si="207"/>
        <v>0</v>
      </c>
      <c r="BF121" s="428">
        <f t="shared" si="208"/>
        <v>0</v>
      </c>
      <c r="BG121" s="428">
        <f t="shared" si="209"/>
        <v>0</v>
      </c>
      <c r="BH121" s="428">
        <f t="shared" si="210"/>
        <v>0</v>
      </c>
      <c r="BI121" s="428">
        <f t="shared" si="211"/>
        <v>10039.126007669123</v>
      </c>
      <c r="BJ121" s="428">
        <f t="shared" si="211"/>
        <v>-2350</v>
      </c>
      <c r="BK121" s="428">
        <f t="shared" si="212"/>
        <v>0</v>
      </c>
      <c r="BL121" s="428">
        <f t="shared" si="213"/>
        <v>0</v>
      </c>
      <c r="BM121" s="428">
        <f t="shared" si="214"/>
        <v>0</v>
      </c>
      <c r="BN121" s="428">
        <f t="shared" si="215"/>
        <v>0</v>
      </c>
      <c r="BO121" s="428">
        <f t="shared" si="216"/>
        <v>9765.8911687552354</v>
      </c>
      <c r="BP121" s="428">
        <f t="shared" si="216"/>
        <v>-2350</v>
      </c>
      <c r="BQ121" s="428">
        <f t="shared" si="217"/>
        <v>0</v>
      </c>
      <c r="BR121" s="428">
        <f t="shared" si="218"/>
        <v>0</v>
      </c>
      <c r="BS121" s="428">
        <f t="shared" si="219"/>
        <v>0</v>
      </c>
      <c r="BT121" s="428">
        <f t="shared" si="220"/>
        <v>0</v>
      </c>
      <c r="BU121" s="428">
        <f t="shared" si="221"/>
        <v>9492.6563298413494</v>
      </c>
      <c r="BV121" s="428">
        <f t="shared" si="221"/>
        <v>-2350</v>
      </c>
      <c r="BW121" s="428">
        <f t="shared" si="222"/>
        <v>0</v>
      </c>
      <c r="BX121" s="428">
        <f t="shared" si="223"/>
        <v>0</v>
      </c>
      <c r="BY121" s="428">
        <f t="shared" si="224"/>
        <v>0</v>
      </c>
      <c r="BZ121" s="428">
        <f t="shared" si="225"/>
        <v>0</v>
      </c>
      <c r="CA121" s="428">
        <f t="shared" si="226"/>
        <v>9219.4214909274633</v>
      </c>
      <c r="CB121" s="428">
        <f t="shared" si="226"/>
        <v>-2350</v>
      </c>
      <c r="CC121" s="428">
        <f t="shared" si="227"/>
        <v>0</v>
      </c>
      <c r="CD121" s="428">
        <f t="shared" si="228"/>
        <v>0</v>
      </c>
      <c r="CE121" s="428">
        <f t="shared" si="229"/>
        <v>0</v>
      </c>
      <c r="CF121" s="428">
        <f t="shared" si="230"/>
        <v>0</v>
      </c>
      <c r="CG121" s="428">
        <f t="shared" si="231"/>
        <v>8946.1866520135754</v>
      </c>
      <c r="CH121" s="428">
        <f t="shared" si="231"/>
        <v>-2350</v>
      </c>
      <c r="CI121" s="428">
        <f t="shared" si="232"/>
        <v>0</v>
      </c>
      <c r="CJ121" s="428">
        <f t="shared" si="233"/>
        <v>0</v>
      </c>
      <c r="CK121" s="428">
        <f t="shared" si="234"/>
        <v>0</v>
      </c>
      <c r="CL121" s="428">
        <f t="shared" si="235"/>
        <v>0</v>
      </c>
      <c r="CM121" s="428">
        <f t="shared" si="236"/>
        <v>8672.9518130996894</v>
      </c>
      <c r="CN121" s="428">
        <f t="shared" si="236"/>
        <v>-2350</v>
      </c>
      <c r="CO121" s="428">
        <f t="shared" si="237"/>
        <v>0</v>
      </c>
      <c r="CP121" s="428">
        <f t="shared" si="238"/>
        <v>0</v>
      </c>
      <c r="CQ121" s="428">
        <f t="shared" si="239"/>
        <v>0</v>
      </c>
      <c r="CR121" s="428">
        <f t="shared" si="240"/>
        <v>0</v>
      </c>
      <c r="CS121" s="428">
        <f t="shared" si="241"/>
        <v>8399.7169741858015</v>
      </c>
      <c r="CT121" s="428">
        <f t="shared" si="241"/>
        <v>-2350</v>
      </c>
      <c r="CU121" s="428">
        <f t="shared" si="242"/>
        <v>0</v>
      </c>
      <c r="CV121" s="428">
        <f t="shared" si="243"/>
        <v>0</v>
      </c>
      <c r="CW121" s="428">
        <f t="shared" si="244"/>
        <v>0</v>
      </c>
      <c r="CX121" s="428">
        <f t="shared" si="245"/>
        <v>0</v>
      </c>
      <c r="CY121" s="428">
        <f t="shared" si="246"/>
        <v>8126.4821352719155</v>
      </c>
      <c r="CZ121" s="428">
        <f t="shared" si="246"/>
        <v>-2350</v>
      </c>
      <c r="DA121" s="428">
        <f t="shared" si="247"/>
        <v>0</v>
      </c>
      <c r="DB121" s="428">
        <f t="shared" si="248"/>
        <v>0</v>
      </c>
      <c r="DC121" s="428">
        <f t="shared" si="249"/>
        <v>0</v>
      </c>
      <c r="DD121" s="428">
        <f t="shared" si="250"/>
        <v>0</v>
      </c>
      <c r="DE121" s="428">
        <f t="shared" si="251"/>
        <v>7853.2472963580294</v>
      </c>
    </row>
    <row r="122" spans="1:109" ht="15" customHeight="1">
      <c r="A122" s="417"/>
      <c r="B122" s="822"/>
      <c r="C122" s="781">
        <f>C121+$G$439</f>
        <v>0.44999999999999996</v>
      </c>
      <c r="D122" s="791">
        <f t="shared" si="196"/>
        <v>0.34708617439487566</v>
      </c>
      <c r="E122" s="791">
        <f t="shared" si="197"/>
        <v>0.33910774956397693</v>
      </c>
      <c r="F122" s="791">
        <f t="shared" si="198"/>
        <v>0.33093452215800823</v>
      </c>
      <c r="G122" s="791">
        <f t="shared" si="199"/>
        <v>0.32255545243239037</v>
      </c>
      <c r="H122" s="791">
        <f t="shared" si="200"/>
        <v>0.31395849568428646</v>
      </c>
      <c r="I122" s="791">
        <f t="shared" si="201"/>
        <v>0.30513047391155146</v>
      </c>
      <c r="J122" s="791">
        <f t="shared" si="202"/>
        <v>0.29605692603956935</v>
      </c>
      <c r="K122" s="791">
        <f t="shared" si="203"/>
        <v>0.28672193227818954</v>
      </c>
      <c r="L122" s="791">
        <f t="shared" si="204"/>
        <v>0.27710790687906317</v>
      </c>
      <c r="M122" s="417"/>
      <c r="N122" s="417"/>
      <c r="O122" s="417"/>
      <c r="P122" s="417"/>
      <c r="Q122" s="417"/>
      <c r="AT122" s="805">
        <f t="shared" ref="AT122:BB122" si="257">IF(Z136&lt;$G$449,0,MIN($G$446,1+IFERROR(INT((Z136-$G$449)/$G$463),0)))</f>
        <v>6</v>
      </c>
      <c r="AU122" s="805">
        <f t="shared" si="257"/>
        <v>6</v>
      </c>
      <c r="AV122" s="805">
        <f t="shared" si="257"/>
        <v>7</v>
      </c>
      <c r="AW122" s="805">
        <f t="shared" si="257"/>
        <v>7</v>
      </c>
      <c r="AX122" s="805">
        <f t="shared" si="257"/>
        <v>8</v>
      </c>
      <c r="AY122" s="805">
        <f t="shared" si="257"/>
        <v>9</v>
      </c>
      <c r="AZ122" s="805">
        <f t="shared" si="257"/>
        <v>9</v>
      </c>
      <c r="BA122" s="805">
        <f t="shared" si="257"/>
        <v>10</v>
      </c>
      <c r="BB122" s="805">
        <f t="shared" si="257"/>
        <v>10</v>
      </c>
      <c r="BD122" s="428">
        <f t="shared" si="206"/>
        <v>-2350</v>
      </c>
      <c r="BE122" s="428">
        <f t="shared" si="207"/>
        <v>0</v>
      </c>
      <c r="BF122" s="428">
        <f t="shared" si="208"/>
        <v>0</v>
      </c>
      <c r="BG122" s="428">
        <f t="shared" si="209"/>
        <v>0</v>
      </c>
      <c r="BH122" s="428">
        <f t="shared" si="210"/>
        <v>0</v>
      </c>
      <c r="BI122" s="428">
        <f t="shared" si="211"/>
        <v>10424.248516359941</v>
      </c>
      <c r="BJ122" s="428">
        <f t="shared" si="211"/>
        <v>-2350</v>
      </c>
      <c r="BK122" s="428">
        <f t="shared" si="212"/>
        <v>0</v>
      </c>
      <c r="BL122" s="428">
        <f t="shared" si="213"/>
        <v>0</v>
      </c>
      <c r="BM122" s="428">
        <f t="shared" si="214"/>
        <v>0</v>
      </c>
      <c r="BN122" s="428">
        <f t="shared" si="215"/>
        <v>0</v>
      </c>
      <c r="BO122" s="428">
        <f t="shared" si="216"/>
        <v>10119.183678107835</v>
      </c>
      <c r="BP122" s="428">
        <f t="shared" si="216"/>
        <v>-2350</v>
      </c>
      <c r="BQ122" s="428">
        <f t="shared" si="217"/>
        <v>0</v>
      </c>
      <c r="BR122" s="428">
        <f t="shared" si="218"/>
        <v>0</v>
      </c>
      <c r="BS122" s="428">
        <f t="shared" si="219"/>
        <v>0</v>
      </c>
      <c r="BT122" s="428">
        <f t="shared" si="220"/>
        <v>0</v>
      </c>
      <c r="BU122" s="428">
        <f t="shared" si="221"/>
        <v>9814.1188398557279</v>
      </c>
      <c r="BV122" s="428">
        <f t="shared" si="221"/>
        <v>-2350</v>
      </c>
      <c r="BW122" s="428">
        <f t="shared" si="222"/>
        <v>0</v>
      </c>
      <c r="BX122" s="428">
        <f t="shared" si="223"/>
        <v>0</v>
      </c>
      <c r="BY122" s="428">
        <f t="shared" si="224"/>
        <v>0</v>
      </c>
      <c r="BZ122" s="428">
        <f t="shared" si="225"/>
        <v>0</v>
      </c>
      <c r="CA122" s="428">
        <f t="shared" si="226"/>
        <v>9509.0540016036193</v>
      </c>
      <c r="CB122" s="428">
        <f t="shared" si="226"/>
        <v>-2350</v>
      </c>
      <c r="CC122" s="428">
        <f t="shared" si="227"/>
        <v>0</v>
      </c>
      <c r="CD122" s="428">
        <f t="shared" si="228"/>
        <v>0</v>
      </c>
      <c r="CE122" s="428">
        <f t="shared" si="229"/>
        <v>0</v>
      </c>
      <c r="CF122" s="428">
        <f t="shared" si="230"/>
        <v>0</v>
      </c>
      <c r="CG122" s="428">
        <f t="shared" si="231"/>
        <v>9203.9891633515144</v>
      </c>
      <c r="CH122" s="428">
        <f t="shared" si="231"/>
        <v>-2350</v>
      </c>
      <c r="CI122" s="428">
        <f t="shared" si="232"/>
        <v>0</v>
      </c>
      <c r="CJ122" s="428">
        <f t="shared" si="233"/>
        <v>0</v>
      </c>
      <c r="CK122" s="428">
        <f t="shared" si="234"/>
        <v>0</v>
      </c>
      <c r="CL122" s="428">
        <f t="shared" si="235"/>
        <v>0</v>
      </c>
      <c r="CM122" s="428">
        <f t="shared" si="236"/>
        <v>8898.9243250994059</v>
      </c>
      <c r="CN122" s="428">
        <f t="shared" si="236"/>
        <v>-2350</v>
      </c>
      <c r="CO122" s="428">
        <f t="shared" si="237"/>
        <v>0</v>
      </c>
      <c r="CP122" s="428">
        <f t="shared" si="238"/>
        <v>0</v>
      </c>
      <c r="CQ122" s="428">
        <f t="shared" si="239"/>
        <v>0</v>
      </c>
      <c r="CR122" s="428">
        <f t="shared" si="240"/>
        <v>0</v>
      </c>
      <c r="CS122" s="428">
        <f t="shared" si="241"/>
        <v>8593.8594868472992</v>
      </c>
      <c r="CT122" s="428">
        <f t="shared" si="241"/>
        <v>-2350</v>
      </c>
      <c r="CU122" s="428">
        <f t="shared" si="242"/>
        <v>0</v>
      </c>
      <c r="CV122" s="428">
        <f t="shared" si="243"/>
        <v>0</v>
      </c>
      <c r="CW122" s="428">
        <f t="shared" si="244"/>
        <v>0</v>
      </c>
      <c r="CX122" s="428">
        <f t="shared" si="245"/>
        <v>0</v>
      </c>
      <c r="CY122" s="428">
        <f t="shared" si="246"/>
        <v>8288.7946485951925</v>
      </c>
      <c r="CZ122" s="428">
        <f t="shared" si="246"/>
        <v>-2350</v>
      </c>
      <c r="DA122" s="428">
        <f t="shared" si="247"/>
        <v>0</v>
      </c>
      <c r="DB122" s="428">
        <f t="shared" si="248"/>
        <v>0</v>
      </c>
      <c r="DC122" s="428">
        <f t="shared" si="249"/>
        <v>0</v>
      </c>
      <c r="DD122" s="428">
        <f t="shared" si="250"/>
        <v>0</v>
      </c>
      <c r="DE122" s="428">
        <f t="shared" si="251"/>
        <v>7983.7298103430858</v>
      </c>
    </row>
    <row r="123" spans="1:109" ht="15" hidden="1" customHeight="1" outlineLevel="1">
      <c r="A123" s="417"/>
      <c r="B123" s="423" t="s">
        <v>2538</v>
      </c>
      <c r="D123" s="417"/>
      <c r="E123" s="417"/>
      <c r="F123" s="417"/>
      <c r="G123" s="417"/>
      <c r="H123" s="417"/>
      <c r="I123" s="417"/>
      <c r="J123" s="417"/>
      <c r="K123" s="417"/>
      <c r="L123" s="417"/>
      <c r="M123" s="417"/>
      <c r="N123" s="417"/>
      <c r="O123" s="417"/>
      <c r="P123" s="417"/>
      <c r="Q123" s="417"/>
    </row>
    <row r="124" spans="1:109" ht="3.95" customHeight="1" collapsed="1">
      <c r="A124" s="417"/>
      <c r="B124" s="423"/>
      <c r="D124" s="417"/>
      <c r="E124" s="417"/>
      <c r="F124" s="417"/>
      <c r="G124" s="417"/>
      <c r="H124" s="417"/>
      <c r="I124" s="417"/>
      <c r="J124" s="417"/>
      <c r="K124" s="417"/>
      <c r="L124" s="417"/>
      <c r="M124" s="417"/>
      <c r="N124" s="417"/>
      <c r="O124" s="417"/>
      <c r="P124" s="417"/>
      <c r="Q124" s="417"/>
    </row>
    <row r="125" spans="1:109" ht="15" customHeight="1">
      <c r="A125" s="417"/>
      <c r="B125" s="795" t="s">
        <v>2739</v>
      </c>
      <c r="C125" s="795"/>
      <c r="D125" s="795"/>
      <c r="E125" s="795"/>
      <c r="F125" s="795"/>
      <c r="G125" s="795"/>
      <c r="H125" s="795"/>
      <c r="I125" s="795"/>
      <c r="J125" s="795"/>
      <c r="K125" s="795"/>
      <c r="L125" s="795"/>
      <c r="M125" s="417"/>
      <c r="N125" s="417"/>
      <c r="O125" s="417"/>
      <c r="P125" s="417"/>
      <c r="Q125" s="417"/>
    </row>
    <row r="126" spans="1:109" ht="15" customHeight="1">
      <c r="A126" s="417"/>
      <c r="B126" s="148" t="s">
        <v>2571</v>
      </c>
      <c r="C126" s="417"/>
      <c r="D126" s="417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</row>
    <row r="127" spans="1:109" ht="2.1" customHeight="1">
      <c r="A127" s="417"/>
      <c r="B127" s="417"/>
      <c r="C127" s="417"/>
      <c r="D127" s="417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</row>
    <row r="128" spans="1:109" ht="12.75" customHeight="1">
      <c r="A128" s="417"/>
      <c r="B128" s="454"/>
      <c r="C128" s="454"/>
      <c r="D128" s="768" t="s">
        <v>2567</v>
      </c>
      <c r="E128" s="768"/>
      <c r="F128" s="768"/>
      <c r="G128" s="768"/>
      <c r="H128" s="768"/>
      <c r="I128" s="768"/>
      <c r="J128" s="768"/>
      <c r="K128" s="768"/>
      <c r="L128" s="768"/>
      <c r="M128" s="417"/>
      <c r="N128" s="417"/>
      <c r="O128" s="417"/>
      <c r="P128" s="417"/>
      <c r="Q128" s="417"/>
      <c r="Z128" s="787" t="s">
        <v>2577</v>
      </c>
      <c r="AA128" s="747"/>
      <c r="AB128" s="747"/>
      <c r="AC128" s="747"/>
      <c r="AD128" s="747"/>
      <c r="AE128" s="747"/>
      <c r="AF128" s="747"/>
      <c r="AG128" s="747"/>
      <c r="AH128" s="747"/>
    </row>
    <row r="129" spans="1:54" ht="12.75" customHeight="1">
      <c r="A129" s="417"/>
      <c r="B129" s="454"/>
      <c r="C129" s="454"/>
      <c r="D129" s="800">
        <f>E129+$G$458</f>
        <v>64</v>
      </c>
      <c r="E129" s="800">
        <f>F129+$G$458</f>
        <v>60</v>
      </c>
      <c r="F129" s="800">
        <f>G129+$G$458</f>
        <v>56</v>
      </c>
      <c r="G129" s="800">
        <f>H129+$G$458</f>
        <v>52</v>
      </c>
      <c r="H129" s="800">
        <f>$G$457</f>
        <v>48</v>
      </c>
      <c r="I129" s="800">
        <f>H129-$G$458</f>
        <v>44</v>
      </c>
      <c r="J129" s="800">
        <f>I129-$G$458</f>
        <v>40</v>
      </c>
      <c r="K129" s="800">
        <f>J129-$G$458</f>
        <v>36</v>
      </c>
      <c r="L129" s="800">
        <f>K129-$G$458</f>
        <v>32</v>
      </c>
      <c r="M129" s="417"/>
      <c r="N129" s="417"/>
      <c r="O129" s="417"/>
      <c r="P129" s="417"/>
      <c r="Q129" s="417"/>
      <c r="Z129" s="367">
        <f>D$129</f>
        <v>64</v>
      </c>
      <c r="AA129" s="367">
        <f t="shared" ref="AA129:AH129" si="258">E$129</f>
        <v>60</v>
      </c>
      <c r="AB129" s="367">
        <f t="shared" si="258"/>
        <v>56</v>
      </c>
      <c r="AC129" s="367">
        <f t="shared" si="258"/>
        <v>52</v>
      </c>
      <c r="AD129" s="367">
        <f t="shared" si="258"/>
        <v>48</v>
      </c>
      <c r="AE129" s="367">
        <f t="shared" si="258"/>
        <v>44</v>
      </c>
      <c r="AF129" s="367">
        <f t="shared" si="258"/>
        <v>40</v>
      </c>
      <c r="AG129" s="367">
        <f t="shared" si="258"/>
        <v>36</v>
      </c>
      <c r="AH129" s="367">
        <f t="shared" si="258"/>
        <v>32</v>
      </c>
      <c r="AT129" s="773" t="s">
        <v>2616</v>
      </c>
      <c r="AU129" s="427"/>
      <c r="AV129" s="427"/>
      <c r="AW129" s="427"/>
      <c r="AX129" s="427"/>
      <c r="AY129" s="427"/>
      <c r="AZ129" s="427"/>
      <c r="BA129" s="427"/>
      <c r="BB129" s="427"/>
    </row>
    <row r="130" spans="1:54" ht="15" customHeight="1">
      <c r="A130" s="417"/>
      <c r="B130" s="820" t="s">
        <v>2528</v>
      </c>
      <c r="C130" s="780">
        <f>C131-$G$439</f>
        <v>0.15000000000000002</v>
      </c>
      <c r="D130" s="621">
        <f>ROUND(Z130,$G$452)</f>
        <v>-400</v>
      </c>
      <c r="E130" s="621">
        <f t="shared" ref="E130:E136" si="259">ROUND(AA130,$G$452)</f>
        <v>-100</v>
      </c>
      <c r="F130" s="621">
        <f t="shared" ref="F130:F136" si="260">ROUND(AB130,$G$452)</f>
        <v>200</v>
      </c>
      <c r="G130" s="621">
        <f t="shared" ref="G130:G136" si="261">ROUND(AC130,$G$452)</f>
        <v>500</v>
      </c>
      <c r="H130" s="621">
        <f t="shared" ref="H130:H136" si="262">ROUND(AD130,$G$452)</f>
        <v>800</v>
      </c>
      <c r="I130" s="621">
        <f t="shared" ref="I130:I136" si="263">ROUND(AE130,$G$452)</f>
        <v>1100</v>
      </c>
      <c r="J130" s="621">
        <f t="shared" ref="J130:J136" si="264">ROUND(AF130,$G$452)</f>
        <v>1400</v>
      </c>
      <c r="K130" s="621">
        <f t="shared" ref="K130:K136" si="265">ROUND(AG130,$G$452)</f>
        <v>1700</v>
      </c>
      <c r="L130" s="621">
        <f t="shared" ref="L130:L136" si="266">ROUND(AH130,$G$452)</f>
        <v>2000</v>
      </c>
      <c r="M130" s="417"/>
      <c r="N130" s="417"/>
      <c r="O130" s="417"/>
      <c r="P130" s="417"/>
      <c r="Q130" s="417"/>
      <c r="Z130" s="367">
        <f>Z90+$G$430-AJ$93</f>
        <v>-364.91839161279677</v>
      </c>
      <c r="AA130" s="367">
        <f t="shared" ref="AA130:AH130" si="267">AA90+$G$430-AK$93</f>
        <v>-65.409475764783565</v>
      </c>
      <c r="AB130" s="367">
        <f t="shared" si="267"/>
        <v>234.09944008323146</v>
      </c>
      <c r="AC130" s="367">
        <f t="shared" si="267"/>
        <v>533.60835593124648</v>
      </c>
      <c r="AD130" s="367">
        <f t="shared" si="267"/>
        <v>833.1172717792615</v>
      </c>
      <c r="AE130" s="367">
        <f t="shared" si="267"/>
        <v>1132.6261876272756</v>
      </c>
      <c r="AF130" s="367">
        <f t="shared" si="267"/>
        <v>1432.1351034752879</v>
      </c>
      <c r="AG130" s="367">
        <f t="shared" si="267"/>
        <v>1731.6440193233038</v>
      </c>
      <c r="AH130" s="367">
        <f t="shared" si="267"/>
        <v>2031.152935171317</v>
      </c>
      <c r="AT130" s="805">
        <f>IF(Z130&lt;$G$449,0,MIN($G$446,1+IFERROR(INT((Z130-$G$449)/$G$463),0)))</f>
        <v>0</v>
      </c>
      <c r="AU130" s="805">
        <f t="shared" ref="AU130:AU136" si="268">IF(AA130&lt;$G$449,0,MIN($G$446,1+IFERROR(INT((AA130-$G$449)/$G$463),0)))</f>
        <v>0</v>
      </c>
      <c r="AV130" s="805">
        <f t="shared" ref="AV130:AV136" si="269">IF(AB130&lt;$G$449,0,MIN($G$446,1+IFERROR(INT((AB130-$G$449)/$G$463),0)))</f>
        <v>0</v>
      </c>
      <c r="AW130" s="805">
        <f t="shared" ref="AW130:AW136" si="270">IF(AC130&lt;$G$449,0,MIN($G$446,1+IFERROR(INT((AC130-$G$449)/$G$463),0)))</f>
        <v>0</v>
      </c>
      <c r="AX130" s="805">
        <f t="shared" ref="AX130:AX136" si="271">IF(AD130&lt;$G$449,0,MIN($G$446,1+IFERROR(INT((AD130-$G$449)/$G$463),0)))</f>
        <v>0</v>
      </c>
      <c r="AY130" s="805">
        <f t="shared" ref="AY130:AY136" si="272">IF(AE130&lt;$G$449,0,MIN($G$446,1+IFERROR(INT((AE130-$G$449)/$G$463),0)))</f>
        <v>1</v>
      </c>
      <c r="AZ130" s="805">
        <f t="shared" ref="AZ130:AZ136" si="273">IF(AF130&lt;$G$449,0,MIN($G$446,1+IFERROR(INT((AF130-$G$449)/$G$463),0)))</f>
        <v>3</v>
      </c>
      <c r="BA130" s="805">
        <f t="shared" ref="BA130:BA136" si="274">IF(AG130&lt;$G$449,0,MIN($G$446,1+IFERROR(INT((AG130-$G$449)/$G$463),0)))</f>
        <v>5</v>
      </c>
      <c r="BB130" s="805">
        <f t="shared" ref="BB130:BB136" si="275">IF(AH130&lt;$G$449,0,MIN($G$446,1+IFERROR(INT((AH130-$G$449)/$G$463),0)))</f>
        <v>6</v>
      </c>
    </row>
    <row r="131" spans="1:54" ht="15" customHeight="1">
      <c r="A131" s="417"/>
      <c r="B131" s="821"/>
      <c r="C131" s="780">
        <f>C132-$G$439</f>
        <v>0.2</v>
      </c>
      <c r="D131" s="470">
        <f t="shared" ref="D131:D136" si="276">ROUND(Z131,$G$452)</f>
        <v>0</v>
      </c>
      <c r="E131" s="470">
        <f t="shared" si="259"/>
        <v>300</v>
      </c>
      <c r="F131" s="470">
        <f t="shared" si="260"/>
        <v>500</v>
      </c>
      <c r="G131" s="470">
        <f t="shared" si="261"/>
        <v>800</v>
      </c>
      <c r="H131" s="470">
        <f t="shared" si="262"/>
        <v>1100</v>
      </c>
      <c r="I131" s="470">
        <f t="shared" si="263"/>
        <v>1400</v>
      </c>
      <c r="J131" s="470">
        <f t="shared" si="264"/>
        <v>1600</v>
      </c>
      <c r="K131" s="470">
        <f t="shared" si="265"/>
        <v>1900</v>
      </c>
      <c r="L131" s="470">
        <f t="shared" si="266"/>
        <v>2200</v>
      </c>
      <c r="M131" s="417"/>
      <c r="N131" s="417"/>
      <c r="O131" s="417"/>
      <c r="P131" s="417"/>
      <c r="Q131" s="417"/>
      <c r="Z131" s="367">
        <f t="shared" ref="Z131:AH131" si="277">Z91+$G$430-AJ$93</f>
        <v>11.920178635116827</v>
      </c>
      <c r="AA131" s="367">
        <f t="shared" si="277"/>
        <v>280.32656588240025</v>
      </c>
      <c r="AB131" s="367">
        <f t="shared" si="277"/>
        <v>548.73295312968548</v>
      </c>
      <c r="AC131" s="367">
        <f t="shared" si="277"/>
        <v>817.1393403769689</v>
      </c>
      <c r="AD131" s="367">
        <f t="shared" si="277"/>
        <v>1085.5457276242523</v>
      </c>
      <c r="AE131" s="367">
        <f t="shared" si="277"/>
        <v>1353.9521148715367</v>
      </c>
      <c r="AF131" s="367">
        <f t="shared" si="277"/>
        <v>1622.3585021188173</v>
      </c>
      <c r="AG131" s="367">
        <f t="shared" si="277"/>
        <v>1890.7648893661026</v>
      </c>
      <c r="AH131" s="367">
        <f t="shared" si="277"/>
        <v>2159.1712766133869</v>
      </c>
      <c r="AT131" s="805">
        <f t="shared" ref="AT131:AT136" si="278">IF(Z131&lt;$G$449,0,MIN($G$446,1+IFERROR(INT((Z131-$G$449)/$G$463),0)))</f>
        <v>0</v>
      </c>
      <c r="AU131" s="805">
        <f t="shared" si="268"/>
        <v>0</v>
      </c>
      <c r="AV131" s="805">
        <f t="shared" si="269"/>
        <v>0</v>
      </c>
      <c r="AW131" s="805">
        <f t="shared" si="270"/>
        <v>0</v>
      </c>
      <c r="AX131" s="805">
        <f t="shared" si="271"/>
        <v>1</v>
      </c>
      <c r="AY131" s="805">
        <f t="shared" si="272"/>
        <v>2</v>
      </c>
      <c r="AZ131" s="805">
        <f t="shared" si="273"/>
        <v>4</v>
      </c>
      <c r="BA131" s="805">
        <f t="shared" si="274"/>
        <v>5</v>
      </c>
      <c r="BB131" s="805">
        <f t="shared" si="275"/>
        <v>7</v>
      </c>
    </row>
    <row r="132" spans="1:54" ht="15" customHeight="1">
      <c r="A132" s="417"/>
      <c r="B132" s="821"/>
      <c r="C132" s="780">
        <f>C133-$G$439</f>
        <v>0.25</v>
      </c>
      <c r="D132" s="470">
        <f t="shared" si="276"/>
        <v>400</v>
      </c>
      <c r="E132" s="470">
        <f t="shared" si="259"/>
        <v>600</v>
      </c>
      <c r="F132" s="470">
        <f t="shared" si="260"/>
        <v>900</v>
      </c>
      <c r="G132" s="470">
        <f t="shared" si="261"/>
        <v>1100</v>
      </c>
      <c r="H132" s="470">
        <f t="shared" si="262"/>
        <v>1300</v>
      </c>
      <c r="I132" s="470">
        <f t="shared" si="263"/>
        <v>1600</v>
      </c>
      <c r="J132" s="470">
        <f t="shared" si="264"/>
        <v>1800</v>
      </c>
      <c r="K132" s="470">
        <f t="shared" si="265"/>
        <v>2100</v>
      </c>
      <c r="L132" s="470">
        <f t="shared" si="266"/>
        <v>2300</v>
      </c>
      <c r="M132" s="417"/>
      <c r="N132" s="417"/>
      <c r="O132" s="417"/>
      <c r="P132" s="417"/>
      <c r="Q132" s="417"/>
      <c r="Z132" s="367">
        <f t="shared" ref="Z132:AH132" si="279">Z92+$G$430-AJ$93</f>
        <v>390.39138934580842</v>
      </c>
      <c r="AA132" s="367">
        <f t="shared" si="279"/>
        <v>627.5518743821267</v>
      </c>
      <c r="AB132" s="367">
        <f t="shared" si="279"/>
        <v>864.71235941844861</v>
      </c>
      <c r="AC132" s="367">
        <f t="shared" si="279"/>
        <v>1101.8728444547687</v>
      </c>
      <c r="AD132" s="367">
        <f t="shared" si="279"/>
        <v>1339.033329491087</v>
      </c>
      <c r="AE132" s="367">
        <f t="shared" si="279"/>
        <v>1576.1938145274062</v>
      </c>
      <c r="AF132" s="367">
        <f t="shared" si="279"/>
        <v>1813.3542995637254</v>
      </c>
      <c r="AG132" s="367">
        <f t="shared" si="279"/>
        <v>2050.5147846000473</v>
      </c>
      <c r="AH132" s="367">
        <f t="shared" si="279"/>
        <v>2287.6752696363656</v>
      </c>
      <c r="AT132" s="805">
        <f t="shared" si="278"/>
        <v>0</v>
      </c>
      <c r="AU132" s="805">
        <f t="shared" si="268"/>
        <v>0</v>
      </c>
      <c r="AV132" s="805">
        <f t="shared" si="269"/>
        <v>0</v>
      </c>
      <c r="AW132" s="805">
        <f t="shared" si="270"/>
        <v>1</v>
      </c>
      <c r="AX132" s="805">
        <f t="shared" si="271"/>
        <v>2</v>
      </c>
      <c r="AY132" s="805">
        <f t="shared" si="272"/>
        <v>4</v>
      </c>
      <c r="AZ132" s="805">
        <f t="shared" si="273"/>
        <v>5</v>
      </c>
      <c r="BA132" s="805">
        <f t="shared" si="274"/>
        <v>6</v>
      </c>
      <c r="BB132" s="805">
        <f t="shared" si="275"/>
        <v>8</v>
      </c>
    </row>
    <row r="133" spans="1:54" ht="15" customHeight="1">
      <c r="A133" s="417"/>
      <c r="B133" s="821"/>
      <c r="C133" s="780">
        <f>$G$438</f>
        <v>0.3</v>
      </c>
      <c r="D133" s="470">
        <f t="shared" si="276"/>
        <v>800</v>
      </c>
      <c r="E133" s="470">
        <f t="shared" si="259"/>
        <v>1000</v>
      </c>
      <c r="F133" s="470">
        <f t="shared" si="260"/>
        <v>1200</v>
      </c>
      <c r="G133" s="470">
        <f t="shared" si="261"/>
        <v>1400</v>
      </c>
      <c r="H133" s="782">
        <f t="shared" si="262"/>
        <v>1600</v>
      </c>
      <c r="I133" s="470">
        <f t="shared" si="263"/>
        <v>1800</v>
      </c>
      <c r="J133" s="470">
        <f t="shared" si="264"/>
        <v>2000</v>
      </c>
      <c r="K133" s="470">
        <f t="shared" si="265"/>
        <v>2200</v>
      </c>
      <c r="L133" s="470">
        <f t="shared" si="266"/>
        <v>2400</v>
      </c>
      <c r="M133" s="417"/>
      <c r="N133" s="417"/>
      <c r="O133" s="417"/>
      <c r="P133" s="417"/>
      <c r="Q133" s="417"/>
      <c r="Z133" s="367">
        <f t="shared" ref="Z133:AH133" si="280">Z93+$G$430-AJ$93</f>
        <v>770.50719638922419</v>
      </c>
      <c r="AA133" s="367">
        <f t="shared" si="280"/>
        <v>976.27735567554737</v>
      </c>
      <c r="AB133" s="367">
        <f t="shared" si="280"/>
        <v>1182.0475149618724</v>
      </c>
      <c r="AC133" s="367">
        <f t="shared" si="280"/>
        <v>1387.8176742481974</v>
      </c>
      <c r="AD133" s="367">
        <f t="shared" si="280"/>
        <v>1593.5878335345224</v>
      </c>
      <c r="AE133" s="367">
        <f t="shared" si="280"/>
        <v>1799.3579928208446</v>
      </c>
      <c r="AF133" s="367">
        <f t="shared" si="280"/>
        <v>2005.1281521071687</v>
      </c>
      <c r="AG133" s="367">
        <f t="shared" si="280"/>
        <v>2210.8983113934955</v>
      </c>
      <c r="AH133" s="367">
        <f t="shared" si="280"/>
        <v>2416.6684706798187</v>
      </c>
      <c r="AT133" s="805">
        <f t="shared" si="278"/>
        <v>0</v>
      </c>
      <c r="AU133" s="805">
        <f t="shared" si="268"/>
        <v>0</v>
      </c>
      <c r="AV133" s="805">
        <f t="shared" si="269"/>
        <v>2</v>
      </c>
      <c r="AW133" s="805">
        <f t="shared" si="270"/>
        <v>3</v>
      </c>
      <c r="AX133" s="805">
        <f t="shared" si="271"/>
        <v>4</v>
      </c>
      <c r="AY133" s="805">
        <f t="shared" si="272"/>
        <v>5</v>
      </c>
      <c r="AZ133" s="805">
        <f t="shared" si="273"/>
        <v>6</v>
      </c>
      <c r="BA133" s="805">
        <f t="shared" si="274"/>
        <v>7</v>
      </c>
      <c r="BB133" s="805">
        <f t="shared" si="275"/>
        <v>8</v>
      </c>
    </row>
    <row r="134" spans="1:54" ht="15" customHeight="1">
      <c r="A134" s="417"/>
      <c r="B134" s="821"/>
      <c r="C134" s="780">
        <f>C133+$G$439</f>
        <v>0.35</v>
      </c>
      <c r="D134" s="470">
        <f t="shared" si="276"/>
        <v>1200</v>
      </c>
      <c r="E134" s="470">
        <f t="shared" si="259"/>
        <v>1300</v>
      </c>
      <c r="F134" s="470">
        <f t="shared" si="260"/>
        <v>1500</v>
      </c>
      <c r="G134" s="470">
        <f t="shared" si="261"/>
        <v>1700</v>
      </c>
      <c r="H134" s="470">
        <f t="shared" si="262"/>
        <v>1800</v>
      </c>
      <c r="I134" s="470">
        <f t="shared" si="263"/>
        <v>2000</v>
      </c>
      <c r="J134" s="470">
        <f t="shared" si="264"/>
        <v>2200</v>
      </c>
      <c r="K134" s="470">
        <f t="shared" si="265"/>
        <v>2400</v>
      </c>
      <c r="L134" s="470">
        <f t="shared" si="266"/>
        <v>2500</v>
      </c>
      <c r="M134" s="417"/>
      <c r="N134" s="417"/>
      <c r="O134" s="417"/>
      <c r="P134" s="417"/>
      <c r="Q134" s="417"/>
      <c r="Z134" s="367">
        <f t="shared" ref="Z134:AH134" si="281">Z94+$G$430-AJ$93</f>
        <v>1152.2796726585075</v>
      </c>
      <c r="AA134" s="367">
        <f t="shared" si="281"/>
        <v>1326.5140224503812</v>
      </c>
      <c r="AB134" s="367">
        <f t="shared" si="281"/>
        <v>1500.7483722422548</v>
      </c>
      <c r="AC134" s="367">
        <f t="shared" si="281"/>
        <v>1674.9827220341267</v>
      </c>
      <c r="AD134" s="367">
        <f t="shared" si="281"/>
        <v>1849.2170718260004</v>
      </c>
      <c r="AE134" s="367">
        <f t="shared" si="281"/>
        <v>2023.4514216178732</v>
      </c>
      <c r="AF134" s="367">
        <f t="shared" si="281"/>
        <v>2197.6857714097441</v>
      </c>
      <c r="AG134" s="367">
        <f t="shared" si="281"/>
        <v>2371.9201212016196</v>
      </c>
      <c r="AH134" s="367">
        <f t="shared" si="281"/>
        <v>2546.1544709934915</v>
      </c>
      <c r="AT134" s="805">
        <f t="shared" si="278"/>
        <v>1</v>
      </c>
      <c r="AU134" s="805">
        <f t="shared" si="268"/>
        <v>2</v>
      </c>
      <c r="AV134" s="805">
        <f t="shared" si="269"/>
        <v>3</v>
      </c>
      <c r="AW134" s="805">
        <f t="shared" si="270"/>
        <v>4</v>
      </c>
      <c r="AX134" s="805">
        <f t="shared" si="271"/>
        <v>5</v>
      </c>
      <c r="AY134" s="805">
        <f t="shared" si="272"/>
        <v>6</v>
      </c>
      <c r="AZ134" s="805">
        <f t="shared" si="273"/>
        <v>7</v>
      </c>
      <c r="BA134" s="805">
        <f t="shared" si="274"/>
        <v>8</v>
      </c>
      <c r="BB134" s="805">
        <f t="shared" si="275"/>
        <v>9</v>
      </c>
    </row>
    <row r="135" spans="1:54" ht="15" customHeight="1">
      <c r="A135" s="417"/>
      <c r="B135" s="821"/>
      <c r="C135" s="780">
        <f>C134+$G$439</f>
        <v>0.39999999999999997</v>
      </c>
      <c r="D135" s="470">
        <f t="shared" si="276"/>
        <v>1500</v>
      </c>
      <c r="E135" s="470">
        <f t="shared" si="259"/>
        <v>1700</v>
      </c>
      <c r="F135" s="470">
        <f t="shared" si="260"/>
        <v>1800</v>
      </c>
      <c r="G135" s="470">
        <f t="shared" si="261"/>
        <v>2000</v>
      </c>
      <c r="H135" s="470">
        <f t="shared" si="262"/>
        <v>2100</v>
      </c>
      <c r="I135" s="470">
        <f t="shared" si="263"/>
        <v>2200</v>
      </c>
      <c r="J135" s="470">
        <f t="shared" si="264"/>
        <v>2400</v>
      </c>
      <c r="K135" s="470">
        <f t="shared" si="265"/>
        <v>2500</v>
      </c>
      <c r="L135" s="470">
        <f t="shared" si="266"/>
        <v>2700</v>
      </c>
      <c r="M135" s="417"/>
      <c r="N135" s="417"/>
      <c r="O135" s="417"/>
      <c r="P135" s="417"/>
      <c r="Q135" s="417"/>
      <c r="Z135" s="367">
        <f t="shared" ref="Z135:AH135" si="282">Z95+$G$430-AJ$93</f>
        <v>1535.7210095052833</v>
      </c>
      <c r="AA135" s="367">
        <f t="shared" si="282"/>
        <v>1678.2729954501519</v>
      </c>
      <c r="AB135" s="367">
        <f t="shared" si="282"/>
        <v>1820.8249813950242</v>
      </c>
      <c r="AC135" s="367">
        <f t="shared" si="282"/>
        <v>1963.3769673398947</v>
      </c>
      <c r="AD135" s="367">
        <f t="shared" si="282"/>
        <v>2105.9289532847633</v>
      </c>
      <c r="AE135" s="367">
        <f t="shared" si="282"/>
        <v>2248.4809392296347</v>
      </c>
      <c r="AF135" s="367">
        <f t="shared" si="282"/>
        <v>2391.0329251745025</v>
      </c>
      <c r="AG135" s="367">
        <f t="shared" si="282"/>
        <v>2533.5849111193747</v>
      </c>
      <c r="AH135" s="367">
        <f t="shared" si="282"/>
        <v>2676.1368970642452</v>
      </c>
      <c r="AT135" s="805">
        <f t="shared" si="278"/>
        <v>3</v>
      </c>
      <c r="AU135" s="805">
        <f t="shared" si="268"/>
        <v>4</v>
      </c>
      <c r="AV135" s="805">
        <f t="shared" si="269"/>
        <v>5</v>
      </c>
      <c r="AW135" s="805">
        <f t="shared" si="270"/>
        <v>6</v>
      </c>
      <c r="AX135" s="805">
        <f t="shared" si="271"/>
        <v>7</v>
      </c>
      <c r="AY135" s="805">
        <f t="shared" si="272"/>
        <v>7</v>
      </c>
      <c r="AZ135" s="805">
        <f t="shared" si="273"/>
        <v>8</v>
      </c>
      <c r="BA135" s="805">
        <f t="shared" si="274"/>
        <v>9</v>
      </c>
      <c r="BB135" s="805">
        <f t="shared" si="275"/>
        <v>10</v>
      </c>
    </row>
    <row r="136" spans="1:54" ht="15" customHeight="1">
      <c r="A136" s="417"/>
      <c r="B136" s="822"/>
      <c r="C136" s="781">
        <f>C135+$G$439</f>
        <v>0.44999999999999996</v>
      </c>
      <c r="D136" s="772">
        <f t="shared" si="276"/>
        <v>1900</v>
      </c>
      <c r="E136" s="772">
        <f t="shared" si="259"/>
        <v>2000</v>
      </c>
      <c r="F136" s="772">
        <f t="shared" si="260"/>
        <v>2100</v>
      </c>
      <c r="G136" s="772">
        <f t="shared" si="261"/>
        <v>2300</v>
      </c>
      <c r="H136" s="772">
        <f t="shared" si="262"/>
        <v>2400</v>
      </c>
      <c r="I136" s="772">
        <f t="shared" si="263"/>
        <v>2500</v>
      </c>
      <c r="J136" s="772">
        <f t="shared" si="264"/>
        <v>2600</v>
      </c>
      <c r="K136" s="772">
        <f t="shared" si="265"/>
        <v>2700</v>
      </c>
      <c r="L136" s="772">
        <f t="shared" si="266"/>
        <v>2800</v>
      </c>
      <c r="M136" s="417"/>
      <c r="N136" s="417"/>
      <c r="O136" s="417"/>
      <c r="P136" s="417"/>
      <c r="Q136" s="417"/>
      <c r="Z136" s="367">
        <f t="shared" ref="Z136:AH136" si="283">Z96+$G$430-AJ$93</f>
        <v>1920.8435181961013</v>
      </c>
      <c r="AA136" s="367">
        <f t="shared" si="283"/>
        <v>2031.5655048027511</v>
      </c>
      <c r="AB136" s="367">
        <f t="shared" si="283"/>
        <v>2142.2874914094027</v>
      </c>
      <c r="AC136" s="367">
        <f t="shared" si="283"/>
        <v>2253.0094780160507</v>
      </c>
      <c r="AD136" s="367">
        <f t="shared" si="283"/>
        <v>2363.7314646227023</v>
      </c>
      <c r="AE136" s="367">
        <f t="shared" si="283"/>
        <v>2474.4534512293512</v>
      </c>
      <c r="AF136" s="367">
        <f t="shared" si="283"/>
        <v>2585.1754378360001</v>
      </c>
      <c r="AG136" s="367">
        <f t="shared" si="283"/>
        <v>2695.8974244426518</v>
      </c>
      <c r="AH136" s="367">
        <f t="shared" si="283"/>
        <v>2806.6194110493016</v>
      </c>
      <c r="AT136" s="805">
        <f t="shared" si="278"/>
        <v>6</v>
      </c>
      <c r="AU136" s="805">
        <f t="shared" si="268"/>
        <v>6</v>
      </c>
      <c r="AV136" s="805">
        <f t="shared" si="269"/>
        <v>7</v>
      </c>
      <c r="AW136" s="805">
        <f t="shared" si="270"/>
        <v>7</v>
      </c>
      <c r="AX136" s="805">
        <f t="shared" si="271"/>
        <v>8</v>
      </c>
      <c r="AY136" s="805">
        <f t="shared" si="272"/>
        <v>9</v>
      </c>
      <c r="AZ136" s="805">
        <f t="shared" si="273"/>
        <v>9</v>
      </c>
      <c r="BA136" s="805">
        <f t="shared" si="274"/>
        <v>10</v>
      </c>
      <c r="BB136" s="805">
        <f t="shared" si="275"/>
        <v>10</v>
      </c>
    </row>
    <row r="137" spans="1:54" ht="15" hidden="1" customHeight="1" outlineLevel="1">
      <c r="A137" s="417"/>
      <c r="B137" s="423" t="s">
        <v>2781</v>
      </c>
      <c r="C137" s="785"/>
      <c r="D137" s="417"/>
      <c r="E137" s="417"/>
      <c r="F137" s="4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</row>
    <row r="138" spans="1:54" ht="3.95" customHeight="1" collapsed="1">
      <c r="A138" s="417"/>
      <c r="B138" s="417"/>
      <c r="C138" s="417"/>
      <c r="D138" s="417"/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</row>
    <row r="139" spans="1:54" ht="15" customHeight="1">
      <c r="A139" s="417"/>
      <c r="B139" s="148" t="s">
        <v>2572</v>
      </c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</row>
    <row r="140" spans="1:54" ht="2.1" customHeight="1">
      <c r="A140" s="417"/>
      <c r="B140" s="417"/>
      <c r="C140" s="417"/>
      <c r="D140" s="417"/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</row>
    <row r="141" spans="1:54" ht="12.75" customHeight="1">
      <c r="A141" s="417"/>
      <c r="B141" s="454"/>
      <c r="C141" s="454"/>
      <c r="D141" s="768" t="s">
        <v>2567</v>
      </c>
      <c r="E141" s="768"/>
      <c r="F141" s="768"/>
      <c r="G141" s="768"/>
      <c r="H141" s="768"/>
      <c r="I141" s="768"/>
      <c r="J141" s="768"/>
      <c r="K141" s="768"/>
      <c r="L141" s="768"/>
      <c r="M141" s="417"/>
      <c r="N141" s="417"/>
      <c r="O141" s="417"/>
      <c r="P141" s="417"/>
      <c r="Q141" s="417"/>
    </row>
    <row r="142" spans="1:54" ht="12.75" customHeight="1">
      <c r="A142" s="417"/>
      <c r="B142" s="454"/>
      <c r="C142" s="454"/>
      <c r="D142" s="800">
        <f>E142+$G$458</f>
        <v>64</v>
      </c>
      <c r="E142" s="800">
        <f>F142+$G$458</f>
        <v>60</v>
      </c>
      <c r="F142" s="800">
        <f>G142+$G$458</f>
        <v>56</v>
      </c>
      <c r="G142" s="800">
        <f>H142+$G$458</f>
        <v>52</v>
      </c>
      <c r="H142" s="800">
        <f>$G$457</f>
        <v>48</v>
      </c>
      <c r="I142" s="800">
        <f>H142-$G$458</f>
        <v>44</v>
      </c>
      <c r="J142" s="800">
        <f>I142-$G$458</f>
        <v>40</v>
      </c>
      <c r="K142" s="800">
        <f>J142-$G$458</f>
        <v>36</v>
      </c>
      <c r="L142" s="800">
        <f>K142-$G$458</f>
        <v>32</v>
      </c>
      <c r="M142" s="417"/>
      <c r="N142" s="417"/>
      <c r="O142" s="417"/>
      <c r="P142" s="417"/>
      <c r="Q142" s="417"/>
      <c r="AT142" s="773" t="s">
        <v>2616</v>
      </c>
      <c r="AU142" s="427"/>
      <c r="AV142" s="427"/>
      <c r="AW142" s="427"/>
      <c r="AX142" s="427"/>
      <c r="AY142" s="427"/>
      <c r="AZ142" s="427"/>
      <c r="BA142" s="427"/>
      <c r="BB142" s="427"/>
    </row>
    <row r="143" spans="1:54" ht="15" customHeight="1">
      <c r="A143" s="417"/>
      <c r="B143" s="820" t="s">
        <v>2528</v>
      </c>
      <c r="C143" s="780">
        <f>C144-$G$439</f>
        <v>0.15000000000000002</v>
      </c>
      <c r="D143" s="490">
        <f>IFERROR(Z130/AJ$93,0)</f>
        <v>-3.9866955705117266E-2</v>
      </c>
      <c r="E143" s="490">
        <f t="shared" ref="E143:L143" si="284">IFERROR(AA130/AK$93,0)</f>
        <v>-7.485961788147334E-3</v>
      </c>
      <c r="F143" s="490">
        <f t="shared" si="284"/>
        <v>2.8130759959096925E-2</v>
      </c>
      <c r="G143" s="490">
        <f t="shared" si="284"/>
        <v>6.7493720069401797E-2</v>
      </c>
      <c r="H143" s="490">
        <f t="shared" si="284"/>
        <v>0.11122678354853553</v>
      </c>
      <c r="I143" s="490">
        <f t="shared" si="284"/>
        <v>0.16010048070318481</v>
      </c>
      <c r="J143" s="490">
        <f t="shared" si="284"/>
        <v>0.21507779809554645</v>
      </c>
      <c r="K143" s="490">
        <f t="shared" si="284"/>
        <v>0.27737826799773574</v>
      </c>
      <c r="L143" s="490">
        <f t="shared" si="284"/>
        <v>0.34856949602627785</v>
      </c>
      <c r="M143" s="417"/>
      <c r="N143" s="417"/>
      <c r="O143" s="417"/>
      <c r="P143" s="417"/>
      <c r="Q143" s="417"/>
      <c r="AT143" s="805">
        <f>IF(Z130&lt;$G$449,0,MIN($G$446,1+IFERROR(INT((Z130-$G$449)/$G$463),0)))</f>
        <v>0</v>
      </c>
      <c r="AU143" s="805">
        <f t="shared" ref="AU143:BB143" si="285">IF(AA130&lt;$G$449,0,MIN($G$446,1+IFERROR(INT((AA130-$G$449)/$G$463),0)))</f>
        <v>0</v>
      </c>
      <c r="AV143" s="805">
        <f t="shared" si="285"/>
        <v>0</v>
      </c>
      <c r="AW143" s="805">
        <f t="shared" si="285"/>
        <v>0</v>
      </c>
      <c r="AX143" s="805">
        <f t="shared" si="285"/>
        <v>0</v>
      </c>
      <c r="AY143" s="805">
        <f t="shared" si="285"/>
        <v>1</v>
      </c>
      <c r="AZ143" s="805">
        <f t="shared" si="285"/>
        <v>3</v>
      </c>
      <c r="BA143" s="805">
        <f t="shared" si="285"/>
        <v>5</v>
      </c>
      <c r="BB143" s="805">
        <f t="shared" si="285"/>
        <v>6</v>
      </c>
    </row>
    <row r="144" spans="1:54" ht="15" customHeight="1">
      <c r="A144" s="417"/>
      <c r="B144" s="821"/>
      <c r="C144" s="780">
        <f>C145-$G$439</f>
        <v>0.2</v>
      </c>
      <c r="D144" s="490">
        <f t="shared" ref="D144:L144" si="286">IFERROR(Z131/AJ$93,0)</f>
        <v>1.3022671494933304E-3</v>
      </c>
      <c r="E144" s="490">
        <f t="shared" si="286"/>
        <v>3.2082720979825577E-2</v>
      </c>
      <c r="F144" s="490">
        <f t="shared" si="286"/>
        <v>6.5938965854208664E-2</v>
      </c>
      <c r="G144" s="490">
        <f t="shared" si="286"/>
        <v>0.10335627859659095</v>
      </c>
      <c r="H144" s="490">
        <f t="shared" si="286"/>
        <v>0.14492768757588709</v>
      </c>
      <c r="I144" s="490">
        <f t="shared" si="286"/>
        <v>0.19138563703363778</v>
      </c>
      <c r="J144" s="490">
        <f t="shared" si="286"/>
        <v>0.24364551466587606</v>
      </c>
      <c r="K144" s="490">
        <f t="shared" si="286"/>
        <v>0.30286657323960187</v>
      </c>
      <c r="L144" s="490">
        <f t="shared" si="286"/>
        <v>0.37053893416453332</v>
      </c>
      <c r="M144" s="417"/>
      <c r="N144" s="417"/>
      <c r="O144" s="417"/>
      <c r="P144" s="417"/>
      <c r="Q144" s="417"/>
      <c r="AT144" s="805">
        <f t="shared" ref="AT144:BB144" si="287">IF(Z131&lt;$G$449,0,MIN($G$446,1+IFERROR(INT((Z131-$G$449)/$G$463),0)))</f>
        <v>0</v>
      </c>
      <c r="AU144" s="805">
        <f t="shared" si="287"/>
        <v>0</v>
      </c>
      <c r="AV144" s="805">
        <f t="shared" si="287"/>
        <v>0</v>
      </c>
      <c r="AW144" s="805">
        <f t="shared" si="287"/>
        <v>0</v>
      </c>
      <c r="AX144" s="805">
        <f t="shared" si="287"/>
        <v>1</v>
      </c>
      <c r="AY144" s="805">
        <f t="shared" si="287"/>
        <v>2</v>
      </c>
      <c r="AZ144" s="805">
        <f t="shared" si="287"/>
        <v>4</v>
      </c>
      <c r="BA144" s="805">
        <f t="shared" si="287"/>
        <v>5</v>
      </c>
      <c r="BB144" s="805">
        <f t="shared" si="287"/>
        <v>7</v>
      </c>
    </row>
    <row r="145" spans="1:54" ht="15" customHeight="1">
      <c r="A145" s="417"/>
      <c r="B145" s="821"/>
      <c r="C145" s="780">
        <f>C146-$G$439</f>
        <v>0.25</v>
      </c>
      <c r="D145" s="490">
        <f t="shared" ref="D145:L145" si="288">IFERROR(Z132/AJ$93,0)</f>
        <v>4.2649854280906438E-2</v>
      </c>
      <c r="E145" s="490">
        <f t="shared" si="288"/>
        <v>7.1821846862043584E-2</v>
      </c>
      <c r="F145" s="490">
        <f t="shared" si="288"/>
        <v>0.10390890216489299</v>
      </c>
      <c r="G145" s="490">
        <f t="shared" si="288"/>
        <v>0.13937093842152637</v>
      </c>
      <c r="H145" s="490">
        <f t="shared" si="288"/>
        <v>0.17876999475176097</v>
      </c>
      <c r="I145" s="490">
        <f t="shared" si="288"/>
        <v>0.22280024084192138</v>
      </c>
      <c r="J145" s="490">
        <f t="shared" si="288"/>
        <v>0.27232922995242242</v>
      </c>
      <c r="K145" s="490">
        <f t="shared" si="288"/>
        <v>0.32845563701849984</v>
      </c>
      <c r="L145" s="490">
        <f t="shared" si="288"/>
        <v>0.39259171576938373</v>
      </c>
      <c r="M145" s="417"/>
      <c r="N145" s="417"/>
      <c r="O145" s="417"/>
      <c r="P145" s="417"/>
      <c r="Q145" s="417"/>
      <c r="AT145" s="805">
        <f t="shared" ref="AT145:BB145" si="289">IF(Z132&lt;$G$449,0,MIN($G$446,1+IFERROR(INT((Z132-$G$449)/$G$463),0)))</f>
        <v>0</v>
      </c>
      <c r="AU145" s="805">
        <f t="shared" si="289"/>
        <v>0</v>
      </c>
      <c r="AV145" s="805">
        <f t="shared" si="289"/>
        <v>0</v>
      </c>
      <c r="AW145" s="805">
        <f t="shared" si="289"/>
        <v>1</v>
      </c>
      <c r="AX145" s="805">
        <f t="shared" si="289"/>
        <v>2</v>
      </c>
      <c r="AY145" s="805">
        <f t="shared" si="289"/>
        <v>4</v>
      </c>
      <c r="AZ145" s="805">
        <f t="shared" si="289"/>
        <v>5</v>
      </c>
      <c r="BA145" s="805">
        <f t="shared" si="289"/>
        <v>6</v>
      </c>
      <c r="BB145" s="805">
        <f t="shared" si="289"/>
        <v>8</v>
      </c>
    </row>
    <row r="146" spans="1:54" ht="15" customHeight="1">
      <c r="A146" s="417"/>
      <c r="B146" s="821"/>
      <c r="C146" s="780">
        <f>$G$438</f>
        <v>0.3</v>
      </c>
      <c r="D146" s="490">
        <f t="shared" ref="D146:L146" si="290">IFERROR(Z133/AJ$93,0)</f>
        <v>8.4177111855510259E-2</v>
      </c>
      <c r="E146" s="490">
        <f t="shared" si="290"/>
        <v>0.1117326640180091</v>
      </c>
      <c r="F146" s="490">
        <f t="shared" si="290"/>
        <v>0.14204175324732568</v>
      </c>
      <c r="G146" s="490">
        <f t="shared" si="290"/>
        <v>0.17553881338609509</v>
      </c>
      <c r="H146" s="783">
        <f t="shared" si="290"/>
        <v>0.2127547405752106</v>
      </c>
      <c r="I146" s="490">
        <f t="shared" si="290"/>
        <v>0.25434524007539161</v>
      </c>
      <c r="J146" s="490">
        <f t="shared" si="290"/>
        <v>0.30112979341689833</v>
      </c>
      <c r="K146" s="490">
        <f t="shared" si="290"/>
        <v>0.35414619719190077</v>
      </c>
      <c r="L146" s="490">
        <f t="shared" si="290"/>
        <v>0.41472845116727264</v>
      </c>
      <c r="M146" s="417"/>
      <c r="N146" s="417"/>
      <c r="O146" s="417"/>
      <c r="P146" s="417"/>
      <c r="Q146" s="417"/>
      <c r="AT146" s="805">
        <f t="shared" ref="AT146:BB146" si="291">IF(Z133&lt;$G$449,0,MIN($G$446,1+IFERROR(INT((Z133-$G$449)/$G$463),0)))</f>
        <v>0</v>
      </c>
      <c r="AU146" s="805">
        <f t="shared" si="291"/>
        <v>0</v>
      </c>
      <c r="AV146" s="805">
        <f t="shared" si="291"/>
        <v>2</v>
      </c>
      <c r="AW146" s="805">
        <f t="shared" si="291"/>
        <v>3</v>
      </c>
      <c r="AX146" s="805">
        <f t="shared" si="291"/>
        <v>4</v>
      </c>
      <c r="AY146" s="805">
        <f t="shared" si="291"/>
        <v>5</v>
      </c>
      <c r="AZ146" s="805">
        <f t="shared" si="291"/>
        <v>6</v>
      </c>
      <c r="BA146" s="805">
        <f t="shared" si="291"/>
        <v>7</v>
      </c>
      <c r="BB146" s="805">
        <f t="shared" si="291"/>
        <v>8</v>
      </c>
    </row>
    <row r="147" spans="1:54" ht="15" customHeight="1">
      <c r="A147" s="417"/>
      <c r="B147" s="821"/>
      <c r="C147" s="780">
        <f>C146+$G$439</f>
        <v>0.35</v>
      </c>
      <c r="D147" s="490">
        <f t="shared" ref="D147:L147" si="292">IFERROR(Z134/AJ$93,0)</f>
        <v>0.12588535882435586</v>
      </c>
      <c r="E147" s="490">
        <f t="shared" si="292"/>
        <v>0.15181643282412</v>
      </c>
      <c r="F147" s="490">
        <f t="shared" si="292"/>
        <v>0.1803387150500764</v>
      </c>
      <c r="G147" s="490">
        <f t="shared" si="292"/>
        <v>0.21186102823438954</v>
      </c>
      <c r="H147" s="490">
        <f t="shared" si="292"/>
        <v>0.24688297068067966</v>
      </c>
      <c r="I147" s="490">
        <f t="shared" si="292"/>
        <v>0.28602159195984561</v>
      </c>
      <c r="J147" s="490">
        <f t="shared" si="292"/>
        <v>0.33004806283548821</v>
      </c>
      <c r="K147" s="490">
        <f t="shared" si="292"/>
        <v>0.37993899883937343</v>
      </c>
      <c r="L147" s="490">
        <f t="shared" si="292"/>
        <v>0.43694975665847557</v>
      </c>
      <c r="M147" s="417"/>
      <c r="N147" s="417"/>
      <c r="O147" s="417"/>
      <c r="P147" s="417"/>
      <c r="Q147" s="417"/>
      <c r="AT147" s="805">
        <f t="shared" ref="AT147:BB147" si="293">IF(Z134&lt;$G$449,0,MIN($G$446,1+IFERROR(INT((Z134-$G$449)/$G$463),0)))</f>
        <v>1</v>
      </c>
      <c r="AU147" s="805">
        <f t="shared" si="293"/>
        <v>2</v>
      </c>
      <c r="AV147" s="805">
        <f t="shared" si="293"/>
        <v>3</v>
      </c>
      <c r="AW147" s="805">
        <f t="shared" si="293"/>
        <v>4</v>
      </c>
      <c r="AX147" s="805">
        <f t="shared" si="293"/>
        <v>5</v>
      </c>
      <c r="AY147" s="805">
        <f t="shared" si="293"/>
        <v>6</v>
      </c>
      <c r="AZ147" s="805">
        <f t="shared" si="293"/>
        <v>7</v>
      </c>
      <c r="BA147" s="805">
        <f t="shared" si="293"/>
        <v>8</v>
      </c>
      <c r="BB147" s="805">
        <f t="shared" si="293"/>
        <v>9</v>
      </c>
    </row>
    <row r="148" spans="1:54" ht="15" customHeight="1">
      <c r="A148" s="417"/>
      <c r="B148" s="821"/>
      <c r="C148" s="780">
        <f>C147+$G$439</f>
        <v>0.39999999999999997</v>
      </c>
      <c r="D148" s="490">
        <f t="shared" ref="D148:L148" si="294">IFERROR(Z135/AJ$93,0)</f>
        <v>0.16777592707996059</v>
      </c>
      <c r="E148" s="490">
        <f t="shared" si="294"/>
        <v>0.19207442602350863</v>
      </c>
      <c r="F148" s="490">
        <f t="shared" si="294"/>
        <v>0.21880099525628693</v>
      </c>
      <c r="G148" s="490">
        <f t="shared" si="294"/>
        <v>0.24833871874642094</v>
      </c>
      <c r="H148" s="490">
        <f t="shared" si="294"/>
        <v>0.28115574096231227</v>
      </c>
      <c r="I148" s="490">
        <f t="shared" si="294"/>
        <v>0.31783026311331947</v>
      </c>
      <c r="J148" s="490">
        <f t="shared" si="294"/>
        <v>0.35908490440082225</v>
      </c>
      <c r="K148" s="490">
        <f t="shared" si="294"/>
        <v>0.4058347943511601</v>
      </c>
      <c r="L148" s="490">
        <f t="shared" si="294"/>
        <v>0.45925625459036767</v>
      </c>
      <c r="M148" s="417"/>
      <c r="N148" s="417"/>
      <c r="O148" s="417"/>
      <c r="P148" s="417"/>
      <c r="Q148" s="417"/>
      <c r="AT148" s="805">
        <f t="shared" ref="AT148:BB148" si="295">IF(Z135&lt;$G$449,0,MIN($G$446,1+IFERROR(INT((Z135-$G$449)/$G$463),0)))</f>
        <v>3</v>
      </c>
      <c r="AU148" s="805">
        <f t="shared" si="295"/>
        <v>4</v>
      </c>
      <c r="AV148" s="805">
        <f t="shared" si="295"/>
        <v>5</v>
      </c>
      <c r="AW148" s="805">
        <f t="shared" si="295"/>
        <v>6</v>
      </c>
      <c r="AX148" s="805">
        <f t="shared" si="295"/>
        <v>7</v>
      </c>
      <c r="AY148" s="805">
        <f t="shared" si="295"/>
        <v>7</v>
      </c>
      <c r="AZ148" s="805">
        <f t="shared" si="295"/>
        <v>8</v>
      </c>
      <c r="BA148" s="805">
        <f t="shared" si="295"/>
        <v>9</v>
      </c>
      <c r="BB148" s="805">
        <f t="shared" si="295"/>
        <v>10</v>
      </c>
    </row>
    <row r="149" spans="1:54" ht="15" customHeight="1">
      <c r="A149" s="417"/>
      <c r="B149" s="822"/>
      <c r="C149" s="781">
        <f>C148+$G$439</f>
        <v>0.44999999999999996</v>
      </c>
      <c r="D149" s="784">
        <f t="shared" ref="D149:L149" si="296">IFERROR(Z136/AJ$93,0)</f>
        <v>0.20985016161542286</v>
      </c>
      <c r="E149" s="784">
        <f t="shared" si="296"/>
        <v>0.23250792887809299</v>
      </c>
      <c r="F149" s="784">
        <f t="shared" si="296"/>
        <v>0.25742981342794996</v>
      </c>
      <c r="G149" s="784">
        <f t="shared" si="296"/>
        <v>0.28497303187380613</v>
      </c>
      <c r="H149" s="784">
        <f t="shared" si="296"/>
        <v>0.3155741177000968</v>
      </c>
      <c r="I149" s="784">
        <f t="shared" si="296"/>
        <v>0.34977222966156812</v>
      </c>
      <c r="J149" s="784">
        <f t="shared" si="296"/>
        <v>0.38824119282545844</v>
      </c>
      <c r="K149" s="784">
        <f t="shared" si="296"/>
        <v>0.43183434351806327</v>
      </c>
      <c r="L149" s="784">
        <f t="shared" si="296"/>
        <v>0.4816485734317732</v>
      </c>
      <c r="M149" s="417"/>
      <c r="N149" s="417"/>
      <c r="O149" s="417"/>
      <c r="P149" s="417"/>
      <c r="Q149" s="417"/>
      <c r="AT149" s="805">
        <f t="shared" ref="AT149:BB149" si="297">IF(Z136&lt;$G$449,0,MIN($G$446,1+IFERROR(INT((Z136-$G$449)/$G$463),0)))</f>
        <v>6</v>
      </c>
      <c r="AU149" s="805">
        <f t="shared" si="297"/>
        <v>6</v>
      </c>
      <c r="AV149" s="805">
        <f t="shared" si="297"/>
        <v>7</v>
      </c>
      <c r="AW149" s="805">
        <f t="shared" si="297"/>
        <v>7</v>
      </c>
      <c r="AX149" s="805">
        <f t="shared" si="297"/>
        <v>8</v>
      </c>
      <c r="AY149" s="805">
        <f t="shared" si="297"/>
        <v>9</v>
      </c>
      <c r="AZ149" s="805">
        <f t="shared" si="297"/>
        <v>9</v>
      </c>
      <c r="BA149" s="805">
        <f t="shared" si="297"/>
        <v>10</v>
      </c>
      <c r="BB149" s="805">
        <f t="shared" si="297"/>
        <v>10</v>
      </c>
    </row>
    <row r="150" spans="1:54" ht="15" hidden="1" customHeight="1" outlineLevel="1">
      <c r="A150" s="417"/>
      <c r="B150" s="423" t="s">
        <v>2591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7"/>
      <c r="O150" s="417"/>
      <c r="P150" s="417"/>
      <c r="Q150" s="417"/>
    </row>
    <row r="151" spans="1:54" ht="3.95" customHeight="1" collapsed="1">
      <c r="A151" s="417"/>
      <c r="M151" s="417"/>
      <c r="N151" s="417"/>
      <c r="O151" s="417"/>
      <c r="P151" s="417"/>
      <c r="Q151" s="417"/>
    </row>
    <row r="152" spans="1:54" ht="15" customHeight="1">
      <c r="A152" s="417"/>
      <c r="B152" s="148" t="s">
        <v>2573</v>
      </c>
      <c r="C152" s="417"/>
      <c r="D152" s="417"/>
      <c r="E152" s="417"/>
      <c r="F152" s="417"/>
      <c r="G152" s="417"/>
      <c r="H152" s="417"/>
      <c r="I152" s="417"/>
      <c r="J152" s="417"/>
      <c r="K152" s="417"/>
      <c r="L152" s="417"/>
      <c r="M152" s="417"/>
      <c r="N152" s="417"/>
      <c r="O152" s="417"/>
      <c r="P152" s="417"/>
      <c r="Q152" s="417"/>
    </row>
    <row r="153" spans="1:54" ht="2.1" customHeight="1">
      <c r="A153" s="417"/>
      <c r="B153" s="417"/>
      <c r="C153" s="417"/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7"/>
      <c r="O153" s="417"/>
      <c r="P153" s="417"/>
      <c r="Q153" s="417"/>
    </row>
    <row r="154" spans="1:54" ht="12.75" customHeight="1">
      <c r="A154" s="417"/>
      <c r="B154" s="454"/>
      <c r="C154" s="454"/>
      <c r="D154" s="768" t="s">
        <v>2567</v>
      </c>
      <c r="E154" s="768"/>
      <c r="F154" s="768"/>
      <c r="G154" s="768"/>
      <c r="H154" s="768"/>
      <c r="I154" s="768"/>
      <c r="J154" s="768"/>
      <c r="K154" s="768"/>
      <c r="L154" s="768"/>
      <c r="M154" s="417"/>
      <c r="N154" s="417"/>
      <c r="O154" s="417"/>
      <c r="P154" s="417"/>
      <c r="Q154" s="417"/>
    </row>
    <row r="155" spans="1:54" ht="12.75" customHeight="1">
      <c r="A155" s="417"/>
      <c r="B155" s="454"/>
      <c r="C155" s="454"/>
      <c r="D155" s="800">
        <f>E155+$G$458</f>
        <v>64</v>
      </c>
      <c r="E155" s="800">
        <f>F155+$G$458</f>
        <v>60</v>
      </c>
      <c r="F155" s="800">
        <f>G155+$G$458</f>
        <v>56</v>
      </c>
      <c r="G155" s="800">
        <f>H155+$G$458</f>
        <v>52</v>
      </c>
      <c r="H155" s="800">
        <f>$G$457</f>
        <v>48</v>
      </c>
      <c r="I155" s="800">
        <f>H155-$G$458</f>
        <v>44</v>
      </c>
      <c r="J155" s="800">
        <f>I155-$G$458</f>
        <v>40</v>
      </c>
      <c r="K155" s="800">
        <f>J155-$G$458</f>
        <v>36</v>
      </c>
      <c r="L155" s="800">
        <f>K155-$G$458</f>
        <v>32</v>
      </c>
      <c r="M155" s="417"/>
      <c r="N155" s="417"/>
      <c r="O155" s="417"/>
      <c r="P155" s="417"/>
      <c r="Q155" s="417"/>
      <c r="AT155" s="773" t="s">
        <v>2616</v>
      </c>
      <c r="AU155" s="427"/>
      <c r="AV155" s="427"/>
      <c r="AW155" s="427"/>
      <c r="AX155" s="427"/>
      <c r="AY155" s="427"/>
      <c r="AZ155" s="427"/>
      <c r="BA155" s="427"/>
      <c r="BB155" s="427"/>
    </row>
    <row r="156" spans="1:54" ht="15" customHeight="1">
      <c r="A156" s="417"/>
      <c r="B156" s="820" t="s">
        <v>2528</v>
      </c>
      <c r="C156" s="780">
        <f>C157-$G$439</f>
        <v>0.15000000000000002</v>
      </c>
      <c r="D156" s="632">
        <f>D116-AJ$95</f>
        <v>3.2072081141904851E-2</v>
      </c>
      <c r="E156" s="632">
        <f t="shared" ref="E156:L156" si="298">E116-AK$95</f>
        <v>3.9955354338815141E-2</v>
      </c>
      <c r="F156" s="632">
        <f t="shared" si="298"/>
        <v>4.8244753135764817E-2</v>
      </c>
      <c r="G156" s="632">
        <f t="shared" si="298"/>
        <v>5.6980374832366287E-2</v>
      </c>
      <c r="H156" s="632">
        <f t="shared" si="298"/>
        <v>6.620847850681022E-2</v>
      </c>
      <c r="I156" s="632">
        <f t="shared" si="298"/>
        <v>7.5982823768735219E-2</v>
      </c>
      <c r="J156" s="632">
        <f t="shared" si="298"/>
        <v>8.6366397596072009E-2</v>
      </c>
      <c r="K156" s="632">
        <f t="shared" si="298"/>
        <v>9.7433673809615984E-2</v>
      </c>
      <c r="L156" s="632">
        <f t="shared" si="298"/>
        <v>0.1092736172073987</v>
      </c>
      <c r="M156" s="417"/>
      <c r="N156" s="417"/>
      <c r="O156" s="417"/>
      <c r="P156" s="417"/>
      <c r="Q156" s="417"/>
      <c r="AT156" s="805">
        <f>IF(Z130&lt;$G$449,0,MIN($G$446,1+IFERROR(INT((Z130-$G$449)/$G$463),0)))</f>
        <v>0</v>
      </c>
      <c r="AU156" s="805">
        <f t="shared" ref="AU156:BB156" si="299">IF(AA130&lt;$G$449,0,MIN($G$446,1+IFERROR(INT((AA130-$G$449)/$G$463),0)))</f>
        <v>0</v>
      </c>
      <c r="AV156" s="805">
        <f t="shared" si="299"/>
        <v>0</v>
      </c>
      <c r="AW156" s="805">
        <f t="shared" si="299"/>
        <v>0</v>
      </c>
      <c r="AX156" s="805">
        <f t="shared" si="299"/>
        <v>0</v>
      </c>
      <c r="AY156" s="805">
        <f t="shared" si="299"/>
        <v>1</v>
      </c>
      <c r="AZ156" s="805">
        <f t="shared" si="299"/>
        <v>3</v>
      </c>
      <c r="BA156" s="805">
        <f t="shared" si="299"/>
        <v>5</v>
      </c>
      <c r="BB156" s="805">
        <f t="shared" si="299"/>
        <v>6</v>
      </c>
    </row>
    <row r="157" spans="1:54" ht="15" customHeight="1">
      <c r="A157" s="417"/>
      <c r="B157" s="821"/>
      <c r="C157" s="780">
        <f>C158-$G$439</f>
        <v>0.2</v>
      </c>
      <c r="D157" s="632">
        <f t="shared" ref="D157:L157" si="300">D117-AJ$95</f>
        <v>4.3730461611523719E-2</v>
      </c>
      <c r="E157" s="632">
        <f t="shared" si="300"/>
        <v>5.078876102609553E-2</v>
      </c>
      <c r="F157" s="632">
        <f t="shared" si="300"/>
        <v>5.8232167997514184E-2</v>
      </c>
      <c r="G157" s="632">
        <f t="shared" si="300"/>
        <v>6.6099844128853613E-2</v>
      </c>
      <c r="H157" s="632">
        <f t="shared" si="300"/>
        <v>7.4437053802928421E-2</v>
      </c>
      <c r="I157" s="632">
        <f t="shared" si="300"/>
        <v>8.3296498096080418E-2</v>
      </c>
      <c r="J157" s="632">
        <f t="shared" si="300"/>
        <v>9.2740036284036931E-2</v>
      </c>
      <c r="K157" s="632">
        <f t="shared" si="300"/>
        <v>0.10284093943356676</v>
      </c>
      <c r="L157" s="632">
        <f t="shared" si="300"/>
        <v>0.11368688803333993</v>
      </c>
      <c r="M157" s="417"/>
      <c r="N157" s="417"/>
      <c r="O157" s="417"/>
      <c r="P157" s="417"/>
      <c r="Q157" s="417"/>
      <c r="AT157" s="805">
        <f t="shared" ref="AT157:BB157" si="301">IF(Z131&lt;$G$449,0,MIN($G$446,1+IFERROR(INT((Z131-$G$449)/$G$463),0)))</f>
        <v>0</v>
      </c>
      <c r="AU157" s="805">
        <f t="shared" si="301"/>
        <v>0</v>
      </c>
      <c r="AV157" s="805">
        <f t="shared" si="301"/>
        <v>0</v>
      </c>
      <c r="AW157" s="805">
        <f t="shared" si="301"/>
        <v>0</v>
      </c>
      <c r="AX157" s="805">
        <f t="shared" si="301"/>
        <v>1</v>
      </c>
      <c r="AY157" s="805">
        <f t="shared" si="301"/>
        <v>2</v>
      </c>
      <c r="AZ157" s="805">
        <f t="shared" si="301"/>
        <v>4</v>
      </c>
      <c r="BA157" s="805">
        <f t="shared" si="301"/>
        <v>5</v>
      </c>
      <c r="BB157" s="805">
        <f t="shared" si="301"/>
        <v>7</v>
      </c>
    </row>
    <row r="158" spans="1:54" ht="15" customHeight="1">
      <c r="A158" s="417"/>
      <c r="B158" s="821"/>
      <c r="C158" s="780">
        <f>C159-$G$439</f>
        <v>0.25</v>
      </c>
      <c r="D158" s="632">
        <f t="shared" ref="D158:L158" si="302">D118-AJ$95</f>
        <v>5.5031049939527676E-2</v>
      </c>
      <c r="E158" s="632">
        <f t="shared" si="302"/>
        <v>6.1314224126444383E-2</v>
      </c>
      <c r="F158" s="632">
        <f t="shared" si="302"/>
        <v>6.7959125298272971E-2</v>
      </c>
      <c r="G158" s="632">
        <f t="shared" si="302"/>
        <v>7.5003676167339606E-2</v>
      </c>
      <c r="H158" s="632">
        <f t="shared" si="302"/>
        <v>8.2491808998196969E-2</v>
      </c>
      <c r="I158" s="632">
        <f t="shared" si="302"/>
        <v>9.0474790357455204E-2</v>
      </c>
      <c r="J158" s="632">
        <f t="shared" si="302"/>
        <v>9.9012932353380601E-2</v>
      </c>
      <c r="K158" s="632">
        <f t="shared" si="302"/>
        <v>0.10817783468191866</v>
      </c>
      <c r="L158" s="632">
        <f t="shared" si="302"/>
        <v>0.11805536924057303</v>
      </c>
      <c r="M158" s="417"/>
      <c r="N158" s="417"/>
      <c r="O158" s="417"/>
      <c r="P158" s="417"/>
      <c r="Q158" s="417"/>
      <c r="AT158" s="805">
        <f t="shared" ref="AT158:BB158" si="303">IF(Z132&lt;$G$449,0,MIN($G$446,1+IFERROR(INT((Z132-$G$449)/$G$463),0)))</f>
        <v>0</v>
      </c>
      <c r="AU158" s="805">
        <f t="shared" si="303"/>
        <v>0</v>
      </c>
      <c r="AV158" s="805">
        <f t="shared" si="303"/>
        <v>0</v>
      </c>
      <c r="AW158" s="805">
        <f t="shared" si="303"/>
        <v>1</v>
      </c>
      <c r="AX158" s="805">
        <f t="shared" si="303"/>
        <v>2</v>
      </c>
      <c r="AY158" s="805">
        <f t="shared" si="303"/>
        <v>4</v>
      </c>
      <c r="AZ158" s="805">
        <f t="shared" si="303"/>
        <v>5</v>
      </c>
      <c r="BA158" s="805">
        <f t="shared" si="303"/>
        <v>6</v>
      </c>
      <c r="BB158" s="805">
        <f t="shared" si="303"/>
        <v>8</v>
      </c>
    </row>
    <row r="159" spans="1:54" ht="15" customHeight="1">
      <c r="A159" s="417"/>
      <c r="B159" s="821"/>
      <c r="C159" s="780">
        <f>$G$438</f>
        <v>0.3</v>
      </c>
      <c r="D159" s="632">
        <f t="shared" ref="D159:L159" si="304">D119-AJ$95</f>
        <v>6.5999919236809479E-2</v>
      </c>
      <c r="E159" s="632">
        <f t="shared" si="304"/>
        <v>7.155274130781808E-2</v>
      </c>
      <c r="F159" s="632">
        <f t="shared" si="304"/>
        <v>7.7442113510935551E-2</v>
      </c>
      <c r="G159" s="632">
        <f t="shared" si="304"/>
        <v>8.3704425352274736E-2</v>
      </c>
      <c r="H159" s="790">
        <f t="shared" si="304"/>
        <v>9.0381942850864538E-2</v>
      </c>
      <c r="I159" s="632">
        <f t="shared" si="304"/>
        <v>9.752411815049844E-2</v>
      </c>
      <c r="J159" s="632">
        <f t="shared" si="304"/>
        <v>0.10518928356686241</v>
      </c>
      <c r="K159" s="632">
        <f t="shared" si="304"/>
        <v>0.11344687388997565</v>
      </c>
      <c r="L159" s="632">
        <f t="shared" si="304"/>
        <v>0.12238038833023723</v>
      </c>
      <c r="M159" s="417"/>
      <c r="N159" s="417"/>
      <c r="O159" s="417"/>
      <c r="P159" s="417"/>
      <c r="Q159" s="417"/>
      <c r="AT159" s="805">
        <f t="shared" ref="AT159:BB159" si="305">IF(Z133&lt;$G$449,0,MIN($G$446,1+IFERROR(INT((Z133-$G$449)/$G$463),0)))</f>
        <v>0</v>
      </c>
      <c r="AU159" s="805">
        <f t="shared" si="305"/>
        <v>0</v>
      </c>
      <c r="AV159" s="805">
        <f t="shared" si="305"/>
        <v>2</v>
      </c>
      <c r="AW159" s="805">
        <f t="shared" si="305"/>
        <v>3</v>
      </c>
      <c r="AX159" s="805">
        <f t="shared" si="305"/>
        <v>4</v>
      </c>
      <c r="AY159" s="805">
        <f t="shared" si="305"/>
        <v>5</v>
      </c>
      <c r="AZ159" s="805">
        <f t="shared" si="305"/>
        <v>6</v>
      </c>
      <c r="BA159" s="805">
        <f t="shared" si="305"/>
        <v>7</v>
      </c>
      <c r="BB159" s="805">
        <f t="shared" si="305"/>
        <v>8</v>
      </c>
    </row>
    <row r="160" spans="1:54" ht="15" customHeight="1">
      <c r="A160" s="417"/>
      <c r="B160" s="821"/>
      <c r="C160" s="780">
        <f>C159+$G$439</f>
        <v>0.35</v>
      </c>
      <c r="D160" s="632">
        <f t="shared" ref="D160:L160" si="306">D120-AJ$95</f>
        <v>7.6660339973239733E-2</v>
      </c>
      <c r="E160" s="632">
        <f t="shared" si="306"/>
        <v>8.1523196612389714E-2</v>
      </c>
      <c r="F160" s="632">
        <f t="shared" si="306"/>
        <v>8.6696079580797614E-2</v>
      </c>
      <c r="G160" s="632">
        <f t="shared" si="306"/>
        <v>9.2213566897631383E-2</v>
      </c>
      <c r="H160" s="632">
        <f t="shared" si="306"/>
        <v>9.8115936172583407E-2</v>
      </c>
      <c r="I160" s="632">
        <f t="shared" si="306"/>
        <v>0.10445045165156874</v>
      </c>
      <c r="J160" s="632">
        <f t="shared" si="306"/>
        <v>0.11127303188284898</v>
      </c>
      <c r="K160" s="632">
        <f t="shared" si="306"/>
        <v>0.11865044147176351</v>
      </c>
      <c r="L160" s="632">
        <f t="shared" si="306"/>
        <v>0.12666321721427809</v>
      </c>
      <c r="M160" s="417"/>
      <c r="N160" s="417"/>
      <c r="O160" s="417"/>
      <c r="P160" s="417"/>
      <c r="Q160" s="417"/>
      <c r="AT160" s="805">
        <f t="shared" ref="AT160:BB160" si="307">IF(Z134&lt;$G$449,0,MIN($G$446,1+IFERROR(INT((Z134-$G$449)/$G$463),0)))</f>
        <v>1</v>
      </c>
      <c r="AU160" s="805">
        <f t="shared" si="307"/>
        <v>2</v>
      </c>
      <c r="AV160" s="805">
        <f t="shared" si="307"/>
        <v>3</v>
      </c>
      <c r="AW160" s="805">
        <f t="shared" si="307"/>
        <v>4</v>
      </c>
      <c r="AX160" s="805">
        <f t="shared" si="307"/>
        <v>5</v>
      </c>
      <c r="AY160" s="805">
        <f t="shared" si="307"/>
        <v>6</v>
      </c>
      <c r="AZ160" s="805">
        <f t="shared" si="307"/>
        <v>7</v>
      </c>
      <c r="BA160" s="805">
        <f t="shared" si="307"/>
        <v>8</v>
      </c>
      <c r="BB160" s="805">
        <f t="shared" si="307"/>
        <v>9</v>
      </c>
    </row>
    <row r="161" spans="1:54" ht="15" customHeight="1">
      <c r="A161" s="417"/>
      <c r="B161" s="821"/>
      <c r="C161" s="780">
        <f>C160+$G$439</f>
        <v>0.39999999999999997</v>
      </c>
      <c r="D161" s="632">
        <f t="shared" ref="D161:L161" si="308">D121-AJ$95</f>
        <v>8.7033173695427513E-2</v>
      </c>
      <c r="E161" s="632">
        <f t="shared" si="308"/>
        <v>9.1242639267895553E-2</v>
      </c>
      <c r="F161" s="632">
        <f t="shared" si="308"/>
        <v>9.5734618286140494E-2</v>
      </c>
      <c r="G161" s="632">
        <f t="shared" si="308"/>
        <v>0.10054161900271552</v>
      </c>
      <c r="H161" s="632">
        <f t="shared" si="308"/>
        <v>0.10570162590227339</v>
      </c>
      <c r="I161" s="632">
        <f t="shared" si="308"/>
        <v>0.11125935499476047</v>
      </c>
      <c r="J161" s="632">
        <f t="shared" si="308"/>
        <v>0.11726788422691659</v>
      </c>
      <c r="K161" s="632">
        <f t="shared" si="308"/>
        <v>0.1237908009205948</v>
      </c>
      <c r="L161" s="632">
        <f t="shared" si="308"/>
        <v>0.13090507536801788</v>
      </c>
      <c r="M161" s="417"/>
      <c r="N161" s="417"/>
      <c r="O161" s="417"/>
      <c r="P161" s="417"/>
      <c r="Q161" s="417"/>
      <c r="AT161" s="805">
        <f t="shared" ref="AT161:BB161" si="309">IF(Z135&lt;$G$449,0,MIN($G$446,1+IFERROR(INT((Z135-$G$449)/$G$463),0)))</f>
        <v>3</v>
      </c>
      <c r="AU161" s="805">
        <f t="shared" si="309"/>
        <v>4</v>
      </c>
      <c r="AV161" s="805">
        <f t="shared" si="309"/>
        <v>5</v>
      </c>
      <c r="AW161" s="805">
        <f t="shared" si="309"/>
        <v>6</v>
      </c>
      <c r="AX161" s="805">
        <f t="shared" si="309"/>
        <v>7</v>
      </c>
      <c r="AY161" s="805">
        <f t="shared" si="309"/>
        <v>7</v>
      </c>
      <c r="AZ161" s="805">
        <f t="shared" si="309"/>
        <v>8</v>
      </c>
      <c r="BA161" s="805">
        <f t="shared" si="309"/>
        <v>9</v>
      </c>
      <c r="BB161" s="805">
        <f t="shared" si="309"/>
        <v>10</v>
      </c>
    </row>
    <row r="162" spans="1:54" ht="15" customHeight="1">
      <c r="A162" s="417"/>
      <c r="B162" s="822"/>
      <c r="C162" s="781">
        <f>C161+$G$439</f>
        <v>0.44999999999999996</v>
      </c>
      <c r="D162" s="791">
        <f t="shared" ref="D162:L162" si="310">D122-AJ$95</f>
        <v>9.7137199410528563E-2</v>
      </c>
      <c r="E162" s="791">
        <f t="shared" si="310"/>
        <v>0.10072651752843376</v>
      </c>
      <c r="F162" s="791">
        <f t="shared" si="310"/>
        <v>0.10457013309311147</v>
      </c>
      <c r="G162" s="791">
        <f t="shared" si="310"/>
        <v>0.10869824815891715</v>
      </c>
      <c r="H162" s="791">
        <f t="shared" si="310"/>
        <v>0.11314626972767461</v>
      </c>
      <c r="I162" s="791">
        <f t="shared" si="310"/>
        <v>0.11795602294900265</v>
      </c>
      <c r="J162" s="791">
        <f t="shared" si="310"/>
        <v>0.12317733117975282</v>
      </c>
      <c r="K162" s="791">
        <f t="shared" si="310"/>
        <v>0.12887010303743351</v>
      </c>
      <c r="L162" s="791">
        <f t="shared" si="310"/>
        <v>0.13510713276094521</v>
      </c>
      <c r="M162" s="417"/>
      <c r="N162" s="417"/>
      <c r="O162" s="417"/>
      <c r="P162" s="417"/>
      <c r="Q162" s="417"/>
      <c r="AT162" s="805">
        <f t="shared" ref="AT162:BB162" si="311">IF(Z136&lt;$G$449,0,MIN($G$446,1+IFERROR(INT((Z136-$G$449)/$G$463),0)))</f>
        <v>6</v>
      </c>
      <c r="AU162" s="805">
        <f t="shared" si="311"/>
        <v>6</v>
      </c>
      <c r="AV162" s="805">
        <f t="shared" si="311"/>
        <v>7</v>
      </c>
      <c r="AW162" s="805">
        <f t="shared" si="311"/>
        <v>7</v>
      </c>
      <c r="AX162" s="805">
        <f t="shared" si="311"/>
        <v>8</v>
      </c>
      <c r="AY162" s="805">
        <f t="shared" si="311"/>
        <v>9</v>
      </c>
      <c r="AZ162" s="805">
        <f t="shared" si="311"/>
        <v>9</v>
      </c>
      <c r="BA162" s="805">
        <f t="shared" si="311"/>
        <v>10</v>
      </c>
      <c r="BB162" s="805">
        <f t="shared" si="311"/>
        <v>10</v>
      </c>
    </row>
    <row r="163" spans="1:54" ht="15" hidden="1" customHeight="1" outlineLevel="1">
      <c r="A163" s="417"/>
      <c r="B163" s="423" t="s">
        <v>2592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7"/>
      <c r="O163" s="417"/>
      <c r="P163" s="417"/>
      <c r="Q163" s="417"/>
    </row>
    <row r="164" spans="1:54" ht="3.95" customHeight="1" collapsed="1">
      <c r="A164" s="417"/>
      <c r="B164" s="417"/>
      <c r="C164" s="417"/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7"/>
      <c r="O164" s="417"/>
      <c r="P164" s="417"/>
      <c r="Q164" s="417"/>
    </row>
    <row r="165" spans="1:54" ht="15" customHeight="1">
      <c r="A165" s="417"/>
      <c r="B165" s="796" t="str">
        <f>"Ben's Return Profile Based on Partnering — Topkey Growth × Net Client Wins ("&amp;TEXT($G$436,"0%")&amp;" Rollover)"</f>
        <v>Ben's Return Profile Based on Partnering — Topkey Growth × Net Client Wins (30% Rollover)</v>
      </c>
      <c r="C165" s="797"/>
      <c r="D165" s="797"/>
      <c r="E165" s="797"/>
      <c r="F165" s="797"/>
      <c r="G165" s="797"/>
      <c r="H165" s="797"/>
      <c r="I165" s="797"/>
      <c r="J165" s="797"/>
      <c r="K165" s="797"/>
      <c r="L165" s="797"/>
      <c r="M165" s="417"/>
      <c r="N165" s="417"/>
      <c r="O165" s="417"/>
      <c r="P165" s="417"/>
      <c r="Q165" s="417"/>
    </row>
    <row r="166" spans="1:54" ht="15" customHeight="1">
      <c r="A166" s="417"/>
      <c r="B166" s="148" t="s">
        <v>2599</v>
      </c>
      <c r="C166" s="417"/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7"/>
      <c r="O166" s="417"/>
      <c r="P166" s="417"/>
      <c r="Q166" s="417"/>
    </row>
    <row r="167" spans="1:54" ht="2.1" customHeight="1">
      <c r="A167" s="417"/>
      <c r="B167" s="417"/>
      <c r="C167" s="417"/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7"/>
      <c r="O167" s="417"/>
      <c r="P167" s="417"/>
      <c r="Q167" s="417"/>
    </row>
    <row r="168" spans="1:54" ht="12.75" customHeight="1">
      <c r="A168" s="417"/>
      <c r="B168" s="454"/>
      <c r="C168" s="454"/>
      <c r="D168" s="768" t="s">
        <v>2527</v>
      </c>
      <c r="E168" s="768"/>
      <c r="F168" s="768"/>
      <c r="G168" s="768"/>
      <c r="H168" s="768"/>
      <c r="I168" s="768"/>
      <c r="J168" s="768"/>
      <c r="K168" s="768"/>
      <c r="L168" s="768"/>
      <c r="M168" s="417"/>
      <c r="N168" s="417"/>
      <c r="O168" s="417"/>
      <c r="P168" s="417"/>
      <c r="Q168" s="417"/>
      <c r="Z168" s="787" t="str">
        <f>"Helper: Unrounded Net Return — Growth × Net Client Wins ("&amp;TEXT($G$436,"0%")&amp;" Rollover)"</f>
        <v>Helper: Unrounded Net Return — Growth × Net Client Wins (30% Rollover)</v>
      </c>
      <c r="AA168" s="747"/>
      <c r="AB168" s="747"/>
      <c r="AC168" s="747"/>
      <c r="AD168" s="747"/>
      <c r="AE168" s="747"/>
      <c r="AF168" s="747"/>
      <c r="AG168" s="747"/>
      <c r="AH168" s="747"/>
      <c r="AJ168" s="804" t="s">
        <v>2594</v>
      </c>
      <c r="AK168" s="804" t="s">
        <v>2595</v>
      </c>
      <c r="AL168" s="804" t="s">
        <v>2596</v>
      </c>
      <c r="AM168" s="804" t="s">
        <v>2597</v>
      </c>
    </row>
    <row r="169" spans="1:54" ht="12.75" customHeight="1">
      <c r="A169" s="417"/>
      <c r="B169" s="454"/>
      <c r="C169" s="454"/>
      <c r="D169" s="769">
        <f>E169-$G$441</f>
        <v>1.0219039595619215</v>
      </c>
      <c r="E169" s="769">
        <f>F169-$G$441</f>
        <v>1.2719039595619215</v>
      </c>
      <c r="F169" s="769">
        <f>G169-$G$441</f>
        <v>1.5219039595619215</v>
      </c>
      <c r="G169" s="769">
        <f>H169-$G$441</f>
        <v>1.7719039595619215</v>
      </c>
      <c r="H169" s="769">
        <f>$G$440</f>
        <v>2.0219039595619215</v>
      </c>
      <c r="I169" s="769">
        <f>H169+$G$441</f>
        <v>2.2719039595619215</v>
      </c>
      <c r="J169" s="769">
        <f>I169+$G$441</f>
        <v>2.5219039595619215</v>
      </c>
      <c r="K169" s="769">
        <f>J169+$G$441</f>
        <v>2.7719039595619215</v>
      </c>
      <c r="L169" s="769">
        <f>K169+$G$441</f>
        <v>3.0219039595619215</v>
      </c>
      <c r="M169" s="417"/>
      <c r="N169" s="417"/>
      <c r="O169" s="417"/>
      <c r="P169" s="417"/>
      <c r="Q169" s="417"/>
      <c r="Z169" s="799">
        <f>D$169</f>
        <v>1.0219039595619215</v>
      </c>
      <c r="AA169" s="799">
        <f t="shared" ref="AA169:AH169" si="312">E$169</f>
        <v>1.2719039595619215</v>
      </c>
      <c r="AB169" s="799">
        <f t="shared" si="312"/>
        <v>1.5219039595619215</v>
      </c>
      <c r="AC169" s="799">
        <f t="shared" si="312"/>
        <v>1.7719039595619215</v>
      </c>
      <c r="AD169" s="799">
        <f t="shared" si="312"/>
        <v>2.0219039595619215</v>
      </c>
      <c r="AE169" s="799">
        <f t="shared" si="312"/>
        <v>2.2719039595619215</v>
      </c>
      <c r="AF169" s="799">
        <f t="shared" si="312"/>
        <v>2.5219039595619215</v>
      </c>
      <c r="AG169" s="799">
        <f t="shared" si="312"/>
        <v>2.7719039595619215</v>
      </c>
      <c r="AH169" s="799">
        <f t="shared" si="312"/>
        <v>3.0219039595619215</v>
      </c>
      <c r="AJ169" s="747"/>
      <c r="AK169" s="747"/>
      <c r="AL169" s="747"/>
      <c r="AM169" s="747"/>
      <c r="AT169" s="773" t="s">
        <v>2616</v>
      </c>
      <c r="AU169" s="427"/>
      <c r="AV169" s="427"/>
      <c r="AW169" s="427"/>
      <c r="AX169" s="427"/>
      <c r="AY169" s="427"/>
      <c r="AZ169" s="427"/>
      <c r="BA169" s="427"/>
      <c r="BB169" s="427"/>
    </row>
    <row r="170" spans="1:54" ht="15" customHeight="1">
      <c r="A170" s="417"/>
      <c r="B170" s="820" t="s">
        <v>2593</v>
      </c>
      <c r="C170" s="802">
        <f>C171+$G$458</f>
        <v>60</v>
      </c>
      <c r="D170" s="621">
        <f>ROUND(Z170,$G$452)</f>
        <v>5400</v>
      </c>
      <c r="E170" s="621">
        <f t="shared" ref="E170:E176" si="313">ROUND(AA170,$G$452)</f>
        <v>5700</v>
      </c>
      <c r="F170" s="621">
        <f t="shared" ref="F170:F176" si="314">ROUND(AB170,$G$452)</f>
        <v>6000</v>
      </c>
      <c r="G170" s="621">
        <f t="shared" ref="G170:G176" si="315">ROUND(AC170,$G$452)</f>
        <v>6400</v>
      </c>
      <c r="H170" s="621">
        <f t="shared" ref="H170:H176" si="316">ROUND(AD170,$G$452)</f>
        <v>6700</v>
      </c>
      <c r="I170" s="621">
        <f t="shared" ref="I170:I176" si="317">ROUND(AE170,$G$452)</f>
        <v>7000</v>
      </c>
      <c r="J170" s="621">
        <f t="shared" ref="J170:J176" si="318">ROUND(AF170,$G$452)</f>
        <v>7400</v>
      </c>
      <c r="K170" s="621">
        <f t="shared" ref="K170:K176" si="319">ROUND(AG170,$G$452)</f>
        <v>7700</v>
      </c>
      <c r="L170" s="621">
        <f t="shared" ref="L170:L176" si="320">ROUND(AH170,$G$452)</f>
        <v>8000</v>
      </c>
      <c r="M170" s="417"/>
      <c r="N170" s="417"/>
      <c r="O170" s="417"/>
      <c r="P170" s="417"/>
      <c r="Q170" s="417"/>
      <c r="Z170" s="367">
        <f t="shared" ref="Z170:AH176" si="321">$O$18+$G$435+$N$18*$AK170+$R$18*($Q$18*(1+D$169)+$AK170*(1-$N$18))-$G$430</f>
        <v>5383.4703865884421</v>
      </c>
      <c r="AA170" s="367">
        <f t="shared" si="321"/>
        <v>5716.0766721864893</v>
      </c>
      <c r="AB170" s="367">
        <f t="shared" si="321"/>
        <v>6048.6829577845365</v>
      </c>
      <c r="AC170" s="367">
        <f t="shared" si="321"/>
        <v>6381.2892433825837</v>
      </c>
      <c r="AD170" s="367">
        <f t="shared" si="321"/>
        <v>6713.8955289806308</v>
      </c>
      <c r="AE170" s="367">
        <f t="shared" si="321"/>
        <v>7046.501814578678</v>
      </c>
      <c r="AF170" s="367">
        <f t="shared" si="321"/>
        <v>7379.1081001767234</v>
      </c>
      <c r="AG170" s="367">
        <f t="shared" si="321"/>
        <v>7711.7143857747724</v>
      </c>
      <c r="AH170" s="367">
        <f t="shared" si="321"/>
        <v>8044.3206713728177</v>
      </c>
      <c r="AJ170" s="367">
        <f>$C170</f>
        <v>60</v>
      </c>
      <c r="AK170" s="367">
        <f>($G$453+AJ170*$G$445*$G$454)*$G$455</f>
        <v>15975.965836610165</v>
      </c>
      <c r="AL170" s="367">
        <f>($G$453+(AJ170-$G$459)*$G$445*$G$460)*$G$461*$G$462</f>
        <v>8737.6181733050835</v>
      </c>
      <c r="AM170" s="801">
        <f>IFERROR((AL170/$G$430)^(1/$G$445)-1,0)</f>
        <v>0.23838123203554318</v>
      </c>
      <c r="AT170" s="805">
        <f>IF(Z210&lt;$G$449,0,MIN($G$446,1+IFERROR(INT((Z210-$G$449)/$G$464),0)))</f>
        <v>0</v>
      </c>
      <c r="AU170" s="805">
        <f t="shared" ref="AU170:BB170" si="322">IF(AA210&lt;$G$449,0,MIN($G$446,1+IFERROR(INT((AA210-$G$449)/$G$464),0)))</f>
        <v>0</v>
      </c>
      <c r="AV170" s="805">
        <f t="shared" si="322"/>
        <v>0</v>
      </c>
      <c r="AW170" s="805">
        <f t="shared" si="322"/>
        <v>0</v>
      </c>
      <c r="AX170" s="805">
        <f t="shared" si="322"/>
        <v>0</v>
      </c>
      <c r="AY170" s="805">
        <f t="shared" si="322"/>
        <v>2</v>
      </c>
      <c r="AZ170" s="805">
        <f t="shared" si="322"/>
        <v>3</v>
      </c>
      <c r="BA170" s="805">
        <f t="shared" si="322"/>
        <v>4</v>
      </c>
      <c r="BB170" s="805">
        <f t="shared" si="322"/>
        <v>6</v>
      </c>
    </row>
    <row r="171" spans="1:54" ht="15" customHeight="1">
      <c r="A171" s="417"/>
      <c r="B171" s="821"/>
      <c r="C171" s="802">
        <f>C172+$G$458</f>
        <v>56</v>
      </c>
      <c r="D171" s="470">
        <f t="shared" ref="D171:D176" si="323">ROUND(Z171,$G$452)</f>
        <v>5200</v>
      </c>
      <c r="E171" s="470">
        <f t="shared" si="313"/>
        <v>5500</v>
      </c>
      <c r="F171" s="470">
        <f t="shared" si="314"/>
        <v>5800</v>
      </c>
      <c r="G171" s="470">
        <f t="shared" si="315"/>
        <v>6200</v>
      </c>
      <c r="H171" s="470">
        <f t="shared" si="316"/>
        <v>6500</v>
      </c>
      <c r="I171" s="470">
        <f t="shared" si="317"/>
        <v>6800</v>
      </c>
      <c r="J171" s="470">
        <f t="shared" si="318"/>
        <v>7200</v>
      </c>
      <c r="K171" s="470">
        <f t="shared" si="319"/>
        <v>7500</v>
      </c>
      <c r="L171" s="470">
        <f t="shared" si="320"/>
        <v>7800</v>
      </c>
      <c r="M171" s="417"/>
      <c r="N171" s="417"/>
      <c r="O171" s="417"/>
      <c r="P171" s="417"/>
      <c r="Q171" s="417"/>
      <c r="Z171" s="367">
        <f t="shared" si="321"/>
        <v>5173.4537210160106</v>
      </c>
      <c r="AA171" s="367">
        <f t="shared" si="321"/>
        <v>5506.0600066140578</v>
      </c>
      <c r="AB171" s="367">
        <f t="shared" si="321"/>
        <v>5838.666292212105</v>
      </c>
      <c r="AC171" s="367">
        <f t="shared" si="321"/>
        <v>6171.2725778101521</v>
      </c>
      <c r="AD171" s="367">
        <f t="shared" si="321"/>
        <v>6503.8788634081975</v>
      </c>
      <c r="AE171" s="367">
        <f t="shared" si="321"/>
        <v>6836.4851490062465</v>
      </c>
      <c r="AF171" s="367">
        <f t="shared" si="321"/>
        <v>7169.0914346042919</v>
      </c>
      <c r="AG171" s="367">
        <f t="shared" si="321"/>
        <v>7501.6977202023409</v>
      </c>
      <c r="AH171" s="367">
        <f t="shared" si="321"/>
        <v>7834.3040058003862</v>
      </c>
      <c r="AJ171" s="367">
        <f t="shared" ref="AJ171:AJ176" si="324">$C171</f>
        <v>56</v>
      </c>
      <c r="AK171" s="367">
        <f t="shared" ref="AK171:AK176" si="325">($G$453+AJ171*$G$445*$G$454)*$G$455</f>
        <v>15310.706916836156</v>
      </c>
      <c r="AL171" s="367">
        <f t="shared" ref="AL171:AL176" si="326">($G$453+(AJ171-$G$459)*$G$445*$G$460)*$G$461*$G$462</f>
        <v>8321.8313484463251</v>
      </c>
      <c r="AM171" s="801">
        <f t="shared" ref="AM171:AM176" si="327">IFERROR((AL171/$G$430)^(1/$G$445)-1,0)</f>
        <v>0.22636438906489675</v>
      </c>
      <c r="AT171" s="805">
        <f t="shared" ref="AT171:BB171" si="328">IF(Z211&lt;$G$449,0,MIN($G$446,1+IFERROR(INT((Z211-$G$449)/$G$464),0)))</f>
        <v>0</v>
      </c>
      <c r="AU171" s="805">
        <f t="shared" si="328"/>
        <v>0</v>
      </c>
      <c r="AV171" s="805">
        <f t="shared" si="328"/>
        <v>0</v>
      </c>
      <c r="AW171" s="805">
        <f t="shared" si="328"/>
        <v>0</v>
      </c>
      <c r="AX171" s="805">
        <f t="shared" si="328"/>
        <v>1</v>
      </c>
      <c r="AY171" s="805">
        <f t="shared" si="328"/>
        <v>3</v>
      </c>
      <c r="AZ171" s="805">
        <f t="shared" si="328"/>
        <v>4</v>
      </c>
      <c r="BA171" s="805">
        <f t="shared" si="328"/>
        <v>5</v>
      </c>
      <c r="BB171" s="805">
        <f t="shared" si="328"/>
        <v>6</v>
      </c>
    </row>
    <row r="172" spans="1:54" ht="15" customHeight="1">
      <c r="A172" s="417"/>
      <c r="B172" s="821"/>
      <c r="C172" s="802">
        <f>C173+$G$458</f>
        <v>52</v>
      </c>
      <c r="D172" s="470">
        <f t="shared" si="323"/>
        <v>5000</v>
      </c>
      <c r="E172" s="470">
        <f t="shared" si="313"/>
        <v>5300</v>
      </c>
      <c r="F172" s="470">
        <f t="shared" si="314"/>
        <v>5600</v>
      </c>
      <c r="G172" s="470">
        <f t="shared" si="315"/>
        <v>6000</v>
      </c>
      <c r="H172" s="470">
        <f t="shared" si="316"/>
        <v>6300</v>
      </c>
      <c r="I172" s="470">
        <f t="shared" si="317"/>
        <v>6600</v>
      </c>
      <c r="J172" s="470">
        <f t="shared" si="318"/>
        <v>7000</v>
      </c>
      <c r="K172" s="470">
        <f t="shared" si="319"/>
        <v>7300</v>
      </c>
      <c r="L172" s="470">
        <f t="shared" si="320"/>
        <v>7600</v>
      </c>
      <c r="M172" s="417"/>
      <c r="N172" s="417"/>
      <c r="O172" s="417"/>
      <c r="P172" s="417"/>
      <c r="Q172" s="417"/>
      <c r="Z172" s="367">
        <f t="shared" si="321"/>
        <v>4963.4370554435773</v>
      </c>
      <c r="AA172" s="367">
        <f t="shared" si="321"/>
        <v>5296.0433410416244</v>
      </c>
      <c r="AB172" s="367">
        <f t="shared" si="321"/>
        <v>5628.6496266396716</v>
      </c>
      <c r="AC172" s="367">
        <f t="shared" si="321"/>
        <v>5961.2559122377188</v>
      </c>
      <c r="AD172" s="367">
        <f t="shared" si="321"/>
        <v>6293.862197835766</v>
      </c>
      <c r="AE172" s="367">
        <f t="shared" si="321"/>
        <v>6626.4684834338132</v>
      </c>
      <c r="AF172" s="367">
        <f t="shared" si="321"/>
        <v>6959.0747690318603</v>
      </c>
      <c r="AG172" s="367">
        <f t="shared" si="321"/>
        <v>7291.6810546299075</v>
      </c>
      <c r="AH172" s="367">
        <f t="shared" si="321"/>
        <v>7624.2873402279547</v>
      </c>
      <c r="AJ172" s="367">
        <f t="shared" si="324"/>
        <v>52</v>
      </c>
      <c r="AK172" s="367">
        <f t="shared" si="325"/>
        <v>14645.447997062143</v>
      </c>
      <c r="AL172" s="367">
        <f t="shared" si="326"/>
        <v>7906.0445235875686</v>
      </c>
      <c r="AM172" s="801">
        <f t="shared" si="327"/>
        <v>0.21385720427347321</v>
      </c>
      <c r="AT172" s="805">
        <f t="shared" ref="AT172:BB172" si="329">IF(Z212&lt;$G$449,0,MIN($G$446,1+IFERROR(INT((Z212-$G$449)/$G$464),0)))</f>
        <v>0</v>
      </c>
      <c r="AU172" s="805">
        <f t="shared" si="329"/>
        <v>0</v>
      </c>
      <c r="AV172" s="805">
        <f t="shared" si="329"/>
        <v>0</v>
      </c>
      <c r="AW172" s="805">
        <f t="shared" si="329"/>
        <v>1</v>
      </c>
      <c r="AX172" s="805">
        <f t="shared" si="329"/>
        <v>2</v>
      </c>
      <c r="AY172" s="805">
        <f t="shared" si="329"/>
        <v>3</v>
      </c>
      <c r="AZ172" s="805">
        <f t="shared" si="329"/>
        <v>5</v>
      </c>
      <c r="BA172" s="805">
        <f t="shared" si="329"/>
        <v>6</v>
      </c>
      <c r="BB172" s="805">
        <f t="shared" si="329"/>
        <v>7</v>
      </c>
    </row>
    <row r="173" spans="1:54" ht="15" customHeight="1">
      <c r="A173" s="417"/>
      <c r="B173" s="821"/>
      <c r="C173" s="802">
        <f>$G$457</f>
        <v>48</v>
      </c>
      <c r="D173" s="470">
        <f t="shared" si="323"/>
        <v>4800</v>
      </c>
      <c r="E173" s="470">
        <f t="shared" si="313"/>
        <v>5100</v>
      </c>
      <c r="F173" s="470">
        <f t="shared" si="314"/>
        <v>5400</v>
      </c>
      <c r="G173" s="470">
        <f t="shared" si="315"/>
        <v>5800</v>
      </c>
      <c r="H173" s="782">
        <f t="shared" si="316"/>
        <v>6100</v>
      </c>
      <c r="I173" s="470">
        <f t="shared" si="317"/>
        <v>6400</v>
      </c>
      <c r="J173" s="470">
        <f t="shared" si="318"/>
        <v>6700</v>
      </c>
      <c r="K173" s="470">
        <f t="shared" si="319"/>
        <v>7100</v>
      </c>
      <c r="L173" s="470">
        <f t="shared" si="320"/>
        <v>7400</v>
      </c>
      <c r="M173" s="417"/>
      <c r="N173" s="417"/>
      <c r="O173" s="417"/>
      <c r="P173" s="417"/>
      <c r="Q173" s="417"/>
      <c r="Z173" s="367">
        <f t="shared" si="321"/>
        <v>4753.4203898711448</v>
      </c>
      <c r="AA173" s="367">
        <f t="shared" si="321"/>
        <v>5086.0266754691911</v>
      </c>
      <c r="AB173" s="367">
        <f t="shared" si="321"/>
        <v>5418.6329610672383</v>
      </c>
      <c r="AC173" s="367">
        <f t="shared" si="321"/>
        <v>5751.2392466652855</v>
      </c>
      <c r="AD173" s="367">
        <f t="shared" si="321"/>
        <v>6083.8455322633345</v>
      </c>
      <c r="AE173" s="367">
        <f t="shared" si="321"/>
        <v>6416.4518178613798</v>
      </c>
      <c r="AF173" s="367">
        <f t="shared" si="321"/>
        <v>6749.0581034594288</v>
      </c>
      <c r="AG173" s="367">
        <f t="shared" si="321"/>
        <v>7081.6643890574742</v>
      </c>
      <c r="AH173" s="367">
        <f t="shared" si="321"/>
        <v>7414.2706746555232</v>
      </c>
      <c r="AJ173" s="367">
        <f t="shared" si="324"/>
        <v>48</v>
      </c>
      <c r="AK173" s="367">
        <f t="shared" si="325"/>
        <v>13980.189077288132</v>
      </c>
      <c r="AL173" s="367">
        <f t="shared" si="326"/>
        <v>7490.2576987288121</v>
      </c>
      <c r="AM173" s="801">
        <f t="shared" si="327"/>
        <v>0.20081222595661186</v>
      </c>
      <c r="AT173" s="805">
        <f t="shared" ref="AT173:BB173" si="330">IF(Z213&lt;$G$449,0,MIN($G$446,1+IFERROR(INT((Z213-$G$449)/$G$464),0)))</f>
        <v>0</v>
      </c>
      <c r="AU173" s="805">
        <f t="shared" si="330"/>
        <v>0</v>
      </c>
      <c r="AV173" s="805">
        <f t="shared" si="330"/>
        <v>0</v>
      </c>
      <c r="AW173" s="805">
        <f t="shared" si="330"/>
        <v>2</v>
      </c>
      <c r="AX173" s="805">
        <f t="shared" si="330"/>
        <v>3</v>
      </c>
      <c r="AY173" s="805">
        <f t="shared" si="330"/>
        <v>4</v>
      </c>
      <c r="AZ173" s="805">
        <f t="shared" si="330"/>
        <v>5</v>
      </c>
      <c r="BA173" s="805">
        <f t="shared" si="330"/>
        <v>7</v>
      </c>
      <c r="BB173" s="805">
        <f t="shared" si="330"/>
        <v>8</v>
      </c>
    </row>
    <row r="174" spans="1:54" ht="15" customHeight="1">
      <c r="A174" s="417"/>
      <c r="B174" s="821"/>
      <c r="C174" s="802">
        <f>C173-$G$458</f>
        <v>44</v>
      </c>
      <c r="D174" s="470">
        <f t="shared" si="323"/>
        <v>4500</v>
      </c>
      <c r="E174" s="470">
        <f t="shared" si="313"/>
        <v>4900</v>
      </c>
      <c r="F174" s="470">
        <f t="shared" si="314"/>
        <v>5200</v>
      </c>
      <c r="G174" s="470">
        <f t="shared" si="315"/>
        <v>5500</v>
      </c>
      <c r="H174" s="470">
        <f t="shared" si="316"/>
        <v>5900</v>
      </c>
      <c r="I174" s="470">
        <f t="shared" si="317"/>
        <v>6200</v>
      </c>
      <c r="J174" s="470">
        <f t="shared" si="318"/>
        <v>6500</v>
      </c>
      <c r="K174" s="470">
        <f t="shared" si="319"/>
        <v>6900</v>
      </c>
      <c r="L174" s="470">
        <f t="shared" si="320"/>
        <v>7200</v>
      </c>
      <c r="M174" s="417"/>
      <c r="N174" s="417"/>
      <c r="O174" s="417"/>
      <c r="P174" s="417"/>
      <c r="Q174" s="417"/>
      <c r="Z174" s="367">
        <f t="shared" si="321"/>
        <v>4543.4037242987124</v>
      </c>
      <c r="AA174" s="367">
        <f t="shared" si="321"/>
        <v>4876.0100098967596</v>
      </c>
      <c r="AB174" s="367">
        <f t="shared" si="321"/>
        <v>5208.6162954948068</v>
      </c>
      <c r="AC174" s="367">
        <f t="shared" si="321"/>
        <v>5541.2225810928539</v>
      </c>
      <c r="AD174" s="367">
        <f t="shared" si="321"/>
        <v>5873.8288666908993</v>
      </c>
      <c r="AE174" s="367">
        <f t="shared" si="321"/>
        <v>6206.4351522889483</v>
      </c>
      <c r="AF174" s="367">
        <f t="shared" si="321"/>
        <v>6539.0414378869937</v>
      </c>
      <c r="AG174" s="367">
        <f t="shared" si="321"/>
        <v>6871.6477234850427</v>
      </c>
      <c r="AH174" s="367">
        <f t="shared" si="321"/>
        <v>7204.254009083088</v>
      </c>
      <c r="AJ174" s="367">
        <f t="shared" si="324"/>
        <v>44</v>
      </c>
      <c r="AK174" s="367">
        <f t="shared" si="325"/>
        <v>13314.930157514122</v>
      </c>
      <c r="AL174" s="367">
        <f t="shared" si="326"/>
        <v>7074.4708738700547</v>
      </c>
      <c r="AM174" s="801">
        <f t="shared" si="327"/>
        <v>0.18717445096254881</v>
      </c>
      <c r="AT174" s="805">
        <f t="shared" ref="AT174:BB174" si="331">IF(Z214&lt;$G$449,0,MIN($G$446,1+IFERROR(INT((Z214-$G$449)/$G$464),0)))</f>
        <v>0</v>
      </c>
      <c r="AU174" s="805">
        <f t="shared" si="331"/>
        <v>0</v>
      </c>
      <c r="AV174" s="805">
        <f t="shared" si="331"/>
        <v>1</v>
      </c>
      <c r="AW174" s="805">
        <f t="shared" si="331"/>
        <v>2</v>
      </c>
      <c r="AX174" s="805">
        <f t="shared" si="331"/>
        <v>4</v>
      </c>
      <c r="AY174" s="805">
        <f t="shared" si="331"/>
        <v>5</v>
      </c>
      <c r="AZ174" s="805">
        <f t="shared" si="331"/>
        <v>6</v>
      </c>
      <c r="BA174" s="805">
        <f t="shared" si="331"/>
        <v>8</v>
      </c>
      <c r="BB174" s="805">
        <f t="shared" si="331"/>
        <v>9</v>
      </c>
    </row>
    <row r="175" spans="1:54" ht="15" customHeight="1">
      <c r="A175" s="417"/>
      <c r="B175" s="821"/>
      <c r="C175" s="802">
        <f>C174-$G$458</f>
        <v>40</v>
      </c>
      <c r="D175" s="470">
        <f t="shared" si="323"/>
        <v>4300</v>
      </c>
      <c r="E175" s="470">
        <f t="shared" si="313"/>
        <v>4700</v>
      </c>
      <c r="F175" s="470">
        <f t="shared" si="314"/>
        <v>5000</v>
      </c>
      <c r="G175" s="470">
        <f t="shared" si="315"/>
        <v>5300</v>
      </c>
      <c r="H175" s="470">
        <f t="shared" si="316"/>
        <v>5700</v>
      </c>
      <c r="I175" s="470">
        <f t="shared" si="317"/>
        <v>6000</v>
      </c>
      <c r="J175" s="470">
        <f t="shared" si="318"/>
        <v>6300</v>
      </c>
      <c r="K175" s="470">
        <f t="shared" si="319"/>
        <v>6700</v>
      </c>
      <c r="L175" s="470">
        <f t="shared" si="320"/>
        <v>7000</v>
      </c>
      <c r="M175" s="417"/>
      <c r="N175" s="417"/>
      <c r="O175" s="417"/>
      <c r="P175" s="417"/>
      <c r="Q175" s="417"/>
      <c r="Z175" s="367">
        <f t="shared" si="321"/>
        <v>4333.3870587262791</v>
      </c>
      <c r="AA175" s="367">
        <f t="shared" si="321"/>
        <v>4665.9933443243244</v>
      </c>
      <c r="AB175" s="367">
        <f t="shared" si="321"/>
        <v>4998.5996299223716</v>
      </c>
      <c r="AC175" s="367">
        <f t="shared" si="321"/>
        <v>5331.2059155204188</v>
      </c>
      <c r="AD175" s="367">
        <f t="shared" si="321"/>
        <v>5663.8122011184678</v>
      </c>
      <c r="AE175" s="367">
        <f t="shared" si="321"/>
        <v>5996.4184867165131</v>
      </c>
      <c r="AF175" s="367">
        <f t="shared" si="321"/>
        <v>6329.0247723145621</v>
      </c>
      <c r="AG175" s="367">
        <f t="shared" si="321"/>
        <v>6661.6310579126075</v>
      </c>
      <c r="AH175" s="367">
        <f t="shared" si="321"/>
        <v>6994.2373435106565</v>
      </c>
      <c r="AJ175" s="367">
        <f t="shared" si="324"/>
        <v>40</v>
      </c>
      <c r="AK175" s="367">
        <f t="shared" si="325"/>
        <v>12649.671237740109</v>
      </c>
      <c r="AL175" s="367">
        <f t="shared" si="326"/>
        <v>6658.6840490112991</v>
      </c>
      <c r="AM175" s="801">
        <f t="shared" si="327"/>
        <v>0.17287959485981652</v>
      </c>
      <c r="AT175" s="805">
        <f t="shared" ref="AT175:BB175" si="332">IF(Z215&lt;$G$449,0,MIN($G$446,1+IFERROR(INT((Z215-$G$449)/$G$464),0)))</f>
        <v>0</v>
      </c>
      <c r="AU175" s="805">
        <f t="shared" si="332"/>
        <v>1</v>
      </c>
      <c r="AV175" s="805">
        <f t="shared" si="332"/>
        <v>2</v>
      </c>
      <c r="AW175" s="805">
        <f t="shared" si="332"/>
        <v>3</v>
      </c>
      <c r="AX175" s="805">
        <f t="shared" si="332"/>
        <v>4</v>
      </c>
      <c r="AY175" s="805">
        <f t="shared" si="332"/>
        <v>6</v>
      </c>
      <c r="AZ175" s="805">
        <f t="shared" si="332"/>
        <v>7</v>
      </c>
      <c r="BA175" s="805">
        <f t="shared" si="332"/>
        <v>8</v>
      </c>
      <c r="BB175" s="805">
        <f t="shared" si="332"/>
        <v>10</v>
      </c>
    </row>
    <row r="176" spans="1:54" ht="15" customHeight="1">
      <c r="A176" s="417"/>
      <c r="B176" s="822"/>
      <c r="C176" s="803">
        <f>C175-$G$458</f>
        <v>36</v>
      </c>
      <c r="D176" s="772">
        <f t="shared" si="323"/>
        <v>4100</v>
      </c>
      <c r="E176" s="772">
        <f t="shared" si="313"/>
        <v>4500</v>
      </c>
      <c r="F176" s="772">
        <f t="shared" si="314"/>
        <v>4800</v>
      </c>
      <c r="G176" s="772">
        <f t="shared" si="315"/>
        <v>5100</v>
      </c>
      <c r="H176" s="772">
        <f t="shared" si="316"/>
        <v>5500</v>
      </c>
      <c r="I176" s="772">
        <f t="shared" si="317"/>
        <v>5800</v>
      </c>
      <c r="J176" s="772">
        <f t="shared" si="318"/>
        <v>6100</v>
      </c>
      <c r="K176" s="772">
        <f t="shared" si="319"/>
        <v>6500</v>
      </c>
      <c r="L176" s="772">
        <f t="shared" si="320"/>
        <v>6800</v>
      </c>
      <c r="M176" s="417"/>
      <c r="N176" s="417"/>
      <c r="O176" s="417"/>
      <c r="P176" s="417"/>
      <c r="Q176" s="417"/>
      <c r="Z176" s="367">
        <f t="shared" si="321"/>
        <v>4123.3703931538475</v>
      </c>
      <c r="AA176" s="367">
        <f t="shared" si="321"/>
        <v>4455.9766787518947</v>
      </c>
      <c r="AB176" s="367">
        <f t="shared" si="321"/>
        <v>4788.5829643499419</v>
      </c>
      <c r="AC176" s="367">
        <f t="shared" si="321"/>
        <v>5121.1892499479891</v>
      </c>
      <c r="AD176" s="367">
        <f t="shared" si="321"/>
        <v>5453.7955355460363</v>
      </c>
      <c r="AE176" s="367">
        <f t="shared" si="321"/>
        <v>5786.4018211440834</v>
      </c>
      <c r="AF176" s="367">
        <f t="shared" si="321"/>
        <v>6119.0081067421306</v>
      </c>
      <c r="AG176" s="367">
        <f t="shared" si="321"/>
        <v>6451.6143923401778</v>
      </c>
      <c r="AH176" s="367">
        <f t="shared" si="321"/>
        <v>6784.220677938225</v>
      </c>
      <c r="AJ176" s="367">
        <f t="shared" si="324"/>
        <v>36</v>
      </c>
      <c r="AK176" s="367">
        <f t="shared" si="325"/>
        <v>11984.4123179661</v>
      </c>
      <c r="AL176" s="367">
        <f t="shared" si="326"/>
        <v>6242.8972241525407</v>
      </c>
      <c r="AM176" s="801">
        <f t="shared" si="327"/>
        <v>0.15785182924075603</v>
      </c>
      <c r="AT176" s="805">
        <f t="shared" ref="AT176:BB176" si="333">IF(Z216&lt;$G$449,0,MIN($G$446,1+IFERROR(INT((Z216-$G$449)/$G$464),0)))</f>
        <v>0</v>
      </c>
      <c r="AU176" s="805">
        <f t="shared" si="333"/>
        <v>1</v>
      </c>
      <c r="AV176" s="805">
        <f t="shared" si="333"/>
        <v>3</v>
      </c>
      <c r="AW176" s="805">
        <f t="shared" si="333"/>
        <v>4</v>
      </c>
      <c r="AX176" s="805">
        <f t="shared" si="333"/>
        <v>5</v>
      </c>
      <c r="AY176" s="805">
        <f t="shared" si="333"/>
        <v>7</v>
      </c>
      <c r="AZ176" s="805">
        <f t="shared" si="333"/>
        <v>8</v>
      </c>
      <c r="BA176" s="805">
        <f t="shared" si="333"/>
        <v>9</v>
      </c>
      <c r="BB176" s="805">
        <f t="shared" si="333"/>
        <v>10</v>
      </c>
    </row>
    <row r="177" spans="1:54" ht="15" hidden="1" customHeight="1" outlineLevel="1">
      <c r="A177" s="417"/>
      <c r="B177" s="423" t="str">
        <f>"Ben's Yr 5 value (cash + earnout + retained stake + Topkey stock) less Keystone today (G430); rollover fixed at "&amp;TEXT($G$436,"0%")&amp;" (G436)"</f>
        <v>Ben's Yr 5 value (cash + earnout + retained stake + Topkey stock) less Keystone today (G430); rollover fixed at 30% (G436)</v>
      </c>
      <c r="C177" s="785"/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7"/>
      <c r="O177" s="417"/>
      <c r="P177" s="417"/>
      <c r="Q177" s="417"/>
    </row>
    <row r="178" spans="1:54" ht="3.95" customHeight="1" collapsed="1">
      <c r="A178" s="417"/>
      <c r="B178" s="417"/>
      <c r="C178" s="417"/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7"/>
      <c r="O178" s="417"/>
      <c r="P178" s="417"/>
      <c r="Q178" s="417"/>
    </row>
    <row r="179" spans="1:54" ht="15" customHeight="1">
      <c r="A179" s="417"/>
      <c r="B179" s="148" t="s">
        <v>2600</v>
      </c>
      <c r="C179" s="417"/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7"/>
      <c r="O179" s="417"/>
      <c r="P179" s="417"/>
      <c r="Q179" s="417"/>
    </row>
    <row r="180" spans="1:54" ht="2.1" customHeight="1">
      <c r="A180" s="417"/>
      <c r="B180" s="417"/>
      <c r="C180" s="417"/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7"/>
      <c r="O180" s="417"/>
      <c r="P180" s="417"/>
      <c r="Q180" s="417"/>
    </row>
    <row r="181" spans="1:54" ht="12.75" customHeight="1">
      <c r="A181" s="417"/>
      <c r="B181" s="454"/>
      <c r="C181" s="454"/>
      <c r="D181" s="768" t="s">
        <v>2527</v>
      </c>
      <c r="E181" s="768"/>
      <c r="F181" s="768"/>
      <c r="G181" s="768"/>
      <c r="H181" s="768"/>
      <c r="I181" s="768"/>
      <c r="J181" s="768"/>
      <c r="K181" s="768"/>
      <c r="L181" s="768"/>
      <c r="M181" s="417"/>
      <c r="N181" s="417"/>
      <c r="O181" s="417"/>
      <c r="P181" s="417"/>
      <c r="Q181" s="417"/>
    </row>
    <row r="182" spans="1:54" ht="12.75" customHeight="1">
      <c r="A182" s="417"/>
      <c r="B182" s="454"/>
      <c r="C182" s="454"/>
      <c r="D182" s="769">
        <f>E182-$G$441</f>
        <v>1.0219039595619215</v>
      </c>
      <c r="E182" s="769">
        <f>F182-$G$441</f>
        <v>1.2719039595619215</v>
      </c>
      <c r="F182" s="769">
        <f>G182-$G$441</f>
        <v>1.5219039595619215</v>
      </c>
      <c r="G182" s="769">
        <f>H182-$G$441</f>
        <v>1.7719039595619215</v>
      </c>
      <c r="H182" s="769">
        <f>$G$440</f>
        <v>2.0219039595619215</v>
      </c>
      <c r="I182" s="769">
        <f>H182+$G$441</f>
        <v>2.2719039595619215</v>
      </c>
      <c r="J182" s="769">
        <f>I182+$G$441</f>
        <v>2.5219039595619215</v>
      </c>
      <c r="K182" s="769">
        <f>J182+$G$441</f>
        <v>2.7719039595619215</v>
      </c>
      <c r="L182" s="769">
        <f>K182+$G$441</f>
        <v>3.0219039595619215</v>
      </c>
      <c r="M182" s="417"/>
      <c r="N182" s="417"/>
      <c r="O182" s="417"/>
      <c r="P182" s="417"/>
      <c r="Q182" s="417"/>
      <c r="AT182" s="773" t="s">
        <v>2616</v>
      </c>
      <c r="AU182" s="427"/>
      <c r="AV182" s="427"/>
      <c r="AW182" s="427"/>
      <c r="AX182" s="427"/>
      <c r="AY182" s="427"/>
      <c r="AZ182" s="427"/>
      <c r="BA182" s="427"/>
      <c r="BB182" s="427"/>
    </row>
    <row r="183" spans="1:54" ht="15" customHeight="1">
      <c r="A183" s="417"/>
      <c r="B183" s="820" t="s">
        <v>2593</v>
      </c>
      <c r="C183" s="802">
        <f>C184+$G$458</f>
        <v>60</v>
      </c>
      <c r="D183" s="490">
        <f>IFERROR(Z170/$G$430,0)</f>
        <v>1.7944901288628141</v>
      </c>
      <c r="E183" s="490">
        <f t="shared" ref="E183:L183" si="334">IFERROR(AA170/$G$430,0)</f>
        <v>1.9053588907288297</v>
      </c>
      <c r="F183" s="490">
        <f t="shared" si="334"/>
        <v>2.0162276525948455</v>
      </c>
      <c r="G183" s="490">
        <f t="shared" si="334"/>
        <v>2.1270964144608611</v>
      </c>
      <c r="H183" s="490">
        <f t="shared" si="334"/>
        <v>2.2379651763268771</v>
      </c>
      <c r="I183" s="490">
        <f t="shared" si="334"/>
        <v>2.3488339381928927</v>
      </c>
      <c r="J183" s="490">
        <f t="shared" si="334"/>
        <v>2.4597027000589078</v>
      </c>
      <c r="K183" s="490">
        <f t="shared" si="334"/>
        <v>2.5705714619249243</v>
      </c>
      <c r="L183" s="490">
        <f t="shared" si="334"/>
        <v>2.6814402237909394</v>
      </c>
      <c r="M183" s="417"/>
      <c r="N183" s="417"/>
      <c r="O183" s="417"/>
      <c r="P183" s="417"/>
      <c r="Q183" s="417"/>
      <c r="AT183" s="805">
        <f>IF(Z210&lt;$G$449,0,MIN($G$446,1+IFERROR(INT((Z210-$G$449)/$G$464),0)))</f>
        <v>0</v>
      </c>
      <c r="AU183" s="805">
        <f t="shared" ref="AU183:BB183" si="335">IF(AA210&lt;$G$449,0,MIN($G$446,1+IFERROR(INT((AA210-$G$449)/$G$464),0)))</f>
        <v>0</v>
      </c>
      <c r="AV183" s="805">
        <f t="shared" si="335"/>
        <v>0</v>
      </c>
      <c r="AW183" s="805">
        <f t="shared" si="335"/>
        <v>0</v>
      </c>
      <c r="AX183" s="805">
        <f t="shared" si="335"/>
        <v>0</v>
      </c>
      <c r="AY183" s="805">
        <f t="shared" si="335"/>
        <v>2</v>
      </c>
      <c r="AZ183" s="805">
        <f t="shared" si="335"/>
        <v>3</v>
      </c>
      <c r="BA183" s="805">
        <f t="shared" si="335"/>
        <v>4</v>
      </c>
      <c r="BB183" s="805">
        <f t="shared" si="335"/>
        <v>6</v>
      </c>
    </row>
    <row r="184" spans="1:54" ht="15" customHeight="1">
      <c r="A184" s="417"/>
      <c r="B184" s="821"/>
      <c r="C184" s="802">
        <f>C185+$G$458</f>
        <v>56</v>
      </c>
      <c r="D184" s="490">
        <f t="shared" ref="D184:L184" si="336">IFERROR(Z171/$G$430,0)</f>
        <v>1.7244845736720036</v>
      </c>
      <c r="E184" s="490">
        <f t="shared" si="336"/>
        <v>1.8353533355380192</v>
      </c>
      <c r="F184" s="490">
        <f t="shared" si="336"/>
        <v>1.946222097404035</v>
      </c>
      <c r="G184" s="490">
        <f t="shared" si="336"/>
        <v>2.0570908592700508</v>
      </c>
      <c r="H184" s="490">
        <f t="shared" si="336"/>
        <v>2.1679596211360659</v>
      </c>
      <c r="I184" s="490">
        <f t="shared" si="336"/>
        <v>2.2788283830020823</v>
      </c>
      <c r="J184" s="490">
        <f t="shared" si="336"/>
        <v>2.3896971448680975</v>
      </c>
      <c r="K184" s="490">
        <f t="shared" si="336"/>
        <v>2.5005659067341135</v>
      </c>
      <c r="L184" s="490">
        <f t="shared" si="336"/>
        <v>2.6114346686001286</v>
      </c>
      <c r="M184" s="417"/>
      <c r="N184" s="417"/>
      <c r="O184" s="417"/>
      <c r="P184" s="417"/>
      <c r="Q184" s="417"/>
      <c r="AT184" s="805">
        <f t="shared" ref="AT184:BB184" si="337">IF(Z211&lt;$G$449,0,MIN($G$446,1+IFERROR(INT((Z211-$G$449)/$G$464),0)))</f>
        <v>0</v>
      </c>
      <c r="AU184" s="805">
        <f t="shared" si="337"/>
        <v>0</v>
      </c>
      <c r="AV184" s="805">
        <f t="shared" si="337"/>
        <v>0</v>
      </c>
      <c r="AW184" s="805">
        <f t="shared" si="337"/>
        <v>0</v>
      </c>
      <c r="AX184" s="805">
        <f t="shared" si="337"/>
        <v>1</v>
      </c>
      <c r="AY184" s="805">
        <f t="shared" si="337"/>
        <v>3</v>
      </c>
      <c r="AZ184" s="805">
        <f t="shared" si="337"/>
        <v>4</v>
      </c>
      <c r="BA184" s="805">
        <f t="shared" si="337"/>
        <v>5</v>
      </c>
      <c r="BB184" s="805">
        <f t="shared" si="337"/>
        <v>6</v>
      </c>
    </row>
    <row r="185" spans="1:54" ht="15" customHeight="1">
      <c r="A185" s="417"/>
      <c r="B185" s="821"/>
      <c r="C185" s="802">
        <f>C186+$G$458</f>
        <v>52</v>
      </c>
      <c r="D185" s="490">
        <f t="shared" ref="D185:L185" si="338">IFERROR(Z172/$G$430,0)</f>
        <v>1.6544790184811924</v>
      </c>
      <c r="E185" s="490">
        <f t="shared" si="338"/>
        <v>1.7653477803472082</v>
      </c>
      <c r="F185" s="490">
        <f t="shared" si="338"/>
        <v>1.876216542213224</v>
      </c>
      <c r="G185" s="490">
        <f t="shared" si="338"/>
        <v>1.9870853040792396</v>
      </c>
      <c r="H185" s="490">
        <f t="shared" si="338"/>
        <v>2.0979540659452551</v>
      </c>
      <c r="I185" s="490">
        <f t="shared" si="338"/>
        <v>2.2088228278112712</v>
      </c>
      <c r="J185" s="490">
        <f t="shared" si="338"/>
        <v>2.3196915896772867</v>
      </c>
      <c r="K185" s="490">
        <f t="shared" si="338"/>
        <v>2.4305603515433023</v>
      </c>
      <c r="L185" s="490">
        <f t="shared" si="338"/>
        <v>2.5414291134093183</v>
      </c>
      <c r="M185" s="417"/>
      <c r="N185" s="417"/>
      <c r="O185" s="417"/>
      <c r="P185" s="417"/>
      <c r="Q185" s="417"/>
      <c r="AT185" s="805">
        <f t="shared" ref="AT185:BB185" si="339">IF(Z212&lt;$G$449,0,MIN($G$446,1+IFERROR(INT((Z212-$G$449)/$G$464),0)))</f>
        <v>0</v>
      </c>
      <c r="AU185" s="805">
        <f t="shared" si="339"/>
        <v>0</v>
      </c>
      <c r="AV185" s="805">
        <f t="shared" si="339"/>
        <v>0</v>
      </c>
      <c r="AW185" s="805">
        <f t="shared" si="339"/>
        <v>1</v>
      </c>
      <c r="AX185" s="805">
        <f t="shared" si="339"/>
        <v>2</v>
      </c>
      <c r="AY185" s="805">
        <f t="shared" si="339"/>
        <v>3</v>
      </c>
      <c r="AZ185" s="805">
        <f t="shared" si="339"/>
        <v>5</v>
      </c>
      <c r="BA185" s="805">
        <f t="shared" si="339"/>
        <v>6</v>
      </c>
      <c r="BB185" s="805">
        <f t="shared" si="339"/>
        <v>7</v>
      </c>
    </row>
    <row r="186" spans="1:54" ht="15" customHeight="1">
      <c r="A186" s="417"/>
      <c r="B186" s="821"/>
      <c r="C186" s="802">
        <f>$G$457</f>
        <v>48</v>
      </c>
      <c r="D186" s="490">
        <f t="shared" ref="D186:L186" si="340">IFERROR(Z173/$G$430,0)</f>
        <v>1.5844734632903816</v>
      </c>
      <c r="E186" s="490">
        <f t="shared" si="340"/>
        <v>1.695342225156397</v>
      </c>
      <c r="F186" s="490">
        <f t="shared" si="340"/>
        <v>1.8062109870224128</v>
      </c>
      <c r="G186" s="490">
        <f t="shared" si="340"/>
        <v>1.9170797488884286</v>
      </c>
      <c r="H186" s="783">
        <f t="shared" si="340"/>
        <v>2.0279485107544448</v>
      </c>
      <c r="I186" s="490">
        <f t="shared" si="340"/>
        <v>2.13881727262046</v>
      </c>
      <c r="J186" s="490">
        <f t="shared" si="340"/>
        <v>2.2496860344864764</v>
      </c>
      <c r="K186" s="490">
        <f t="shared" si="340"/>
        <v>2.3605547963524915</v>
      </c>
      <c r="L186" s="490">
        <f t="shared" si="340"/>
        <v>2.4714235582185076</v>
      </c>
      <c r="M186" s="417"/>
      <c r="N186" s="417"/>
      <c r="O186" s="417"/>
      <c r="P186" s="417"/>
      <c r="Q186" s="417"/>
      <c r="AT186" s="805">
        <f t="shared" ref="AT186:BB186" si="341">IF(Z213&lt;$G$449,0,MIN($G$446,1+IFERROR(INT((Z213-$G$449)/$G$464),0)))</f>
        <v>0</v>
      </c>
      <c r="AU186" s="805">
        <f t="shared" si="341"/>
        <v>0</v>
      </c>
      <c r="AV186" s="805">
        <f t="shared" si="341"/>
        <v>0</v>
      </c>
      <c r="AW186" s="805">
        <f t="shared" si="341"/>
        <v>2</v>
      </c>
      <c r="AX186" s="805">
        <f t="shared" si="341"/>
        <v>3</v>
      </c>
      <c r="AY186" s="805">
        <f t="shared" si="341"/>
        <v>4</v>
      </c>
      <c r="AZ186" s="805">
        <f t="shared" si="341"/>
        <v>5</v>
      </c>
      <c r="BA186" s="805">
        <f t="shared" si="341"/>
        <v>7</v>
      </c>
      <c r="BB186" s="805">
        <f t="shared" si="341"/>
        <v>8</v>
      </c>
    </row>
    <row r="187" spans="1:54" ht="15" customHeight="1">
      <c r="A187" s="417"/>
      <c r="B187" s="821"/>
      <c r="C187" s="802">
        <f>C186-$G$458</f>
        <v>44</v>
      </c>
      <c r="D187" s="490">
        <f t="shared" ref="D187:L187" si="342">IFERROR(Z174/$G$430,0)</f>
        <v>1.5144679080995709</v>
      </c>
      <c r="E187" s="490">
        <f t="shared" si="342"/>
        <v>1.6253366699655865</v>
      </c>
      <c r="F187" s="490">
        <f t="shared" si="342"/>
        <v>1.7362054318316023</v>
      </c>
      <c r="G187" s="490">
        <f t="shared" si="342"/>
        <v>1.847074193697618</v>
      </c>
      <c r="H187" s="490">
        <f t="shared" si="342"/>
        <v>1.9579429555636332</v>
      </c>
      <c r="I187" s="490">
        <f t="shared" si="342"/>
        <v>2.0688117174296496</v>
      </c>
      <c r="J187" s="490">
        <f t="shared" si="342"/>
        <v>2.1796804792956648</v>
      </c>
      <c r="K187" s="490">
        <f t="shared" si="342"/>
        <v>2.2905492411616808</v>
      </c>
      <c r="L187" s="490">
        <f t="shared" si="342"/>
        <v>2.4014180030276959</v>
      </c>
      <c r="M187" s="417"/>
      <c r="N187" s="417"/>
      <c r="O187" s="417"/>
      <c r="P187" s="417"/>
      <c r="Q187" s="417"/>
      <c r="AT187" s="805">
        <f t="shared" ref="AT187:BB187" si="343">IF(Z214&lt;$G$449,0,MIN($G$446,1+IFERROR(INT((Z214-$G$449)/$G$464),0)))</f>
        <v>0</v>
      </c>
      <c r="AU187" s="805">
        <f t="shared" si="343"/>
        <v>0</v>
      </c>
      <c r="AV187" s="805">
        <f t="shared" si="343"/>
        <v>1</v>
      </c>
      <c r="AW187" s="805">
        <f t="shared" si="343"/>
        <v>2</v>
      </c>
      <c r="AX187" s="805">
        <f t="shared" si="343"/>
        <v>4</v>
      </c>
      <c r="AY187" s="805">
        <f t="shared" si="343"/>
        <v>5</v>
      </c>
      <c r="AZ187" s="805">
        <f t="shared" si="343"/>
        <v>6</v>
      </c>
      <c r="BA187" s="805">
        <f t="shared" si="343"/>
        <v>8</v>
      </c>
      <c r="BB187" s="805">
        <f t="shared" si="343"/>
        <v>9</v>
      </c>
    </row>
    <row r="188" spans="1:54" ht="15" customHeight="1">
      <c r="A188" s="417"/>
      <c r="B188" s="821"/>
      <c r="C188" s="802">
        <f>C187-$G$458</f>
        <v>40</v>
      </c>
      <c r="D188" s="490">
        <f t="shared" ref="D188:L188" si="344">IFERROR(Z175/$G$430,0)</f>
        <v>1.4444623529087597</v>
      </c>
      <c r="E188" s="490">
        <f t="shared" si="344"/>
        <v>1.5553311147747748</v>
      </c>
      <c r="F188" s="490">
        <f t="shared" si="344"/>
        <v>1.6661998766407906</v>
      </c>
      <c r="G188" s="490">
        <f t="shared" si="344"/>
        <v>1.7770686385068062</v>
      </c>
      <c r="H188" s="490">
        <f t="shared" si="344"/>
        <v>1.8879374003728226</v>
      </c>
      <c r="I188" s="490">
        <f t="shared" si="344"/>
        <v>1.9988061622388378</v>
      </c>
      <c r="J188" s="490">
        <f t="shared" si="344"/>
        <v>2.109674924104854</v>
      </c>
      <c r="K188" s="490">
        <f t="shared" si="344"/>
        <v>2.2205436859708692</v>
      </c>
      <c r="L188" s="490">
        <f t="shared" si="344"/>
        <v>2.3314124478368856</v>
      </c>
      <c r="M188" s="417"/>
      <c r="N188" s="417"/>
      <c r="O188" s="417"/>
      <c r="P188" s="417"/>
      <c r="Q188" s="417"/>
      <c r="AT188" s="805">
        <f t="shared" ref="AT188:BB188" si="345">IF(Z215&lt;$G$449,0,MIN($G$446,1+IFERROR(INT((Z215-$G$449)/$G$464),0)))</f>
        <v>0</v>
      </c>
      <c r="AU188" s="805">
        <f t="shared" si="345"/>
        <v>1</v>
      </c>
      <c r="AV188" s="805">
        <f t="shared" si="345"/>
        <v>2</v>
      </c>
      <c r="AW188" s="805">
        <f t="shared" si="345"/>
        <v>3</v>
      </c>
      <c r="AX188" s="805">
        <f t="shared" si="345"/>
        <v>4</v>
      </c>
      <c r="AY188" s="805">
        <f t="shared" si="345"/>
        <v>6</v>
      </c>
      <c r="AZ188" s="805">
        <f t="shared" si="345"/>
        <v>7</v>
      </c>
      <c r="BA188" s="805">
        <f t="shared" si="345"/>
        <v>8</v>
      </c>
      <c r="BB188" s="805">
        <f t="shared" si="345"/>
        <v>10</v>
      </c>
    </row>
    <row r="189" spans="1:54" ht="15" customHeight="1">
      <c r="A189" s="417"/>
      <c r="B189" s="822"/>
      <c r="C189" s="803">
        <f>C188-$G$458</f>
        <v>36</v>
      </c>
      <c r="D189" s="784">
        <f t="shared" ref="D189:L189" si="346">IFERROR(Z176/$G$430,0)</f>
        <v>1.3744567977179492</v>
      </c>
      <c r="E189" s="784">
        <f t="shared" si="346"/>
        <v>1.4853255595839649</v>
      </c>
      <c r="F189" s="784">
        <f t="shared" si="346"/>
        <v>1.5961943214499805</v>
      </c>
      <c r="G189" s="784">
        <f t="shared" si="346"/>
        <v>1.7070630833159963</v>
      </c>
      <c r="H189" s="784">
        <f t="shared" si="346"/>
        <v>1.8179318451820121</v>
      </c>
      <c r="I189" s="784">
        <f t="shared" si="346"/>
        <v>1.9288006070480279</v>
      </c>
      <c r="J189" s="784">
        <f t="shared" si="346"/>
        <v>2.0396693689140437</v>
      </c>
      <c r="K189" s="784">
        <f t="shared" si="346"/>
        <v>2.1505381307800593</v>
      </c>
      <c r="L189" s="784">
        <f t="shared" si="346"/>
        <v>2.2614068926460749</v>
      </c>
      <c r="M189" s="417"/>
      <c r="N189" s="417"/>
      <c r="O189" s="417"/>
      <c r="P189" s="417"/>
      <c r="Q189" s="417"/>
      <c r="AT189" s="805">
        <f t="shared" ref="AT189:BB189" si="347">IF(Z216&lt;$G$449,0,MIN($G$446,1+IFERROR(INT((Z216-$G$449)/$G$464),0)))</f>
        <v>0</v>
      </c>
      <c r="AU189" s="805">
        <f t="shared" si="347"/>
        <v>1</v>
      </c>
      <c r="AV189" s="805">
        <f t="shared" si="347"/>
        <v>3</v>
      </c>
      <c r="AW189" s="805">
        <f t="shared" si="347"/>
        <v>4</v>
      </c>
      <c r="AX189" s="805">
        <f t="shared" si="347"/>
        <v>5</v>
      </c>
      <c r="AY189" s="805">
        <f t="shared" si="347"/>
        <v>7</v>
      </c>
      <c r="AZ189" s="805">
        <f t="shared" si="347"/>
        <v>8</v>
      </c>
      <c r="BA189" s="805">
        <f t="shared" si="347"/>
        <v>9</v>
      </c>
      <c r="BB189" s="805">
        <f t="shared" si="347"/>
        <v>10</v>
      </c>
    </row>
    <row r="190" spans="1:54" ht="15" hidden="1" customHeight="1" outlineLevel="1">
      <c r="A190" s="417"/>
      <c r="B190" s="423" t="str">
        <f>"Ben's Year 5 total value ÷ Keystone value today (G430), less 1; rollover fixed at "&amp;TEXT($G$436,"0%")&amp;" (G436)"</f>
        <v>Ben's Year 5 total value ÷ Keystone value today (G430), less 1; rollover fixed at 30% (G436)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7"/>
      <c r="O190" s="417"/>
      <c r="P190" s="417"/>
      <c r="Q190" s="417"/>
    </row>
    <row r="191" spans="1:54" ht="3.95" customHeight="1" collapsed="1">
      <c r="A191" s="417"/>
      <c r="M191" s="417"/>
      <c r="N191" s="417"/>
      <c r="O191" s="417"/>
      <c r="P191" s="417"/>
      <c r="Q191" s="417"/>
    </row>
    <row r="192" spans="1:54" ht="15" customHeight="1">
      <c r="A192" s="417"/>
      <c r="B192" s="148" t="s">
        <v>2601</v>
      </c>
      <c r="C192" s="417"/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7"/>
      <c r="O192" s="417"/>
      <c r="P192" s="417"/>
      <c r="Q192" s="417"/>
    </row>
    <row r="193" spans="1:109" ht="2.1" customHeight="1">
      <c r="A193" s="417"/>
      <c r="B193" s="417"/>
      <c r="C193" s="417"/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7"/>
      <c r="O193" s="417"/>
      <c r="P193" s="417"/>
      <c r="Q193" s="417"/>
    </row>
    <row r="194" spans="1:109" ht="12.75" customHeight="1">
      <c r="A194" s="417"/>
      <c r="B194" s="454"/>
      <c r="C194" s="454"/>
      <c r="D194" s="768" t="s">
        <v>2527</v>
      </c>
      <c r="E194" s="768"/>
      <c r="F194" s="768"/>
      <c r="G194" s="768"/>
      <c r="H194" s="768"/>
      <c r="I194" s="768"/>
      <c r="J194" s="768"/>
      <c r="K194" s="768"/>
      <c r="L194" s="768"/>
      <c r="M194" s="417"/>
      <c r="N194" s="417"/>
      <c r="O194" s="417"/>
      <c r="P194" s="417"/>
      <c r="Q194" s="417"/>
      <c r="BD194" s="773" t="s">
        <v>2805</v>
      </c>
      <c r="BE194" s="773"/>
      <c r="BF194" s="773"/>
      <c r="BG194" s="773"/>
      <c r="BH194" s="773"/>
      <c r="BI194" s="773"/>
      <c r="BJ194" s="773" t="s">
        <v>2806</v>
      </c>
      <c r="BK194" s="773"/>
      <c r="BL194" s="773"/>
      <c r="BM194" s="773"/>
      <c r="BN194" s="773"/>
      <c r="BO194" s="773"/>
      <c r="BP194" s="773" t="s">
        <v>2807</v>
      </c>
      <c r="BQ194" s="773"/>
      <c r="BR194" s="773"/>
      <c r="BS194" s="773"/>
      <c r="BT194" s="773"/>
      <c r="BU194" s="773"/>
      <c r="BV194" s="773" t="s">
        <v>2808</v>
      </c>
      <c r="BW194" s="773"/>
      <c r="BX194" s="773"/>
      <c r="BY194" s="773"/>
      <c r="BZ194" s="773"/>
      <c r="CA194" s="773"/>
      <c r="CB194" s="773" t="s">
        <v>2809</v>
      </c>
      <c r="CC194" s="773"/>
      <c r="CD194" s="773"/>
      <c r="CE194" s="773"/>
      <c r="CF194" s="773"/>
      <c r="CG194" s="773"/>
      <c r="CH194" s="773" t="s">
        <v>2810</v>
      </c>
      <c r="CI194" s="773"/>
      <c r="CJ194" s="773"/>
      <c r="CK194" s="773"/>
      <c r="CL194" s="773"/>
      <c r="CM194" s="773"/>
      <c r="CN194" s="773" t="s">
        <v>2811</v>
      </c>
      <c r="CO194" s="773"/>
      <c r="CP194" s="773"/>
      <c r="CQ194" s="773"/>
      <c r="CR194" s="773"/>
      <c r="CS194" s="773"/>
      <c r="CT194" s="773" t="s">
        <v>2812</v>
      </c>
      <c r="CU194" s="773"/>
      <c r="CV194" s="773"/>
      <c r="CW194" s="773"/>
      <c r="CX194" s="773"/>
      <c r="CY194" s="773"/>
      <c r="CZ194" s="773" t="s">
        <v>2813</v>
      </c>
      <c r="DA194" s="773"/>
      <c r="DB194" s="773"/>
      <c r="DC194" s="773"/>
      <c r="DD194" s="773"/>
      <c r="DE194" s="773"/>
    </row>
    <row r="195" spans="1:109" ht="12.75" customHeight="1">
      <c r="A195" s="417"/>
      <c r="B195" s="454"/>
      <c r="C195" s="454"/>
      <c r="D195" s="769">
        <f>E195-$G$441</f>
        <v>1.0219039595619215</v>
      </c>
      <c r="E195" s="769">
        <f>F195-$G$441</f>
        <v>1.2719039595619215</v>
      </c>
      <c r="F195" s="769">
        <f>G195-$G$441</f>
        <v>1.5219039595619215</v>
      </c>
      <c r="G195" s="769">
        <f>H195-$G$441</f>
        <v>1.7719039595619215</v>
      </c>
      <c r="H195" s="769">
        <f>$G$440</f>
        <v>2.0219039595619215</v>
      </c>
      <c r="I195" s="769">
        <f>H195+$G$441</f>
        <v>2.2719039595619215</v>
      </c>
      <c r="J195" s="769">
        <f>I195+$G$441</f>
        <v>2.5219039595619215</v>
      </c>
      <c r="K195" s="769">
        <f>J195+$G$441</f>
        <v>2.7719039595619215</v>
      </c>
      <c r="L195" s="769">
        <f>K195+$G$441</f>
        <v>3.0219039595619215</v>
      </c>
      <c r="M195" s="417"/>
      <c r="N195" s="417"/>
      <c r="O195" s="417"/>
      <c r="P195" s="417"/>
      <c r="Q195" s="417"/>
      <c r="AT195" s="773" t="s">
        <v>2616</v>
      </c>
      <c r="AU195" s="427"/>
      <c r="AV195" s="427"/>
      <c r="AW195" s="427"/>
      <c r="AX195" s="427"/>
      <c r="AY195" s="427"/>
      <c r="AZ195" s="427"/>
      <c r="BA195" s="427"/>
      <c r="BB195" s="427"/>
      <c r="BD195" s="819">
        <f>$S$9</f>
        <v>0</v>
      </c>
      <c r="BE195" s="819">
        <f>$T$9</f>
        <v>1</v>
      </c>
      <c r="BF195" s="819">
        <f>$U$9</f>
        <v>2</v>
      </c>
      <c r="BG195" s="819">
        <f>$V$9</f>
        <v>3</v>
      </c>
      <c r="BH195" s="819">
        <f>$W$9</f>
        <v>4</v>
      </c>
      <c r="BI195" s="819">
        <f>$X$9</f>
        <v>5</v>
      </c>
      <c r="BJ195" s="819">
        <f>$S$9</f>
        <v>0</v>
      </c>
      <c r="BK195" s="819">
        <f>$T$9</f>
        <v>1</v>
      </c>
      <c r="BL195" s="819">
        <f>$U$9</f>
        <v>2</v>
      </c>
      <c r="BM195" s="819">
        <f>$V$9</f>
        <v>3</v>
      </c>
      <c r="BN195" s="819">
        <f>$W$9</f>
        <v>4</v>
      </c>
      <c r="BO195" s="819">
        <f>$X$9</f>
        <v>5</v>
      </c>
      <c r="BP195" s="819">
        <f>$S$9</f>
        <v>0</v>
      </c>
      <c r="BQ195" s="819">
        <f>$T$9</f>
        <v>1</v>
      </c>
      <c r="BR195" s="819">
        <f>$U$9</f>
        <v>2</v>
      </c>
      <c r="BS195" s="819">
        <f>$V$9</f>
        <v>3</v>
      </c>
      <c r="BT195" s="819">
        <f>$W$9</f>
        <v>4</v>
      </c>
      <c r="BU195" s="819">
        <f>$X$9</f>
        <v>5</v>
      </c>
      <c r="BV195" s="819">
        <f>$S$9</f>
        <v>0</v>
      </c>
      <c r="BW195" s="819">
        <f>$T$9</f>
        <v>1</v>
      </c>
      <c r="BX195" s="819">
        <f>$U$9</f>
        <v>2</v>
      </c>
      <c r="BY195" s="819">
        <f>$V$9</f>
        <v>3</v>
      </c>
      <c r="BZ195" s="819">
        <f>$W$9</f>
        <v>4</v>
      </c>
      <c r="CA195" s="819">
        <f>$X$9</f>
        <v>5</v>
      </c>
      <c r="CB195" s="819">
        <f>$S$9</f>
        <v>0</v>
      </c>
      <c r="CC195" s="819">
        <f>$T$9</f>
        <v>1</v>
      </c>
      <c r="CD195" s="819">
        <f>$U$9</f>
        <v>2</v>
      </c>
      <c r="CE195" s="819">
        <f>$V$9</f>
        <v>3</v>
      </c>
      <c r="CF195" s="819">
        <f>$W$9</f>
        <v>4</v>
      </c>
      <c r="CG195" s="819">
        <f>$X$9</f>
        <v>5</v>
      </c>
      <c r="CH195" s="819">
        <f>$S$9</f>
        <v>0</v>
      </c>
      <c r="CI195" s="819">
        <f>$T$9</f>
        <v>1</v>
      </c>
      <c r="CJ195" s="819">
        <f>$U$9</f>
        <v>2</v>
      </c>
      <c r="CK195" s="819">
        <f>$V$9</f>
        <v>3</v>
      </c>
      <c r="CL195" s="819">
        <f>$W$9</f>
        <v>4</v>
      </c>
      <c r="CM195" s="819">
        <f>$X$9</f>
        <v>5</v>
      </c>
      <c r="CN195" s="819">
        <f>$S$9</f>
        <v>0</v>
      </c>
      <c r="CO195" s="819">
        <f>$T$9</f>
        <v>1</v>
      </c>
      <c r="CP195" s="819">
        <f>$U$9</f>
        <v>2</v>
      </c>
      <c r="CQ195" s="819">
        <f>$V$9</f>
        <v>3</v>
      </c>
      <c r="CR195" s="819">
        <f>$W$9</f>
        <v>4</v>
      </c>
      <c r="CS195" s="819">
        <f>$X$9</f>
        <v>5</v>
      </c>
      <c r="CT195" s="819">
        <f>$S$9</f>
        <v>0</v>
      </c>
      <c r="CU195" s="819">
        <f>$T$9</f>
        <v>1</v>
      </c>
      <c r="CV195" s="819">
        <f>$U$9</f>
        <v>2</v>
      </c>
      <c r="CW195" s="819">
        <f>$V$9</f>
        <v>3</v>
      </c>
      <c r="CX195" s="819">
        <f>$W$9</f>
        <v>4</v>
      </c>
      <c r="CY195" s="819">
        <f>$X$9</f>
        <v>5</v>
      </c>
      <c r="CZ195" s="819">
        <f>$S$9</f>
        <v>0</v>
      </c>
      <c r="DA195" s="819">
        <f>$T$9</f>
        <v>1</v>
      </c>
      <c r="DB195" s="819">
        <f>$U$9</f>
        <v>2</v>
      </c>
      <c r="DC195" s="819">
        <f>$V$9</f>
        <v>3</v>
      </c>
      <c r="DD195" s="819">
        <f>$W$9</f>
        <v>4</v>
      </c>
      <c r="DE195" s="819">
        <f>$X$9</f>
        <v>5</v>
      </c>
    </row>
    <row r="196" spans="1:109" ht="15" customHeight="1">
      <c r="A196" s="417"/>
      <c r="B196" s="820" t="s">
        <v>2593</v>
      </c>
      <c r="C196" s="802">
        <f>C197+$G$458</f>
        <v>60</v>
      </c>
      <c r="D196" s="632">
        <f t="shared" ref="D196:D202" si="348">IFERROR(IRR(BD196:BI196),0)</f>
        <v>0.26899909658187915</v>
      </c>
      <c r="E196" s="632">
        <f t="shared" ref="E196:E202" si="349">IFERROR(IRR(BJ196:BO196),0)</f>
        <v>0.27973160809470476</v>
      </c>
      <c r="F196" s="632">
        <f t="shared" ref="F196:F202" si="350">IFERROR(IRR(BP196:BU196),0)</f>
        <v>0.29011571374629441</v>
      </c>
      <c r="G196" s="632">
        <f t="shared" ref="G196:G202" si="351">IFERROR(IRR(BV196:CA196),0)</f>
        <v>0.30017587279497504</v>
      </c>
      <c r="H196" s="632">
        <f t="shared" ref="H196:H202" si="352">IFERROR(IRR(CB196:CG196),0)</f>
        <v>0.30993397334336126</v>
      </c>
      <c r="I196" s="632">
        <f t="shared" ref="I196:I202" si="353">IFERROR(IRR(CH196:CM196),0)</f>
        <v>0.31940968586638752</v>
      </c>
      <c r="J196" s="632">
        <f t="shared" ref="J196:J202" si="354">IFERROR(IRR(CN196:CS196),0)</f>
        <v>0.32862075758670217</v>
      </c>
      <c r="K196" s="632">
        <f t="shared" ref="K196:K202" si="355">IFERROR(IRR(CT196:CY196),0)</f>
        <v>0.33758325906052788</v>
      </c>
      <c r="L196" s="632">
        <f t="shared" ref="L196:L202" si="356">IFERROR(IRR(CZ196:DE196),0)</f>
        <v>0.34631179216513752</v>
      </c>
      <c r="M196" s="417"/>
      <c r="N196" s="417"/>
      <c r="O196" s="417"/>
      <c r="P196" s="417"/>
      <c r="Q196" s="417"/>
      <c r="AT196" s="805">
        <f>IF(Z210&lt;$G$449,0,MIN($G$446,1+IFERROR(INT((Z210-$G$449)/$G$464),0)))</f>
        <v>0</v>
      </c>
      <c r="AU196" s="805">
        <f t="shared" ref="AU196:BB196" si="357">IF(AA210&lt;$G$449,0,MIN($G$446,1+IFERROR(INT((AA210-$G$449)/$G$464),0)))</f>
        <v>0</v>
      </c>
      <c r="AV196" s="805">
        <f t="shared" si="357"/>
        <v>0</v>
      </c>
      <c r="AW196" s="805">
        <f t="shared" si="357"/>
        <v>0</v>
      </c>
      <c r="AX196" s="805">
        <f t="shared" si="357"/>
        <v>0</v>
      </c>
      <c r="AY196" s="805">
        <f t="shared" si="357"/>
        <v>2</v>
      </c>
      <c r="AZ196" s="805">
        <f t="shared" si="357"/>
        <v>3</v>
      </c>
      <c r="BA196" s="805">
        <f t="shared" si="357"/>
        <v>4</v>
      </c>
      <c r="BB196" s="805">
        <f t="shared" si="357"/>
        <v>6</v>
      </c>
      <c r="BD196" s="428">
        <f t="shared" ref="BD196:BD202" si="358">(BD$195=0)*($O$18-$G$430)+(BD$195=$G$444)*$G$435+(BD$195=$G$445)*(Z170+$G$430-$O$18-$G$435)</f>
        <v>-2350</v>
      </c>
      <c r="BE196" s="428">
        <f t="shared" ref="BE196:BE202" si="359">(BE$195=0)*($O$18-$G$430)+(BE$195=$G$444)*$G$435+(BE$195=$G$445)*(Z170+$G$430-$O$18-$G$435)</f>
        <v>0</v>
      </c>
      <c r="BF196" s="428">
        <f t="shared" ref="BF196:BF202" si="360">(BF$195=0)*($O$18-$G$430)+(BF$195=$G$444)*$G$435+(BF$195=$G$445)*(Z170+$G$430-$O$18-$G$435)</f>
        <v>0</v>
      </c>
      <c r="BG196" s="428">
        <f t="shared" ref="BG196:BG202" si="361">(BG$195=0)*($O$18-$G$430)+(BG$195=$G$444)*$G$435+(BG$195=$G$445)*(Z170+$G$430-$O$18-$G$435)</f>
        <v>0</v>
      </c>
      <c r="BH196" s="428">
        <f t="shared" ref="BH196:BH202" si="362">(BH$195=0)*($O$18-$G$430)+(BH$195=$G$444)*$G$435+(BH$195=$G$445)*(Z170+$G$430-$O$18-$G$435)</f>
        <v>0</v>
      </c>
      <c r="BI196" s="428">
        <f t="shared" ref="BI196:BJ202" si="363">(BI$195=0)*($O$18-$G$430)+(BI$195=$G$444)*$G$435+(BI$195=$G$445)*(Z170+$G$430-$O$18-$G$435)</f>
        <v>7733.4703865884421</v>
      </c>
      <c r="BJ196" s="428">
        <f t="shared" si="363"/>
        <v>-2350</v>
      </c>
      <c r="BK196" s="428">
        <f t="shared" ref="BK196:BK202" si="364">(BK$195=0)*($O$18-$G$430)+(BK$195=$G$444)*$G$435+(BK$195=$G$445)*(AA170+$G$430-$O$18-$G$435)</f>
        <v>0</v>
      </c>
      <c r="BL196" s="428">
        <f t="shared" ref="BL196:BL202" si="365">(BL$195=0)*($O$18-$G$430)+(BL$195=$G$444)*$G$435+(BL$195=$G$445)*(AA170+$G$430-$O$18-$G$435)</f>
        <v>0</v>
      </c>
      <c r="BM196" s="428">
        <f t="shared" ref="BM196:BM202" si="366">(BM$195=0)*($O$18-$G$430)+(BM$195=$G$444)*$G$435+(BM$195=$G$445)*(AA170+$G$430-$O$18-$G$435)</f>
        <v>0</v>
      </c>
      <c r="BN196" s="428">
        <f t="shared" ref="BN196:BN202" si="367">(BN$195=0)*($O$18-$G$430)+(BN$195=$G$444)*$G$435+(BN$195=$G$445)*(AA170+$G$430-$O$18-$G$435)</f>
        <v>0</v>
      </c>
      <c r="BO196" s="428">
        <f t="shared" ref="BO196:BP202" si="368">(BO$195=0)*($O$18-$G$430)+(BO$195=$G$444)*$G$435+(BO$195=$G$445)*(AA170+$G$430-$O$18-$G$435)</f>
        <v>8066.0766721864893</v>
      </c>
      <c r="BP196" s="428">
        <f t="shared" si="368"/>
        <v>-2350</v>
      </c>
      <c r="BQ196" s="428">
        <f t="shared" ref="BQ196:BQ202" si="369">(BQ$195=0)*($O$18-$G$430)+(BQ$195=$G$444)*$G$435+(BQ$195=$G$445)*(AB170+$G$430-$O$18-$G$435)</f>
        <v>0</v>
      </c>
      <c r="BR196" s="428">
        <f t="shared" ref="BR196:BR202" si="370">(BR$195=0)*($O$18-$G$430)+(BR$195=$G$444)*$G$435+(BR$195=$G$445)*(AB170+$G$430-$O$18-$G$435)</f>
        <v>0</v>
      </c>
      <c r="BS196" s="428">
        <f t="shared" ref="BS196:BS202" si="371">(BS$195=0)*($O$18-$G$430)+(BS$195=$G$444)*$G$435+(BS$195=$G$445)*(AB170+$G$430-$O$18-$G$435)</f>
        <v>0</v>
      </c>
      <c r="BT196" s="428">
        <f t="shared" ref="BT196:BT202" si="372">(BT$195=0)*($O$18-$G$430)+(BT$195=$G$444)*$G$435+(BT$195=$G$445)*(AB170+$G$430-$O$18-$G$435)</f>
        <v>0</v>
      </c>
      <c r="BU196" s="428">
        <f t="shared" ref="BU196:BV202" si="373">(BU$195=0)*($O$18-$G$430)+(BU$195=$G$444)*$G$435+(BU$195=$G$445)*(AB170+$G$430-$O$18-$G$435)</f>
        <v>8398.6829577845365</v>
      </c>
      <c r="BV196" s="428">
        <f t="shared" si="373"/>
        <v>-2350</v>
      </c>
      <c r="BW196" s="428">
        <f t="shared" ref="BW196:BW202" si="374">(BW$195=0)*($O$18-$G$430)+(BW$195=$G$444)*$G$435+(BW$195=$G$445)*(AC170+$G$430-$O$18-$G$435)</f>
        <v>0</v>
      </c>
      <c r="BX196" s="428">
        <f t="shared" ref="BX196:BX202" si="375">(BX$195=0)*($O$18-$G$430)+(BX$195=$G$444)*$G$435+(BX$195=$G$445)*(AC170+$G$430-$O$18-$G$435)</f>
        <v>0</v>
      </c>
      <c r="BY196" s="428">
        <f t="shared" ref="BY196:BY202" si="376">(BY$195=0)*($O$18-$G$430)+(BY$195=$G$444)*$G$435+(BY$195=$G$445)*(AC170+$G$430-$O$18-$G$435)</f>
        <v>0</v>
      </c>
      <c r="BZ196" s="428">
        <f t="shared" ref="BZ196:BZ202" si="377">(BZ$195=0)*($O$18-$G$430)+(BZ$195=$G$444)*$G$435+(BZ$195=$G$445)*(AC170+$G$430-$O$18-$G$435)</f>
        <v>0</v>
      </c>
      <c r="CA196" s="428">
        <f t="shared" ref="CA196:CB202" si="378">(CA$195=0)*($O$18-$G$430)+(CA$195=$G$444)*$G$435+(CA$195=$G$445)*(AC170+$G$430-$O$18-$G$435)</f>
        <v>8731.2892433825837</v>
      </c>
      <c r="CB196" s="428">
        <f t="shared" si="378"/>
        <v>-2350</v>
      </c>
      <c r="CC196" s="428">
        <f t="shared" ref="CC196:CC202" si="379">(CC$195=0)*($O$18-$G$430)+(CC$195=$G$444)*$G$435+(CC$195=$G$445)*(AD170+$G$430-$O$18-$G$435)</f>
        <v>0</v>
      </c>
      <c r="CD196" s="428">
        <f t="shared" ref="CD196:CD202" si="380">(CD$195=0)*($O$18-$G$430)+(CD$195=$G$444)*$G$435+(CD$195=$G$445)*(AD170+$G$430-$O$18-$G$435)</f>
        <v>0</v>
      </c>
      <c r="CE196" s="428">
        <f t="shared" ref="CE196:CE202" si="381">(CE$195=0)*($O$18-$G$430)+(CE$195=$G$444)*$G$435+(CE$195=$G$445)*(AD170+$G$430-$O$18-$G$435)</f>
        <v>0</v>
      </c>
      <c r="CF196" s="428">
        <f t="shared" ref="CF196:CF202" si="382">(CF$195=0)*($O$18-$G$430)+(CF$195=$G$444)*$G$435+(CF$195=$G$445)*(AD170+$G$430-$O$18-$G$435)</f>
        <v>0</v>
      </c>
      <c r="CG196" s="428">
        <f t="shared" ref="CG196:CH202" si="383">(CG$195=0)*($O$18-$G$430)+(CG$195=$G$444)*$G$435+(CG$195=$G$445)*(AD170+$G$430-$O$18-$G$435)</f>
        <v>9063.8955289806308</v>
      </c>
      <c r="CH196" s="428">
        <f t="shared" si="383"/>
        <v>-2350</v>
      </c>
      <c r="CI196" s="428">
        <f t="shared" ref="CI196:CI202" si="384">(CI$195=0)*($O$18-$G$430)+(CI$195=$G$444)*$G$435+(CI$195=$G$445)*(AE170+$G$430-$O$18-$G$435)</f>
        <v>0</v>
      </c>
      <c r="CJ196" s="428">
        <f t="shared" ref="CJ196:CJ202" si="385">(CJ$195=0)*($O$18-$G$430)+(CJ$195=$G$444)*$G$435+(CJ$195=$G$445)*(AE170+$G$430-$O$18-$G$435)</f>
        <v>0</v>
      </c>
      <c r="CK196" s="428">
        <f t="shared" ref="CK196:CK202" si="386">(CK$195=0)*($O$18-$G$430)+(CK$195=$G$444)*$G$435+(CK$195=$G$445)*(AE170+$G$430-$O$18-$G$435)</f>
        <v>0</v>
      </c>
      <c r="CL196" s="428">
        <f t="shared" ref="CL196:CL202" si="387">(CL$195=0)*($O$18-$G$430)+(CL$195=$G$444)*$G$435+(CL$195=$G$445)*(AE170+$G$430-$O$18-$G$435)</f>
        <v>0</v>
      </c>
      <c r="CM196" s="428">
        <f t="shared" ref="CM196:CN202" si="388">(CM$195=0)*($O$18-$G$430)+(CM$195=$G$444)*$G$435+(CM$195=$G$445)*(AE170+$G$430-$O$18-$G$435)</f>
        <v>9396.501814578678</v>
      </c>
      <c r="CN196" s="428">
        <f t="shared" si="388"/>
        <v>-2350</v>
      </c>
      <c r="CO196" s="428">
        <f t="shared" ref="CO196:CO202" si="389">(CO$195=0)*($O$18-$G$430)+(CO$195=$G$444)*$G$435+(CO$195=$G$445)*(AF170+$G$430-$O$18-$G$435)</f>
        <v>0</v>
      </c>
      <c r="CP196" s="428">
        <f t="shared" ref="CP196:CP202" si="390">(CP$195=0)*($O$18-$G$430)+(CP$195=$G$444)*$G$435+(CP$195=$G$445)*(AF170+$G$430-$O$18-$G$435)</f>
        <v>0</v>
      </c>
      <c r="CQ196" s="428">
        <f t="shared" ref="CQ196:CQ202" si="391">(CQ$195=0)*($O$18-$G$430)+(CQ$195=$G$444)*$G$435+(CQ$195=$G$445)*(AF170+$G$430-$O$18-$G$435)</f>
        <v>0</v>
      </c>
      <c r="CR196" s="428">
        <f t="shared" ref="CR196:CR202" si="392">(CR$195=0)*($O$18-$G$430)+(CR$195=$G$444)*$G$435+(CR$195=$G$445)*(AF170+$G$430-$O$18-$G$435)</f>
        <v>0</v>
      </c>
      <c r="CS196" s="428">
        <f t="shared" ref="CS196:CT202" si="393">(CS$195=0)*($O$18-$G$430)+(CS$195=$G$444)*$G$435+(CS$195=$G$445)*(AF170+$G$430-$O$18-$G$435)</f>
        <v>9729.1081001767234</v>
      </c>
      <c r="CT196" s="428">
        <f t="shared" si="393"/>
        <v>-2350</v>
      </c>
      <c r="CU196" s="428">
        <f t="shared" ref="CU196:CU202" si="394">(CU$195=0)*($O$18-$G$430)+(CU$195=$G$444)*$G$435+(CU$195=$G$445)*(AG170+$G$430-$O$18-$G$435)</f>
        <v>0</v>
      </c>
      <c r="CV196" s="428">
        <f t="shared" ref="CV196:CV202" si="395">(CV$195=0)*($O$18-$G$430)+(CV$195=$G$444)*$G$435+(CV$195=$G$445)*(AG170+$G$430-$O$18-$G$435)</f>
        <v>0</v>
      </c>
      <c r="CW196" s="428">
        <f t="shared" ref="CW196:CW202" si="396">(CW$195=0)*($O$18-$G$430)+(CW$195=$G$444)*$G$435+(CW$195=$G$445)*(AG170+$G$430-$O$18-$G$435)</f>
        <v>0</v>
      </c>
      <c r="CX196" s="428">
        <f t="shared" ref="CX196:CX202" si="397">(CX$195=0)*($O$18-$G$430)+(CX$195=$G$444)*$G$435+(CX$195=$G$445)*(AG170+$G$430-$O$18-$G$435)</f>
        <v>0</v>
      </c>
      <c r="CY196" s="428">
        <f t="shared" ref="CY196:CZ202" si="398">(CY$195=0)*($O$18-$G$430)+(CY$195=$G$444)*$G$435+(CY$195=$G$445)*(AG170+$G$430-$O$18-$G$435)</f>
        <v>10061.714385774772</v>
      </c>
      <c r="CZ196" s="428">
        <f t="shared" si="398"/>
        <v>-2350</v>
      </c>
      <c r="DA196" s="428">
        <f t="shared" ref="DA196:DA202" si="399">(DA$195=0)*($O$18-$G$430)+(DA$195=$G$444)*$G$435+(DA$195=$G$445)*(AH170+$G$430-$O$18-$G$435)</f>
        <v>0</v>
      </c>
      <c r="DB196" s="428">
        <f t="shared" ref="DB196:DB202" si="400">(DB$195=0)*($O$18-$G$430)+(DB$195=$G$444)*$G$435+(DB$195=$G$445)*(AH170+$G$430-$O$18-$G$435)</f>
        <v>0</v>
      </c>
      <c r="DC196" s="428">
        <f t="shared" ref="DC196:DC202" si="401">(DC$195=0)*($O$18-$G$430)+(DC$195=$G$444)*$G$435+(DC$195=$G$445)*(AH170+$G$430-$O$18-$G$435)</f>
        <v>0</v>
      </c>
      <c r="DD196" s="428">
        <f t="shared" ref="DD196:DD202" si="402">(DD$195=0)*($O$18-$G$430)+(DD$195=$G$444)*$G$435+(DD$195=$G$445)*(AH170+$G$430-$O$18-$G$435)</f>
        <v>0</v>
      </c>
      <c r="DE196" s="428">
        <f t="shared" ref="DE196:DE202" si="403">(DE$195=0)*($O$18-$G$430)+(DE$195=$G$444)*$G$435+(DE$195=$G$445)*(AH170+$G$430-$O$18-$G$435)</f>
        <v>10394.320671372818</v>
      </c>
    </row>
    <row r="197" spans="1:109" ht="15" customHeight="1">
      <c r="A197" s="417"/>
      <c r="B197" s="821"/>
      <c r="C197" s="802">
        <f>C198+$G$458</f>
        <v>56</v>
      </c>
      <c r="D197" s="632">
        <f t="shared" si="348"/>
        <v>0.26203057994008971</v>
      </c>
      <c r="E197" s="632">
        <f t="shared" si="349"/>
        <v>0.27299701693277245</v>
      </c>
      <c r="F197" s="632">
        <f t="shared" si="350"/>
        <v>0.28359808982204582</v>
      </c>
      <c r="G197" s="632">
        <f t="shared" si="351"/>
        <v>0.29386009632675747</v>
      </c>
      <c r="H197" s="632">
        <f t="shared" si="352"/>
        <v>0.3038065025758323</v>
      </c>
      <c r="I197" s="632">
        <f t="shared" si="353"/>
        <v>0.31345834158753161</v>
      </c>
      <c r="J197" s="632">
        <f t="shared" si="354"/>
        <v>0.32283454350091545</v>
      </c>
      <c r="K197" s="632">
        <f t="shared" si="355"/>
        <v>0.33195221108585482</v>
      </c>
      <c r="L197" s="632">
        <f t="shared" si="356"/>
        <v>0.34082685119426448</v>
      </c>
      <c r="M197" s="417"/>
      <c r="N197" s="417"/>
      <c r="O197" s="417"/>
      <c r="P197" s="417"/>
      <c r="Q197" s="417"/>
      <c r="AT197" s="805">
        <f t="shared" ref="AT197:BB197" si="404">IF(Z211&lt;$G$449,0,MIN($G$446,1+IFERROR(INT((Z211-$G$449)/$G$464),0)))</f>
        <v>0</v>
      </c>
      <c r="AU197" s="805">
        <f t="shared" si="404"/>
        <v>0</v>
      </c>
      <c r="AV197" s="805">
        <f t="shared" si="404"/>
        <v>0</v>
      </c>
      <c r="AW197" s="805">
        <f t="shared" si="404"/>
        <v>0</v>
      </c>
      <c r="AX197" s="805">
        <f t="shared" si="404"/>
        <v>1</v>
      </c>
      <c r="AY197" s="805">
        <f t="shared" si="404"/>
        <v>3</v>
      </c>
      <c r="AZ197" s="805">
        <f t="shared" si="404"/>
        <v>4</v>
      </c>
      <c r="BA197" s="805">
        <f t="shared" si="404"/>
        <v>5</v>
      </c>
      <c r="BB197" s="805">
        <f t="shared" si="404"/>
        <v>6</v>
      </c>
      <c r="BD197" s="428">
        <f t="shared" si="358"/>
        <v>-2350</v>
      </c>
      <c r="BE197" s="428">
        <f t="shared" si="359"/>
        <v>0</v>
      </c>
      <c r="BF197" s="428">
        <f t="shared" si="360"/>
        <v>0</v>
      </c>
      <c r="BG197" s="428">
        <f t="shared" si="361"/>
        <v>0</v>
      </c>
      <c r="BH197" s="428">
        <f t="shared" si="362"/>
        <v>0</v>
      </c>
      <c r="BI197" s="428">
        <f t="shared" si="363"/>
        <v>7523.4537210160106</v>
      </c>
      <c r="BJ197" s="428">
        <f t="shared" si="363"/>
        <v>-2350</v>
      </c>
      <c r="BK197" s="428">
        <f t="shared" si="364"/>
        <v>0</v>
      </c>
      <c r="BL197" s="428">
        <f t="shared" si="365"/>
        <v>0</v>
      </c>
      <c r="BM197" s="428">
        <f t="shared" si="366"/>
        <v>0</v>
      </c>
      <c r="BN197" s="428">
        <f t="shared" si="367"/>
        <v>0</v>
      </c>
      <c r="BO197" s="428">
        <f t="shared" si="368"/>
        <v>7856.0600066140578</v>
      </c>
      <c r="BP197" s="428">
        <f t="shared" si="368"/>
        <v>-2350</v>
      </c>
      <c r="BQ197" s="428">
        <f t="shared" si="369"/>
        <v>0</v>
      </c>
      <c r="BR197" s="428">
        <f t="shared" si="370"/>
        <v>0</v>
      </c>
      <c r="BS197" s="428">
        <f t="shared" si="371"/>
        <v>0</v>
      </c>
      <c r="BT197" s="428">
        <f t="shared" si="372"/>
        <v>0</v>
      </c>
      <c r="BU197" s="428">
        <f t="shared" si="373"/>
        <v>8188.666292212105</v>
      </c>
      <c r="BV197" s="428">
        <f t="shared" si="373"/>
        <v>-2350</v>
      </c>
      <c r="BW197" s="428">
        <f t="shared" si="374"/>
        <v>0</v>
      </c>
      <c r="BX197" s="428">
        <f t="shared" si="375"/>
        <v>0</v>
      </c>
      <c r="BY197" s="428">
        <f t="shared" si="376"/>
        <v>0</v>
      </c>
      <c r="BZ197" s="428">
        <f t="shared" si="377"/>
        <v>0</v>
      </c>
      <c r="CA197" s="428">
        <f t="shared" si="378"/>
        <v>8521.2725778101521</v>
      </c>
      <c r="CB197" s="428">
        <f t="shared" si="378"/>
        <v>-2350</v>
      </c>
      <c r="CC197" s="428">
        <f t="shared" si="379"/>
        <v>0</v>
      </c>
      <c r="CD197" s="428">
        <f t="shared" si="380"/>
        <v>0</v>
      </c>
      <c r="CE197" s="428">
        <f t="shared" si="381"/>
        <v>0</v>
      </c>
      <c r="CF197" s="428">
        <f t="shared" si="382"/>
        <v>0</v>
      </c>
      <c r="CG197" s="428">
        <f t="shared" si="383"/>
        <v>8853.8788634081975</v>
      </c>
      <c r="CH197" s="428">
        <f t="shared" si="383"/>
        <v>-2350</v>
      </c>
      <c r="CI197" s="428">
        <f t="shared" si="384"/>
        <v>0</v>
      </c>
      <c r="CJ197" s="428">
        <f t="shared" si="385"/>
        <v>0</v>
      </c>
      <c r="CK197" s="428">
        <f t="shared" si="386"/>
        <v>0</v>
      </c>
      <c r="CL197" s="428">
        <f t="shared" si="387"/>
        <v>0</v>
      </c>
      <c r="CM197" s="428">
        <f t="shared" si="388"/>
        <v>9186.4851490062465</v>
      </c>
      <c r="CN197" s="428">
        <f t="shared" si="388"/>
        <v>-2350</v>
      </c>
      <c r="CO197" s="428">
        <f t="shared" si="389"/>
        <v>0</v>
      </c>
      <c r="CP197" s="428">
        <f t="shared" si="390"/>
        <v>0</v>
      </c>
      <c r="CQ197" s="428">
        <f t="shared" si="391"/>
        <v>0</v>
      </c>
      <c r="CR197" s="428">
        <f t="shared" si="392"/>
        <v>0</v>
      </c>
      <c r="CS197" s="428">
        <f t="shared" si="393"/>
        <v>9519.0914346042919</v>
      </c>
      <c r="CT197" s="428">
        <f t="shared" si="393"/>
        <v>-2350</v>
      </c>
      <c r="CU197" s="428">
        <f t="shared" si="394"/>
        <v>0</v>
      </c>
      <c r="CV197" s="428">
        <f t="shared" si="395"/>
        <v>0</v>
      </c>
      <c r="CW197" s="428">
        <f t="shared" si="396"/>
        <v>0</v>
      </c>
      <c r="CX197" s="428">
        <f t="shared" si="397"/>
        <v>0</v>
      </c>
      <c r="CY197" s="428">
        <f t="shared" si="398"/>
        <v>9851.6977202023409</v>
      </c>
      <c r="CZ197" s="428">
        <f t="shared" si="398"/>
        <v>-2350</v>
      </c>
      <c r="DA197" s="428">
        <f t="shared" si="399"/>
        <v>0</v>
      </c>
      <c r="DB197" s="428">
        <f t="shared" si="400"/>
        <v>0</v>
      </c>
      <c r="DC197" s="428">
        <f t="shared" si="401"/>
        <v>0</v>
      </c>
      <c r="DD197" s="428">
        <f t="shared" si="402"/>
        <v>0</v>
      </c>
      <c r="DE197" s="428">
        <f t="shared" si="403"/>
        <v>10184.304005800386</v>
      </c>
    </row>
    <row r="198" spans="1:109" ht="15" customHeight="1">
      <c r="A198" s="417"/>
      <c r="B198" s="821"/>
      <c r="C198" s="802">
        <f>C199+$G$458</f>
        <v>52</v>
      </c>
      <c r="D198" s="632">
        <f t="shared" si="348"/>
        <v>0.25490466318074145</v>
      </c>
      <c r="E198" s="632">
        <f t="shared" si="349"/>
        <v>0.26611682096936806</v>
      </c>
      <c r="F198" s="632">
        <f t="shared" si="350"/>
        <v>0.27694533637841201</v>
      </c>
      <c r="G198" s="632">
        <f t="shared" si="351"/>
        <v>0.28741853836877396</v>
      </c>
      <c r="H198" s="632">
        <f t="shared" si="352"/>
        <v>0.29756162962574795</v>
      </c>
      <c r="I198" s="632">
        <f t="shared" si="353"/>
        <v>0.30739713710456562</v>
      </c>
      <c r="J198" s="632">
        <f t="shared" si="354"/>
        <v>0.31694528348699946</v>
      </c>
      <c r="K198" s="632">
        <f t="shared" si="355"/>
        <v>0.32622429587780966</v>
      </c>
      <c r="L198" s="632">
        <f t="shared" si="356"/>
        <v>0.33525066396395853</v>
      </c>
      <c r="M198" s="417"/>
      <c r="N198" s="417"/>
      <c r="O198" s="417"/>
      <c r="P198" s="417"/>
      <c r="Q198" s="417"/>
      <c r="AT198" s="805">
        <f t="shared" ref="AT198:BB198" si="405">IF(Z212&lt;$G$449,0,MIN($G$446,1+IFERROR(INT((Z212-$G$449)/$G$464),0)))</f>
        <v>0</v>
      </c>
      <c r="AU198" s="805">
        <f t="shared" si="405"/>
        <v>0</v>
      </c>
      <c r="AV198" s="805">
        <f t="shared" si="405"/>
        <v>0</v>
      </c>
      <c r="AW198" s="805">
        <f t="shared" si="405"/>
        <v>1</v>
      </c>
      <c r="AX198" s="805">
        <f t="shared" si="405"/>
        <v>2</v>
      </c>
      <c r="AY198" s="805">
        <f t="shared" si="405"/>
        <v>3</v>
      </c>
      <c r="AZ198" s="805">
        <f t="shared" si="405"/>
        <v>5</v>
      </c>
      <c r="BA198" s="805">
        <f t="shared" si="405"/>
        <v>6</v>
      </c>
      <c r="BB198" s="805">
        <f t="shared" si="405"/>
        <v>7</v>
      </c>
      <c r="BD198" s="428">
        <f t="shared" si="358"/>
        <v>-2350</v>
      </c>
      <c r="BE198" s="428">
        <f t="shared" si="359"/>
        <v>0</v>
      </c>
      <c r="BF198" s="428">
        <f t="shared" si="360"/>
        <v>0</v>
      </c>
      <c r="BG198" s="428">
        <f t="shared" si="361"/>
        <v>0</v>
      </c>
      <c r="BH198" s="428">
        <f t="shared" si="362"/>
        <v>0</v>
      </c>
      <c r="BI198" s="428">
        <f t="shared" si="363"/>
        <v>7313.4370554435773</v>
      </c>
      <c r="BJ198" s="428">
        <f t="shared" si="363"/>
        <v>-2350</v>
      </c>
      <c r="BK198" s="428">
        <f t="shared" si="364"/>
        <v>0</v>
      </c>
      <c r="BL198" s="428">
        <f t="shared" si="365"/>
        <v>0</v>
      </c>
      <c r="BM198" s="428">
        <f t="shared" si="366"/>
        <v>0</v>
      </c>
      <c r="BN198" s="428">
        <f t="shared" si="367"/>
        <v>0</v>
      </c>
      <c r="BO198" s="428">
        <f t="shared" si="368"/>
        <v>7646.0433410416244</v>
      </c>
      <c r="BP198" s="428">
        <f t="shared" si="368"/>
        <v>-2350</v>
      </c>
      <c r="BQ198" s="428">
        <f t="shared" si="369"/>
        <v>0</v>
      </c>
      <c r="BR198" s="428">
        <f t="shared" si="370"/>
        <v>0</v>
      </c>
      <c r="BS198" s="428">
        <f t="shared" si="371"/>
        <v>0</v>
      </c>
      <c r="BT198" s="428">
        <f t="shared" si="372"/>
        <v>0</v>
      </c>
      <c r="BU198" s="428">
        <f t="shared" si="373"/>
        <v>7978.6496266396716</v>
      </c>
      <c r="BV198" s="428">
        <f t="shared" si="373"/>
        <v>-2350</v>
      </c>
      <c r="BW198" s="428">
        <f t="shared" si="374"/>
        <v>0</v>
      </c>
      <c r="BX198" s="428">
        <f t="shared" si="375"/>
        <v>0</v>
      </c>
      <c r="BY198" s="428">
        <f t="shared" si="376"/>
        <v>0</v>
      </c>
      <c r="BZ198" s="428">
        <f t="shared" si="377"/>
        <v>0</v>
      </c>
      <c r="CA198" s="428">
        <f t="shared" si="378"/>
        <v>8311.2559122377188</v>
      </c>
      <c r="CB198" s="428">
        <f t="shared" si="378"/>
        <v>-2350</v>
      </c>
      <c r="CC198" s="428">
        <f t="shared" si="379"/>
        <v>0</v>
      </c>
      <c r="CD198" s="428">
        <f t="shared" si="380"/>
        <v>0</v>
      </c>
      <c r="CE198" s="428">
        <f t="shared" si="381"/>
        <v>0</v>
      </c>
      <c r="CF198" s="428">
        <f t="shared" si="382"/>
        <v>0</v>
      </c>
      <c r="CG198" s="428">
        <f t="shared" si="383"/>
        <v>8643.862197835766</v>
      </c>
      <c r="CH198" s="428">
        <f t="shared" si="383"/>
        <v>-2350</v>
      </c>
      <c r="CI198" s="428">
        <f t="shared" si="384"/>
        <v>0</v>
      </c>
      <c r="CJ198" s="428">
        <f t="shared" si="385"/>
        <v>0</v>
      </c>
      <c r="CK198" s="428">
        <f t="shared" si="386"/>
        <v>0</v>
      </c>
      <c r="CL198" s="428">
        <f t="shared" si="387"/>
        <v>0</v>
      </c>
      <c r="CM198" s="428">
        <f t="shared" si="388"/>
        <v>8976.4684834338132</v>
      </c>
      <c r="CN198" s="428">
        <f t="shared" si="388"/>
        <v>-2350</v>
      </c>
      <c r="CO198" s="428">
        <f t="shared" si="389"/>
        <v>0</v>
      </c>
      <c r="CP198" s="428">
        <f t="shared" si="390"/>
        <v>0</v>
      </c>
      <c r="CQ198" s="428">
        <f t="shared" si="391"/>
        <v>0</v>
      </c>
      <c r="CR198" s="428">
        <f t="shared" si="392"/>
        <v>0</v>
      </c>
      <c r="CS198" s="428">
        <f t="shared" si="393"/>
        <v>9309.0747690318603</v>
      </c>
      <c r="CT198" s="428">
        <f t="shared" si="393"/>
        <v>-2350</v>
      </c>
      <c r="CU198" s="428">
        <f t="shared" si="394"/>
        <v>0</v>
      </c>
      <c r="CV198" s="428">
        <f t="shared" si="395"/>
        <v>0</v>
      </c>
      <c r="CW198" s="428">
        <f t="shared" si="396"/>
        <v>0</v>
      </c>
      <c r="CX198" s="428">
        <f t="shared" si="397"/>
        <v>0</v>
      </c>
      <c r="CY198" s="428">
        <f t="shared" si="398"/>
        <v>9641.6810546299075</v>
      </c>
      <c r="CZ198" s="428">
        <f t="shared" si="398"/>
        <v>-2350</v>
      </c>
      <c r="DA198" s="428">
        <f t="shared" si="399"/>
        <v>0</v>
      </c>
      <c r="DB198" s="428">
        <f t="shared" si="400"/>
        <v>0</v>
      </c>
      <c r="DC198" s="428">
        <f t="shared" si="401"/>
        <v>0</v>
      </c>
      <c r="DD198" s="428">
        <f t="shared" si="402"/>
        <v>0</v>
      </c>
      <c r="DE198" s="428">
        <f t="shared" si="403"/>
        <v>9974.2873402279547</v>
      </c>
    </row>
    <row r="199" spans="1:109" ht="15" customHeight="1">
      <c r="A199" s="417"/>
      <c r="B199" s="821"/>
      <c r="C199" s="802">
        <f>$G$457</f>
        <v>48</v>
      </c>
      <c r="D199" s="632">
        <f t="shared" si="348"/>
        <v>0.2476131138879194</v>
      </c>
      <c r="E199" s="632">
        <f t="shared" si="349"/>
        <v>0.25908373981303301</v>
      </c>
      <c r="F199" s="632">
        <f t="shared" si="350"/>
        <v>0.27015098157094575</v>
      </c>
      <c r="G199" s="632">
        <f t="shared" si="351"/>
        <v>0.28084541841584909</v>
      </c>
      <c r="H199" s="790">
        <f t="shared" si="352"/>
        <v>0.29119416880747639</v>
      </c>
      <c r="I199" s="632">
        <f t="shared" si="353"/>
        <v>0.30122140139452713</v>
      </c>
      <c r="J199" s="632">
        <f t="shared" si="354"/>
        <v>0.31094875427053514</v>
      </c>
      <c r="K199" s="632">
        <f t="shared" si="355"/>
        <v>0.32039568158616216</v>
      </c>
      <c r="L199" s="632">
        <f t="shared" si="356"/>
        <v>0.32957974239339727</v>
      </c>
      <c r="M199" s="417"/>
      <c r="N199" s="417"/>
      <c r="O199" s="417"/>
      <c r="P199" s="417"/>
      <c r="Q199" s="417"/>
      <c r="AT199" s="805">
        <f t="shared" ref="AT199:BB199" si="406">IF(Z213&lt;$G$449,0,MIN($G$446,1+IFERROR(INT((Z213-$G$449)/$G$464),0)))</f>
        <v>0</v>
      </c>
      <c r="AU199" s="805">
        <f t="shared" si="406"/>
        <v>0</v>
      </c>
      <c r="AV199" s="805">
        <f t="shared" si="406"/>
        <v>0</v>
      </c>
      <c r="AW199" s="805">
        <f t="shared" si="406"/>
        <v>2</v>
      </c>
      <c r="AX199" s="805">
        <f t="shared" si="406"/>
        <v>3</v>
      </c>
      <c r="AY199" s="805">
        <f t="shared" si="406"/>
        <v>4</v>
      </c>
      <c r="AZ199" s="805">
        <f t="shared" si="406"/>
        <v>5</v>
      </c>
      <c r="BA199" s="805">
        <f t="shared" si="406"/>
        <v>7</v>
      </c>
      <c r="BB199" s="805">
        <f t="shared" si="406"/>
        <v>8</v>
      </c>
      <c r="BD199" s="428">
        <f t="shared" si="358"/>
        <v>-2350</v>
      </c>
      <c r="BE199" s="428">
        <f t="shared" si="359"/>
        <v>0</v>
      </c>
      <c r="BF199" s="428">
        <f t="shared" si="360"/>
        <v>0</v>
      </c>
      <c r="BG199" s="428">
        <f t="shared" si="361"/>
        <v>0</v>
      </c>
      <c r="BH199" s="428">
        <f t="shared" si="362"/>
        <v>0</v>
      </c>
      <c r="BI199" s="428">
        <f t="shared" si="363"/>
        <v>7103.4203898711448</v>
      </c>
      <c r="BJ199" s="428">
        <f t="shared" si="363"/>
        <v>-2350</v>
      </c>
      <c r="BK199" s="428">
        <f t="shared" si="364"/>
        <v>0</v>
      </c>
      <c r="BL199" s="428">
        <f t="shared" si="365"/>
        <v>0</v>
      </c>
      <c r="BM199" s="428">
        <f t="shared" si="366"/>
        <v>0</v>
      </c>
      <c r="BN199" s="428">
        <f t="shared" si="367"/>
        <v>0</v>
      </c>
      <c r="BO199" s="428">
        <f t="shared" si="368"/>
        <v>7436.0266754691911</v>
      </c>
      <c r="BP199" s="428">
        <f t="shared" si="368"/>
        <v>-2350</v>
      </c>
      <c r="BQ199" s="428">
        <f t="shared" si="369"/>
        <v>0</v>
      </c>
      <c r="BR199" s="428">
        <f t="shared" si="370"/>
        <v>0</v>
      </c>
      <c r="BS199" s="428">
        <f t="shared" si="371"/>
        <v>0</v>
      </c>
      <c r="BT199" s="428">
        <f t="shared" si="372"/>
        <v>0</v>
      </c>
      <c r="BU199" s="428">
        <f t="shared" si="373"/>
        <v>7768.6329610672383</v>
      </c>
      <c r="BV199" s="428">
        <f t="shared" si="373"/>
        <v>-2350</v>
      </c>
      <c r="BW199" s="428">
        <f t="shared" si="374"/>
        <v>0</v>
      </c>
      <c r="BX199" s="428">
        <f t="shared" si="375"/>
        <v>0</v>
      </c>
      <c r="BY199" s="428">
        <f t="shared" si="376"/>
        <v>0</v>
      </c>
      <c r="BZ199" s="428">
        <f t="shared" si="377"/>
        <v>0</v>
      </c>
      <c r="CA199" s="428">
        <f t="shared" si="378"/>
        <v>8101.2392466652855</v>
      </c>
      <c r="CB199" s="428">
        <f t="shared" si="378"/>
        <v>-2350</v>
      </c>
      <c r="CC199" s="428">
        <f t="shared" si="379"/>
        <v>0</v>
      </c>
      <c r="CD199" s="428">
        <f t="shared" si="380"/>
        <v>0</v>
      </c>
      <c r="CE199" s="428">
        <f t="shared" si="381"/>
        <v>0</v>
      </c>
      <c r="CF199" s="428">
        <f t="shared" si="382"/>
        <v>0</v>
      </c>
      <c r="CG199" s="428">
        <f t="shared" si="383"/>
        <v>8433.8455322633345</v>
      </c>
      <c r="CH199" s="428">
        <f t="shared" si="383"/>
        <v>-2350</v>
      </c>
      <c r="CI199" s="428">
        <f t="shared" si="384"/>
        <v>0</v>
      </c>
      <c r="CJ199" s="428">
        <f t="shared" si="385"/>
        <v>0</v>
      </c>
      <c r="CK199" s="428">
        <f t="shared" si="386"/>
        <v>0</v>
      </c>
      <c r="CL199" s="428">
        <f t="shared" si="387"/>
        <v>0</v>
      </c>
      <c r="CM199" s="428">
        <f t="shared" si="388"/>
        <v>8766.4518178613798</v>
      </c>
      <c r="CN199" s="428">
        <f t="shared" si="388"/>
        <v>-2350</v>
      </c>
      <c r="CO199" s="428">
        <f t="shared" si="389"/>
        <v>0</v>
      </c>
      <c r="CP199" s="428">
        <f t="shared" si="390"/>
        <v>0</v>
      </c>
      <c r="CQ199" s="428">
        <f t="shared" si="391"/>
        <v>0</v>
      </c>
      <c r="CR199" s="428">
        <f t="shared" si="392"/>
        <v>0</v>
      </c>
      <c r="CS199" s="428">
        <f t="shared" si="393"/>
        <v>9099.0581034594288</v>
      </c>
      <c r="CT199" s="428">
        <f t="shared" si="393"/>
        <v>-2350</v>
      </c>
      <c r="CU199" s="428">
        <f t="shared" si="394"/>
        <v>0</v>
      </c>
      <c r="CV199" s="428">
        <f t="shared" si="395"/>
        <v>0</v>
      </c>
      <c r="CW199" s="428">
        <f t="shared" si="396"/>
        <v>0</v>
      </c>
      <c r="CX199" s="428">
        <f t="shared" si="397"/>
        <v>0</v>
      </c>
      <c r="CY199" s="428">
        <f t="shared" si="398"/>
        <v>9431.6643890574742</v>
      </c>
      <c r="CZ199" s="428">
        <f t="shared" si="398"/>
        <v>-2350</v>
      </c>
      <c r="DA199" s="428">
        <f t="shared" si="399"/>
        <v>0</v>
      </c>
      <c r="DB199" s="428">
        <f t="shared" si="400"/>
        <v>0</v>
      </c>
      <c r="DC199" s="428">
        <f t="shared" si="401"/>
        <v>0</v>
      </c>
      <c r="DD199" s="428">
        <f t="shared" si="402"/>
        <v>0</v>
      </c>
      <c r="DE199" s="428">
        <f t="shared" si="403"/>
        <v>9764.2706746555232</v>
      </c>
    </row>
    <row r="200" spans="1:109" ht="15" customHeight="1">
      <c r="A200" s="417"/>
      <c r="B200" s="821"/>
      <c r="C200" s="802">
        <f>C199-$G$458</f>
        <v>44</v>
      </c>
      <c r="D200" s="632">
        <f t="shared" si="348"/>
        <v>0.24014700975511794</v>
      </c>
      <c r="E200" s="632">
        <f t="shared" si="349"/>
        <v>0.2518899105809187</v>
      </c>
      <c r="F200" s="632">
        <f t="shared" si="350"/>
        <v>0.263208058177959</v>
      </c>
      <c r="G200" s="632">
        <f t="shared" si="351"/>
        <v>0.27413453186827819</v>
      </c>
      <c r="H200" s="632">
        <f t="shared" si="352"/>
        <v>0.28469856911304725</v>
      </c>
      <c r="I200" s="632">
        <f t="shared" si="353"/>
        <v>0.29492614704008768</v>
      </c>
      <c r="J200" s="632">
        <f t="shared" si="354"/>
        <v>0.30484045704025942</v>
      </c>
      <c r="K200" s="632">
        <f t="shared" si="355"/>
        <v>0.31446229526005998</v>
      </c>
      <c r="L200" s="632">
        <f t="shared" si="356"/>
        <v>0.32381038647462557</v>
      </c>
      <c r="M200" s="417"/>
      <c r="N200" s="417"/>
      <c r="O200" s="417"/>
      <c r="P200" s="417"/>
      <c r="Q200" s="417"/>
      <c r="AT200" s="805">
        <f t="shared" ref="AT200:BB200" si="407">IF(Z214&lt;$G$449,0,MIN($G$446,1+IFERROR(INT((Z214-$G$449)/$G$464),0)))</f>
        <v>0</v>
      </c>
      <c r="AU200" s="805">
        <f t="shared" si="407"/>
        <v>0</v>
      </c>
      <c r="AV200" s="805">
        <f t="shared" si="407"/>
        <v>1</v>
      </c>
      <c r="AW200" s="805">
        <f t="shared" si="407"/>
        <v>2</v>
      </c>
      <c r="AX200" s="805">
        <f t="shared" si="407"/>
        <v>4</v>
      </c>
      <c r="AY200" s="805">
        <f t="shared" si="407"/>
        <v>5</v>
      </c>
      <c r="AZ200" s="805">
        <f t="shared" si="407"/>
        <v>6</v>
      </c>
      <c r="BA200" s="805">
        <f t="shared" si="407"/>
        <v>8</v>
      </c>
      <c r="BB200" s="805">
        <f t="shared" si="407"/>
        <v>9</v>
      </c>
      <c r="BD200" s="428">
        <f t="shared" si="358"/>
        <v>-2350</v>
      </c>
      <c r="BE200" s="428">
        <f t="shared" si="359"/>
        <v>0</v>
      </c>
      <c r="BF200" s="428">
        <f t="shared" si="360"/>
        <v>0</v>
      </c>
      <c r="BG200" s="428">
        <f t="shared" si="361"/>
        <v>0</v>
      </c>
      <c r="BH200" s="428">
        <f t="shared" si="362"/>
        <v>0</v>
      </c>
      <c r="BI200" s="428">
        <f t="shared" si="363"/>
        <v>6893.4037242987124</v>
      </c>
      <c r="BJ200" s="428">
        <f t="shared" si="363"/>
        <v>-2350</v>
      </c>
      <c r="BK200" s="428">
        <f t="shared" si="364"/>
        <v>0</v>
      </c>
      <c r="BL200" s="428">
        <f t="shared" si="365"/>
        <v>0</v>
      </c>
      <c r="BM200" s="428">
        <f t="shared" si="366"/>
        <v>0</v>
      </c>
      <c r="BN200" s="428">
        <f t="shared" si="367"/>
        <v>0</v>
      </c>
      <c r="BO200" s="428">
        <f t="shared" si="368"/>
        <v>7226.0100098967596</v>
      </c>
      <c r="BP200" s="428">
        <f t="shared" si="368"/>
        <v>-2350</v>
      </c>
      <c r="BQ200" s="428">
        <f t="shared" si="369"/>
        <v>0</v>
      </c>
      <c r="BR200" s="428">
        <f t="shared" si="370"/>
        <v>0</v>
      </c>
      <c r="BS200" s="428">
        <f t="shared" si="371"/>
        <v>0</v>
      </c>
      <c r="BT200" s="428">
        <f t="shared" si="372"/>
        <v>0</v>
      </c>
      <c r="BU200" s="428">
        <f t="shared" si="373"/>
        <v>7558.6162954948068</v>
      </c>
      <c r="BV200" s="428">
        <f t="shared" si="373"/>
        <v>-2350</v>
      </c>
      <c r="BW200" s="428">
        <f t="shared" si="374"/>
        <v>0</v>
      </c>
      <c r="BX200" s="428">
        <f t="shared" si="375"/>
        <v>0</v>
      </c>
      <c r="BY200" s="428">
        <f t="shared" si="376"/>
        <v>0</v>
      </c>
      <c r="BZ200" s="428">
        <f t="shared" si="377"/>
        <v>0</v>
      </c>
      <c r="CA200" s="428">
        <f t="shared" si="378"/>
        <v>7891.2225810928539</v>
      </c>
      <c r="CB200" s="428">
        <f t="shared" si="378"/>
        <v>-2350</v>
      </c>
      <c r="CC200" s="428">
        <f t="shared" si="379"/>
        <v>0</v>
      </c>
      <c r="CD200" s="428">
        <f t="shared" si="380"/>
        <v>0</v>
      </c>
      <c r="CE200" s="428">
        <f t="shared" si="381"/>
        <v>0</v>
      </c>
      <c r="CF200" s="428">
        <f t="shared" si="382"/>
        <v>0</v>
      </c>
      <c r="CG200" s="428">
        <f t="shared" si="383"/>
        <v>8223.8288666908993</v>
      </c>
      <c r="CH200" s="428">
        <f t="shared" si="383"/>
        <v>-2350</v>
      </c>
      <c r="CI200" s="428">
        <f t="shared" si="384"/>
        <v>0</v>
      </c>
      <c r="CJ200" s="428">
        <f t="shared" si="385"/>
        <v>0</v>
      </c>
      <c r="CK200" s="428">
        <f t="shared" si="386"/>
        <v>0</v>
      </c>
      <c r="CL200" s="428">
        <f t="shared" si="387"/>
        <v>0</v>
      </c>
      <c r="CM200" s="428">
        <f t="shared" si="388"/>
        <v>8556.4351522889483</v>
      </c>
      <c r="CN200" s="428">
        <f t="shared" si="388"/>
        <v>-2350</v>
      </c>
      <c r="CO200" s="428">
        <f t="shared" si="389"/>
        <v>0</v>
      </c>
      <c r="CP200" s="428">
        <f t="shared" si="390"/>
        <v>0</v>
      </c>
      <c r="CQ200" s="428">
        <f t="shared" si="391"/>
        <v>0</v>
      </c>
      <c r="CR200" s="428">
        <f t="shared" si="392"/>
        <v>0</v>
      </c>
      <c r="CS200" s="428">
        <f t="shared" si="393"/>
        <v>8889.0414378869937</v>
      </c>
      <c r="CT200" s="428">
        <f t="shared" si="393"/>
        <v>-2350</v>
      </c>
      <c r="CU200" s="428">
        <f t="shared" si="394"/>
        <v>0</v>
      </c>
      <c r="CV200" s="428">
        <f t="shared" si="395"/>
        <v>0</v>
      </c>
      <c r="CW200" s="428">
        <f t="shared" si="396"/>
        <v>0</v>
      </c>
      <c r="CX200" s="428">
        <f t="shared" si="397"/>
        <v>0</v>
      </c>
      <c r="CY200" s="428">
        <f t="shared" si="398"/>
        <v>9221.6477234850427</v>
      </c>
      <c r="CZ200" s="428">
        <f t="shared" si="398"/>
        <v>-2350</v>
      </c>
      <c r="DA200" s="428">
        <f t="shared" si="399"/>
        <v>0</v>
      </c>
      <c r="DB200" s="428">
        <f t="shared" si="400"/>
        <v>0</v>
      </c>
      <c r="DC200" s="428">
        <f t="shared" si="401"/>
        <v>0</v>
      </c>
      <c r="DD200" s="428">
        <f t="shared" si="402"/>
        <v>0</v>
      </c>
      <c r="DE200" s="428">
        <f t="shared" si="403"/>
        <v>9554.254009083088</v>
      </c>
    </row>
    <row r="201" spans="1:109" ht="15" customHeight="1">
      <c r="A201" s="417"/>
      <c r="B201" s="821"/>
      <c r="C201" s="802">
        <f>C200-$G$458</f>
        <v>40</v>
      </c>
      <c r="D201" s="632">
        <f t="shared" si="348"/>
        <v>0.23249665769493255</v>
      </c>
      <c r="E201" s="632">
        <f t="shared" si="349"/>
        <v>0.24452682278430005</v>
      </c>
      <c r="F201" s="632">
        <f t="shared" si="350"/>
        <v>0.25610905069013223</v>
      </c>
      <c r="G201" s="632">
        <f t="shared" si="351"/>
        <v>0.2672792066660834</v>
      </c>
      <c r="H201" s="632">
        <f t="shared" si="352"/>
        <v>0.27806887842667893</v>
      </c>
      <c r="I201" s="632">
        <f t="shared" si="353"/>
        <v>0.28850604034302907</v>
      </c>
      <c r="J201" s="632">
        <f t="shared" si="354"/>
        <v>0.29861559245991032</v>
      </c>
      <c r="K201" s="632">
        <f t="shared" si="355"/>
        <v>0.30841980178566075</v>
      </c>
      <c r="L201" s="632">
        <f t="shared" si="356"/>
        <v>0.31793866640928314</v>
      </c>
      <c r="M201" s="417"/>
      <c r="N201" s="417"/>
      <c r="O201" s="417"/>
      <c r="P201" s="417"/>
      <c r="Q201" s="417"/>
      <c r="AT201" s="805">
        <f t="shared" ref="AT201:BB201" si="408">IF(Z215&lt;$G$449,0,MIN($G$446,1+IFERROR(INT((Z215-$G$449)/$G$464),0)))</f>
        <v>0</v>
      </c>
      <c r="AU201" s="805">
        <f t="shared" si="408"/>
        <v>1</v>
      </c>
      <c r="AV201" s="805">
        <f t="shared" si="408"/>
        <v>2</v>
      </c>
      <c r="AW201" s="805">
        <f t="shared" si="408"/>
        <v>3</v>
      </c>
      <c r="AX201" s="805">
        <f t="shared" si="408"/>
        <v>4</v>
      </c>
      <c r="AY201" s="805">
        <f t="shared" si="408"/>
        <v>6</v>
      </c>
      <c r="AZ201" s="805">
        <f t="shared" si="408"/>
        <v>7</v>
      </c>
      <c r="BA201" s="805">
        <f t="shared" si="408"/>
        <v>8</v>
      </c>
      <c r="BB201" s="805">
        <f t="shared" si="408"/>
        <v>10</v>
      </c>
      <c r="BD201" s="428">
        <f t="shared" si="358"/>
        <v>-2350</v>
      </c>
      <c r="BE201" s="428">
        <f t="shared" si="359"/>
        <v>0</v>
      </c>
      <c r="BF201" s="428">
        <f t="shared" si="360"/>
        <v>0</v>
      </c>
      <c r="BG201" s="428">
        <f t="shared" si="361"/>
        <v>0</v>
      </c>
      <c r="BH201" s="428">
        <f t="shared" si="362"/>
        <v>0</v>
      </c>
      <c r="BI201" s="428">
        <f t="shared" si="363"/>
        <v>6683.3870587262791</v>
      </c>
      <c r="BJ201" s="428">
        <f t="shared" si="363"/>
        <v>-2350</v>
      </c>
      <c r="BK201" s="428">
        <f t="shared" si="364"/>
        <v>0</v>
      </c>
      <c r="BL201" s="428">
        <f t="shared" si="365"/>
        <v>0</v>
      </c>
      <c r="BM201" s="428">
        <f t="shared" si="366"/>
        <v>0</v>
      </c>
      <c r="BN201" s="428">
        <f t="shared" si="367"/>
        <v>0</v>
      </c>
      <c r="BO201" s="428">
        <f t="shared" si="368"/>
        <v>7015.9933443243244</v>
      </c>
      <c r="BP201" s="428">
        <f t="shared" si="368"/>
        <v>-2350</v>
      </c>
      <c r="BQ201" s="428">
        <f t="shared" si="369"/>
        <v>0</v>
      </c>
      <c r="BR201" s="428">
        <f t="shared" si="370"/>
        <v>0</v>
      </c>
      <c r="BS201" s="428">
        <f t="shared" si="371"/>
        <v>0</v>
      </c>
      <c r="BT201" s="428">
        <f t="shared" si="372"/>
        <v>0</v>
      </c>
      <c r="BU201" s="428">
        <f t="shared" si="373"/>
        <v>7348.5996299223716</v>
      </c>
      <c r="BV201" s="428">
        <f t="shared" si="373"/>
        <v>-2350</v>
      </c>
      <c r="BW201" s="428">
        <f t="shared" si="374"/>
        <v>0</v>
      </c>
      <c r="BX201" s="428">
        <f t="shared" si="375"/>
        <v>0</v>
      </c>
      <c r="BY201" s="428">
        <f t="shared" si="376"/>
        <v>0</v>
      </c>
      <c r="BZ201" s="428">
        <f t="shared" si="377"/>
        <v>0</v>
      </c>
      <c r="CA201" s="428">
        <f t="shared" si="378"/>
        <v>7681.2059155204188</v>
      </c>
      <c r="CB201" s="428">
        <f t="shared" si="378"/>
        <v>-2350</v>
      </c>
      <c r="CC201" s="428">
        <f t="shared" si="379"/>
        <v>0</v>
      </c>
      <c r="CD201" s="428">
        <f t="shared" si="380"/>
        <v>0</v>
      </c>
      <c r="CE201" s="428">
        <f t="shared" si="381"/>
        <v>0</v>
      </c>
      <c r="CF201" s="428">
        <f t="shared" si="382"/>
        <v>0</v>
      </c>
      <c r="CG201" s="428">
        <f t="shared" si="383"/>
        <v>8013.8122011184678</v>
      </c>
      <c r="CH201" s="428">
        <f t="shared" si="383"/>
        <v>-2350</v>
      </c>
      <c r="CI201" s="428">
        <f t="shared" si="384"/>
        <v>0</v>
      </c>
      <c r="CJ201" s="428">
        <f t="shared" si="385"/>
        <v>0</v>
      </c>
      <c r="CK201" s="428">
        <f t="shared" si="386"/>
        <v>0</v>
      </c>
      <c r="CL201" s="428">
        <f t="shared" si="387"/>
        <v>0</v>
      </c>
      <c r="CM201" s="428">
        <f t="shared" si="388"/>
        <v>8346.4184867165131</v>
      </c>
      <c r="CN201" s="428">
        <f t="shared" si="388"/>
        <v>-2350</v>
      </c>
      <c r="CO201" s="428">
        <f t="shared" si="389"/>
        <v>0</v>
      </c>
      <c r="CP201" s="428">
        <f t="shared" si="390"/>
        <v>0</v>
      </c>
      <c r="CQ201" s="428">
        <f t="shared" si="391"/>
        <v>0</v>
      </c>
      <c r="CR201" s="428">
        <f t="shared" si="392"/>
        <v>0</v>
      </c>
      <c r="CS201" s="428">
        <f t="shared" si="393"/>
        <v>8679.0247723145621</v>
      </c>
      <c r="CT201" s="428">
        <f t="shared" si="393"/>
        <v>-2350</v>
      </c>
      <c r="CU201" s="428">
        <f t="shared" si="394"/>
        <v>0</v>
      </c>
      <c r="CV201" s="428">
        <f t="shared" si="395"/>
        <v>0</v>
      </c>
      <c r="CW201" s="428">
        <f t="shared" si="396"/>
        <v>0</v>
      </c>
      <c r="CX201" s="428">
        <f t="shared" si="397"/>
        <v>0</v>
      </c>
      <c r="CY201" s="428">
        <f t="shared" si="398"/>
        <v>9011.6310579126075</v>
      </c>
      <c r="CZ201" s="428">
        <f t="shared" si="398"/>
        <v>-2350</v>
      </c>
      <c r="DA201" s="428">
        <f t="shared" si="399"/>
        <v>0</v>
      </c>
      <c r="DB201" s="428">
        <f t="shared" si="400"/>
        <v>0</v>
      </c>
      <c r="DC201" s="428">
        <f t="shared" si="401"/>
        <v>0</v>
      </c>
      <c r="DD201" s="428">
        <f t="shared" si="402"/>
        <v>0</v>
      </c>
      <c r="DE201" s="428">
        <f t="shared" si="403"/>
        <v>9344.2373435106565</v>
      </c>
    </row>
    <row r="202" spans="1:109" ht="15" customHeight="1">
      <c r="A202" s="417"/>
      <c r="B202" s="822"/>
      <c r="C202" s="803">
        <f>C201-$G$458</f>
        <v>36</v>
      </c>
      <c r="D202" s="791">
        <f t="shared" si="348"/>
        <v>0.22465150058569172</v>
      </c>
      <c r="E202" s="791">
        <f t="shared" si="349"/>
        <v>0.23698524374013186</v>
      </c>
      <c r="F202" s="791">
        <f t="shared" si="350"/>
        <v>0.24884583505459945</v>
      </c>
      <c r="G202" s="791">
        <f t="shared" si="351"/>
        <v>0.26027225416661315</v>
      </c>
      <c r="H202" s="791">
        <f t="shared" si="352"/>
        <v>0.27129870313073168</v>
      </c>
      <c r="I202" s="791">
        <f t="shared" si="353"/>
        <v>0.28195536792588571</v>
      </c>
      <c r="J202" s="791">
        <f t="shared" si="354"/>
        <v>0.29226903279131777</v>
      </c>
      <c r="K202" s="791">
        <f t="shared" si="355"/>
        <v>0.30226358043414137</v>
      </c>
      <c r="L202" s="791">
        <f t="shared" si="356"/>
        <v>0.31196040280016035</v>
      </c>
      <c r="M202" s="417"/>
      <c r="N202" s="417"/>
      <c r="O202" s="417"/>
      <c r="P202" s="417"/>
      <c r="Q202" s="417"/>
      <c r="AT202" s="805">
        <f t="shared" ref="AT202:BB202" si="409">IF(Z216&lt;$G$449,0,MIN($G$446,1+IFERROR(INT((Z216-$G$449)/$G$464),0)))</f>
        <v>0</v>
      </c>
      <c r="AU202" s="805">
        <f t="shared" si="409"/>
        <v>1</v>
      </c>
      <c r="AV202" s="805">
        <f t="shared" si="409"/>
        <v>3</v>
      </c>
      <c r="AW202" s="805">
        <f t="shared" si="409"/>
        <v>4</v>
      </c>
      <c r="AX202" s="805">
        <f t="shared" si="409"/>
        <v>5</v>
      </c>
      <c r="AY202" s="805">
        <f t="shared" si="409"/>
        <v>7</v>
      </c>
      <c r="AZ202" s="805">
        <f t="shared" si="409"/>
        <v>8</v>
      </c>
      <c r="BA202" s="805">
        <f t="shared" si="409"/>
        <v>9</v>
      </c>
      <c r="BB202" s="805">
        <f t="shared" si="409"/>
        <v>10</v>
      </c>
      <c r="BD202" s="428">
        <f t="shared" si="358"/>
        <v>-2350</v>
      </c>
      <c r="BE202" s="428">
        <f t="shared" si="359"/>
        <v>0</v>
      </c>
      <c r="BF202" s="428">
        <f t="shared" si="360"/>
        <v>0</v>
      </c>
      <c r="BG202" s="428">
        <f t="shared" si="361"/>
        <v>0</v>
      </c>
      <c r="BH202" s="428">
        <f t="shared" si="362"/>
        <v>0</v>
      </c>
      <c r="BI202" s="428">
        <f t="shared" si="363"/>
        <v>6473.3703931538475</v>
      </c>
      <c r="BJ202" s="428">
        <f t="shared" si="363"/>
        <v>-2350</v>
      </c>
      <c r="BK202" s="428">
        <f t="shared" si="364"/>
        <v>0</v>
      </c>
      <c r="BL202" s="428">
        <f t="shared" si="365"/>
        <v>0</v>
      </c>
      <c r="BM202" s="428">
        <f t="shared" si="366"/>
        <v>0</v>
      </c>
      <c r="BN202" s="428">
        <f t="shared" si="367"/>
        <v>0</v>
      </c>
      <c r="BO202" s="428">
        <f t="shared" si="368"/>
        <v>6805.9766787518947</v>
      </c>
      <c r="BP202" s="428">
        <f t="shared" si="368"/>
        <v>-2350</v>
      </c>
      <c r="BQ202" s="428">
        <f t="shared" si="369"/>
        <v>0</v>
      </c>
      <c r="BR202" s="428">
        <f t="shared" si="370"/>
        <v>0</v>
      </c>
      <c r="BS202" s="428">
        <f t="shared" si="371"/>
        <v>0</v>
      </c>
      <c r="BT202" s="428">
        <f t="shared" si="372"/>
        <v>0</v>
      </c>
      <c r="BU202" s="428">
        <f t="shared" si="373"/>
        <v>7138.5829643499419</v>
      </c>
      <c r="BV202" s="428">
        <f t="shared" si="373"/>
        <v>-2350</v>
      </c>
      <c r="BW202" s="428">
        <f t="shared" si="374"/>
        <v>0</v>
      </c>
      <c r="BX202" s="428">
        <f t="shared" si="375"/>
        <v>0</v>
      </c>
      <c r="BY202" s="428">
        <f t="shared" si="376"/>
        <v>0</v>
      </c>
      <c r="BZ202" s="428">
        <f t="shared" si="377"/>
        <v>0</v>
      </c>
      <c r="CA202" s="428">
        <f t="shared" si="378"/>
        <v>7471.1892499479891</v>
      </c>
      <c r="CB202" s="428">
        <f t="shared" si="378"/>
        <v>-2350</v>
      </c>
      <c r="CC202" s="428">
        <f t="shared" si="379"/>
        <v>0</v>
      </c>
      <c r="CD202" s="428">
        <f t="shared" si="380"/>
        <v>0</v>
      </c>
      <c r="CE202" s="428">
        <f t="shared" si="381"/>
        <v>0</v>
      </c>
      <c r="CF202" s="428">
        <f t="shared" si="382"/>
        <v>0</v>
      </c>
      <c r="CG202" s="428">
        <f t="shared" si="383"/>
        <v>7803.7955355460363</v>
      </c>
      <c r="CH202" s="428">
        <f t="shared" si="383"/>
        <v>-2350</v>
      </c>
      <c r="CI202" s="428">
        <f t="shared" si="384"/>
        <v>0</v>
      </c>
      <c r="CJ202" s="428">
        <f t="shared" si="385"/>
        <v>0</v>
      </c>
      <c r="CK202" s="428">
        <f t="shared" si="386"/>
        <v>0</v>
      </c>
      <c r="CL202" s="428">
        <f t="shared" si="387"/>
        <v>0</v>
      </c>
      <c r="CM202" s="428">
        <f t="shared" si="388"/>
        <v>8136.4018211440834</v>
      </c>
      <c r="CN202" s="428">
        <f t="shared" si="388"/>
        <v>-2350</v>
      </c>
      <c r="CO202" s="428">
        <f t="shared" si="389"/>
        <v>0</v>
      </c>
      <c r="CP202" s="428">
        <f t="shared" si="390"/>
        <v>0</v>
      </c>
      <c r="CQ202" s="428">
        <f t="shared" si="391"/>
        <v>0</v>
      </c>
      <c r="CR202" s="428">
        <f t="shared" si="392"/>
        <v>0</v>
      </c>
      <c r="CS202" s="428">
        <f t="shared" si="393"/>
        <v>8469.0081067421306</v>
      </c>
      <c r="CT202" s="428">
        <f t="shared" si="393"/>
        <v>-2350</v>
      </c>
      <c r="CU202" s="428">
        <f t="shared" si="394"/>
        <v>0</v>
      </c>
      <c r="CV202" s="428">
        <f t="shared" si="395"/>
        <v>0</v>
      </c>
      <c r="CW202" s="428">
        <f t="shared" si="396"/>
        <v>0</v>
      </c>
      <c r="CX202" s="428">
        <f t="shared" si="397"/>
        <v>0</v>
      </c>
      <c r="CY202" s="428">
        <f t="shared" si="398"/>
        <v>8801.6143923401778</v>
      </c>
      <c r="CZ202" s="428">
        <f t="shared" si="398"/>
        <v>-2350</v>
      </c>
      <c r="DA202" s="428">
        <f t="shared" si="399"/>
        <v>0</v>
      </c>
      <c r="DB202" s="428">
        <f t="shared" si="400"/>
        <v>0</v>
      </c>
      <c r="DC202" s="428">
        <f t="shared" si="401"/>
        <v>0</v>
      </c>
      <c r="DD202" s="428">
        <f t="shared" si="402"/>
        <v>0</v>
      </c>
      <c r="DE202" s="428">
        <f t="shared" si="403"/>
        <v>9134.220677938225</v>
      </c>
    </row>
    <row r="203" spans="1:109" ht="15" hidden="1" customHeight="1" outlineLevel="1">
      <c r="A203" s="417"/>
      <c r="B203" s="423" t="str">
        <f>"IRR: Yr 0 = cash at close less Keystone today; earnout Yr "&amp;$G$444&amp;"; Yr 5 = stake value; rollover fixed at "&amp;TEXT($G$436,"0%")</f>
        <v>IRR: Yr 0 = cash at close less Keystone today; earnout Yr 3; Yr 5 = stake value; rollover fixed at 30%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7"/>
      <c r="O203" s="417"/>
      <c r="P203" s="417"/>
      <c r="Q203" s="417"/>
    </row>
    <row r="204" spans="1:109" ht="3.95" customHeight="1" collapsed="1">
      <c r="A204" s="417"/>
      <c r="B204" s="423"/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7"/>
      <c r="O204" s="417"/>
      <c r="P204" s="417"/>
      <c r="Q204" s="417"/>
    </row>
    <row r="205" spans="1:109" ht="15" customHeight="1">
      <c r="A205" s="417"/>
      <c r="B205" s="795" t="str">
        <f>"Ben's Return Profile Based on Partnering — Topkey Growth × Net Client Wins ("&amp;TEXT($G$436,"0%")&amp;" Rollover) — Less Standalone"</f>
        <v>Ben's Return Profile Based on Partnering — Topkey Growth × Net Client Wins (30% Rollover) — Less Standalone</v>
      </c>
      <c r="C205" s="795"/>
      <c r="D205" s="795"/>
      <c r="E205" s="795"/>
      <c r="F205" s="795"/>
      <c r="G205" s="795"/>
      <c r="H205" s="795"/>
      <c r="I205" s="795"/>
      <c r="J205" s="795"/>
      <c r="K205" s="795"/>
      <c r="L205" s="795"/>
      <c r="M205" s="417"/>
      <c r="N205" s="417"/>
      <c r="O205" s="417"/>
      <c r="P205" s="417"/>
      <c r="Q205" s="417"/>
    </row>
    <row r="206" spans="1:109" ht="15" customHeight="1">
      <c r="A206" s="417"/>
      <c r="B206" s="148" t="s">
        <v>2602</v>
      </c>
      <c r="C206" s="417"/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7"/>
      <c r="O206" s="417"/>
      <c r="P206" s="417"/>
      <c r="Q206" s="417"/>
    </row>
    <row r="207" spans="1:109" ht="2.1" customHeight="1">
      <c r="A207" s="417"/>
      <c r="B207" s="417"/>
      <c r="C207" s="417"/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7"/>
      <c r="O207" s="417"/>
      <c r="P207" s="417"/>
      <c r="Q207" s="417"/>
    </row>
    <row r="208" spans="1:109" ht="12.75" customHeight="1">
      <c r="A208" s="417"/>
      <c r="B208" s="454"/>
      <c r="C208" s="454"/>
      <c r="D208" s="768" t="s">
        <v>2527</v>
      </c>
      <c r="E208" s="768"/>
      <c r="F208" s="768"/>
      <c r="G208" s="768"/>
      <c r="H208" s="768"/>
      <c r="I208" s="768"/>
      <c r="J208" s="768"/>
      <c r="K208" s="768"/>
      <c r="L208" s="768"/>
      <c r="M208" s="417"/>
      <c r="N208" s="417"/>
      <c r="O208" s="417"/>
      <c r="P208" s="417"/>
      <c r="Q208" s="417"/>
      <c r="Z208" s="787" t="s">
        <v>2598</v>
      </c>
      <c r="AA208" s="747"/>
      <c r="AB208" s="747"/>
      <c r="AC208" s="747"/>
      <c r="AD208" s="747"/>
      <c r="AE208" s="747"/>
      <c r="AF208" s="747"/>
      <c r="AG208" s="747"/>
      <c r="AH208" s="747"/>
    </row>
    <row r="209" spans="1:54" ht="12.75" customHeight="1">
      <c r="A209" s="417"/>
      <c r="B209" s="454"/>
      <c r="C209" s="454"/>
      <c r="D209" s="769">
        <f>E209-$G$441</f>
        <v>1.0219039595619215</v>
      </c>
      <c r="E209" s="769">
        <f>F209-$G$441</f>
        <v>1.2719039595619215</v>
      </c>
      <c r="F209" s="769">
        <f>G209-$G$441</f>
        <v>1.5219039595619215</v>
      </c>
      <c r="G209" s="769">
        <f>H209-$G$441</f>
        <v>1.7719039595619215</v>
      </c>
      <c r="H209" s="769">
        <f>$G$440</f>
        <v>2.0219039595619215</v>
      </c>
      <c r="I209" s="769">
        <f>H209+$G$441</f>
        <v>2.2719039595619215</v>
      </c>
      <c r="J209" s="769">
        <f>I209+$G$441</f>
        <v>2.5219039595619215</v>
      </c>
      <c r="K209" s="769">
        <f>J209+$G$441</f>
        <v>2.7719039595619215</v>
      </c>
      <c r="L209" s="769">
        <f>K209+$G$441</f>
        <v>3.0219039595619215</v>
      </c>
      <c r="M209" s="417"/>
      <c r="N209" s="417"/>
      <c r="O209" s="417"/>
      <c r="P209" s="417"/>
      <c r="Q209" s="417"/>
      <c r="Z209" s="799">
        <f>D$209</f>
        <v>1.0219039595619215</v>
      </c>
      <c r="AA209" s="799">
        <f t="shared" ref="AA209:AH209" si="410">E$209</f>
        <v>1.2719039595619215</v>
      </c>
      <c r="AB209" s="799">
        <f t="shared" si="410"/>
        <v>1.5219039595619215</v>
      </c>
      <c r="AC209" s="799">
        <f t="shared" si="410"/>
        <v>1.7719039595619215</v>
      </c>
      <c r="AD209" s="799">
        <f t="shared" si="410"/>
        <v>2.0219039595619215</v>
      </c>
      <c r="AE209" s="799">
        <f t="shared" si="410"/>
        <v>2.2719039595619215</v>
      </c>
      <c r="AF209" s="799">
        <f t="shared" si="410"/>
        <v>2.5219039595619215</v>
      </c>
      <c r="AG209" s="799">
        <f t="shared" si="410"/>
        <v>2.7719039595619215</v>
      </c>
      <c r="AH209" s="799">
        <f t="shared" si="410"/>
        <v>3.0219039595619215</v>
      </c>
      <c r="AT209" s="773" t="s">
        <v>2616</v>
      </c>
      <c r="AU209" s="427"/>
      <c r="AV209" s="427"/>
      <c r="AW209" s="427"/>
      <c r="AX209" s="427"/>
      <c r="AY209" s="427"/>
      <c r="AZ209" s="427"/>
      <c r="BA209" s="427"/>
      <c r="BB209" s="427"/>
    </row>
    <row r="210" spans="1:54" ht="15" customHeight="1">
      <c r="A210" s="417"/>
      <c r="B210" s="820" t="s">
        <v>2593</v>
      </c>
      <c r="C210" s="802">
        <f>C211+$G$458</f>
        <v>60</v>
      </c>
      <c r="D210" s="621">
        <f>ROUND(Z210,$G$452)</f>
        <v>-400</v>
      </c>
      <c r="E210" s="621">
        <f t="shared" ref="E210:E216" si="411">ROUND(AA210,$G$452)</f>
        <v>0</v>
      </c>
      <c r="F210" s="621">
        <f t="shared" ref="F210:F216" si="412">ROUND(AB210,$G$452)</f>
        <v>300</v>
      </c>
      <c r="G210" s="621">
        <f t="shared" ref="G210:G216" si="413">ROUND(AC210,$G$452)</f>
        <v>600</v>
      </c>
      <c r="H210" s="621">
        <f t="shared" ref="H210:H216" si="414">ROUND(AD210,$G$452)</f>
        <v>1000</v>
      </c>
      <c r="I210" s="621">
        <f t="shared" ref="I210:I216" si="415">ROUND(AE210,$G$452)</f>
        <v>1300</v>
      </c>
      <c r="J210" s="621">
        <f t="shared" ref="J210:J216" si="416">ROUND(AF210,$G$452)</f>
        <v>1600</v>
      </c>
      <c r="K210" s="621">
        <f t="shared" ref="K210:K216" si="417">ROUND(AG210,$G$452)</f>
        <v>2000</v>
      </c>
      <c r="L210" s="621">
        <f t="shared" ref="L210:L216" si="418">ROUND(AH210,$G$452)</f>
        <v>2300</v>
      </c>
      <c r="M210" s="417"/>
      <c r="N210" s="417"/>
      <c r="O210" s="417"/>
      <c r="P210" s="417"/>
      <c r="Q210" s="417"/>
      <c r="Z210" s="367">
        <f>Z170+$G$430-$AL170</f>
        <v>-354.14778671664135</v>
      </c>
      <c r="AA210" s="367">
        <f t="shared" ref="AA210:AH210" si="419">AA170+$G$430-$AL170</f>
        <v>-21.541501118594169</v>
      </c>
      <c r="AB210" s="367">
        <f t="shared" si="419"/>
        <v>311.06478447945301</v>
      </c>
      <c r="AC210" s="367">
        <f t="shared" si="419"/>
        <v>643.67107007750019</v>
      </c>
      <c r="AD210" s="367">
        <f t="shared" si="419"/>
        <v>976.27735567554737</v>
      </c>
      <c r="AE210" s="367">
        <f t="shared" si="419"/>
        <v>1308.8836412735945</v>
      </c>
      <c r="AF210" s="367">
        <f t="shared" si="419"/>
        <v>1641.4899268716399</v>
      </c>
      <c r="AG210" s="367">
        <f t="shared" si="419"/>
        <v>1974.0962124696889</v>
      </c>
      <c r="AH210" s="367">
        <f t="shared" si="419"/>
        <v>2306.7024980677343</v>
      </c>
      <c r="AT210" s="805">
        <f>IF(Z210&lt;$G$449,0,MIN($G$446,1+IFERROR(INT((Z210-$G$449)/$G$464),0)))</f>
        <v>0</v>
      </c>
      <c r="AU210" s="805">
        <f t="shared" ref="AU210:AU216" si="420">IF(AA210&lt;$G$449,0,MIN($G$446,1+IFERROR(INT((AA210-$G$449)/$G$464),0)))</f>
        <v>0</v>
      </c>
      <c r="AV210" s="805">
        <f t="shared" ref="AV210:AV216" si="421">IF(AB210&lt;$G$449,0,MIN($G$446,1+IFERROR(INT((AB210-$G$449)/$G$464),0)))</f>
        <v>0</v>
      </c>
      <c r="AW210" s="805">
        <f t="shared" ref="AW210:AW216" si="422">IF(AC210&lt;$G$449,0,MIN($G$446,1+IFERROR(INT((AC210-$G$449)/$G$464),0)))</f>
        <v>0</v>
      </c>
      <c r="AX210" s="805">
        <f t="shared" ref="AX210:AX216" si="423">IF(AD210&lt;$G$449,0,MIN($G$446,1+IFERROR(INT((AD210-$G$449)/$G$464),0)))</f>
        <v>0</v>
      </c>
      <c r="AY210" s="805">
        <f t="shared" ref="AY210:AY216" si="424">IF(AE210&lt;$G$449,0,MIN($G$446,1+IFERROR(INT((AE210-$G$449)/$G$464),0)))</f>
        <v>2</v>
      </c>
      <c r="AZ210" s="805">
        <f t="shared" ref="AZ210:AZ216" si="425">IF(AF210&lt;$G$449,0,MIN($G$446,1+IFERROR(INT((AF210-$G$449)/$G$464),0)))</f>
        <v>3</v>
      </c>
      <c r="BA210" s="805">
        <f t="shared" ref="BA210:BA216" si="426">IF(AG210&lt;$G$449,0,MIN($G$446,1+IFERROR(INT((AG210-$G$449)/$G$464),0)))</f>
        <v>4</v>
      </c>
      <c r="BB210" s="805">
        <f t="shared" ref="BB210:BB216" si="427">IF(AH210&lt;$G$449,0,MIN($G$446,1+IFERROR(INT((AH210-$G$449)/$G$464),0)))</f>
        <v>6</v>
      </c>
    </row>
    <row r="211" spans="1:54" ht="15" customHeight="1">
      <c r="A211" s="417"/>
      <c r="B211" s="821"/>
      <c r="C211" s="802">
        <f>C212+$G$458</f>
        <v>56</v>
      </c>
      <c r="D211" s="470">
        <f t="shared" ref="D211:D216" si="428">ROUND(Z211,$G$452)</f>
        <v>-100</v>
      </c>
      <c r="E211" s="470">
        <f t="shared" si="411"/>
        <v>200</v>
      </c>
      <c r="F211" s="470">
        <f t="shared" si="412"/>
        <v>500</v>
      </c>
      <c r="G211" s="470">
        <f t="shared" si="413"/>
        <v>800</v>
      </c>
      <c r="H211" s="470">
        <f t="shared" si="414"/>
        <v>1200</v>
      </c>
      <c r="I211" s="470">
        <f t="shared" si="415"/>
        <v>1500</v>
      </c>
      <c r="J211" s="470">
        <f t="shared" si="416"/>
        <v>1800</v>
      </c>
      <c r="K211" s="470">
        <f t="shared" si="417"/>
        <v>2200</v>
      </c>
      <c r="L211" s="470">
        <f t="shared" si="418"/>
        <v>2500</v>
      </c>
      <c r="M211" s="417"/>
      <c r="N211" s="417"/>
      <c r="O211" s="417"/>
      <c r="P211" s="417"/>
      <c r="Q211" s="417"/>
      <c r="Z211" s="367">
        <f t="shared" ref="Z211:AH211" si="429">Z171+$G$430-$AL171</f>
        <v>-148.37762743031453</v>
      </c>
      <c r="AA211" s="367">
        <f t="shared" si="429"/>
        <v>184.22865816773265</v>
      </c>
      <c r="AB211" s="367">
        <f t="shared" si="429"/>
        <v>516.83494376577983</v>
      </c>
      <c r="AC211" s="367">
        <f t="shared" si="429"/>
        <v>849.44122936382701</v>
      </c>
      <c r="AD211" s="367">
        <f t="shared" si="429"/>
        <v>1182.0475149618724</v>
      </c>
      <c r="AE211" s="367">
        <f t="shared" si="429"/>
        <v>1514.6538005599214</v>
      </c>
      <c r="AF211" s="367">
        <f t="shared" si="429"/>
        <v>1847.2600861579667</v>
      </c>
      <c r="AG211" s="367">
        <f t="shared" si="429"/>
        <v>2179.8663717560157</v>
      </c>
      <c r="AH211" s="367">
        <f t="shared" si="429"/>
        <v>2512.4726573540611</v>
      </c>
      <c r="AT211" s="805">
        <f t="shared" ref="AT211:AT216" si="430">IF(Z211&lt;$G$449,0,MIN($G$446,1+IFERROR(INT((Z211-$G$449)/$G$464),0)))</f>
        <v>0</v>
      </c>
      <c r="AU211" s="805">
        <f t="shared" si="420"/>
        <v>0</v>
      </c>
      <c r="AV211" s="805">
        <f t="shared" si="421"/>
        <v>0</v>
      </c>
      <c r="AW211" s="805">
        <f t="shared" si="422"/>
        <v>0</v>
      </c>
      <c r="AX211" s="805">
        <f t="shared" si="423"/>
        <v>1</v>
      </c>
      <c r="AY211" s="805">
        <f t="shared" si="424"/>
        <v>3</v>
      </c>
      <c r="AZ211" s="805">
        <f t="shared" si="425"/>
        <v>4</v>
      </c>
      <c r="BA211" s="805">
        <f t="shared" si="426"/>
        <v>5</v>
      </c>
      <c r="BB211" s="805">
        <f t="shared" si="427"/>
        <v>6</v>
      </c>
    </row>
    <row r="212" spans="1:54" ht="15" customHeight="1">
      <c r="A212" s="417"/>
      <c r="B212" s="821"/>
      <c r="C212" s="802">
        <f>C213+$G$458</f>
        <v>52</v>
      </c>
      <c r="D212" s="470">
        <f t="shared" si="428"/>
        <v>100</v>
      </c>
      <c r="E212" s="470">
        <f t="shared" si="411"/>
        <v>400</v>
      </c>
      <c r="F212" s="470">
        <f t="shared" si="412"/>
        <v>700</v>
      </c>
      <c r="G212" s="470">
        <f t="shared" si="413"/>
        <v>1100</v>
      </c>
      <c r="H212" s="470">
        <f t="shared" si="414"/>
        <v>1400</v>
      </c>
      <c r="I212" s="470">
        <f t="shared" si="415"/>
        <v>1700</v>
      </c>
      <c r="J212" s="470">
        <f t="shared" si="416"/>
        <v>2100</v>
      </c>
      <c r="K212" s="470">
        <f t="shared" si="417"/>
        <v>2400</v>
      </c>
      <c r="L212" s="470">
        <f t="shared" si="418"/>
        <v>2700</v>
      </c>
      <c r="M212" s="417"/>
      <c r="N212" s="417"/>
      <c r="O212" s="417"/>
      <c r="P212" s="417"/>
      <c r="Q212" s="417"/>
      <c r="Z212" s="367">
        <f t="shared" ref="Z212:AH212" si="431">Z172+$G$430-$AL172</f>
        <v>57.392531856008645</v>
      </c>
      <c r="AA212" s="367">
        <f t="shared" si="431"/>
        <v>389.99881745405582</v>
      </c>
      <c r="AB212" s="367">
        <f t="shared" si="431"/>
        <v>722.605103052103</v>
      </c>
      <c r="AC212" s="367">
        <f t="shared" si="431"/>
        <v>1055.2113886501502</v>
      </c>
      <c r="AD212" s="367">
        <f t="shared" si="431"/>
        <v>1387.8176742481974</v>
      </c>
      <c r="AE212" s="367">
        <f t="shared" si="431"/>
        <v>1720.4239598462445</v>
      </c>
      <c r="AF212" s="367">
        <f t="shared" si="431"/>
        <v>2053.0302454442917</v>
      </c>
      <c r="AG212" s="367">
        <f t="shared" si="431"/>
        <v>2385.6365310423389</v>
      </c>
      <c r="AH212" s="367">
        <f t="shared" si="431"/>
        <v>2718.2428166403861</v>
      </c>
      <c r="AT212" s="805">
        <f t="shared" si="430"/>
        <v>0</v>
      </c>
      <c r="AU212" s="805">
        <f t="shared" si="420"/>
        <v>0</v>
      </c>
      <c r="AV212" s="805">
        <f t="shared" si="421"/>
        <v>0</v>
      </c>
      <c r="AW212" s="805">
        <f t="shared" si="422"/>
        <v>1</v>
      </c>
      <c r="AX212" s="805">
        <f t="shared" si="423"/>
        <v>2</v>
      </c>
      <c r="AY212" s="805">
        <f t="shared" si="424"/>
        <v>3</v>
      </c>
      <c r="AZ212" s="805">
        <f t="shared" si="425"/>
        <v>5</v>
      </c>
      <c r="BA212" s="805">
        <f t="shared" si="426"/>
        <v>6</v>
      </c>
      <c r="BB212" s="805">
        <f t="shared" si="427"/>
        <v>7</v>
      </c>
    </row>
    <row r="213" spans="1:54" ht="15" customHeight="1">
      <c r="A213" s="417"/>
      <c r="B213" s="821"/>
      <c r="C213" s="802">
        <f>$G$457</f>
        <v>48</v>
      </c>
      <c r="D213" s="470">
        <f t="shared" si="428"/>
        <v>300</v>
      </c>
      <c r="E213" s="470">
        <f t="shared" si="411"/>
        <v>600</v>
      </c>
      <c r="F213" s="470">
        <f t="shared" si="412"/>
        <v>900</v>
      </c>
      <c r="G213" s="470">
        <f t="shared" si="413"/>
        <v>1300</v>
      </c>
      <c r="H213" s="782">
        <f t="shared" si="414"/>
        <v>1600</v>
      </c>
      <c r="I213" s="470">
        <f t="shared" si="415"/>
        <v>1900</v>
      </c>
      <c r="J213" s="470">
        <f t="shared" si="416"/>
        <v>2300</v>
      </c>
      <c r="K213" s="470">
        <f t="shared" si="417"/>
        <v>2600</v>
      </c>
      <c r="L213" s="470">
        <f t="shared" si="418"/>
        <v>2900</v>
      </c>
      <c r="M213" s="417"/>
      <c r="N213" s="417"/>
      <c r="O213" s="417"/>
      <c r="P213" s="417"/>
      <c r="Q213" s="417"/>
      <c r="Z213" s="367">
        <f t="shared" ref="Z213:AH213" si="432">Z173+$G$430-$AL173</f>
        <v>263.16269114233273</v>
      </c>
      <c r="AA213" s="367">
        <f t="shared" si="432"/>
        <v>595.768976740379</v>
      </c>
      <c r="AB213" s="367">
        <f t="shared" si="432"/>
        <v>928.37526233842618</v>
      </c>
      <c r="AC213" s="367">
        <f t="shared" si="432"/>
        <v>1260.9815479364734</v>
      </c>
      <c r="AD213" s="367">
        <f t="shared" si="432"/>
        <v>1593.5878335345224</v>
      </c>
      <c r="AE213" s="367">
        <f t="shared" si="432"/>
        <v>1926.1941191325677</v>
      </c>
      <c r="AF213" s="367">
        <f t="shared" si="432"/>
        <v>2258.8004047306167</v>
      </c>
      <c r="AG213" s="367">
        <f t="shared" si="432"/>
        <v>2591.4066903286621</v>
      </c>
      <c r="AH213" s="367">
        <f t="shared" si="432"/>
        <v>2924.0129759267111</v>
      </c>
      <c r="AT213" s="805">
        <f t="shared" si="430"/>
        <v>0</v>
      </c>
      <c r="AU213" s="805">
        <f t="shared" si="420"/>
        <v>0</v>
      </c>
      <c r="AV213" s="805">
        <f t="shared" si="421"/>
        <v>0</v>
      </c>
      <c r="AW213" s="805">
        <f t="shared" si="422"/>
        <v>2</v>
      </c>
      <c r="AX213" s="805">
        <f t="shared" si="423"/>
        <v>3</v>
      </c>
      <c r="AY213" s="805">
        <f t="shared" si="424"/>
        <v>4</v>
      </c>
      <c r="AZ213" s="805">
        <f t="shared" si="425"/>
        <v>5</v>
      </c>
      <c r="BA213" s="805">
        <f t="shared" si="426"/>
        <v>7</v>
      </c>
      <c r="BB213" s="805">
        <f t="shared" si="427"/>
        <v>8</v>
      </c>
    </row>
    <row r="214" spans="1:54" ht="15" customHeight="1">
      <c r="A214" s="417"/>
      <c r="B214" s="821"/>
      <c r="C214" s="802">
        <f>C213-$G$458</f>
        <v>44</v>
      </c>
      <c r="D214" s="470">
        <f t="shared" si="428"/>
        <v>500</v>
      </c>
      <c r="E214" s="470">
        <f t="shared" si="411"/>
        <v>800</v>
      </c>
      <c r="F214" s="470">
        <f t="shared" si="412"/>
        <v>1100</v>
      </c>
      <c r="G214" s="470">
        <f t="shared" si="413"/>
        <v>1500</v>
      </c>
      <c r="H214" s="470">
        <f t="shared" si="414"/>
        <v>1800</v>
      </c>
      <c r="I214" s="470">
        <f t="shared" si="415"/>
        <v>2100</v>
      </c>
      <c r="J214" s="470">
        <f t="shared" si="416"/>
        <v>2500</v>
      </c>
      <c r="K214" s="470">
        <f t="shared" si="417"/>
        <v>2800</v>
      </c>
      <c r="L214" s="470">
        <f t="shared" si="418"/>
        <v>3100</v>
      </c>
      <c r="M214" s="417"/>
      <c r="N214" s="417"/>
      <c r="O214" s="417"/>
      <c r="P214" s="417"/>
      <c r="Q214" s="417"/>
      <c r="Z214" s="367">
        <f t="shared" ref="Z214:AH214" si="433">Z174+$G$430-$AL174</f>
        <v>468.93285042865773</v>
      </c>
      <c r="AA214" s="367">
        <f t="shared" si="433"/>
        <v>801.53913602670491</v>
      </c>
      <c r="AB214" s="367">
        <f t="shared" si="433"/>
        <v>1134.1454216247521</v>
      </c>
      <c r="AC214" s="367">
        <f t="shared" si="433"/>
        <v>1466.7517072227993</v>
      </c>
      <c r="AD214" s="367">
        <f t="shared" si="433"/>
        <v>1799.3579928208446</v>
      </c>
      <c r="AE214" s="367">
        <f t="shared" si="433"/>
        <v>2131.9642784188936</v>
      </c>
      <c r="AF214" s="367">
        <f t="shared" si="433"/>
        <v>2464.570564016939</v>
      </c>
      <c r="AG214" s="367">
        <f t="shared" si="433"/>
        <v>2797.176849614988</v>
      </c>
      <c r="AH214" s="367">
        <f t="shared" si="433"/>
        <v>3129.7831352130333</v>
      </c>
      <c r="AT214" s="805">
        <f t="shared" si="430"/>
        <v>0</v>
      </c>
      <c r="AU214" s="805">
        <f t="shared" si="420"/>
        <v>0</v>
      </c>
      <c r="AV214" s="805">
        <f t="shared" si="421"/>
        <v>1</v>
      </c>
      <c r="AW214" s="805">
        <f t="shared" si="422"/>
        <v>2</v>
      </c>
      <c r="AX214" s="805">
        <f t="shared" si="423"/>
        <v>4</v>
      </c>
      <c r="AY214" s="805">
        <f t="shared" si="424"/>
        <v>5</v>
      </c>
      <c r="AZ214" s="805">
        <f t="shared" si="425"/>
        <v>6</v>
      </c>
      <c r="BA214" s="805">
        <f t="shared" si="426"/>
        <v>8</v>
      </c>
      <c r="BB214" s="805">
        <f t="shared" si="427"/>
        <v>9</v>
      </c>
    </row>
    <row r="215" spans="1:54" ht="15" customHeight="1">
      <c r="A215" s="417"/>
      <c r="B215" s="821"/>
      <c r="C215" s="802">
        <f>C214-$G$458</f>
        <v>40</v>
      </c>
      <c r="D215" s="470">
        <f t="shared" si="428"/>
        <v>700</v>
      </c>
      <c r="E215" s="470">
        <f t="shared" si="411"/>
        <v>1000</v>
      </c>
      <c r="F215" s="470">
        <f t="shared" si="412"/>
        <v>1300</v>
      </c>
      <c r="G215" s="470">
        <f t="shared" si="413"/>
        <v>1700</v>
      </c>
      <c r="H215" s="470">
        <f t="shared" si="414"/>
        <v>2000</v>
      </c>
      <c r="I215" s="470">
        <f t="shared" si="415"/>
        <v>2300</v>
      </c>
      <c r="J215" s="470">
        <f t="shared" si="416"/>
        <v>2700</v>
      </c>
      <c r="K215" s="470">
        <f t="shared" si="417"/>
        <v>3000</v>
      </c>
      <c r="L215" s="470">
        <f t="shared" si="418"/>
        <v>3300</v>
      </c>
      <c r="M215" s="417"/>
      <c r="N215" s="417"/>
      <c r="O215" s="417"/>
      <c r="P215" s="417"/>
      <c r="Q215" s="417"/>
      <c r="Z215" s="367">
        <f t="shared" ref="Z215:AH215" si="434">Z175+$G$430-$AL175</f>
        <v>674.70300971498</v>
      </c>
      <c r="AA215" s="367">
        <f t="shared" si="434"/>
        <v>1007.3092953130254</v>
      </c>
      <c r="AB215" s="367">
        <f t="shared" si="434"/>
        <v>1339.9155809110725</v>
      </c>
      <c r="AC215" s="367">
        <f t="shared" si="434"/>
        <v>1672.5218665091197</v>
      </c>
      <c r="AD215" s="367">
        <f t="shared" si="434"/>
        <v>2005.1281521071687</v>
      </c>
      <c r="AE215" s="367">
        <f t="shared" si="434"/>
        <v>2337.7344377052141</v>
      </c>
      <c r="AF215" s="367">
        <f t="shared" si="434"/>
        <v>2670.3407233032631</v>
      </c>
      <c r="AG215" s="367">
        <f t="shared" si="434"/>
        <v>3002.9470089013084</v>
      </c>
      <c r="AH215" s="367">
        <f t="shared" si="434"/>
        <v>3335.5532944993574</v>
      </c>
      <c r="AT215" s="805">
        <f t="shared" si="430"/>
        <v>0</v>
      </c>
      <c r="AU215" s="805">
        <f t="shared" si="420"/>
        <v>1</v>
      </c>
      <c r="AV215" s="805">
        <f t="shared" si="421"/>
        <v>2</v>
      </c>
      <c r="AW215" s="805">
        <f t="shared" si="422"/>
        <v>3</v>
      </c>
      <c r="AX215" s="805">
        <f t="shared" si="423"/>
        <v>4</v>
      </c>
      <c r="AY215" s="805">
        <f t="shared" si="424"/>
        <v>6</v>
      </c>
      <c r="AZ215" s="805">
        <f t="shared" si="425"/>
        <v>7</v>
      </c>
      <c r="BA215" s="805">
        <f t="shared" si="426"/>
        <v>8</v>
      </c>
      <c r="BB215" s="805">
        <f t="shared" si="427"/>
        <v>10</v>
      </c>
    </row>
    <row r="216" spans="1:54" ht="15" customHeight="1">
      <c r="A216" s="417"/>
      <c r="B216" s="822"/>
      <c r="C216" s="803">
        <f>C215-$G$458</f>
        <v>36</v>
      </c>
      <c r="D216" s="772">
        <f t="shared" si="428"/>
        <v>900</v>
      </c>
      <c r="E216" s="772">
        <f t="shared" si="411"/>
        <v>1200</v>
      </c>
      <c r="F216" s="772">
        <f t="shared" si="412"/>
        <v>1500</v>
      </c>
      <c r="G216" s="772">
        <f t="shared" si="413"/>
        <v>1900</v>
      </c>
      <c r="H216" s="772">
        <f t="shared" si="414"/>
        <v>2200</v>
      </c>
      <c r="I216" s="772">
        <f t="shared" si="415"/>
        <v>2500</v>
      </c>
      <c r="J216" s="772">
        <f t="shared" si="416"/>
        <v>2900</v>
      </c>
      <c r="K216" s="772">
        <f t="shared" si="417"/>
        <v>3200</v>
      </c>
      <c r="L216" s="772">
        <f t="shared" si="418"/>
        <v>3500</v>
      </c>
      <c r="M216" s="417"/>
      <c r="N216" s="417"/>
      <c r="O216" s="417"/>
      <c r="P216" s="417"/>
      <c r="Q216" s="417"/>
      <c r="Z216" s="367">
        <f t="shared" ref="Z216:AH216" si="435">Z176+$G$430-$AL176</f>
        <v>880.47316900130681</v>
      </c>
      <c r="AA216" s="367">
        <f t="shared" si="435"/>
        <v>1213.079454599354</v>
      </c>
      <c r="AB216" s="367">
        <f t="shared" si="435"/>
        <v>1545.6857401974012</v>
      </c>
      <c r="AC216" s="367">
        <f t="shared" si="435"/>
        <v>1878.2920257954484</v>
      </c>
      <c r="AD216" s="367">
        <f t="shared" si="435"/>
        <v>2210.8983113934955</v>
      </c>
      <c r="AE216" s="367">
        <f t="shared" si="435"/>
        <v>2543.5045969915427</v>
      </c>
      <c r="AF216" s="367">
        <f t="shared" si="435"/>
        <v>2876.1108825895899</v>
      </c>
      <c r="AG216" s="367">
        <f t="shared" si="435"/>
        <v>3208.7171681876371</v>
      </c>
      <c r="AH216" s="367">
        <f t="shared" si="435"/>
        <v>3541.3234537856843</v>
      </c>
      <c r="AT216" s="805">
        <f t="shared" si="430"/>
        <v>0</v>
      </c>
      <c r="AU216" s="805">
        <f t="shared" si="420"/>
        <v>1</v>
      </c>
      <c r="AV216" s="805">
        <f t="shared" si="421"/>
        <v>3</v>
      </c>
      <c r="AW216" s="805">
        <f t="shared" si="422"/>
        <v>4</v>
      </c>
      <c r="AX216" s="805">
        <f t="shared" si="423"/>
        <v>5</v>
      </c>
      <c r="AY216" s="805">
        <f t="shared" si="424"/>
        <v>7</v>
      </c>
      <c r="AZ216" s="805">
        <f t="shared" si="425"/>
        <v>8</v>
      </c>
      <c r="BA216" s="805">
        <f t="shared" si="426"/>
        <v>9</v>
      </c>
      <c r="BB216" s="805">
        <f t="shared" si="427"/>
        <v>10</v>
      </c>
    </row>
    <row r="217" spans="1:54" ht="15" hidden="1" customHeight="1" outlineLevel="1">
      <c r="A217" s="417"/>
      <c r="B217" s="423" t="s">
        <v>2608</v>
      </c>
      <c r="C217" s="785"/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417"/>
    </row>
    <row r="218" spans="1:54" ht="3.95" customHeight="1" collapsed="1">
      <c r="A218" s="417"/>
      <c r="B218" s="417"/>
      <c r="C218" s="417"/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7"/>
      <c r="O218" s="417"/>
      <c r="P218" s="417"/>
      <c r="Q218" s="417"/>
    </row>
    <row r="219" spans="1:54" ht="15" customHeight="1">
      <c r="A219" s="417"/>
      <c r="B219" s="148" t="s">
        <v>2603</v>
      </c>
      <c r="C219" s="417"/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7"/>
      <c r="O219" s="417"/>
      <c r="P219" s="417"/>
      <c r="Q219" s="417"/>
    </row>
    <row r="220" spans="1:54" ht="2.1" customHeight="1">
      <c r="A220" s="417"/>
      <c r="B220" s="417"/>
      <c r="C220" s="417"/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17"/>
      <c r="P220" s="417"/>
      <c r="Q220" s="417"/>
    </row>
    <row r="221" spans="1:54" ht="12.75" customHeight="1">
      <c r="A221" s="417"/>
      <c r="B221" s="454"/>
      <c r="C221" s="454"/>
      <c r="D221" s="768" t="s">
        <v>2527</v>
      </c>
      <c r="E221" s="768"/>
      <c r="F221" s="768"/>
      <c r="G221" s="768"/>
      <c r="H221" s="768"/>
      <c r="I221" s="768"/>
      <c r="J221" s="768"/>
      <c r="K221" s="768"/>
      <c r="L221" s="768"/>
      <c r="M221" s="417"/>
      <c r="N221" s="417"/>
      <c r="O221" s="417"/>
      <c r="P221" s="417"/>
      <c r="Q221" s="417"/>
    </row>
    <row r="222" spans="1:54" ht="12.75" customHeight="1">
      <c r="A222" s="417"/>
      <c r="B222" s="454"/>
      <c r="C222" s="454"/>
      <c r="D222" s="769">
        <f>E222-$G$441</f>
        <v>1.0219039595619215</v>
      </c>
      <c r="E222" s="769">
        <f>F222-$G$441</f>
        <v>1.2719039595619215</v>
      </c>
      <c r="F222" s="769">
        <f>G222-$G$441</f>
        <v>1.5219039595619215</v>
      </c>
      <c r="G222" s="769">
        <f>H222-$G$441</f>
        <v>1.7719039595619215</v>
      </c>
      <c r="H222" s="769">
        <f>$G$440</f>
        <v>2.0219039595619215</v>
      </c>
      <c r="I222" s="769">
        <f>H222+$G$441</f>
        <v>2.2719039595619215</v>
      </c>
      <c r="J222" s="769">
        <f>I222+$G$441</f>
        <v>2.5219039595619215</v>
      </c>
      <c r="K222" s="769">
        <f>J222+$G$441</f>
        <v>2.7719039595619215</v>
      </c>
      <c r="L222" s="769">
        <f>K222+$G$441</f>
        <v>3.0219039595619215</v>
      </c>
      <c r="M222" s="417"/>
      <c r="N222" s="417"/>
      <c r="O222" s="417"/>
      <c r="P222" s="417"/>
      <c r="Q222" s="417"/>
      <c r="AT222" s="773" t="s">
        <v>2616</v>
      </c>
      <c r="AU222" s="427"/>
      <c r="AV222" s="427"/>
      <c r="AW222" s="427"/>
      <c r="AX222" s="427"/>
      <c r="AY222" s="427"/>
      <c r="AZ222" s="427"/>
      <c r="BA222" s="427"/>
      <c r="BB222" s="427"/>
    </row>
    <row r="223" spans="1:54" ht="15" customHeight="1">
      <c r="A223" s="417"/>
      <c r="B223" s="820" t="s">
        <v>2593</v>
      </c>
      <c r="C223" s="802">
        <f>C224+$G$458</f>
        <v>60</v>
      </c>
      <c r="D223" s="490">
        <f>IFERROR(Z210/$AL170,0)</f>
        <v>-4.0531387352061611E-2</v>
      </c>
      <c r="E223" s="490">
        <f t="shared" ref="E223:L223" si="436">IFERROR(AA210/$AL170,0)</f>
        <v>-2.4653745095439324E-3</v>
      </c>
      <c r="F223" s="490">
        <f t="shared" si="436"/>
        <v>3.560063833297375E-2</v>
      </c>
      <c r="G223" s="490">
        <f t="shared" si="436"/>
        <v>7.3666651175491427E-2</v>
      </c>
      <c r="H223" s="490">
        <f t="shared" si="436"/>
        <v>0.1117326640180091</v>
      </c>
      <c r="I223" s="490">
        <f t="shared" si="436"/>
        <v>0.14979867686052678</v>
      </c>
      <c r="J223" s="490">
        <f t="shared" si="436"/>
        <v>0.18786468970304426</v>
      </c>
      <c r="K223" s="490">
        <f t="shared" si="436"/>
        <v>0.22593070254556213</v>
      </c>
      <c r="L223" s="490">
        <f t="shared" si="436"/>
        <v>0.26399671538807962</v>
      </c>
      <c r="M223" s="417"/>
      <c r="N223" s="417"/>
      <c r="O223" s="417"/>
      <c r="P223" s="417"/>
      <c r="Q223" s="417"/>
      <c r="AT223" s="805">
        <f>IF(Z210&lt;$G$449,0,MIN($G$446,1+IFERROR(INT((Z210-$G$449)/$G$464),0)))</f>
        <v>0</v>
      </c>
      <c r="AU223" s="805">
        <f t="shared" ref="AU223:BB223" si="437">IF(AA210&lt;$G$449,0,MIN($G$446,1+IFERROR(INT((AA210-$G$449)/$G$464),0)))</f>
        <v>0</v>
      </c>
      <c r="AV223" s="805">
        <f t="shared" si="437"/>
        <v>0</v>
      </c>
      <c r="AW223" s="805">
        <f t="shared" si="437"/>
        <v>0</v>
      </c>
      <c r="AX223" s="805">
        <f t="shared" si="437"/>
        <v>0</v>
      </c>
      <c r="AY223" s="805">
        <f t="shared" si="437"/>
        <v>2</v>
      </c>
      <c r="AZ223" s="805">
        <f t="shared" si="437"/>
        <v>3</v>
      </c>
      <c r="BA223" s="805">
        <f t="shared" si="437"/>
        <v>4</v>
      </c>
      <c r="BB223" s="805">
        <f t="shared" si="437"/>
        <v>6</v>
      </c>
    </row>
    <row r="224" spans="1:54" ht="15" customHeight="1">
      <c r="A224" s="417"/>
      <c r="B224" s="821"/>
      <c r="C224" s="802">
        <f>C225+$G$458</f>
        <v>56</v>
      </c>
      <c r="D224" s="490">
        <f t="shared" ref="D224:L224" si="438">IFERROR(Z211/$AL171,0)</f>
        <v>-1.7829924834756046E-2</v>
      </c>
      <c r="E224" s="490">
        <f t="shared" si="438"/>
        <v>2.2137994685764436E-2</v>
      </c>
      <c r="F224" s="490">
        <f t="shared" si="438"/>
        <v>6.2105914206284918E-2</v>
      </c>
      <c r="G224" s="490">
        <f t="shared" si="438"/>
        <v>0.10207383372680541</v>
      </c>
      <c r="H224" s="490">
        <f t="shared" si="438"/>
        <v>0.14204175324732568</v>
      </c>
      <c r="I224" s="490">
        <f t="shared" si="438"/>
        <v>0.18200967276784638</v>
      </c>
      <c r="J224" s="490">
        <f t="shared" si="438"/>
        <v>0.22197759228836664</v>
      </c>
      <c r="K224" s="490">
        <f t="shared" si="438"/>
        <v>0.26194551180888737</v>
      </c>
      <c r="L224" s="490">
        <f t="shared" si="438"/>
        <v>0.30191343132940762</v>
      </c>
      <c r="M224" s="417"/>
      <c r="N224" s="417"/>
      <c r="O224" s="417"/>
      <c r="P224" s="417"/>
      <c r="Q224" s="417"/>
      <c r="AT224" s="805">
        <f t="shared" ref="AT224:BB224" si="439">IF(Z211&lt;$G$449,0,MIN($G$446,1+IFERROR(INT((Z211-$G$449)/$G$464),0)))</f>
        <v>0</v>
      </c>
      <c r="AU224" s="805">
        <f t="shared" si="439"/>
        <v>0</v>
      </c>
      <c r="AV224" s="805">
        <f t="shared" si="439"/>
        <v>0</v>
      </c>
      <c r="AW224" s="805">
        <f t="shared" si="439"/>
        <v>0</v>
      </c>
      <c r="AX224" s="805">
        <f t="shared" si="439"/>
        <v>1</v>
      </c>
      <c r="AY224" s="805">
        <f t="shared" si="439"/>
        <v>3</v>
      </c>
      <c r="AZ224" s="805">
        <f t="shared" si="439"/>
        <v>4</v>
      </c>
      <c r="BA224" s="805">
        <f t="shared" si="439"/>
        <v>5</v>
      </c>
      <c r="BB224" s="805">
        <f t="shared" si="439"/>
        <v>6</v>
      </c>
    </row>
    <row r="225" spans="1:54" ht="15" customHeight="1">
      <c r="A225" s="417"/>
      <c r="B225" s="821"/>
      <c r="C225" s="802">
        <f>C226+$G$458</f>
        <v>52</v>
      </c>
      <c r="D225" s="490">
        <f t="shared" ref="D225:L225" si="440">IFERROR(Z212/$AL172,0)</f>
        <v>7.2593231273589296E-3</v>
      </c>
      <c r="E225" s="490">
        <f t="shared" si="440"/>
        <v>4.9329195692042971E-2</v>
      </c>
      <c r="F225" s="490">
        <f t="shared" si="440"/>
        <v>9.1399068256727015E-2</v>
      </c>
      <c r="G225" s="490">
        <f t="shared" si="440"/>
        <v>0.13346894082141106</v>
      </c>
      <c r="H225" s="490">
        <f t="shared" si="440"/>
        <v>0.17553881338609509</v>
      </c>
      <c r="I225" s="490">
        <f t="shared" si="440"/>
        <v>0.21760868595077915</v>
      </c>
      <c r="J225" s="490">
        <f t="shared" si="440"/>
        <v>0.25967855851546318</v>
      </c>
      <c r="K225" s="490">
        <f t="shared" si="440"/>
        <v>0.30174843108014721</v>
      </c>
      <c r="L225" s="490">
        <f t="shared" si="440"/>
        <v>0.34381830364483129</v>
      </c>
      <c r="M225" s="417"/>
      <c r="N225" s="417"/>
      <c r="O225" s="417"/>
      <c r="P225" s="417"/>
      <c r="Q225" s="417"/>
      <c r="AT225" s="805">
        <f t="shared" ref="AT225:BB225" si="441">IF(Z212&lt;$G$449,0,MIN($G$446,1+IFERROR(INT((Z212-$G$449)/$G$464),0)))</f>
        <v>0</v>
      </c>
      <c r="AU225" s="805">
        <f t="shared" si="441"/>
        <v>0</v>
      </c>
      <c r="AV225" s="805">
        <f t="shared" si="441"/>
        <v>0</v>
      </c>
      <c r="AW225" s="805">
        <f t="shared" si="441"/>
        <v>1</v>
      </c>
      <c r="AX225" s="805">
        <f t="shared" si="441"/>
        <v>2</v>
      </c>
      <c r="AY225" s="805">
        <f t="shared" si="441"/>
        <v>3</v>
      </c>
      <c r="AZ225" s="805">
        <f t="shared" si="441"/>
        <v>5</v>
      </c>
      <c r="BA225" s="805">
        <f t="shared" si="441"/>
        <v>6</v>
      </c>
      <c r="BB225" s="805">
        <f t="shared" si="441"/>
        <v>7</v>
      </c>
    </row>
    <row r="226" spans="1:54" ht="15" customHeight="1">
      <c r="A226" s="417"/>
      <c r="B226" s="821"/>
      <c r="C226" s="802">
        <f>$G$457</f>
        <v>48</v>
      </c>
      <c r="D226" s="490">
        <f t="shared" ref="D226:L226" si="442">IFERROR(Z213/$AL173,0)</f>
        <v>3.5133996950064167E-2</v>
      </c>
      <c r="E226" s="490">
        <f t="shared" si="442"/>
        <v>7.9539182856350629E-2</v>
      </c>
      <c r="F226" s="490">
        <f t="shared" si="442"/>
        <v>0.1239443687626372</v>
      </c>
      <c r="G226" s="490">
        <f t="shared" si="442"/>
        <v>0.16834955466892379</v>
      </c>
      <c r="H226" s="783">
        <f t="shared" si="442"/>
        <v>0.2127547405752106</v>
      </c>
      <c r="I226" s="490">
        <f t="shared" si="442"/>
        <v>0.25715992648149694</v>
      </c>
      <c r="J226" s="490">
        <f t="shared" si="442"/>
        <v>0.30156511238778377</v>
      </c>
      <c r="K226" s="490">
        <f t="shared" si="442"/>
        <v>0.34597029829407011</v>
      </c>
      <c r="L226" s="490">
        <f t="shared" si="442"/>
        <v>0.39037548420035689</v>
      </c>
      <c r="M226" s="417"/>
      <c r="N226" s="417"/>
      <c r="O226" s="417"/>
      <c r="P226" s="417"/>
      <c r="Q226" s="417"/>
      <c r="AT226" s="805">
        <f t="shared" ref="AT226:BB226" si="443">IF(Z213&lt;$G$449,0,MIN($G$446,1+IFERROR(INT((Z213-$G$449)/$G$464),0)))</f>
        <v>0</v>
      </c>
      <c r="AU226" s="805">
        <f t="shared" si="443"/>
        <v>0</v>
      </c>
      <c r="AV226" s="805">
        <f t="shared" si="443"/>
        <v>0</v>
      </c>
      <c r="AW226" s="805">
        <f t="shared" si="443"/>
        <v>2</v>
      </c>
      <c r="AX226" s="805">
        <f t="shared" si="443"/>
        <v>3</v>
      </c>
      <c r="AY226" s="805">
        <f t="shared" si="443"/>
        <v>4</v>
      </c>
      <c r="AZ226" s="805">
        <f t="shared" si="443"/>
        <v>5</v>
      </c>
      <c r="BA226" s="805">
        <f t="shared" si="443"/>
        <v>7</v>
      </c>
      <c r="BB226" s="805">
        <f t="shared" si="443"/>
        <v>8</v>
      </c>
    </row>
    <row r="227" spans="1:54" ht="15" customHeight="1">
      <c r="A227" s="417"/>
      <c r="B227" s="821"/>
      <c r="C227" s="802">
        <f>C226-$G$458</f>
        <v>44</v>
      </c>
      <c r="D227" s="490">
        <f t="shared" ref="D227:L227" si="444">IFERROR(Z214/$AL174,0)</f>
        <v>6.6285218893286688E-2</v>
      </c>
      <c r="E227" s="490">
        <f t="shared" si="444"/>
        <v>0.11330022418881298</v>
      </c>
      <c r="F227" s="490">
        <f t="shared" si="444"/>
        <v>0.16031522948433929</v>
      </c>
      <c r="G227" s="490">
        <f t="shared" si="444"/>
        <v>0.20733023477986559</v>
      </c>
      <c r="H227" s="490">
        <f t="shared" si="444"/>
        <v>0.25434524007539161</v>
      </c>
      <c r="I227" s="490">
        <f t="shared" si="444"/>
        <v>0.30136024537091816</v>
      </c>
      <c r="J227" s="490">
        <f t="shared" si="444"/>
        <v>0.3483752506664442</v>
      </c>
      <c r="K227" s="490">
        <f t="shared" si="444"/>
        <v>0.39539025596197075</v>
      </c>
      <c r="L227" s="490">
        <f t="shared" si="444"/>
        <v>0.4424052612574968</v>
      </c>
      <c r="M227" s="417"/>
      <c r="N227" s="417"/>
      <c r="O227" s="417"/>
      <c r="P227" s="417"/>
      <c r="Q227" s="417"/>
      <c r="AT227" s="805">
        <f t="shared" ref="AT227:BB227" si="445">IF(Z214&lt;$G$449,0,MIN($G$446,1+IFERROR(INT((Z214-$G$449)/$G$464),0)))</f>
        <v>0</v>
      </c>
      <c r="AU227" s="805">
        <f t="shared" si="445"/>
        <v>0</v>
      </c>
      <c r="AV227" s="805">
        <f t="shared" si="445"/>
        <v>1</v>
      </c>
      <c r="AW227" s="805">
        <f t="shared" si="445"/>
        <v>2</v>
      </c>
      <c r="AX227" s="805">
        <f t="shared" si="445"/>
        <v>4</v>
      </c>
      <c r="AY227" s="805">
        <f t="shared" si="445"/>
        <v>5</v>
      </c>
      <c r="AZ227" s="805">
        <f t="shared" si="445"/>
        <v>6</v>
      </c>
      <c r="BA227" s="805">
        <f t="shared" si="445"/>
        <v>8</v>
      </c>
      <c r="BB227" s="805">
        <f t="shared" si="445"/>
        <v>9</v>
      </c>
    </row>
    <row r="228" spans="1:54" ht="15" customHeight="1">
      <c r="A228" s="417"/>
      <c r="B228" s="821"/>
      <c r="C228" s="802">
        <f>C227-$G$458</f>
        <v>40</v>
      </c>
      <c r="D228" s="490">
        <f t="shared" ref="D228:L228" si="446">IFERROR(Z215/$AL175,0)</f>
        <v>0.10132677939797458</v>
      </c>
      <c r="E228" s="490">
        <f t="shared" si="446"/>
        <v>0.15127753290270524</v>
      </c>
      <c r="F228" s="490">
        <f t="shared" si="446"/>
        <v>0.20122828640743617</v>
      </c>
      <c r="G228" s="490">
        <f t="shared" si="446"/>
        <v>0.25117903991216711</v>
      </c>
      <c r="H228" s="490">
        <f t="shared" si="446"/>
        <v>0.30112979341689833</v>
      </c>
      <c r="I228" s="490">
        <f t="shared" si="446"/>
        <v>0.35108054692162904</v>
      </c>
      <c r="J228" s="490">
        <f t="shared" si="446"/>
        <v>0.40103130042636026</v>
      </c>
      <c r="K228" s="490">
        <f t="shared" si="446"/>
        <v>0.45098205393109092</v>
      </c>
      <c r="L228" s="490">
        <f t="shared" si="446"/>
        <v>0.50093280743582214</v>
      </c>
      <c r="M228" s="417"/>
      <c r="N228" s="417"/>
      <c r="O228" s="417"/>
      <c r="P228" s="417"/>
      <c r="Q228" s="417"/>
      <c r="AT228" s="805">
        <f t="shared" ref="AT228:BB228" si="447">IF(Z215&lt;$G$449,0,MIN($G$446,1+IFERROR(INT((Z215-$G$449)/$G$464),0)))</f>
        <v>0</v>
      </c>
      <c r="AU228" s="805">
        <f t="shared" si="447"/>
        <v>1</v>
      </c>
      <c r="AV228" s="805">
        <f t="shared" si="447"/>
        <v>2</v>
      </c>
      <c r="AW228" s="805">
        <f t="shared" si="447"/>
        <v>3</v>
      </c>
      <c r="AX228" s="805">
        <f t="shared" si="447"/>
        <v>4</v>
      </c>
      <c r="AY228" s="805">
        <f t="shared" si="447"/>
        <v>6</v>
      </c>
      <c r="AZ228" s="805">
        <f t="shared" si="447"/>
        <v>7</v>
      </c>
      <c r="BA228" s="805">
        <f t="shared" si="447"/>
        <v>8</v>
      </c>
      <c r="BB228" s="805">
        <f t="shared" si="447"/>
        <v>10</v>
      </c>
    </row>
    <row r="229" spans="1:54" ht="15" customHeight="1">
      <c r="A229" s="417"/>
      <c r="B229" s="822"/>
      <c r="C229" s="803">
        <f>C228-$G$458</f>
        <v>36</v>
      </c>
      <c r="D229" s="784">
        <f t="shared" ref="D229:L229" si="448">IFERROR(Z216/$AL176,0)</f>
        <v>0.1410359865600429</v>
      </c>
      <c r="E229" s="784">
        <f t="shared" si="448"/>
        <v>0.19431353921800737</v>
      </c>
      <c r="F229" s="784">
        <f t="shared" si="448"/>
        <v>0.24759109187597184</v>
      </c>
      <c r="G229" s="784">
        <f t="shared" si="448"/>
        <v>0.3008686445339363</v>
      </c>
      <c r="H229" s="784">
        <f t="shared" si="448"/>
        <v>0.35414619719190077</v>
      </c>
      <c r="I229" s="784">
        <f t="shared" si="448"/>
        <v>0.40742374984986524</v>
      </c>
      <c r="J229" s="784">
        <f t="shared" si="448"/>
        <v>0.4607013025078297</v>
      </c>
      <c r="K229" s="784">
        <f t="shared" si="448"/>
        <v>0.51397885516579411</v>
      </c>
      <c r="L229" s="784">
        <f t="shared" si="448"/>
        <v>0.56725640782375863</v>
      </c>
      <c r="M229" s="417"/>
      <c r="N229" s="417"/>
      <c r="O229" s="417"/>
      <c r="P229" s="417"/>
      <c r="Q229" s="417"/>
      <c r="AT229" s="805">
        <f t="shared" ref="AT229:BB229" si="449">IF(Z216&lt;$G$449,0,MIN($G$446,1+IFERROR(INT((Z216-$G$449)/$G$464),0)))</f>
        <v>0</v>
      </c>
      <c r="AU229" s="805">
        <f t="shared" si="449"/>
        <v>1</v>
      </c>
      <c r="AV229" s="805">
        <f t="shared" si="449"/>
        <v>3</v>
      </c>
      <c r="AW229" s="805">
        <f t="shared" si="449"/>
        <v>4</v>
      </c>
      <c r="AX229" s="805">
        <f t="shared" si="449"/>
        <v>5</v>
      </c>
      <c r="AY229" s="805">
        <f t="shared" si="449"/>
        <v>7</v>
      </c>
      <c r="AZ229" s="805">
        <f t="shared" si="449"/>
        <v>8</v>
      </c>
      <c r="BA229" s="805">
        <f t="shared" si="449"/>
        <v>9</v>
      </c>
      <c r="BB229" s="805">
        <f t="shared" si="449"/>
        <v>10</v>
      </c>
    </row>
    <row r="230" spans="1:54" ht="15" hidden="1" customHeight="1" outlineLevel="1">
      <c r="A230" s="417"/>
      <c r="B230" s="423" t="s">
        <v>2605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7"/>
      <c r="O230" s="417"/>
      <c r="P230" s="417"/>
      <c r="Q230" s="417"/>
    </row>
    <row r="231" spans="1:54" ht="3.95" customHeight="1" collapsed="1">
      <c r="A231" s="417"/>
      <c r="M231" s="417"/>
      <c r="N231" s="417"/>
      <c r="O231" s="417"/>
      <c r="P231" s="417"/>
      <c r="Q231" s="417"/>
    </row>
    <row r="232" spans="1:54" ht="15" customHeight="1">
      <c r="A232" s="417"/>
      <c r="B232" s="148" t="s">
        <v>2604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  <c r="P232" s="417"/>
      <c r="Q232" s="417"/>
    </row>
    <row r="233" spans="1:54" ht="2.1" customHeight="1">
      <c r="A233" s="417"/>
      <c r="B233" s="417"/>
      <c r="C233" s="417"/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7"/>
      <c r="O233" s="417"/>
      <c r="P233" s="417"/>
      <c r="Q233" s="417"/>
    </row>
    <row r="234" spans="1:54" ht="12.75" customHeight="1">
      <c r="A234" s="417"/>
      <c r="B234" s="454"/>
      <c r="C234" s="454"/>
      <c r="D234" s="768" t="s">
        <v>2527</v>
      </c>
      <c r="E234" s="768"/>
      <c r="F234" s="768"/>
      <c r="G234" s="768"/>
      <c r="H234" s="768"/>
      <c r="I234" s="768"/>
      <c r="J234" s="768"/>
      <c r="K234" s="768"/>
      <c r="L234" s="768"/>
      <c r="M234" s="417"/>
      <c r="N234" s="417"/>
      <c r="O234" s="417"/>
      <c r="P234" s="417"/>
      <c r="Q234" s="417"/>
    </row>
    <row r="235" spans="1:54" ht="12.75" customHeight="1">
      <c r="A235" s="417"/>
      <c r="B235" s="454"/>
      <c r="C235" s="454"/>
      <c r="D235" s="769">
        <f>E235-$G$441</f>
        <v>1.0219039595619215</v>
      </c>
      <c r="E235" s="769">
        <f>F235-$G$441</f>
        <v>1.2719039595619215</v>
      </c>
      <c r="F235" s="769">
        <f>G235-$G$441</f>
        <v>1.5219039595619215</v>
      </c>
      <c r="G235" s="769">
        <f>H235-$G$441</f>
        <v>1.7719039595619215</v>
      </c>
      <c r="H235" s="769">
        <f>$G$440</f>
        <v>2.0219039595619215</v>
      </c>
      <c r="I235" s="769">
        <f>H235+$G$441</f>
        <v>2.2719039595619215</v>
      </c>
      <c r="J235" s="769">
        <f>I235+$G$441</f>
        <v>2.5219039595619215</v>
      </c>
      <c r="K235" s="769">
        <f>J235+$G$441</f>
        <v>2.7719039595619215</v>
      </c>
      <c r="L235" s="769">
        <f>K235+$G$441</f>
        <v>3.0219039595619215</v>
      </c>
      <c r="M235" s="417"/>
      <c r="N235" s="417"/>
      <c r="O235" s="417"/>
      <c r="P235" s="417"/>
      <c r="Q235" s="417"/>
      <c r="AT235" s="773" t="s">
        <v>2616</v>
      </c>
      <c r="AU235" s="427"/>
      <c r="AV235" s="427"/>
      <c r="AW235" s="427"/>
      <c r="AX235" s="427"/>
      <c r="AY235" s="427"/>
      <c r="AZ235" s="427"/>
      <c r="BA235" s="427"/>
      <c r="BB235" s="427"/>
    </row>
    <row r="236" spans="1:54" ht="15" customHeight="1">
      <c r="A236" s="417"/>
      <c r="B236" s="820" t="s">
        <v>2593</v>
      </c>
      <c r="C236" s="802">
        <f>C237+$G$458</f>
        <v>60</v>
      </c>
      <c r="D236" s="632">
        <f>D196-$AM170</f>
        <v>3.0617864546335971E-2</v>
      </c>
      <c r="E236" s="632">
        <f t="shared" ref="E236:L236" si="450">E196-$AM170</f>
        <v>4.1350376059161587E-2</v>
      </c>
      <c r="F236" s="632">
        <f t="shared" si="450"/>
        <v>5.1734481710751234E-2</v>
      </c>
      <c r="G236" s="632">
        <f t="shared" si="450"/>
        <v>6.1794640759431863E-2</v>
      </c>
      <c r="H236" s="632">
        <f t="shared" si="450"/>
        <v>7.155274130781808E-2</v>
      </c>
      <c r="I236" s="632">
        <f t="shared" si="450"/>
        <v>8.1028453830844338E-2</v>
      </c>
      <c r="J236" s="632">
        <f t="shared" si="450"/>
        <v>9.0239525551158994E-2</v>
      </c>
      <c r="K236" s="632">
        <f t="shared" si="450"/>
        <v>9.9202027024984707E-2</v>
      </c>
      <c r="L236" s="632">
        <f t="shared" si="450"/>
        <v>0.10793056012959434</v>
      </c>
      <c r="M236" s="417"/>
      <c r="N236" s="417"/>
      <c r="O236" s="417"/>
      <c r="P236" s="417"/>
      <c r="Q236" s="417"/>
      <c r="AT236" s="805">
        <f>IF(Z210&lt;$G$449,0,MIN($G$446,1+IFERROR(INT((Z210-$G$449)/$G$464),0)))</f>
        <v>0</v>
      </c>
      <c r="AU236" s="805">
        <f t="shared" ref="AU236:BB236" si="451">IF(AA210&lt;$G$449,0,MIN($G$446,1+IFERROR(INT((AA210-$G$449)/$G$464),0)))</f>
        <v>0</v>
      </c>
      <c r="AV236" s="805">
        <f t="shared" si="451"/>
        <v>0</v>
      </c>
      <c r="AW236" s="805">
        <f t="shared" si="451"/>
        <v>0</v>
      </c>
      <c r="AX236" s="805">
        <f t="shared" si="451"/>
        <v>0</v>
      </c>
      <c r="AY236" s="805">
        <f t="shared" si="451"/>
        <v>2</v>
      </c>
      <c r="AZ236" s="805">
        <f t="shared" si="451"/>
        <v>3</v>
      </c>
      <c r="BA236" s="805">
        <f t="shared" si="451"/>
        <v>4</v>
      </c>
      <c r="BB236" s="805">
        <f t="shared" si="451"/>
        <v>6</v>
      </c>
    </row>
    <row r="237" spans="1:54" ht="15" customHeight="1">
      <c r="A237" s="417"/>
      <c r="B237" s="821"/>
      <c r="C237" s="802">
        <f>C238+$G$458</f>
        <v>56</v>
      </c>
      <c r="D237" s="632">
        <f t="shared" ref="D237:L237" si="452">D197-$AM171</f>
        <v>3.566619087519296E-2</v>
      </c>
      <c r="E237" s="632">
        <f t="shared" si="452"/>
        <v>4.6632627867875698E-2</v>
      </c>
      <c r="F237" s="632">
        <f t="shared" si="452"/>
        <v>5.7233700757149064E-2</v>
      </c>
      <c r="G237" s="632">
        <f t="shared" si="452"/>
        <v>6.7495707261860716E-2</v>
      </c>
      <c r="H237" s="632">
        <f t="shared" si="452"/>
        <v>7.7442113510935551E-2</v>
      </c>
      <c r="I237" s="632">
        <f t="shared" si="452"/>
        <v>8.7093952522634854E-2</v>
      </c>
      <c r="J237" s="632">
        <f t="shared" si="452"/>
        <v>9.6470154436018696E-2</v>
      </c>
      <c r="K237" s="632">
        <f t="shared" si="452"/>
        <v>0.10558782202095807</v>
      </c>
      <c r="L237" s="632">
        <f t="shared" si="452"/>
        <v>0.11446246212936773</v>
      </c>
      <c r="M237" s="417"/>
      <c r="N237" s="417"/>
      <c r="O237" s="417"/>
      <c r="P237" s="417"/>
      <c r="Q237" s="417"/>
      <c r="AT237" s="805">
        <f t="shared" ref="AT237:BB237" si="453">IF(Z211&lt;$G$449,0,MIN($G$446,1+IFERROR(INT((Z211-$G$449)/$G$464),0)))</f>
        <v>0</v>
      </c>
      <c r="AU237" s="805">
        <f t="shared" si="453"/>
        <v>0</v>
      </c>
      <c r="AV237" s="805">
        <f t="shared" si="453"/>
        <v>0</v>
      </c>
      <c r="AW237" s="805">
        <f t="shared" si="453"/>
        <v>0</v>
      </c>
      <c r="AX237" s="805">
        <f t="shared" si="453"/>
        <v>1</v>
      </c>
      <c r="AY237" s="805">
        <f t="shared" si="453"/>
        <v>3</v>
      </c>
      <c r="AZ237" s="805">
        <f t="shared" si="453"/>
        <v>4</v>
      </c>
      <c r="BA237" s="805">
        <f t="shared" si="453"/>
        <v>5</v>
      </c>
      <c r="BB237" s="805">
        <f t="shared" si="453"/>
        <v>6</v>
      </c>
    </row>
    <row r="238" spans="1:54" ht="15" customHeight="1">
      <c r="A238" s="417"/>
      <c r="B238" s="821"/>
      <c r="C238" s="802">
        <f>C239+$G$458</f>
        <v>52</v>
      </c>
      <c r="D238" s="632">
        <f t="shared" ref="D238:L238" si="454">D198-$AM172</f>
        <v>4.1047458907268242E-2</v>
      </c>
      <c r="E238" s="632">
        <f t="shared" si="454"/>
        <v>5.225961669589485E-2</v>
      </c>
      <c r="F238" s="632">
        <f t="shared" si="454"/>
        <v>6.3088132104938799E-2</v>
      </c>
      <c r="G238" s="632">
        <f t="shared" si="454"/>
        <v>7.3561334095300746E-2</v>
      </c>
      <c r="H238" s="632">
        <f t="shared" si="454"/>
        <v>8.3704425352274736E-2</v>
      </c>
      <c r="I238" s="632">
        <f t="shared" si="454"/>
        <v>9.3539932831092409E-2</v>
      </c>
      <c r="J238" s="632">
        <f t="shared" si="454"/>
        <v>0.10308807921352625</v>
      </c>
      <c r="K238" s="632">
        <f t="shared" si="454"/>
        <v>0.11236709160433644</v>
      </c>
      <c r="L238" s="632">
        <f t="shared" si="454"/>
        <v>0.12139345969048532</v>
      </c>
      <c r="M238" s="417"/>
      <c r="N238" s="417"/>
      <c r="O238" s="417"/>
      <c r="P238" s="417"/>
      <c r="Q238" s="417"/>
      <c r="AT238" s="805">
        <f t="shared" ref="AT238:BB238" si="455">IF(Z212&lt;$G$449,0,MIN($G$446,1+IFERROR(INT((Z212-$G$449)/$G$464),0)))</f>
        <v>0</v>
      </c>
      <c r="AU238" s="805">
        <f t="shared" si="455"/>
        <v>0</v>
      </c>
      <c r="AV238" s="805">
        <f t="shared" si="455"/>
        <v>0</v>
      </c>
      <c r="AW238" s="805">
        <f t="shared" si="455"/>
        <v>1</v>
      </c>
      <c r="AX238" s="805">
        <f t="shared" si="455"/>
        <v>2</v>
      </c>
      <c r="AY238" s="805">
        <f t="shared" si="455"/>
        <v>3</v>
      </c>
      <c r="AZ238" s="805">
        <f t="shared" si="455"/>
        <v>5</v>
      </c>
      <c r="BA238" s="805">
        <f t="shared" si="455"/>
        <v>6</v>
      </c>
      <c r="BB238" s="805">
        <f t="shared" si="455"/>
        <v>7</v>
      </c>
    </row>
    <row r="239" spans="1:54" ht="15" customHeight="1">
      <c r="A239" s="417"/>
      <c r="B239" s="821"/>
      <c r="C239" s="802">
        <f>$G$457</f>
        <v>48</v>
      </c>
      <c r="D239" s="632">
        <f t="shared" ref="D239:L239" si="456">D199-$AM173</f>
        <v>4.6800887931307544E-2</v>
      </c>
      <c r="E239" s="632">
        <f t="shared" si="456"/>
        <v>5.8271513856421153E-2</v>
      </c>
      <c r="F239" s="632">
        <f t="shared" si="456"/>
        <v>6.9338755614333891E-2</v>
      </c>
      <c r="G239" s="632">
        <f t="shared" si="456"/>
        <v>8.0033192459237235E-2</v>
      </c>
      <c r="H239" s="790">
        <f t="shared" si="456"/>
        <v>9.0381942850864538E-2</v>
      </c>
      <c r="I239" s="632">
        <f t="shared" si="456"/>
        <v>0.10040917543791528</v>
      </c>
      <c r="J239" s="632">
        <f t="shared" si="456"/>
        <v>0.11013652831392329</v>
      </c>
      <c r="K239" s="632">
        <f t="shared" si="456"/>
        <v>0.11958345562955031</v>
      </c>
      <c r="L239" s="632">
        <f t="shared" si="456"/>
        <v>0.12876751643678541</v>
      </c>
      <c r="M239" s="417"/>
      <c r="N239" s="417"/>
      <c r="O239" s="417"/>
      <c r="P239" s="417"/>
      <c r="Q239" s="417"/>
      <c r="AT239" s="805">
        <f t="shared" ref="AT239:BB239" si="457">IF(Z213&lt;$G$449,0,MIN($G$446,1+IFERROR(INT((Z213-$G$449)/$G$464),0)))</f>
        <v>0</v>
      </c>
      <c r="AU239" s="805">
        <f t="shared" si="457"/>
        <v>0</v>
      </c>
      <c r="AV239" s="805">
        <f t="shared" si="457"/>
        <v>0</v>
      </c>
      <c r="AW239" s="805">
        <f t="shared" si="457"/>
        <v>2</v>
      </c>
      <c r="AX239" s="805">
        <f t="shared" si="457"/>
        <v>3</v>
      </c>
      <c r="AY239" s="805">
        <f t="shared" si="457"/>
        <v>4</v>
      </c>
      <c r="AZ239" s="805">
        <f t="shared" si="457"/>
        <v>5</v>
      </c>
      <c r="BA239" s="805">
        <f t="shared" si="457"/>
        <v>7</v>
      </c>
      <c r="BB239" s="805">
        <f t="shared" si="457"/>
        <v>8</v>
      </c>
    </row>
    <row r="240" spans="1:54" ht="15" customHeight="1">
      <c r="A240" s="417"/>
      <c r="B240" s="821"/>
      <c r="C240" s="802">
        <f>C239-$G$458</f>
        <v>44</v>
      </c>
      <c r="D240" s="632">
        <f t="shared" ref="D240:L240" si="458">D200-$AM174</f>
        <v>5.2972558792569124E-2</v>
      </c>
      <c r="E240" s="632">
        <f t="shared" si="458"/>
        <v>6.4715459618369886E-2</v>
      </c>
      <c r="F240" s="632">
        <f t="shared" si="458"/>
        <v>7.6033607215410193E-2</v>
      </c>
      <c r="G240" s="632">
        <f t="shared" si="458"/>
        <v>8.6960080905729376E-2</v>
      </c>
      <c r="H240" s="632">
        <f t="shared" si="458"/>
        <v>9.752411815049844E-2</v>
      </c>
      <c r="I240" s="632">
        <f t="shared" si="458"/>
        <v>0.10775169607753887</v>
      </c>
      <c r="J240" s="632">
        <f t="shared" si="458"/>
        <v>0.11766600607771061</v>
      </c>
      <c r="K240" s="632">
        <f t="shared" si="458"/>
        <v>0.12728784429751117</v>
      </c>
      <c r="L240" s="632">
        <f t="shared" si="458"/>
        <v>0.13663593551207676</v>
      </c>
      <c r="M240" s="417"/>
      <c r="N240" s="417"/>
      <c r="O240" s="417"/>
      <c r="P240" s="417"/>
      <c r="Q240" s="417"/>
      <c r="AT240" s="805">
        <f t="shared" ref="AT240:BB240" si="459">IF(Z214&lt;$G$449,0,MIN($G$446,1+IFERROR(INT((Z214-$G$449)/$G$464),0)))</f>
        <v>0</v>
      </c>
      <c r="AU240" s="805">
        <f t="shared" si="459"/>
        <v>0</v>
      </c>
      <c r="AV240" s="805">
        <f t="shared" si="459"/>
        <v>1</v>
      </c>
      <c r="AW240" s="805">
        <f t="shared" si="459"/>
        <v>2</v>
      </c>
      <c r="AX240" s="805">
        <f t="shared" si="459"/>
        <v>4</v>
      </c>
      <c r="AY240" s="805">
        <f t="shared" si="459"/>
        <v>5</v>
      </c>
      <c r="AZ240" s="805">
        <f t="shared" si="459"/>
        <v>6</v>
      </c>
      <c r="BA240" s="805">
        <f t="shared" si="459"/>
        <v>8</v>
      </c>
      <c r="BB240" s="805">
        <f t="shared" si="459"/>
        <v>9</v>
      </c>
    </row>
    <row r="241" spans="1:54" ht="15" customHeight="1">
      <c r="A241" s="417"/>
      <c r="B241" s="821"/>
      <c r="C241" s="802">
        <f>C240-$G$458</f>
        <v>40</v>
      </c>
      <c r="D241" s="632">
        <f t="shared" ref="D241:L241" si="460">D201-$AM175</f>
        <v>5.961706283511603E-2</v>
      </c>
      <c r="E241" s="632">
        <f t="shared" si="460"/>
        <v>7.1647227924483525E-2</v>
      </c>
      <c r="F241" s="632">
        <f t="shared" si="460"/>
        <v>8.3229455830315713E-2</v>
      </c>
      <c r="G241" s="632">
        <f t="shared" si="460"/>
        <v>9.4399611806266881E-2</v>
      </c>
      <c r="H241" s="632">
        <f t="shared" si="460"/>
        <v>0.10518928356686241</v>
      </c>
      <c r="I241" s="632">
        <f t="shared" si="460"/>
        <v>0.11562644548321255</v>
      </c>
      <c r="J241" s="632">
        <f t="shared" si="460"/>
        <v>0.1257359976000938</v>
      </c>
      <c r="K241" s="632">
        <f t="shared" si="460"/>
        <v>0.13554020692584423</v>
      </c>
      <c r="L241" s="632">
        <f t="shared" si="460"/>
        <v>0.14505907154946662</v>
      </c>
      <c r="M241" s="417"/>
      <c r="N241" s="417"/>
      <c r="O241" s="417"/>
      <c r="P241" s="417"/>
      <c r="Q241" s="417"/>
      <c r="AT241" s="805">
        <f t="shared" ref="AT241:BB241" si="461">IF(Z215&lt;$G$449,0,MIN($G$446,1+IFERROR(INT((Z215-$G$449)/$G$464),0)))</f>
        <v>0</v>
      </c>
      <c r="AU241" s="805">
        <f t="shared" si="461"/>
        <v>1</v>
      </c>
      <c r="AV241" s="805">
        <f t="shared" si="461"/>
        <v>2</v>
      </c>
      <c r="AW241" s="805">
        <f t="shared" si="461"/>
        <v>3</v>
      </c>
      <c r="AX241" s="805">
        <f t="shared" si="461"/>
        <v>4</v>
      </c>
      <c r="AY241" s="805">
        <f t="shared" si="461"/>
        <v>6</v>
      </c>
      <c r="AZ241" s="805">
        <f t="shared" si="461"/>
        <v>7</v>
      </c>
      <c r="BA241" s="805">
        <f t="shared" si="461"/>
        <v>8</v>
      </c>
      <c r="BB241" s="805">
        <f t="shared" si="461"/>
        <v>10</v>
      </c>
    </row>
    <row r="242" spans="1:54" ht="15" customHeight="1">
      <c r="A242" s="417"/>
      <c r="B242" s="822"/>
      <c r="C242" s="803">
        <f>C241-$G$458</f>
        <v>36</v>
      </c>
      <c r="D242" s="791">
        <f t="shared" ref="D242:L242" si="462">D202-$AM176</f>
        <v>6.6799671344935696E-2</v>
      </c>
      <c r="E242" s="791">
        <f t="shared" si="462"/>
        <v>7.9133414499375831E-2</v>
      </c>
      <c r="F242" s="791">
        <f t="shared" si="462"/>
        <v>9.0994005813843426E-2</v>
      </c>
      <c r="G242" s="791">
        <f t="shared" si="462"/>
        <v>0.10242042492585712</v>
      </c>
      <c r="H242" s="791">
        <f t="shared" si="462"/>
        <v>0.11344687388997565</v>
      </c>
      <c r="I242" s="791">
        <f t="shared" si="462"/>
        <v>0.12410353868512969</v>
      </c>
      <c r="J242" s="791">
        <f t="shared" si="462"/>
        <v>0.13441720355056175</v>
      </c>
      <c r="K242" s="791">
        <f t="shared" si="462"/>
        <v>0.14441175119338534</v>
      </c>
      <c r="L242" s="791">
        <f t="shared" si="462"/>
        <v>0.15410857355940433</v>
      </c>
      <c r="M242" s="417"/>
      <c r="N242" s="417"/>
      <c r="O242" s="417"/>
      <c r="P242" s="417"/>
      <c r="Q242" s="417"/>
      <c r="AT242" s="805">
        <f t="shared" ref="AT242:BB242" si="463">IF(Z216&lt;$G$449,0,MIN($G$446,1+IFERROR(INT((Z216-$G$449)/$G$464),0)))</f>
        <v>0</v>
      </c>
      <c r="AU242" s="805">
        <f t="shared" si="463"/>
        <v>1</v>
      </c>
      <c r="AV242" s="805">
        <f t="shared" si="463"/>
        <v>3</v>
      </c>
      <c r="AW242" s="805">
        <f t="shared" si="463"/>
        <v>4</v>
      </c>
      <c r="AX242" s="805">
        <f t="shared" si="463"/>
        <v>5</v>
      </c>
      <c r="AY242" s="805">
        <f t="shared" si="463"/>
        <v>7</v>
      </c>
      <c r="AZ242" s="805">
        <f t="shared" si="463"/>
        <v>8</v>
      </c>
      <c r="BA242" s="805">
        <f t="shared" si="463"/>
        <v>9</v>
      </c>
      <c r="BB242" s="805">
        <f t="shared" si="463"/>
        <v>10</v>
      </c>
    </row>
    <row r="243" spans="1:54" ht="15" hidden="1" customHeight="1" outlineLevel="1">
      <c r="A243" s="417"/>
      <c r="B243" s="423" t="s">
        <v>2606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7"/>
      <c r="O243" s="417"/>
      <c r="P243" s="417"/>
      <c r="Q243" s="417"/>
    </row>
    <row r="244" spans="1:54" ht="3.95" customHeight="1" collapsed="1">
      <c r="A244" s="417"/>
      <c r="M244" s="417"/>
    </row>
    <row r="245" spans="1:54" ht="15" customHeight="1">
      <c r="A245" s="417"/>
      <c r="B245" s="796" t="str">
        <f>"Ben's Return Profile Based on Partnering — Keystone Multiple × Net Client Wins ("&amp;TEXT($G$436,"0%")&amp;" Rollover)"</f>
        <v>Ben's Return Profile Based on Partnering — Keystone Multiple × Net Client Wins (30% Rollover)</v>
      </c>
      <c r="C245" s="797"/>
      <c r="D245" s="797"/>
      <c r="E245" s="797"/>
      <c r="F245" s="797"/>
      <c r="G245" s="797"/>
      <c r="H245" s="797"/>
      <c r="I245" s="797"/>
      <c r="J245" s="797"/>
      <c r="K245" s="797"/>
      <c r="L245" s="797"/>
      <c r="M245" s="417"/>
      <c r="N245" s="417"/>
      <c r="O245" s="417"/>
      <c r="P245" s="417"/>
      <c r="Q245" s="417"/>
    </row>
    <row r="246" spans="1:54" ht="15" customHeight="1">
      <c r="A246" s="417"/>
      <c r="B246" s="148" t="s">
        <v>2757</v>
      </c>
      <c r="C246" s="417"/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7"/>
      <c r="O246" s="417"/>
      <c r="P246" s="417"/>
      <c r="Q246" s="417"/>
    </row>
    <row r="247" spans="1:54" ht="2.1" customHeight="1">
      <c r="A247" s="417"/>
      <c r="B247" s="417"/>
      <c r="C247" s="417"/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7"/>
      <c r="O247" s="417"/>
      <c r="P247" s="417"/>
      <c r="Q247" s="417"/>
    </row>
    <row r="248" spans="1:54" ht="12.75" customHeight="1">
      <c r="A248" s="417"/>
      <c r="B248" s="454"/>
      <c r="C248" s="454"/>
      <c r="D248" s="768" t="s">
        <v>2753</v>
      </c>
      <c r="E248" s="768"/>
      <c r="F248" s="768"/>
      <c r="G248" s="768"/>
      <c r="H248" s="768"/>
      <c r="I248" s="768"/>
      <c r="J248" s="768"/>
      <c r="K248" s="768"/>
      <c r="L248" s="768"/>
      <c r="M248" s="417"/>
      <c r="N248" s="417"/>
      <c r="O248" s="417"/>
      <c r="P248" s="417"/>
      <c r="Q248" s="417"/>
      <c r="Z248" s="787" t="str">
        <f>"Helper: Unrounded Net Return — Multiple × Net Client Wins ("&amp;TEXT($G$436,"0%")&amp;" Rollover)"</f>
        <v>Helper: Unrounded Net Return — Multiple × Net Client Wins (30% Rollover)</v>
      </c>
      <c r="AA248" s="747"/>
      <c r="AB248" s="747"/>
      <c r="AC248" s="747"/>
      <c r="AD248" s="747"/>
      <c r="AE248" s="747"/>
      <c r="AF248" s="747"/>
      <c r="AG248" s="747"/>
      <c r="AH248" s="747"/>
      <c r="AJ248" s="804" t="s">
        <v>2594</v>
      </c>
      <c r="AK248" s="804" t="s">
        <v>2754</v>
      </c>
      <c r="AL248" s="804" t="s">
        <v>2596</v>
      </c>
      <c r="AM248" s="804" t="s">
        <v>2597</v>
      </c>
    </row>
    <row r="249" spans="1:54" ht="12.75" customHeight="1">
      <c r="A249" s="417"/>
      <c r="B249" s="454"/>
      <c r="C249" s="454"/>
      <c r="D249" s="816">
        <f>E249-$G$466</f>
        <v>1</v>
      </c>
      <c r="E249" s="816">
        <f>F249-$G$466</f>
        <v>1.25</v>
      </c>
      <c r="F249" s="816">
        <f>G249-$G$466</f>
        <v>1.5</v>
      </c>
      <c r="G249" s="816">
        <f>H249-$G$466</f>
        <v>1.75</v>
      </c>
      <c r="H249" s="816">
        <f>$G$465</f>
        <v>2</v>
      </c>
      <c r="I249" s="816">
        <f>H249+$G$466</f>
        <v>2.25</v>
      </c>
      <c r="J249" s="816">
        <f>I249+$G$466</f>
        <v>2.5</v>
      </c>
      <c r="K249" s="816">
        <f>J249+$G$466</f>
        <v>2.75</v>
      </c>
      <c r="L249" s="816">
        <f>K249+$G$466</f>
        <v>3</v>
      </c>
      <c r="M249" s="417"/>
      <c r="N249" s="417"/>
      <c r="O249" s="417"/>
      <c r="P249" s="417"/>
      <c r="Q249" s="417"/>
      <c r="Z249" s="817">
        <f t="shared" ref="Z249:AF249" si="464">D$249</f>
        <v>1</v>
      </c>
      <c r="AA249" s="817">
        <f t="shared" si="464"/>
        <v>1.25</v>
      </c>
      <c r="AB249" s="817">
        <f t="shared" si="464"/>
        <v>1.5</v>
      </c>
      <c r="AC249" s="817">
        <f t="shared" si="464"/>
        <v>1.75</v>
      </c>
      <c r="AD249" s="817">
        <f t="shared" si="464"/>
        <v>2</v>
      </c>
      <c r="AE249" s="817">
        <f t="shared" si="464"/>
        <v>2.25</v>
      </c>
      <c r="AF249" s="817">
        <f t="shared" si="464"/>
        <v>2.5</v>
      </c>
      <c r="AG249" s="817">
        <f t="shared" ref="AG249:AH249" si="465">K$249</f>
        <v>2.75</v>
      </c>
      <c r="AH249" s="817">
        <f t="shared" si="465"/>
        <v>3</v>
      </c>
      <c r="AJ249" s="747"/>
      <c r="AK249" s="747"/>
      <c r="AL249" s="747"/>
      <c r="AM249" s="747"/>
      <c r="AT249" s="773" t="s">
        <v>2616</v>
      </c>
      <c r="AU249" s="427"/>
      <c r="AV249" s="427"/>
      <c r="AW249" s="427"/>
      <c r="AX249" s="427"/>
      <c r="AY249" s="427"/>
      <c r="AZ249" s="427"/>
      <c r="BA249" s="427"/>
      <c r="BB249" s="427"/>
    </row>
    <row r="250" spans="1:54" ht="15" customHeight="1">
      <c r="A250" s="417"/>
      <c r="B250" s="820" t="s">
        <v>2593</v>
      </c>
      <c r="C250" s="802">
        <f>C251+$G$458</f>
        <v>60</v>
      </c>
      <c r="D250" s="621">
        <f>ROUND(Z250,$G$452)</f>
        <v>4200</v>
      </c>
      <c r="E250" s="621">
        <f t="shared" ref="E250:E256" si="466">ROUND(AA250,$G$452)</f>
        <v>4800</v>
      </c>
      <c r="F250" s="621">
        <f t="shared" ref="F250:F256" si="467">ROUND(AB250,$G$452)</f>
        <v>5500</v>
      </c>
      <c r="G250" s="621">
        <f t="shared" ref="G250:G256" si="468">ROUND(AC250,$G$452)</f>
        <v>6100</v>
      </c>
      <c r="H250" s="621">
        <f t="shared" ref="H250:H256" si="469">ROUND(AD250,$G$452)</f>
        <v>6700</v>
      </c>
      <c r="I250" s="621">
        <f t="shared" ref="I250:I256" si="470">ROUND(AE250,$G$452)</f>
        <v>7300</v>
      </c>
      <c r="J250" s="621">
        <f t="shared" ref="J250:J256" si="471">ROUND(AF250,$G$452)</f>
        <v>8000</v>
      </c>
      <c r="K250" s="621">
        <f t="shared" ref="K250:K256" si="472">ROUND(AG250,$G$452)</f>
        <v>8600</v>
      </c>
      <c r="L250" s="621">
        <f t="shared" ref="L250:L256" si="473">ROUND(AH250,$G$452)</f>
        <v>9200</v>
      </c>
      <c r="M250" s="417"/>
      <c r="N250" s="417"/>
      <c r="O250" s="417"/>
      <c r="P250" s="417"/>
      <c r="Q250" s="417"/>
      <c r="Z250" s="367">
        <f t="shared" ref="Z250:AF256" si="474">$O$18+$G$435+$N$18*$AK250*Z$249+$R$18*($Q$18*(1+$G$437)+$AK250*Z$249*(1-$N$18))-$G$430</f>
        <v>4192.1562673381595</v>
      </c>
      <c r="AA250" s="367">
        <f t="shared" si="474"/>
        <v>4822.5910827487778</v>
      </c>
      <c r="AB250" s="367">
        <f t="shared" si="474"/>
        <v>5453.0258981593943</v>
      </c>
      <c r="AC250" s="367">
        <f t="shared" si="474"/>
        <v>6083.4607135700135</v>
      </c>
      <c r="AD250" s="367">
        <f t="shared" si="474"/>
        <v>6713.8955289806308</v>
      </c>
      <c r="AE250" s="367">
        <f t="shared" si="474"/>
        <v>7344.3303443912482</v>
      </c>
      <c r="AF250" s="367">
        <f t="shared" si="474"/>
        <v>7974.7651598018674</v>
      </c>
      <c r="AG250" s="367">
        <f t="shared" ref="AG250:AH256" si="475">$O$18+$G$435+$N$18*$AK250*AG$249+$R$18*($Q$18*(1+$G$437)+$AK250*AG$249*(1-$N$18))-$G$430</f>
        <v>8605.199975212483</v>
      </c>
      <c r="AH250" s="367">
        <f t="shared" si="475"/>
        <v>9235.6347906231022</v>
      </c>
      <c r="AJ250" s="367">
        <f t="shared" ref="AJ250:AJ256" si="476">$C250</f>
        <v>60</v>
      </c>
      <c r="AK250" s="367">
        <f t="shared" ref="AK250:AK256" si="477">$G$453+AJ250*$G$445*$G$454</f>
        <v>7987.9829183050824</v>
      </c>
      <c r="AL250" s="367">
        <f>($G$453+(AJ250-$G$459)*$G$445*$G$460)*$G$461*$G$462</f>
        <v>8737.6181733050835</v>
      </c>
      <c r="AM250" s="801">
        <f>IFERROR((AL250/$G$430)^(1/$G$445)-1,0)</f>
        <v>0.23838123203554318</v>
      </c>
      <c r="AT250" s="805">
        <f t="shared" ref="AT250:AZ256" si="478">IF(Z290&lt;$G$449,0,MIN($G$446,1+IFERROR(INT((Z290-$G$449)/$G$467),0)))</f>
        <v>0</v>
      </c>
      <c r="AU250" s="805">
        <f t="shared" si="478"/>
        <v>0</v>
      </c>
      <c r="AV250" s="805">
        <f t="shared" si="478"/>
        <v>0</v>
      </c>
      <c r="AW250" s="805">
        <f t="shared" si="478"/>
        <v>0</v>
      </c>
      <c r="AX250" s="805">
        <f t="shared" si="478"/>
        <v>0</v>
      </c>
      <c r="AY250" s="805">
        <f t="shared" si="478"/>
        <v>2</v>
      </c>
      <c r="AZ250" s="805">
        <f t="shared" si="478"/>
        <v>4</v>
      </c>
      <c r="BA250" s="805">
        <f t="shared" ref="BA250:BB250" si="479">IF(AG290&lt;$G$449,0,MIN($G$446,1+IFERROR(INT((AG290-$G$449)/$G$467),0)))</f>
        <v>7</v>
      </c>
      <c r="BB250" s="805">
        <f t="shared" si="479"/>
        <v>9</v>
      </c>
    </row>
    <row r="251" spans="1:54" ht="15" customHeight="1">
      <c r="A251" s="417"/>
      <c r="B251" s="821"/>
      <c r="C251" s="802">
        <f>C252+$G$458</f>
        <v>56</v>
      </c>
      <c r="D251" s="470">
        <f t="shared" ref="D251:D256" si="480">ROUND(Z251,$G$452)</f>
        <v>4100</v>
      </c>
      <c r="E251" s="470">
        <f t="shared" si="466"/>
        <v>4700</v>
      </c>
      <c r="F251" s="470">
        <f t="shared" si="467"/>
        <v>5300</v>
      </c>
      <c r="G251" s="470">
        <f t="shared" si="468"/>
        <v>5900</v>
      </c>
      <c r="H251" s="470">
        <f t="shared" si="469"/>
        <v>6500</v>
      </c>
      <c r="I251" s="470">
        <f t="shared" si="470"/>
        <v>7100</v>
      </c>
      <c r="J251" s="470">
        <f t="shared" si="471"/>
        <v>7700</v>
      </c>
      <c r="K251" s="470">
        <f t="shared" si="472"/>
        <v>8300</v>
      </c>
      <c r="L251" s="470">
        <f t="shared" si="473"/>
        <v>8900</v>
      </c>
      <c r="M251" s="417"/>
      <c r="N251" s="417"/>
      <c r="O251" s="417"/>
      <c r="P251" s="417"/>
      <c r="Q251" s="417"/>
      <c r="Z251" s="367">
        <f t="shared" si="474"/>
        <v>4087.1479345519438</v>
      </c>
      <c r="AA251" s="367">
        <f t="shared" si="474"/>
        <v>4691.3306667660072</v>
      </c>
      <c r="AB251" s="367">
        <f t="shared" si="474"/>
        <v>5295.5133989800706</v>
      </c>
      <c r="AC251" s="367">
        <f t="shared" si="474"/>
        <v>5899.6961311941341</v>
      </c>
      <c r="AD251" s="367">
        <f t="shared" si="474"/>
        <v>6503.8788634081975</v>
      </c>
      <c r="AE251" s="367">
        <f t="shared" si="474"/>
        <v>7108.0615956222628</v>
      </c>
      <c r="AF251" s="367">
        <f t="shared" si="474"/>
        <v>7712.2443278363262</v>
      </c>
      <c r="AG251" s="367">
        <f t="shared" si="475"/>
        <v>8316.4270600503914</v>
      </c>
      <c r="AH251" s="367">
        <f t="shared" si="475"/>
        <v>8920.6097922644531</v>
      </c>
      <c r="AJ251" s="367">
        <f t="shared" si="476"/>
        <v>56</v>
      </c>
      <c r="AK251" s="367">
        <f t="shared" si="477"/>
        <v>7655.3534584180779</v>
      </c>
      <c r="AL251" s="367">
        <f t="shared" ref="AL251:AL256" si="481">($G$453+(AJ251-$G$459)*$G$445*$G$460)*$G$461*$G$462</f>
        <v>8321.8313484463251</v>
      </c>
      <c r="AM251" s="801">
        <f t="shared" ref="AM251:AM256" si="482">IFERROR((AL251/$G$430)^(1/$G$445)-1,0)</f>
        <v>0.22636438906489675</v>
      </c>
      <c r="AT251" s="805">
        <f t="shared" si="478"/>
        <v>0</v>
      </c>
      <c r="AU251" s="805">
        <f t="shared" si="478"/>
        <v>0</v>
      </c>
      <c r="AV251" s="805">
        <f t="shared" si="478"/>
        <v>0</v>
      </c>
      <c r="AW251" s="805">
        <f t="shared" si="478"/>
        <v>0</v>
      </c>
      <c r="AX251" s="805">
        <f t="shared" si="478"/>
        <v>1</v>
      </c>
      <c r="AY251" s="805">
        <f t="shared" si="478"/>
        <v>3</v>
      </c>
      <c r="AZ251" s="805">
        <f t="shared" si="478"/>
        <v>5</v>
      </c>
      <c r="BA251" s="805">
        <f t="shared" ref="BA251:BB251" si="483">IF(AG291&lt;$G$449,0,MIN($G$446,1+IFERROR(INT((AG291-$G$449)/$G$467),0)))</f>
        <v>7</v>
      </c>
      <c r="BB251" s="805">
        <f t="shared" si="483"/>
        <v>9</v>
      </c>
    </row>
    <row r="252" spans="1:54" ht="15" customHeight="1">
      <c r="A252" s="417"/>
      <c r="B252" s="821"/>
      <c r="C252" s="802">
        <f>C253+$G$458</f>
        <v>52</v>
      </c>
      <c r="D252" s="470">
        <f t="shared" si="480"/>
        <v>4000</v>
      </c>
      <c r="E252" s="470">
        <f t="shared" si="466"/>
        <v>4600</v>
      </c>
      <c r="F252" s="470">
        <f t="shared" si="467"/>
        <v>5100</v>
      </c>
      <c r="G252" s="470">
        <f t="shared" si="468"/>
        <v>5700</v>
      </c>
      <c r="H252" s="470">
        <f t="shared" si="469"/>
        <v>6300</v>
      </c>
      <c r="I252" s="470">
        <f t="shared" si="470"/>
        <v>6900</v>
      </c>
      <c r="J252" s="470">
        <f t="shared" si="471"/>
        <v>7400</v>
      </c>
      <c r="K252" s="470">
        <f t="shared" si="472"/>
        <v>8000</v>
      </c>
      <c r="L252" s="470">
        <f t="shared" si="473"/>
        <v>8600</v>
      </c>
      <c r="M252" s="417"/>
      <c r="N252" s="417"/>
      <c r="O252" s="417"/>
      <c r="P252" s="417"/>
      <c r="Q252" s="417"/>
      <c r="Z252" s="367">
        <f t="shared" si="474"/>
        <v>3982.139601765728</v>
      </c>
      <c r="AA252" s="367">
        <f t="shared" si="474"/>
        <v>4560.0702507832375</v>
      </c>
      <c r="AB252" s="367">
        <f t="shared" si="474"/>
        <v>5138.0008998007461</v>
      </c>
      <c r="AC252" s="367">
        <f t="shared" si="474"/>
        <v>5715.9315488182565</v>
      </c>
      <c r="AD252" s="367">
        <f t="shared" si="474"/>
        <v>6293.862197835766</v>
      </c>
      <c r="AE252" s="367">
        <f t="shared" si="474"/>
        <v>6871.7928468532755</v>
      </c>
      <c r="AF252" s="367">
        <f t="shared" si="474"/>
        <v>7449.723495870785</v>
      </c>
      <c r="AG252" s="367">
        <f t="shared" si="475"/>
        <v>8027.6541448882963</v>
      </c>
      <c r="AH252" s="367">
        <f t="shared" si="475"/>
        <v>8605.584793905804</v>
      </c>
      <c r="AJ252" s="367">
        <f t="shared" si="476"/>
        <v>52</v>
      </c>
      <c r="AK252" s="367">
        <f t="shared" si="477"/>
        <v>7322.7239985310716</v>
      </c>
      <c r="AL252" s="367">
        <f t="shared" si="481"/>
        <v>7906.0445235875686</v>
      </c>
      <c r="AM252" s="801">
        <f t="shared" si="482"/>
        <v>0.21385720427347321</v>
      </c>
      <c r="AT252" s="805">
        <f t="shared" si="478"/>
        <v>0</v>
      </c>
      <c r="AU252" s="805">
        <f t="shared" si="478"/>
        <v>0</v>
      </c>
      <c r="AV252" s="805">
        <f t="shared" si="478"/>
        <v>0</v>
      </c>
      <c r="AW252" s="805">
        <f t="shared" si="478"/>
        <v>0</v>
      </c>
      <c r="AX252" s="805">
        <f t="shared" si="478"/>
        <v>2</v>
      </c>
      <c r="AY252" s="805">
        <f t="shared" si="478"/>
        <v>4</v>
      </c>
      <c r="AZ252" s="805">
        <f t="shared" si="478"/>
        <v>5</v>
      </c>
      <c r="BA252" s="805">
        <f t="shared" ref="BA252:BB252" si="484">IF(AG292&lt;$G$449,0,MIN($G$446,1+IFERROR(INT((AG292-$G$449)/$G$467),0)))</f>
        <v>7</v>
      </c>
      <c r="BB252" s="805">
        <f t="shared" si="484"/>
        <v>9</v>
      </c>
    </row>
    <row r="253" spans="1:54" ht="15" customHeight="1">
      <c r="A253" s="417"/>
      <c r="B253" s="821"/>
      <c r="C253" s="802">
        <f>$G$457</f>
        <v>48</v>
      </c>
      <c r="D253" s="470">
        <f t="shared" si="480"/>
        <v>3900</v>
      </c>
      <c r="E253" s="470">
        <f t="shared" si="466"/>
        <v>4400</v>
      </c>
      <c r="F253" s="470">
        <f t="shared" si="467"/>
        <v>5000</v>
      </c>
      <c r="G253" s="470">
        <f t="shared" si="468"/>
        <v>5500</v>
      </c>
      <c r="H253" s="782">
        <f t="shared" si="469"/>
        <v>6100</v>
      </c>
      <c r="I253" s="470">
        <f t="shared" si="470"/>
        <v>6600</v>
      </c>
      <c r="J253" s="470">
        <f t="shared" si="471"/>
        <v>7200</v>
      </c>
      <c r="K253" s="470">
        <f t="shared" si="472"/>
        <v>7700</v>
      </c>
      <c r="L253" s="470">
        <f t="shared" si="473"/>
        <v>8300</v>
      </c>
      <c r="M253" s="417"/>
      <c r="N253" s="417"/>
      <c r="O253" s="417"/>
      <c r="P253" s="417"/>
      <c r="Q253" s="417"/>
      <c r="Z253" s="367">
        <f t="shared" si="474"/>
        <v>3877.1312689795104</v>
      </c>
      <c r="AA253" s="367">
        <f t="shared" si="474"/>
        <v>4428.809834800466</v>
      </c>
      <c r="AB253" s="367">
        <f t="shared" si="474"/>
        <v>4980.4884006214215</v>
      </c>
      <c r="AC253" s="367">
        <f t="shared" si="474"/>
        <v>5532.1669664423789</v>
      </c>
      <c r="AD253" s="367">
        <f t="shared" si="474"/>
        <v>6083.8455322633345</v>
      </c>
      <c r="AE253" s="367">
        <f t="shared" si="474"/>
        <v>6635.52409808429</v>
      </c>
      <c r="AF253" s="367">
        <f t="shared" si="474"/>
        <v>7187.2026639052456</v>
      </c>
      <c r="AG253" s="367">
        <f t="shared" si="475"/>
        <v>7738.8812297262011</v>
      </c>
      <c r="AH253" s="367">
        <f t="shared" si="475"/>
        <v>8290.5597955471549</v>
      </c>
      <c r="AJ253" s="367">
        <f t="shared" si="476"/>
        <v>48</v>
      </c>
      <c r="AK253" s="367">
        <f t="shared" si="477"/>
        <v>6990.0945386440662</v>
      </c>
      <c r="AL253" s="367">
        <f t="shared" si="481"/>
        <v>7490.2576987288121</v>
      </c>
      <c r="AM253" s="801">
        <f t="shared" si="482"/>
        <v>0.20081222595661186</v>
      </c>
      <c r="AT253" s="805">
        <f t="shared" si="478"/>
        <v>0</v>
      </c>
      <c r="AU253" s="805">
        <f t="shared" si="478"/>
        <v>0</v>
      </c>
      <c r="AV253" s="805">
        <f t="shared" si="478"/>
        <v>0</v>
      </c>
      <c r="AW253" s="805">
        <f t="shared" si="478"/>
        <v>1</v>
      </c>
      <c r="AX253" s="805">
        <f t="shared" si="478"/>
        <v>2</v>
      </c>
      <c r="AY253" s="805">
        <f t="shared" si="478"/>
        <v>4</v>
      </c>
      <c r="AZ253" s="805">
        <f t="shared" si="478"/>
        <v>6</v>
      </c>
      <c r="BA253" s="805">
        <f t="shared" ref="BA253:BB253" si="485">IF(AG293&lt;$G$449,0,MIN($G$446,1+IFERROR(INT((AG293-$G$449)/$G$467),0)))</f>
        <v>8</v>
      </c>
      <c r="BB253" s="805">
        <f t="shared" si="485"/>
        <v>10</v>
      </c>
    </row>
    <row r="254" spans="1:54" ht="15" customHeight="1">
      <c r="A254" s="417"/>
      <c r="B254" s="821"/>
      <c r="C254" s="802">
        <f>C253-$G$458</f>
        <v>44</v>
      </c>
      <c r="D254" s="470">
        <f t="shared" si="480"/>
        <v>3800</v>
      </c>
      <c r="E254" s="470">
        <f t="shared" si="466"/>
        <v>4300</v>
      </c>
      <c r="F254" s="470">
        <f t="shared" si="467"/>
        <v>4800</v>
      </c>
      <c r="G254" s="470">
        <f t="shared" si="468"/>
        <v>5300</v>
      </c>
      <c r="H254" s="470">
        <f t="shared" si="469"/>
        <v>5900</v>
      </c>
      <c r="I254" s="470">
        <f t="shared" si="470"/>
        <v>6400</v>
      </c>
      <c r="J254" s="470">
        <f t="shared" si="471"/>
        <v>6900</v>
      </c>
      <c r="K254" s="470">
        <f t="shared" si="472"/>
        <v>7500</v>
      </c>
      <c r="L254" s="470">
        <f t="shared" si="473"/>
        <v>8000</v>
      </c>
      <c r="M254" s="417"/>
      <c r="N254" s="417"/>
      <c r="O254" s="417"/>
      <c r="P254" s="417"/>
      <c r="Q254" s="417"/>
      <c r="Z254" s="367">
        <f t="shared" si="474"/>
        <v>3772.1229361932947</v>
      </c>
      <c r="AA254" s="367">
        <f t="shared" si="474"/>
        <v>4297.5494188176963</v>
      </c>
      <c r="AB254" s="367">
        <f t="shared" si="474"/>
        <v>4822.975901442097</v>
      </c>
      <c r="AC254" s="367">
        <f t="shared" si="474"/>
        <v>5348.4023840664995</v>
      </c>
      <c r="AD254" s="367">
        <f t="shared" si="474"/>
        <v>5873.8288666908993</v>
      </c>
      <c r="AE254" s="367">
        <f t="shared" si="474"/>
        <v>6399.2553493153027</v>
      </c>
      <c r="AF254" s="367">
        <f t="shared" si="474"/>
        <v>6924.6818319397044</v>
      </c>
      <c r="AG254" s="367">
        <f t="shared" si="475"/>
        <v>7450.108314564106</v>
      </c>
      <c r="AH254" s="367">
        <f t="shared" si="475"/>
        <v>7975.5347971885058</v>
      </c>
      <c r="AJ254" s="367">
        <f t="shared" si="476"/>
        <v>44</v>
      </c>
      <c r="AK254" s="367">
        <f t="shared" si="477"/>
        <v>6657.4650787570608</v>
      </c>
      <c r="AL254" s="367">
        <f t="shared" si="481"/>
        <v>7074.4708738700547</v>
      </c>
      <c r="AM254" s="801">
        <f t="shared" si="482"/>
        <v>0.18717445096254881</v>
      </c>
      <c r="AT254" s="805">
        <f t="shared" si="478"/>
        <v>0</v>
      </c>
      <c r="AU254" s="805">
        <f t="shared" si="478"/>
        <v>0</v>
      </c>
      <c r="AV254" s="805">
        <f t="shared" si="478"/>
        <v>0</v>
      </c>
      <c r="AW254" s="805">
        <f t="shared" si="478"/>
        <v>1</v>
      </c>
      <c r="AX254" s="805">
        <f t="shared" si="478"/>
        <v>3</v>
      </c>
      <c r="AY254" s="805">
        <f t="shared" si="478"/>
        <v>5</v>
      </c>
      <c r="AZ254" s="805">
        <f t="shared" si="478"/>
        <v>6</v>
      </c>
      <c r="BA254" s="805">
        <f t="shared" ref="BA254:BB254" si="486">IF(AG294&lt;$G$449,0,MIN($G$446,1+IFERROR(INT((AG294-$G$449)/$G$467),0)))</f>
        <v>8</v>
      </c>
      <c r="BB254" s="805">
        <f t="shared" si="486"/>
        <v>10</v>
      </c>
    </row>
    <row r="255" spans="1:54" ht="15" customHeight="1">
      <c r="A255" s="417"/>
      <c r="B255" s="821"/>
      <c r="C255" s="802">
        <f>C254-$G$458</f>
        <v>40</v>
      </c>
      <c r="D255" s="470">
        <f t="shared" si="480"/>
        <v>3700</v>
      </c>
      <c r="E255" s="470">
        <f t="shared" si="466"/>
        <v>4200</v>
      </c>
      <c r="F255" s="470">
        <f t="shared" si="467"/>
        <v>4700</v>
      </c>
      <c r="G255" s="470">
        <f t="shared" si="468"/>
        <v>5200</v>
      </c>
      <c r="H255" s="470">
        <f t="shared" si="469"/>
        <v>5700</v>
      </c>
      <c r="I255" s="470">
        <f t="shared" si="470"/>
        <v>6200</v>
      </c>
      <c r="J255" s="470">
        <f t="shared" si="471"/>
        <v>6700</v>
      </c>
      <c r="K255" s="470">
        <f t="shared" si="472"/>
        <v>7200</v>
      </c>
      <c r="L255" s="470">
        <f t="shared" si="473"/>
        <v>7700</v>
      </c>
      <c r="M255" s="417"/>
      <c r="N255" s="417"/>
      <c r="O255" s="417"/>
      <c r="P255" s="417"/>
      <c r="Q255" s="417"/>
      <c r="Z255" s="367">
        <f t="shared" si="474"/>
        <v>3667.114603407078</v>
      </c>
      <c r="AA255" s="367">
        <f t="shared" si="474"/>
        <v>4166.2890028349257</v>
      </c>
      <c r="AB255" s="367">
        <f t="shared" si="474"/>
        <v>4665.4634022627724</v>
      </c>
      <c r="AC255" s="367">
        <f t="shared" si="474"/>
        <v>5164.6378016906201</v>
      </c>
      <c r="AD255" s="367">
        <f t="shared" si="474"/>
        <v>5663.8122011184678</v>
      </c>
      <c r="AE255" s="367">
        <f t="shared" si="474"/>
        <v>6162.9866005463155</v>
      </c>
      <c r="AF255" s="367">
        <f t="shared" si="474"/>
        <v>6662.1609999741631</v>
      </c>
      <c r="AG255" s="367">
        <f t="shared" si="475"/>
        <v>7161.3353994020108</v>
      </c>
      <c r="AH255" s="367">
        <f t="shared" si="475"/>
        <v>7660.5097988298585</v>
      </c>
      <c r="AJ255" s="367">
        <f t="shared" si="476"/>
        <v>40</v>
      </c>
      <c r="AK255" s="367">
        <f t="shared" si="477"/>
        <v>6324.8356188700545</v>
      </c>
      <c r="AL255" s="367">
        <f t="shared" si="481"/>
        <v>6658.6840490112991</v>
      </c>
      <c r="AM255" s="801">
        <f t="shared" si="482"/>
        <v>0.17287959485981652</v>
      </c>
      <c r="AT255" s="805">
        <f t="shared" si="478"/>
        <v>0</v>
      </c>
      <c r="AU255" s="805">
        <f t="shared" si="478"/>
        <v>0</v>
      </c>
      <c r="AV255" s="805">
        <f t="shared" si="478"/>
        <v>1</v>
      </c>
      <c r="AW255" s="805">
        <f t="shared" si="478"/>
        <v>2</v>
      </c>
      <c r="AX255" s="805">
        <f t="shared" si="478"/>
        <v>4</v>
      </c>
      <c r="AY255" s="805">
        <f t="shared" si="478"/>
        <v>5</v>
      </c>
      <c r="AZ255" s="805">
        <f t="shared" si="478"/>
        <v>7</v>
      </c>
      <c r="BA255" s="805">
        <f t="shared" ref="BA255:BB255" si="487">IF(AG295&lt;$G$449,0,MIN($G$446,1+IFERROR(INT((AG295-$G$449)/$G$467),0)))</f>
        <v>9</v>
      </c>
      <c r="BB255" s="805">
        <f t="shared" si="487"/>
        <v>10</v>
      </c>
    </row>
    <row r="256" spans="1:54" ht="15" customHeight="1">
      <c r="A256" s="417"/>
      <c r="B256" s="822"/>
      <c r="C256" s="803">
        <f>C255-$G$458</f>
        <v>36</v>
      </c>
      <c r="D256" s="772">
        <f t="shared" si="480"/>
        <v>3600</v>
      </c>
      <c r="E256" s="772">
        <f t="shared" si="466"/>
        <v>4000</v>
      </c>
      <c r="F256" s="772">
        <f t="shared" si="467"/>
        <v>4500</v>
      </c>
      <c r="G256" s="772">
        <f t="shared" si="468"/>
        <v>5000</v>
      </c>
      <c r="H256" s="772">
        <f t="shared" si="469"/>
        <v>5500</v>
      </c>
      <c r="I256" s="772">
        <f t="shared" si="470"/>
        <v>5900</v>
      </c>
      <c r="J256" s="772">
        <f t="shared" si="471"/>
        <v>6400</v>
      </c>
      <c r="K256" s="772">
        <f t="shared" si="472"/>
        <v>6900</v>
      </c>
      <c r="L256" s="772">
        <f t="shared" si="473"/>
        <v>7300</v>
      </c>
      <c r="M256" s="417"/>
      <c r="N256" s="417"/>
      <c r="O256" s="417"/>
      <c r="P256" s="417"/>
      <c r="Q256" s="417"/>
      <c r="Z256" s="367">
        <f t="shared" si="474"/>
        <v>3562.1062706208622</v>
      </c>
      <c r="AA256" s="367">
        <f t="shared" si="474"/>
        <v>4035.0285868521551</v>
      </c>
      <c r="AB256" s="367">
        <f t="shared" si="474"/>
        <v>4507.9509030834488</v>
      </c>
      <c r="AC256" s="367">
        <f t="shared" si="474"/>
        <v>4980.8732193147425</v>
      </c>
      <c r="AD256" s="367">
        <f t="shared" si="474"/>
        <v>5453.7955355460363</v>
      </c>
      <c r="AE256" s="367">
        <f t="shared" si="474"/>
        <v>5926.71785177733</v>
      </c>
      <c r="AF256" s="367">
        <f t="shared" si="474"/>
        <v>6399.6401680086219</v>
      </c>
      <c r="AG256" s="367">
        <f t="shared" si="475"/>
        <v>6872.5624842399156</v>
      </c>
      <c r="AH256" s="367">
        <f t="shared" si="475"/>
        <v>7345.4848004712094</v>
      </c>
      <c r="AJ256" s="367">
        <f t="shared" si="476"/>
        <v>36</v>
      </c>
      <c r="AK256" s="367">
        <f t="shared" si="477"/>
        <v>5992.20615898305</v>
      </c>
      <c r="AL256" s="367">
        <f t="shared" si="481"/>
        <v>6242.8972241525407</v>
      </c>
      <c r="AM256" s="801">
        <f t="shared" si="482"/>
        <v>0.15785182924075603</v>
      </c>
      <c r="AT256" s="805">
        <f t="shared" si="478"/>
        <v>0</v>
      </c>
      <c r="AU256" s="805">
        <f t="shared" si="478"/>
        <v>0</v>
      </c>
      <c r="AV256" s="805">
        <f t="shared" si="478"/>
        <v>1</v>
      </c>
      <c r="AW256" s="805">
        <f t="shared" si="478"/>
        <v>3</v>
      </c>
      <c r="AX256" s="805">
        <f t="shared" si="478"/>
        <v>4</v>
      </c>
      <c r="AY256" s="805">
        <f t="shared" si="478"/>
        <v>6</v>
      </c>
      <c r="AZ256" s="805">
        <f t="shared" si="478"/>
        <v>7</v>
      </c>
      <c r="BA256" s="805">
        <f t="shared" ref="BA256:BB256" si="488">IF(AG296&lt;$G$449,0,MIN($G$446,1+IFERROR(INT((AG296-$G$449)/$G$467),0)))</f>
        <v>9</v>
      </c>
      <c r="BB256" s="805">
        <f t="shared" si="488"/>
        <v>10</v>
      </c>
    </row>
    <row r="257" spans="1:54" ht="3.95" hidden="1" customHeight="1">
      <c r="A257" s="417"/>
      <c r="B257" s="423" t="str">
        <f>"Ben's Yr 5 value less Keystone today (G430); Keystone Yr 5 value = Yr 5 revenue (helper AK) × column multiple; Topkey growth held at model (G437); rollover fixed at "&amp;TEXT($G$436,"0%")</f>
        <v>Ben's Yr 5 value less Keystone today (G430); Keystone Yr 5 value = Yr 5 revenue (helper AK) × column multiple; Topkey growth held at model (G437); rollover fixed at 30%</v>
      </c>
      <c r="C257" s="785"/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7"/>
      <c r="O257" s="417"/>
      <c r="P257" s="417"/>
      <c r="Q257" s="417"/>
    </row>
    <row r="258" spans="1:54" ht="3.95" customHeight="1">
      <c r="A258" s="417"/>
      <c r="B258" s="417"/>
      <c r="C258" s="417"/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7"/>
      <c r="O258" s="417"/>
      <c r="P258" s="417"/>
      <c r="Q258" s="417"/>
    </row>
    <row r="259" spans="1:54" ht="15" customHeight="1">
      <c r="A259" s="417"/>
      <c r="B259" s="148" t="s">
        <v>2758</v>
      </c>
      <c r="C259" s="417"/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7"/>
      <c r="O259" s="417"/>
      <c r="P259" s="417"/>
      <c r="Q259" s="417"/>
    </row>
    <row r="260" spans="1:54" ht="2.1" customHeight="1">
      <c r="A260" s="417"/>
      <c r="B260" s="417"/>
      <c r="C260" s="417"/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7"/>
      <c r="O260" s="417"/>
      <c r="P260" s="417"/>
      <c r="Q260" s="417"/>
    </row>
    <row r="261" spans="1:54" ht="12.75" customHeight="1">
      <c r="A261" s="417"/>
      <c r="B261" s="454"/>
      <c r="C261" s="454"/>
      <c r="D261" s="768" t="s">
        <v>2753</v>
      </c>
      <c r="E261" s="768"/>
      <c r="F261" s="768"/>
      <c r="G261" s="768"/>
      <c r="H261" s="768"/>
      <c r="I261" s="768"/>
      <c r="J261" s="768"/>
      <c r="K261" s="768"/>
      <c r="L261" s="768"/>
      <c r="M261" s="417"/>
      <c r="N261" s="417"/>
      <c r="O261" s="417"/>
      <c r="P261" s="417"/>
      <c r="Q261" s="417"/>
    </row>
    <row r="262" spans="1:54" ht="12.75" customHeight="1">
      <c r="A262" s="417"/>
      <c r="B262" s="454"/>
      <c r="C262" s="454"/>
      <c r="D262" s="816">
        <f>E262-$G$466</f>
        <v>1</v>
      </c>
      <c r="E262" s="816">
        <f>F262-$G$466</f>
        <v>1.25</v>
      </c>
      <c r="F262" s="816">
        <f>G262-$G$466</f>
        <v>1.5</v>
      </c>
      <c r="G262" s="816">
        <f>H262-$G$466</f>
        <v>1.75</v>
      </c>
      <c r="H262" s="816">
        <f>$G$465</f>
        <v>2</v>
      </c>
      <c r="I262" s="816">
        <f>H262+$G$466</f>
        <v>2.25</v>
      </c>
      <c r="J262" s="816">
        <f>I262+$G$466</f>
        <v>2.5</v>
      </c>
      <c r="K262" s="816">
        <f>J262+$G$466</f>
        <v>2.75</v>
      </c>
      <c r="L262" s="816">
        <f>K262+$G$466</f>
        <v>3</v>
      </c>
      <c r="M262" s="417"/>
      <c r="N262" s="417"/>
      <c r="O262" s="417"/>
      <c r="P262" s="417"/>
      <c r="Q262" s="417"/>
      <c r="AT262" s="773" t="s">
        <v>2616</v>
      </c>
      <c r="AU262" s="427"/>
      <c r="AV262" s="427"/>
      <c r="AW262" s="427"/>
      <c r="AX262" s="427"/>
      <c r="AY262" s="427"/>
      <c r="AZ262" s="427"/>
      <c r="BA262" s="427"/>
      <c r="BB262" s="427"/>
    </row>
    <row r="263" spans="1:54" ht="15" customHeight="1">
      <c r="A263" s="417"/>
      <c r="B263" s="820" t="s">
        <v>2593</v>
      </c>
      <c r="C263" s="802">
        <f>C264+$G$458</f>
        <v>60</v>
      </c>
      <c r="D263" s="490">
        <f>IFERROR(Z250/$G$430,0)</f>
        <v>1.3973854224460531</v>
      </c>
      <c r="E263" s="490">
        <f t="shared" ref="E263:E269" si="489">IFERROR(AA250/$G$430,0)</f>
        <v>1.6075303609162592</v>
      </c>
      <c r="F263" s="490">
        <f t="shared" ref="F263:F269" si="490">IFERROR(AB250/$G$430,0)</f>
        <v>1.8176752993864647</v>
      </c>
      <c r="G263" s="490">
        <f t="shared" ref="G263:G269" si="491">IFERROR(AC250/$G$430,0)</f>
        <v>2.027820237856671</v>
      </c>
      <c r="H263" s="490">
        <f t="shared" ref="H263:H269" si="492">IFERROR(AD250/$G$430,0)</f>
        <v>2.2379651763268771</v>
      </c>
      <c r="I263" s="490">
        <f t="shared" ref="I263:I269" si="493">IFERROR(AE250/$G$430,0)</f>
        <v>2.4481101147970827</v>
      </c>
      <c r="J263" s="490">
        <f t="shared" ref="J263:J269" si="494">IFERROR(AF250/$G$430,0)</f>
        <v>2.6582550532672893</v>
      </c>
      <c r="K263" s="490">
        <f t="shared" ref="K263:K269" si="495">IFERROR(AG250/$G$430,0)</f>
        <v>2.8683999917374945</v>
      </c>
      <c r="L263" s="490">
        <f t="shared" ref="L263:L269" si="496">IFERROR(AH250/$G$430,0)</f>
        <v>3.0785449302077006</v>
      </c>
      <c r="M263" s="417"/>
      <c r="N263" s="417"/>
      <c r="O263" s="417"/>
      <c r="P263" s="417"/>
      <c r="Q263" s="417"/>
      <c r="AT263" s="805">
        <f t="shared" ref="AT263:AZ269" si="497">IF(Z290&lt;$G$449,0,MIN($G$446,1+IFERROR(INT((Z290-$G$449)/$G$467),0)))</f>
        <v>0</v>
      </c>
      <c r="AU263" s="805">
        <f t="shared" si="497"/>
        <v>0</v>
      </c>
      <c r="AV263" s="805">
        <f t="shared" si="497"/>
        <v>0</v>
      </c>
      <c r="AW263" s="805">
        <f t="shared" si="497"/>
        <v>0</v>
      </c>
      <c r="AX263" s="805">
        <f t="shared" si="497"/>
        <v>0</v>
      </c>
      <c r="AY263" s="805">
        <f t="shared" si="497"/>
        <v>2</v>
      </c>
      <c r="AZ263" s="805">
        <f t="shared" si="497"/>
        <v>4</v>
      </c>
      <c r="BA263" s="805">
        <f t="shared" ref="BA263:BB263" si="498">IF(AG290&lt;$G$449,0,MIN($G$446,1+IFERROR(INT((AG290-$G$449)/$G$467),0)))</f>
        <v>7</v>
      </c>
      <c r="BB263" s="805">
        <f t="shared" si="498"/>
        <v>9</v>
      </c>
    </row>
    <row r="264" spans="1:54" ht="15" customHeight="1">
      <c r="A264" s="417"/>
      <c r="B264" s="821"/>
      <c r="C264" s="802">
        <f>C265+$G$458</f>
        <v>56</v>
      </c>
      <c r="D264" s="490">
        <f t="shared" ref="D264:D269" si="499">IFERROR(Z251/$G$430,0)</f>
        <v>1.362382644850648</v>
      </c>
      <c r="E264" s="490">
        <f t="shared" si="489"/>
        <v>1.5637768889220025</v>
      </c>
      <c r="F264" s="490">
        <f t="shared" si="490"/>
        <v>1.7651711329933568</v>
      </c>
      <c r="G264" s="490">
        <f t="shared" si="491"/>
        <v>1.9665653770647114</v>
      </c>
      <c r="H264" s="490">
        <f t="shared" si="492"/>
        <v>2.1679596211360659</v>
      </c>
      <c r="I264" s="490">
        <f t="shared" si="493"/>
        <v>2.3693538652074211</v>
      </c>
      <c r="J264" s="490">
        <f t="shared" si="494"/>
        <v>2.5707481092787754</v>
      </c>
      <c r="K264" s="490">
        <f t="shared" si="495"/>
        <v>2.7721423533501306</v>
      </c>
      <c r="L264" s="490">
        <f t="shared" si="496"/>
        <v>2.9735365974214845</v>
      </c>
      <c r="M264" s="417"/>
      <c r="N264" s="417"/>
      <c r="O264" s="417"/>
      <c r="P264" s="417"/>
      <c r="Q264" s="417"/>
      <c r="AT264" s="805">
        <f t="shared" si="497"/>
        <v>0</v>
      </c>
      <c r="AU264" s="805">
        <f t="shared" si="497"/>
        <v>0</v>
      </c>
      <c r="AV264" s="805">
        <f t="shared" si="497"/>
        <v>0</v>
      </c>
      <c r="AW264" s="805">
        <f t="shared" si="497"/>
        <v>0</v>
      </c>
      <c r="AX264" s="805">
        <f t="shared" si="497"/>
        <v>1</v>
      </c>
      <c r="AY264" s="805">
        <f t="shared" si="497"/>
        <v>3</v>
      </c>
      <c r="AZ264" s="805">
        <f t="shared" si="497"/>
        <v>5</v>
      </c>
      <c r="BA264" s="805">
        <f t="shared" ref="BA264:BB264" si="500">IF(AG291&lt;$G$449,0,MIN($G$446,1+IFERROR(INT((AG291-$G$449)/$G$467),0)))</f>
        <v>7</v>
      </c>
      <c r="BB264" s="805">
        <f t="shared" si="500"/>
        <v>9</v>
      </c>
    </row>
    <row r="265" spans="1:54" ht="15" customHeight="1">
      <c r="A265" s="417"/>
      <c r="B265" s="821"/>
      <c r="C265" s="802">
        <f>C266+$G$458</f>
        <v>52</v>
      </c>
      <c r="D265" s="490">
        <f t="shared" si="499"/>
        <v>1.3273798672552426</v>
      </c>
      <c r="E265" s="490">
        <f t="shared" si="489"/>
        <v>1.5200234169277458</v>
      </c>
      <c r="F265" s="490">
        <f t="shared" si="490"/>
        <v>1.7126669666002488</v>
      </c>
      <c r="G265" s="490">
        <f t="shared" si="491"/>
        <v>1.9053105162727522</v>
      </c>
      <c r="H265" s="490">
        <f t="shared" si="492"/>
        <v>2.0979540659452551</v>
      </c>
      <c r="I265" s="490">
        <f t="shared" si="493"/>
        <v>2.2905976156177585</v>
      </c>
      <c r="J265" s="490">
        <f t="shared" si="494"/>
        <v>2.4832411652902615</v>
      </c>
      <c r="K265" s="490">
        <f t="shared" si="495"/>
        <v>2.6758847149627654</v>
      </c>
      <c r="L265" s="490">
        <f t="shared" si="496"/>
        <v>2.8685282646352679</v>
      </c>
      <c r="M265" s="417"/>
      <c r="N265" s="417"/>
      <c r="O265" s="417"/>
      <c r="P265" s="417"/>
      <c r="Q265" s="417"/>
      <c r="AT265" s="805">
        <f t="shared" si="497"/>
        <v>0</v>
      </c>
      <c r="AU265" s="805">
        <f t="shared" si="497"/>
        <v>0</v>
      </c>
      <c r="AV265" s="805">
        <f t="shared" si="497"/>
        <v>0</v>
      </c>
      <c r="AW265" s="805">
        <f t="shared" si="497"/>
        <v>0</v>
      </c>
      <c r="AX265" s="805">
        <f t="shared" si="497"/>
        <v>2</v>
      </c>
      <c r="AY265" s="805">
        <f t="shared" si="497"/>
        <v>4</v>
      </c>
      <c r="AZ265" s="805">
        <f t="shared" si="497"/>
        <v>5</v>
      </c>
      <c r="BA265" s="805">
        <f t="shared" ref="BA265:BB265" si="501">IF(AG292&lt;$G$449,0,MIN($G$446,1+IFERROR(INT((AG292-$G$449)/$G$467),0)))</f>
        <v>7</v>
      </c>
      <c r="BB265" s="805">
        <f t="shared" si="501"/>
        <v>9</v>
      </c>
    </row>
    <row r="266" spans="1:54" ht="15" customHeight="1">
      <c r="A266" s="417"/>
      <c r="B266" s="821"/>
      <c r="C266" s="802">
        <f>$G$457</f>
        <v>48</v>
      </c>
      <c r="D266" s="490">
        <f t="shared" si="499"/>
        <v>1.2923770896598368</v>
      </c>
      <c r="E266" s="490">
        <f t="shared" si="489"/>
        <v>1.4762699449334886</v>
      </c>
      <c r="F266" s="490">
        <f t="shared" si="490"/>
        <v>1.6601628002071405</v>
      </c>
      <c r="G266" s="490">
        <f t="shared" si="491"/>
        <v>1.844055655480793</v>
      </c>
      <c r="H266" s="783">
        <f t="shared" si="492"/>
        <v>2.0279485107544448</v>
      </c>
      <c r="I266" s="490">
        <f t="shared" si="493"/>
        <v>2.2118413660280969</v>
      </c>
      <c r="J266" s="490">
        <f t="shared" si="494"/>
        <v>2.3957342213017485</v>
      </c>
      <c r="K266" s="490">
        <f t="shared" si="495"/>
        <v>2.5796270765754006</v>
      </c>
      <c r="L266" s="490">
        <f t="shared" si="496"/>
        <v>2.7635199318490518</v>
      </c>
      <c r="M266" s="417"/>
      <c r="N266" s="417"/>
      <c r="O266" s="417"/>
      <c r="P266" s="417"/>
      <c r="Q266" s="417"/>
      <c r="AT266" s="805">
        <f t="shared" si="497"/>
        <v>0</v>
      </c>
      <c r="AU266" s="805">
        <f t="shared" si="497"/>
        <v>0</v>
      </c>
      <c r="AV266" s="805">
        <f t="shared" si="497"/>
        <v>0</v>
      </c>
      <c r="AW266" s="805">
        <f t="shared" si="497"/>
        <v>1</v>
      </c>
      <c r="AX266" s="805">
        <f t="shared" si="497"/>
        <v>2</v>
      </c>
      <c r="AY266" s="805">
        <f t="shared" si="497"/>
        <v>4</v>
      </c>
      <c r="AZ266" s="805">
        <f t="shared" si="497"/>
        <v>6</v>
      </c>
      <c r="BA266" s="805">
        <f t="shared" ref="BA266:BB266" si="502">IF(AG293&lt;$G$449,0,MIN($G$446,1+IFERROR(INT((AG293-$G$449)/$G$467),0)))</f>
        <v>8</v>
      </c>
      <c r="BB266" s="805">
        <f t="shared" si="502"/>
        <v>10</v>
      </c>
    </row>
    <row r="267" spans="1:54" ht="15" customHeight="1">
      <c r="A267" s="417"/>
      <c r="B267" s="821"/>
      <c r="C267" s="802">
        <f>C266-$G$458</f>
        <v>44</v>
      </c>
      <c r="D267" s="490">
        <f t="shared" si="499"/>
        <v>1.2573743120644316</v>
      </c>
      <c r="E267" s="490">
        <f t="shared" si="489"/>
        <v>1.4325164729392321</v>
      </c>
      <c r="F267" s="490">
        <f t="shared" si="490"/>
        <v>1.6076586338140324</v>
      </c>
      <c r="G267" s="490">
        <f t="shared" si="491"/>
        <v>1.7828007946888331</v>
      </c>
      <c r="H267" s="490">
        <f t="shared" si="492"/>
        <v>1.9579429555636332</v>
      </c>
      <c r="I267" s="490">
        <f t="shared" si="493"/>
        <v>2.1330851164384343</v>
      </c>
      <c r="J267" s="490">
        <f t="shared" si="494"/>
        <v>2.3082272773132346</v>
      </c>
      <c r="K267" s="490">
        <f t="shared" si="495"/>
        <v>2.4833694381880353</v>
      </c>
      <c r="L267" s="490">
        <f t="shared" si="496"/>
        <v>2.6585115990628352</v>
      </c>
      <c r="M267" s="417"/>
      <c r="N267" s="417"/>
      <c r="O267" s="417"/>
      <c r="P267" s="417"/>
      <c r="Q267" s="417"/>
      <c r="AT267" s="805">
        <f t="shared" si="497"/>
        <v>0</v>
      </c>
      <c r="AU267" s="805">
        <f t="shared" si="497"/>
        <v>0</v>
      </c>
      <c r="AV267" s="805">
        <f t="shared" si="497"/>
        <v>0</v>
      </c>
      <c r="AW267" s="805">
        <f t="shared" si="497"/>
        <v>1</v>
      </c>
      <c r="AX267" s="805">
        <f t="shared" si="497"/>
        <v>3</v>
      </c>
      <c r="AY267" s="805">
        <f t="shared" si="497"/>
        <v>5</v>
      </c>
      <c r="AZ267" s="805">
        <f t="shared" si="497"/>
        <v>6</v>
      </c>
      <c r="BA267" s="805">
        <f t="shared" ref="BA267:BB267" si="503">IF(AG294&lt;$G$449,0,MIN($G$446,1+IFERROR(INT((AG294-$G$449)/$G$467),0)))</f>
        <v>8</v>
      </c>
      <c r="BB267" s="805">
        <f t="shared" si="503"/>
        <v>10</v>
      </c>
    </row>
    <row r="268" spans="1:54" ht="15" customHeight="1">
      <c r="A268" s="417"/>
      <c r="B268" s="821"/>
      <c r="C268" s="802">
        <f>C267-$G$458</f>
        <v>40</v>
      </c>
      <c r="D268" s="490">
        <f t="shared" si="499"/>
        <v>1.222371534469026</v>
      </c>
      <c r="E268" s="490">
        <f t="shared" si="489"/>
        <v>1.3887630009449752</v>
      </c>
      <c r="F268" s="490">
        <f t="shared" si="490"/>
        <v>1.5551544674209241</v>
      </c>
      <c r="G268" s="490">
        <f t="shared" si="491"/>
        <v>1.7215459338968733</v>
      </c>
      <c r="H268" s="490">
        <f t="shared" si="492"/>
        <v>1.8879374003728226</v>
      </c>
      <c r="I268" s="490">
        <f t="shared" si="493"/>
        <v>2.0543288668487718</v>
      </c>
      <c r="J268" s="490">
        <f t="shared" si="494"/>
        <v>2.2207203333247212</v>
      </c>
      <c r="K268" s="490">
        <f t="shared" si="495"/>
        <v>2.3871117998006701</v>
      </c>
      <c r="L268" s="490">
        <f t="shared" si="496"/>
        <v>2.5535032662766195</v>
      </c>
      <c r="M268" s="417"/>
      <c r="N268" s="417"/>
      <c r="O268" s="417"/>
      <c r="P268" s="417"/>
      <c r="Q268" s="417"/>
      <c r="AT268" s="805">
        <f t="shared" si="497"/>
        <v>0</v>
      </c>
      <c r="AU268" s="805">
        <f t="shared" si="497"/>
        <v>0</v>
      </c>
      <c r="AV268" s="805">
        <f t="shared" si="497"/>
        <v>1</v>
      </c>
      <c r="AW268" s="805">
        <f t="shared" si="497"/>
        <v>2</v>
      </c>
      <c r="AX268" s="805">
        <f t="shared" si="497"/>
        <v>4</v>
      </c>
      <c r="AY268" s="805">
        <f t="shared" si="497"/>
        <v>5</v>
      </c>
      <c r="AZ268" s="805">
        <f t="shared" si="497"/>
        <v>7</v>
      </c>
      <c r="BA268" s="805">
        <f t="shared" ref="BA268:BB268" si="504">IF(AG295&lt;$G$449,0,MIN($G$446,1+IFERROR(INT((AG295-$G$449)/$G$467),0)))</f>
        <v>9</v>
      </c>
      <c r="BB268" s="805">
        <f t="shared" si="504"/>
        <v>10</v>
      </c>
    </row>
    <row r="269" spans="1:54" ht="15" customHeight="1">
      <c r="A269" s="417"/>
      <c r="B269" s="822"/>
      <c r="C269" s="803">
        <f>C268-$G$458</f>
        <v>36</v>
      </c>
      <c r="D269" s="784">
        <f t="shared" si="499"/>
        <v>1.1873687568736206</v>
      </c>
      <c r="E269" s="784">
        <f t="shared" si="489"/>
        <v>1.3450095289507185</v>
      </c>
      <c r="F269" s="784">
        <f t="shared" si="490"/>
        <v>1.5026503010278163</v>
      </c>
      <c r="G269" s="784">
        <f t="shared" si="491"/>
        <v>1.6602910731049141</v>
      </c>
      <c r="H269" s="784">
        <f t="shared" si="492"/>
        <v>1.8179318451820121</v>
      </c>
      <c r="I269" s="784">
        <f t="shared" si="493"/>
        <v>1.9755726172591099</v>
      </c>
      <c r="J269" s="784">
        <f t="shared" si="494"/>
        <v>2.1332133893362073</v>
      </c>
      <c r="K269" s="784">
        <f t="shared" si="495"/>
        <v>2.2908541614133053</v>
      </c>
      <c r="L269" s="784">
        <f t="shared" si="496"/>
        <v>2.4484949334904029</v>
      </c>
      <c r="M269" s="417"/>
      <c r="N269" s="417"/>
      <c r="O269" s="417"/>
      <c r="P269" s="417"/>
      <c r="Q269" s="417"/>
      <c r="AT269" s="805">
        <f t="shared" si="497"/>
        <v>0</v>
      </c>
      <c r="AU269" s="805">
        <f t="shared" si="497"/>
        <v>0</v>
      </c>
      <c r="AV269" s="805">
        <f t="shared" si="497"/>
        <v>1</v>
      </c>
      <c r="AW269" s="805">
        <f t="shared" si="497"/>
        <v>3</v>
      </c>
      <c r="AX269" s="805">
        <f t="shared" si="497"/>
        <v>4</v>
      </c>
      <c r="AY269" s="805">
        <f t="shared" si="497"/>
        <v>6</v>
      </c>
      <c r="AZ269" s="805">
        <f t="shared" si="497"/>
        <v>7</v>
      </c>
      <c r="BA269" s="805">
        <f t="shared" ref="BA269:BB269" si="505">IF(AG296&lt;$G$449,0,MIN($G$446,1+IFERROR(INT((AG296-$G$449)/$G$467),0)))</f>
        <v>9</v>
      </c>
      <c r="BB269" s="805">
        <f t="shared" si="505"/>
        <v>10</v>
      </c>
    </row>
    <row r="270" spans="1:54" ht="3.95" hidden="1" customHeight="1">
      <c r="A270" s="417"/>
      <c r="B270" s="423" t="str">
        <f>"Ben's Year 5 total value ÷ Keystone value today (G430), less 1; Topkey growth held at model (G437); rollover fixed at "&amp;TEXT($G$436,"0%")</f>
        <v>Ben's Year 5 total value ÷ Keystone value today (G430), less 1; Topkey growth held at model (G437); rollover fixed at 30%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7"/>
      <c r="O270" s="417"/>
      <c r="P270" s="417"/>
      <c r="Q270" s="417"/>
    </row>
    <row r="271" spans="1:54" ht="3.95" customHeight="1">
      <c r="A271" s="417"/>
      <c r="M271" s="417"/>
      <c r="N271" s="417"/>
      <c r="O271" s="417"/>
      <c r="P271" s="417"/>
      <c r="Q271" s="417"/>
    </row>
    <row r="272" spans="1:54" ht="15" customHeight="1">
      <c r="A272" s="417"/>
      <c r="B272" s="148" t="s">
        <v>2759</v>
      </c>
      <c r="C272" s="417"/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7"/>
      <c r="O272" s="417"/>
      <c r="P272" s="417"/>
      <c r="Q272" s="417"/>
    </row>
    <row r="273" spans="1:109" ht="2.1" customHeight="1">
      <c r="A273" s="417"/>
      <c r="B273" s="417"/>
      <c r="C273" s="417"/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7"/>
      <c r="O273" s="417"/>
      <c r="P273" s="417"/>
      <c r="Q273" s="417"/>
    </row>
    <row r="274" spans="1:109" ht="12.75" customHeight="1">
      <c r="A274" s="417"/>
      <c r="B274" s="454"/>
      <c r="C274" s="454"/>
      <c r="D274" s="768" t="s">
        <v>2753</v>
      </c>
      <c r="E274" s="768"/>
      <c r="F274" s="768"/>
      <c r="G274" s="768"/>
      <c r="H274" s="768"/>
      <c r="I274" s="768"/>
      <c r="J274" s="768"/>
      <c r="K274" s="768"/>
      <c r="L274" s="768"/>
      <c r="M274" s="417"/>
      <c r="N274" s="417"/>
      <c r="O274" s="417"/>
      <c r="P274" s="417"/>
      <c r="Q274" s="417"/>
      <c r="BD274" s="773" t="s">
        <v>2805</v>
      </c>
      <c r="BE274" s="773"/>
      <c r="BF274" s="773"/>
      <c r="BG274" s="773"/>
      <c r="BH274" s="773"/>
      <c r="BI274" s="773"/>
      <c r="BJ274" s="773" t="s">
        <v>2806</v>
      </c>
      <c r="BK274" s="773"/>
      <c r="BL274" s="773"/>
      <c r="BM274" s="773"/>
      <c r="BN274" s="773"/>
      <c r="BO274" s="773"/>
      <c r="BP274" s="773" t="s">
        <v>2807</v>
      </c>
      <c r="BQ274" s="773"/>
      <c r="BR274" s="773"/>
      <c r="BS274" s="773"/>
      <c r="BT274" s="773"/>
      <c r="BU274" s="773"/>
      <c r="BV274" s="773" t="s">
        <v>2808</v>
      </c>
      <c r="BW274" s="773"/>
      <c r="BX274" s="773"/>
      <c r="BY274" s="773"/>
      <c r="BZ274" s="773"/>
      <c r="CA274" s="773"/>
      <c r="CB274" s="773" t="s">
        <v>2809</v>
      </c>
      <c r="CC274" s="773"/>
      <c r="CD274" s="773"/>
      <c r="CE274" s="773"/>
      <c r="CF274" s="773"/>
      <c r="CG274" s="773"/>
      <c r="CH274" s="773" t="s">
        <v>2810</v>
      </c>
      <c r="CI274" s="773"/>
      <c r="CJ274" s="773"/>
      <c r="CK274" s="773"/>
      <c r="CL274" s="773"/>
      <c r="CM274" s="773"/>
      <c r="CN274" s="773" t="s">
        <v>2811</v>
      </c>
      <c r="CO274" s="773"/>
      <c r="CP274" s="773"/>
      <c r="CQ274" s="773"/>
      <c r="CR274" s="773"/>
      <c r="CS274" s="773"/>
      <c r="CT274" s="773" t="s">
        <v>2812</v>
      </c>
      <c r="CU274" s="773"/>
      <c r="CV274" s="773"/>
      <c r="CW274" s="773"/>
      <c r="CX274" s="773"/>
      <c r="CY274" s="773"/>
      <c r="CZ274" s="773" t="s">
        <v>2813</v>
      </c>
      <c r="DA274" s="773"/>
      <c r="DB274" s="773"/>
      <c r="DC274" s="773"/>
      <c r="DD274" s="773"/>
      <c r="DE274" s="773"/>
    </row>
    <row r="275" spans="1:109" ht="12.75" customHeight="1">
      <c r="A275" s="417"/>
      <c r="B275" s="454"/>
      <c r="C275" s="454"/>
      <c r="D275" s="816">
        <f>E275-$G$466</f>
        <v>1</v>
      </c>
      <c r="E275" s="816">
        <f>F275-$G$466</f>
        <v>1.25</v>
      </c>
      <c r="F275" s="816">
        <f>G275-$G$466</f>
        <v>1.5</v>
      </c>
      <c r="G275" s="816">
        <f>H275-$G$466</f>
        <v>1.75</v>
      </c>
      <c r="H275" s="816">
        <f>$G$465</f>
        <v>2</v>
      </c>
      <c r="I275" s="816">
        <f>H275+$G$466</f>
        <v>2.25</v>
      </c>
      <c r="J275" s="816">
        <f>I275+$G$466</f>
        <v>2.5</v>
      </c>
      <c r="K275" s="816">
        <f>J275+$G$466</f>
        <v>2.75</v>
      </c>
      <c r="L275" s="816">
        <f>K275+$G$466</f>
        <v>3</v>
      </c>
      <c r="M275" s="417"/>
      <c r="N275" s="417"/>
      <c r="O275" s="417"/>
      <c r="P275" s="417"/>
      <c r="Q275" s="417"/>
      <c r="AT275" s="773" t="s">
        <v>2616</v>
      </c>
      <c r="AU275" s="427"/>
      <c r="AV275" s="427"/>
      <c r="AW275" s="427"/>
      <c r="AX275" s="427"/>
      <c r="AY275" s="427"/>
      <c r="AZ275" s="427"/>
      <c r="BA275" s="427"/>
      <c r="BB275" s="427"/>
      <c r="BD275" s="819">
        <f>$S$9</f>
        <v>0</v>
      </c>
      <c r="BE275" s="819">
        <f>$T$9</f>
        <v>1</v>
      </c>
      <c r="BF275" s="819">
        <f>$U$9</f>
        <v>2</v>
      </c>
      <c r="BG275" s="819">
        <f>$V$9</f>
        <v>3</v>
      </c>
      <c r="BH275" s="819">
        <f>$W$9</f>
        <v>4</v>
      </c>
      <c r="BI275" s="819">
        <f>$X$9</f>
        <v>5</v>
      </c>
      <c r="BJ275" s="819">
        <f>$S$9</f>
        <v>0</v>
      </c>
      <c r="BK275" s="819">
        <f>$T$9</f>
        <v>1</v>
      </c>
      <c r="BL275" s="819">
        <f>$U$9</f>
        <v>2</v>
      </c>
      <c r="BM275" s="819">
        <f>$V$9</f>
        <v>3</v>
      </c>
      <c r="BN275" s="819">
        <f>$W$9</f>
        <v>4</v>
      </c>
      <c r="BO275" s="819">
        <f>$X$9</f>
        <v>5</v>
      </c>
      <c r="BP275" s="819">
        <f>$S$9</f>
        <v>0</v>
      </c>
      <c r="BQ275" s="819">
        <f>$T$9</f>
        <v>1</v>
      </c>
      <c r="BR275" s="819">
        <f>$U$9</f>
        <v>2</v>
      </c>
      <c r="BS275" s="819">
        <f>$V$9</f>
        <v>3</v>
      </c>
      <c r="BT275" s="819">
        <f>$W$9</f>
        <v>4</v>
      </c>
      <c r="BU275" s="819">
        <f>$X$9</f>
        <v>5</v>
      </c>
      <c r="BV275" s="819">
        <f>$S$9</f>
        <v>0</v>
      </c>
      <c r="BW275" s="819">
        <f>$T$9</f>
        <v>1</v>
      </c>
      <c r="BX275" s="819">
        <f>$U$9</f>
        <v>2</v>
      </c>
      <c r="BY275" s="819">
        <f>$V$9</f>
        <v>3</v>
      </c>
      <c r="BZ275" s="819">
        <f>$W$9</f>
        <v>4</v>
      </c>
      <c r="CA275" s="819">
        <f>$X$9</f>
        <v>5</v>
      </c>
      <c r="CB275" s="819">
        <f>$S$9</f>
        <v>0</v>
      </c>
      <c r="CC275" s="819">
        <f>$T$9</f>
        <v>1</v>
      </c>
      <c r="CD275" s="819">
        <f>$U$9</f>
        <v>2</v>
      </c>
      <c r="CE275" s="819">
        <f>$V$9</f>
        <v>3</v>
      </c>
      <c r="CF275" s="819">
        <f>$W$9</f>
        <v>4</v>
      </c>
      <c r="CG275" s="819">
        <f>$X$9</f>
        <v>5</v>
      </c>
      <c r="CH275" s="819">
        <f>$S$9</f>
        <v>0</v>
      </c>
      <c r="CI275" s="819">
        <f>$T$9</f>
        <v>1</v>
      </c>
      <c r="CJ275" s="819">
        <f>$U$9</f>
        <v>2</v>
      </c>
      <c r="CK275" s="819">
        <f>$V$9</f>
        <v>3</v>
      </c>
      <c r="CL275" s="819">
        <f>$W$9</f>
        <v>4</v>
      </c>
      <c r="CM275" s="819">
        <f>$X$9</f>
        <v>5</v>
      </c>
      <c r="CN275" s="819">
        <f>$S$9</f>
        <v>0</v>
      </c>
      <c r="CO275" s="819">
        <f>$T$9</f>
        <v>1</v>
      </c>
      <c r="CP275" s="819">
        <f>$U$9</f>
        <v>2</v>
      </c>
      <c r="CQ275" s="819">
        <f>$V$9</f>
        <v>3</v>
      </c>
      <c r="CR275" s="819">
        <f>$W$9</f>
        <v>4</v>
      </c>
      <c r="CS275" s="819">
        <f>$X$9</f>
        <v>5</v>
      </c>
      <c r="CT275" s="819">
        <f>$S$9</f>
        <v>0</v>
      </c>
      <c r="CU275" s="819">
        <f>$T$9</f>
        <v>1</v>
      </c>
      <c r="CV275" s="819">
        <f>$U$9</f>
        <v>2</v>
      </c>
      <c r="CW275" s="819">
        <f>$V$9</f>
        <v>3</v>
      </c>
      <c r="CX275" s="819">
        <f>$W$9</f>
        <v>4</v>
      </c>
      <c r="CY275" s="819">
        <f>$X$9</f>
        <v>5</v>
      </c>
      <c r="CZ275" s="819">
        <f>$S$9</f>
        <v>0</v>
      </c>
      <c r="DA275" s="819">
        <f>$T$9</f>
        <v>1</v>
      </c>
      <c r="DB275" s="819">
        <f>$U$9</f>
        <v>2</v>
      </c>
      <c r="DC275" s="819">
        <f>$V$9</f>
        <v>3</v>
      </c>
      <c r="DD275" s="819">
        <f>$W$9</f>
        <v>4</v>
      </c>
      <c r="DE275" s="819">
        <f>$X$9</f>
        <v>5</v>
      </c>
    </row>
    <row r="276" spans="1:109" ht="15" customHeight="1">
      <c r="A276" s="417"/>
      <c r="B276" s="820" t="s">
        <v>2593</v>
      </c>
      <c r="C276" s="802">
        <f>C277+$G$458</f>
        <v>60</v>
      </c>
      <c r="D276" s="632">
        <f t="shared" ref="D276:D282" si="506">IFERROR(IRR(BD276:BI276),0)</f>
        <v>0.22724313175835342</v>
      </c>
      <c r="E276" s="632">
        <f t="shared" ref="E276:E282" si="507">IFERROR(IRR(BJ276:BO276),0)</f>
        <v>0.25003347118558983</v>
      </c>
      <c r="F276" s="632">
        <f t="shared" ref="F276:F282" si="508">IFERROR(IRR(BP276:BU276),0)</f>
        <v>0.27127362616380912</v>
      </c>
      <c r="G276" s="632">
        <f t="shared" ref="G276:G282" si="509">IFERROR(IRR(BV276:CA276),0)</f>
        <v>0.29118238569573696</v>
      </c>
      <c r="H276" s="632">
        <f t="shared" ref="H276:H282" si="510">IFERROR(IRR(CB276:CG276),0)</f>
        <v>0.30993397334336126</v>
      </c>
      <c r="I276" s="632">
        <f t="shared" ref="I276:I282" si="511">IFERROR(IRR(CH276:CM276),0)</f>
        <v>0.32766953661537457</v>
      </c>
      <c r="J276" s="632">
        <f t="shared" ref="J276:J282" si="512">IFERROR(IRR(CN276:CS276),0)</f>
        <v>0.34450513115557646</v>
      </c>
      <c r="K276" s="632">
        <f t="shared" ref="K276:K282" si="513">IFERROR(IRR(CT276:CY276),0)</f>
        <v>0.36053741501549874</v>
      </c>
      <c r="L276" s="632">
        <f t="shared" ref="L276:L282" si="514">IFERROR(IRR(CZ276:DE276),0)</f>
        <v>0.3758478021380629</v>
      </c>
      <c r="M276" s="417"/>
      <c r="N276" s="417"/>
      <c r="O276" s="417"/>
      <c r="P276" s="417"/>
      <c r="Q276" s="417"/>
      <c r="AT276" s="805">
        <f t="shared" ref="AT276:AZ282" si="515">IF(Z290&lt;$G$449,0,MIN($G$446,1+IFERROR(INT((Z290-$G$449)/$G$467),0)))</f>
        <v>0</v>
      </c>
      <c r="AU276" s="805">
        <f t="shared" si="515"/>
        <v>0</v>
      </c>
      <c r="AV276" s="805">
        <f t="shared" si="515"/>
        <v>0</v>
      </c>
      <c r="AW276" s="805">
        <f t="shared" si="515"/>
        <v>0</v>
      </c>
      <c r="AX276" s="805">
        <f t="shared" si="515"/>
        <v>0</v>
      </c>
      <c r="AY276" s="805">
        <f t="shared" si="515"/>
        <v>2</v>
      </c>
      <c r="AZ276" s="805">
        <f t="shared" si="515"/>
        <v>4</v>
      </c>
      <c r="BA276" s="805">
        <f t="shared" ref="BA276:BB276" si="516">IF(AG290&lt;$G$449,0,MIN($G$446,1+IFERROR(INT((AG290-$G$449)/$G$467),0)))</f>
        <v>7</v>
      </c>
      <c r="BB276" s="805">
        <f t="shared" si="516"/>
        <v>9</v>
      </c>
      <c r="BD276" s="428">
        <f t="shared" ref="BD276:BD282" si="517">(BD$275=0)*($O$18-$G$430)+(BD$275=$G$444)*$G$435+(BD$275=$G$445)*(Z250+$G$430-$O$18-$G$435)</f>
        <v>-2350</v>
      </c>
      <c r="BE276" s="428">
        <f t="shared" ref="BE276:BE282" si="518">(BE$275=0)*($O$18-$G$430)+(BE$275=$G$444)*$G$435+(BE$275=$G$445)*(Z250+$G$430-$O$18-$G$435)</f>
        <v>0</v>
      </c>
      <c r="BF276" s="428">
        <f t="shared" ref="BF276:BF282" si="519">(BF$275=0)*($O$18-$G$430)+(BF$275=$G$444)*$G$435+(BF$275=$G$445)*(Z250+$G$430-$O$18-$G$435)</f>
        <v>0</v>
      </c>
      <c r="BG276" s="428">
        <f t="shared" ref="BG276:BG282" si="520">(BG$275=0)*($O$18-$G$430)+(BG$275=$G$444)*$G$435+(BG$275=$G$445)*(Z250+$G$430-$O$18-$G$435)</f>
        <v>0</v>
      </c>
      <c r="BH276" s="428">
        <f t="shared" ref="BH276:BH282" si="521">(BH$275=0)*($O$18-$G$430)+(BH$275=$G$444)*$G$435+(BH$275=$G$445)*(Z250+$G$430-$O$18-$G$435)</f>
        <v>0</v>
      </c>
      <c r="BI276" s="428">
        <f t="shared" ref="BI276:BJ282" si="522">(BI$275=0)*($O$18-$G$430)+(BI$275=$G$444)*$G$435+(BI$275=$G$445)*(Z250+$G$430-$O$18-$G$435)</f>
        <v>6542.1562673381595</v>
      </c>
      <c r="BJ276" s="428">
        <f t="shared" si="522"/>
        <v>-2350</v>
      </c>
      <c r="BK276" s="428">
        <f t="shared" ref="BK276:BK282" si="523">(BK$275=0)*($O$18-$G$430)+(BK$275=$G$444)*$G$435+(BK$275=$G$445)*(AA250+$G$430-$O$18-$G$435)</f>
        <v>0</v>
      </c>
      <c r="BL276" s="428">
        <f t="shared" ref="BL276:BL282" si="524">(BL$275=0)*($O$18-$G$430)+(BL$275=$G$444)*$G$435+(BL$275=$G$445)*(AA250+$G$430-$O$18-$G$435)</f>
        <v>0</v>
      </c>
      <c r="BM276" s="428">
        <f t="shared" ref="BM276:BM282" si="525">(BM$275=0)*($O$18-$G$430)+(BM$275=$G$444)*$G$435+(BM$275=$G$445)*(AA250+$G$430-$O$18-$G$435)</f>
        <v>0</v>
      </c>
      <c r="BN276" s="428">
        <f t="shared" ref="BN276:BN282" si="526">(BN$275=0)*($O$18-$G$430)+(BN$275=$G$444)*$G$435+(BN$275=$G$445)*(AA250+$G$430-$O$18-$G$435)</f>
        <v>0</v>
      </c>
      <c r="BO276" s="428">
        <f t="shared" ref="BO276:BP282" si="527">(BO$275=0)*($O$18-$G$430)+(BO$275=$G$444)*$G$435+(BO$275=$G$445)*(AA250+$G$430-$O$18-$G$435)</f>
        <v>7172.5910827487778</v>
      </c>
      <c r="BP276" s="428">
        <f t="shared" si="527"/>
        <v>-2350</v>
      </c>
      <c r="BQ276" s="428">
        <f t="shared" ref="BQ276:BQ282" si="528">(BQ$275=0)*($O$18-$G$430)+(BQ$275=$G$444)*$G$435+(BQ$275=$G$445)*(AB250+$G$430-$O$18-$G$435)</f>
        <v>0</v>
      </c>
      <c r="BR276" s="428">
        <f t="shared" ref="BR276:BR282" si="529">(BR$275=0)*($O$18-$G$430)+(BR$275=$G$444)*$G$435+(BR$275=$G$445)*(AB250+$G$430-$O$18-$G$435)</f>
        <v>0</v>
      </c>
      <c r="BS276" s="428">
        <f t="shared" ref="BS276:BS282" si="530">(BS$275=0)*($O$18-$G$430)+(BS$275=$G$444)*$G$435+(BS$275=$G$445)*(AB250+$G$430-$O$18-$G$435)</f>
        <v>0</v>
      </c>
      <c r="BT276" s="428">
        <f t="shared" ref="BT276:BT282" si="531">(BT$275=0)*($O$18-$G$430)+(BT$275=$G$444)*$G$435+(BT$275=$G$445)*(AB250+$G$430-$O$18-$G$435)</f>
        <v>0</v>
      </c>
      <c r="BU276" s="428">
        <f t="shared" ref="BU276:BV282" si="532">(BU$275=0)*($O$18-$G$430)+(BU$275=$G$444)*$G$435+(BU$275=$G$445)*(AB250+$G$430-$O$18-$G$435)</f>
        <v>7803.0258981593943</v>
      </c>
      <c r="BV276" s="428">
        <f t="shared" si="532"/>
        <v>-2350</v>
      </c>
      <c r="BW276" s="428">
        <f t="shared" ref="BW276:BW282" si="533">(BW$275=0)*($O$18-$G$430)+(BW$275=$G$444)*$G$435+(BW$275=$G$445)*(AC250+$G$430-$O$18-$G$435)</f>
        <v>0</v>
      </c>
      <c r="BX276" s="428">
        <f t="shared" ref="BX276:BX282" si="534">(BX$275=0)*($O$18-$G$430)+(BX$275=$G$444)*$G$435+(BX$275=$G$445)*(AC250+$G$430-$O$18-$G$435)</f>
        <v>0</v>
      </c>
      <c r="BY276" s="428">
        <f t="shared" ref="BY276:BY282" si="535">(BY$275=0)*($O$18-$G$430)+(BY$275=$G$444)*$G$435+(BY$275=$G$445)*(AC250+$G$430-$O$18-$G$435)</f>
        <v>0</v>
      </c>
      <c r="BZ276" s="428">
        <f t="shared" ref="BZ276:BZ282" si="536">(BZ$275=0)*($O$18-$G$430)+(BZ$275=$G$444)*$G$435+(BZ$275=$G$445)*(AC250+$G$430-$O$18-$G$435)</f>
        <v>0</v>
      </c>
      <c r="CA276" s="428">
        <f t="shared" ref="CA276:CB282" si="537">(CA$275=0)*($O$18-$G$430)+(CA$275=$G$444)*$G$435+(CA$275=$G$445)*(AC250+$G$430-$O$18-$G$435)</f>
        <v>8433.4607135700135</v>
      </c>
      <c r="CB276" s="428">
        <f t="shared" si="537"/>
        <v>-2350</v>
      </c>
      <c r="CC276" s="428">
        <f t="shared" ref="CC276:CC282" si="538">(CC$275=0)*($O$18-$G$430)+(CC$275=$G$444)*$G$435+(CC$275=$G$445)*(AD250+$G$430-$O$18-$G$435)</f>
        <v>0</v>
      </c>
      <c r="CD276" s="428">
        <f t="shared" ref="CD276:CD282" si="539">(CD$275=0)*($O$18-$G$430)+(CD$275=$G$444)*$G$435+(CD$275=$G$445)*(AD250+$G$430-$O$18-$G$435)</f>
        <v>0</v>
      </c>
      <c r="CE276" s="428">
        <f t="shared" ref="CE276:CE282" si="540">(CE$275=0)*($O$18-$G$430)+(CE$275=$G$444)*$G$435+(CE$275=$G$445)*(AD250+$G$430-$O$18-$G$435)</f>
        <v>0</v>
      </c>
      <c r="CF276" s="428">
        <f t="shared" ref="CF276:CF282" si="541">(CF$275=0)*($O$18-$G$430)+(CF$275=$G$444)*$G$435+(CF$275=$G$445)*(AD250+$G$430-$O$18-$G$435)</f>
        <v>0</v>
      </c>
      <c r="CG276" s="428">
        <f t="shared" ref="CG276:CH282" si="542">(CG$275=0)*($O$18-$G$430)+(CG$275=$G$444)*$G$435+(CG$275=$G$445)*(AD250+$G$430-$O$18-$G$435)</f>
        <v>9063.8955289806308</v>
      </c>
      <c r="CH276" s="428">
        <f t="shared" si="542"/>
        <v>-2350</v>
      </c>
      <c r="CI276" s="428">
        <f t="shared" ref="CI276:CI282" si="543">(CI$275=0)*($O$18-$G$430)+(CI$275=$G$444)*$G$435+(CI$275=$G$445)*(AE250+$G$430-$O$18-$G$435)</f>
        <v>0</v>
      </c>
      <c r="CJ276" s="428">
        <f t="shared" ref="CJ276:CJ282" si="544">(CJ$275=0)*($O$18-$G$430)+(CJ$275=$G$444)*$G$435+(CJ$275=$G$445)*(AE250+$G$430-$O$18-$G$435)</f>
        <v>0</v>
      </c>
      <c r="CK276" s="428">
        <f t="shared" ref="CK276:CK282" si="545">(CK$275=0)*($O$18-$G$430)+(CK$275=$G$444)*$G$435+(CK$275=$G$445)*(AE250+$G$430-$O$18-$G$435)</f>
        <v>0</v>
      </c>
      <c r="CL276" s="428">
        <f t="shared" ref="CL276:CL282" si="546">(CL$275=0)*($O$18-$G$430)+(CL$275=$G$444)*$G$435+(CL$275=$G$445)*(AE250+$G$430-$O$18-$G$435)</f>
        <v>0</v>
      </c>
      <c r="CM276" s="428">
        <f t="shared" ref="CM276:CN282" si="547">(CM$275=0)*($O$18-$G$430)+(CM$275=$G$444)*$G$435+(CM$275=$G$445)*(AE250+$G$430-$O$18-$G$435)</f>
        <v>9694.3303443912482</v>
      </c>
      <c r="CN276" s="428">
        <f t="shared" si="547"/>
        <v>-2350</v>
      </c>
      <c r="CO276" s="428">
        <f t="shared" ref="CO276:CO282" si="548">(CO$275=0)*($O$18-$G$430)+(CO$275=$G$444)*$G$435+(CO$275=$G$445)*(AF250+$G$430-$O$18-$G$435)</f>
        <v>0</v>
      </c>
      <c r="CP276" s="428">
        <f t="shared" ref="CP276:CP282" si="549">(CP$275=0)*($O$18-$G$430)+(CP$275=$G$444)*$G$435+(CP$275=$G$445)*(AF250+$G$430-$O$18-$G$435)</f>
        <v>0</v>
      </c>
      <c r="CQ276" s="428">
        <f t="shared" ref="CQ276:CQ282" si="550">(CQ$275=0)*($O$18-$G$430)+(CQ$275=$G$444)*$G$435+(CQ$275=$G$445)*(AF250+$G$430-$O$18-$G$435)</f>
        <v>0</v>
      </c>
      <c r="CR276" s="428">
        <f t="shared" ref="CR276:CR282" si="551">(CR$275=0)*($O$18-$G$430)+(CR$275=$G$444)*$G$435+(CR$275=$G$445)*(AF250+$G$430-$O$18-$G$435)</f>
        <v>0</v>
      </c>
      <c r="CS276" s="428">
        <f t="shared" ref="CS276:CT282" si="552">(CS$275=0)*($O$18-$G$430)+(CS$275=$G$444)*$G$435+(CS$275=$G$445)*(AF250+$G$430-$O$18-$G$435)</f>
        <v>10324.765159801867</v>
      </c>
      <c r="CT276" s="428">
        <f t="shared" si="552"/>
        <v>-2350</v>
      </c>
      <c r="CU276" s="428">
        <f t="shared" ref="CU276:CU282" si="553">(CU$275=0)*($O$18-$G$430)+(CU$275=$G$444)*$G$435+(CU$275=$G$445)*(AG250+$G$430-$O$18-$G$435)</f>
        <v>0</v>
      </c>
      <c r="CV276" s="428">
        <f t="shared" ref="CV276:CV282" si="554">(CV$275=0)*($O$18-$G$430)+(CV$275=$G$444)*$G$435+(CV$275=$G$445)*(AG250+$G$430-$O$18-$G$435)</f>
        <v>0</v>
      </c>
      <c r="CW276" s="428">
        <f t="shared" ref="CW276:CW282" si="555">(CW$275=0)*($O$18-$G$430)+(CW$275=$G$444)*$G$435+(CW$275=$G$445)*(AG250+$G$430-$O$18-$G$435)</f>
        <v>0</v>
      </c>
      <c r="CX276" s="428">
        <f t="shared" ref="CX276:CX282" si="556">(CX$275=0)*($O$18-$G$430)+(CX$275=$G$444)*$G$435+(CX$275=$G$445)*(AG250+$G$430-$O$18-$G$435)</f>
        <v>0</v>
      </c>
      <c r="CY276" s="428">
        <f t="shared" ref="CY276:CZ282" si="557">(CY$275=0)*($O$18-$G$430)+(CY$275=$G$444)*$G$435+(CY$275=$G$445)*(AG250+$G$430-$O$18-$G$435)</f>
        <v>10955.199975212483</v>
      </c>
      <c r="CZ276" s="428">
        <f t="shared" si="557"/>
        <v>-2350</v>
      </c>
      <c r="DA276" s="428">
        <f t="shared" ref="DA276:DA282" si="558">(DA$275=0)*($O$18-$G$430)+(DA$275=$G$444)*$G$435+(DA$275=$G$445)*(AH250+$G$430-$O$18-$G$435)</f>
        <v>0</v>
      </c>
      <c r="DB276" s="428">
        <f t="shared" ref="DB276:DB282" si="559">(DB$275=0)*($O$18-$G$430)+(DB$275=$G$444)*$G$435+(DB$275=$G$445)*(AH250+$G$430-$O$18-$G$435)</f>
        <v>0</v>
      </c>
      <c r="DC276" s="428">
        <f t="shared" ref="DC276:DC282" si="560">(DC$275=0)*($O$18-$G$430)+(DC$275=$G$444)*$G$435+(DC$275=$G$445)*(AH250+$G$430-$O$18-$G$435)</f>
        <v>0</v>
      </c>
      <c r="DD276" s="428">
        <f t="shared" ref="DD276:DD282" si="561">(DD$275=0)*($O$18-$G$430)+(DD$275=$G$444)*$G$435+(DD$275=$G$445)*(AH250+$G$430-$O$18-$G$435)</f>
        <v>0</v>
      </c>
      <c r="DE276" s="428">
        <f t="shared" ref="DE276:DE282" si="562">(DE$275=0)*($O$18-$G$430)+(DE$275=$G$444)*$G$435+(DE$275=$G$445)*(AH250+$G$430-$O$18-$G$435)</f>
        <v>11585.634790623102</v>
      </c>
    </row>
    <row r="277" spans="1:109" ht="15" customHeight="1">
      <c r="A277" s="417"/>
      <c r="B277" s="821"/>
      <c r="C277" s="802">
        <f>C278+$G$458</f>
        <v>56</v>
      </c>
      <c r="D277" s="632">
        <f t="shared" si="506"/>
        <v>0.22327788812416238</v>
      </c>
      <c r="E277" s="632">
        <f t="shared" si="507"/>
        <v>0.24542441556835093</v>
      </c>
      <c r="F277" s="632">
        <f t="shared" si="508"/>
        <v>0.26609926974369902</v>
      </c>
      <c r="G277" s="632">
        <f t="shared" si="509"/>
        <v>0.28550573342027952</v>
      </c>
      <c r="H277" s="632">
        <f t="shared" si="510"/>
        <v>0.3038065025758323</v>
      </c>
      <c r="I277" s="632">
        <f t="shared" si="511"/>
        <v>0.32113395642542941</v>
      </c>
      <c r="J277" s="632">
        <f t="shared" si="512"/>
        <v>0.33759734864147739</v>
      </c>
      <c r="K277" s="632">
        <f t="shared" si="513"/>
        <v>0.35328796978522514</v>
      </c>
      <c r="L277" s="632">
        <f t="shared" si="514"/>
        <v>0.36828293438950266</v>
      </c>
      <c r="M277" s="417"/>
      <c r="N277" s="417"/>
      <c r="O277" s="417"/>
      <c r="P277" s="417"/>
      <c r="Q277" s="417"/>
      <c r="AT277" s="805">
        <f t="shared" si="515"/>
        <v>0</v>
      </c>
      <c r="AU277" s="805">
        <f t="shared" si="515"/>
        <v>0</v>
      </c>
      <c r="AV277" s="805">
        <f t="shared" si="515"/>
        <v>0</v>
      </c>
      <c r="AW277" s="805">
        <f t="shared" si="515"/>
        <v>0</v>
      </c>
      <c r="AX277" s="805">
        <f t="shared" si="515"/>
        <v>1</v>
      </c>
      <c r="AY277" s="805">
        <f t="shared" si="515"/>
        <v>3</v>
      </c>
      <c r="AZ277" s="805">
        <f t="shared" si="515"/>
        <v>5</v>
      </c>
      <c r="BA277" s="805">
        <f t="shared" ref="BA277:BB277" si="563">IF(AG291&lt;$G$449,0,MIN($G$446,1+IFERROR(INT((AG291-$G$449)/$G$467),0)))</f>
        <v>7</v>
      </c>
      <c r="BB277" s="805">
        <f t="shared" si="563"/>
        <v>9</v>
      </c>
      <c r="BD277" s="428">
        <f t="shared" si="517"/>
        <v>-2350</v>
      </c>
      <c r="BE277" s="428">
        <f t="shared" si="518"/>
        <v>0</v>
      </c>
      <c r="BF277" s="428">
        <f t="shared" si="519"/>
        <v>0</v>
      </c>
      <c r="BG277" s="428">
        <f t="shared" si="520"/>
        <v>0</v>
      </c>
      <c r="BH277" s="428">
        <f t="shared" si="521"/>
        <v>0</v>
      </c>
      <c r="BI277" s="428">
        <f t="shared" si="522"/>
        <v>6437.1479345519438</v>
      </c>
      <c r="BJ277" s="428">
        <f t="shared" si="522"/>
        <v>-2350</v>
      </c>
      <c r="BK277" s="428">
        <f t="shared" si="523"/>
        <v>0</v>
      </c>
      <c r="BL277" s="428">
        <f t="shared" si="524"/>
        <v>0</v>
      </c>
      <c r="BM277" s="428">
        <f t="shared" si="525"/>
        <v>0</v>
      </c>
      <c r="BN277" s="428">
        <f t="shared" si="526"/>
        <v>0</v>
      </c>
      <c r="BO277" s="428">
        <f t="shared" si="527"/>
        <v>7041.3306667660072</v>
      </c>
      <c r="BP277" s="428">
        <f t="shared" si="527"/>
        <v>-2350</v>
      </c>
      <c r="BQ277" s="428">
        <f t="shared" si="528"/>
        <v>0</v>
      </c>
      <c r="BR277" s="428">
        <f t="shared" si="529"/>
        <v>0</v>
      </c>
      <c r="BS277" s="428">
        <f t="shared" si="530"/>
        <v>0</v>
      </c>
      <c r="BT277" s="428">
        <f t="shared" si="531"/>
        <v>0</v>
      </c>
      <c r="BU277" s="428">
        <f t="shared" si="532"/>
        <v>7645.5133989800706</v>
      </c>
      <c r="BV277" s="428">
        <f t="shared" si="532"/>
        <v>-2350</v>
      </c>
      <c r="BW277" s="428">
        <f t="shared" si="533"/>
        <v>0</v>
      </c>
      <c r="BX277" s="428">
        <f t="shared" si="534"/>
        <v>0</v>
      </c>
      <c r="BY277" s="428">
        <f t="shared" si="535"/>
        <v>0</v>
      </c>
      <c r="BZ277" s="428">
        <f t="shared" si="536"/>
        <v>0</v>
      </c>
      <c r="CA277" s="428">
        <f t="shared" si="537"/>
        <v>8249.6961311941341</v>
      </c>
      <c r="CB277" s="428">
        <f t="shared" si="537"/>
        <v>-2350</v>
      </c>
      <c r="CC277" s="428">
        <f t="shared" si="538"/>
        <v>0</v>
      </c>
      <c r="CD277" s="428">
        <f t="shared" si="539"/>
        <v>0</v>
      </c>
      <c r="CE277" s="428">
        <f t="shared" si="540"/>
        <v>0</v>
      </c>
      <c r="CF277" s="428">
        <f t="shared" si="541"/>
        <v>0</v>
      </c>
      <c r="CG277" s="428">
        <f t="shared" si="542"/>
        <v>8853.8788634081975</v>
      </c>
      <c r="CH277" s="428">
        <f t="shared" si="542"/>
        <v>-2350</v>
      </c>
      <c r="CI277" s="428">
        <f t="shared" si="543"/>
        <v>0</v>
      </c>
      <c r="CJ277" s="428">
        <f t="shared" si="544"/>
        <v>0</v>
      </c>
      <c r="CK277" s="428">
        <f t="shared" si="545"/>
        <v>0</v>
      </c>
      <c r="CL277" s="428">
        <f t="shared" si="546"/>
        <v>0</v>
      </c>
      <c r="CM277" s="428">
        <f t="shared" si="547"/>
        <v>9458.0615956222628</v>
      </c>
      <c r="CN277" s="428">
        <f t="shared" si="547"/>
        <v>-2350</v>
      </c>
      <c r="CO277" s="428">
        <f t="shared" si="548"/>
        <v>0</v>
      </c>
      <c r="CP277" s="428">
        <f t="shared" si="549"/>
        <v>0</v>
      </c>
      <c r="CQ277" s="428">
        <f t="shared" si="550"/>
        <v>0</v>
      </c>
      <c r="CR277" s="428">
        <f t="shared" si="551"/>
        <v>0</v>
      </c>
      <c r="CS277" s="428">
        <f t="shared" si="552"/>
        <v>10062.244327836326</v>
      </c>
      <c r="CT277" s="428">
        <f t="shared" si="552"/>
        <v>-2350</v>
      </c>
      <c r="CU277" s="428">
        <f t="shared" si="553"/>
        <v>0</v>
      </c>
      <c r="CV277" s="428">
        <f t="shared" si="554"/>
        <v>0</v>
      </c>
      <c r="CW277" s="428">
        <f t="shared" si="555"/>
        <v>0</v>
      </c>
      <c r="CX277" s="428">
        <f t="shared" si="556"/>
        <v>0</v>
      </c>
      <c r="CY277" s="428">
        <f t="shared" si="557"/>
        <v>10666.427060050391</v>
      </c>
      <c r="CZ277" s="428">
        <f t="shared" si="557"/>
        <v>-2350</v>
      </c>
      <c r="DA277" s="428">
        <f t="shared" si="558"/>
        <v>0</v>
      </c>
      <c r="DB277" s="428">
        <f t="shared" si="559"/>
        <v>0</v>
      </c>
      <c r="DC277" s="428">
        <f t="shared" si="560"/>
        <v>0</v>
      </c>
      <c r="DD277" s="428">
        <f t="shared" si="561"/>
        <v>0</v>
      </c>
      <c r="DE277" s="428">
        <f t="shared" si="562"/>
        <v>11270.609792264453</v>
      </c>
    </row>
    <row r="278" spans="1:109" ht="15" customHeight="1">
      <c r="A278" s="417"/>
      <c r="B278" s="821"/>
      <c r="C278" s="802">
        <f>C279+$G$458</f>
        <v>52</v>
      </c>
      <c r="D278" s="632">
        <f t="shared" si="506"/>
        <v>0.21926055450893123</v>
      </c>
      <c r="E278" s="632">
        <f t="shared" si="507"/>
        <v>0.2407461037244325</v>
      </c>
      <c r="F278" s="632">
        <f t="shared" si="508"/>
        <v>0.26083891659883873</v>
      </c>
      <c r="G278" s="632">
        <f t="shared" si="509"/>
        <v>0.27972700312241128</v>
      </c>
      <c r="H278" s="632">
        <f t="shared" si="510"/>
        <v>0.29756162962574795</v>
      </c>
      <c r="I278" s="632">
        <f t="shared" si="511"/>
        <v>0.3144664324381572</v>
      </c>
      <c r="J278" s="632">
        <f t="shared" si="512"/>
        <v>0.33054385007423126</v>
      </c>
      <c r="K278" s="632">
        <f t="shared" si="513"/>
        <v>0.34587977266138825</v>
      </c>
      <c r="L278" s="632">
        <f t="shared" si="514"/>
        <v>0.36054697308609973</v>
      </c>
      <c r="M278" s="417"/>
      <c r="N278" s="417"/>
      <c r="O278" s="417"/>
      <c r="P278" s="417"/>
      <c r="Q278" s="417"/>
      <c r="AT278" s="805">
        <f t="shared" si="515"/>
        <v>0</v>
      </c>
      <c r="AU278" s="805">
        <f t="shared" si="515"/>
        <v>0</v>
      </c>
      <c r="AV278" s="805">
        <f t="shared" si="515"/>
        <v>0</v>
      </c>
      <c r="AW278" s="805">
        <f t="shared" si="515"/>
        <v>0</v>
      </c>
      <c r="AX278" s="805">
        <f t="shared" si="515"/>
        <v>2</v>
      </c>
      <c r="AY278" s="805">
        <f t="shared" si="515"/>
        <v>4</v>
      </c>
      <c r="AZ278" s="805">
        <f t="shared" si="515"/>
        <v>5</v>
      </c>
      <c r="BA278" s="805">
        <f t="shared" ref="BA278:BB278" si="564">IF(AG292&lt;$G$449,0,MIN($G$446,1+IFERROR(INT((AG292-$G$449)/$G$467),0)))</f>
        <v>7</v>
      </c>
      <c r="BB278" s="805">
        <f t="shared" si="564"/>
        <v>9</v>
      </c>
      <c r="BD278" s="428">
        <f t="shared" si="517"/>
        <v>-2350</v>
      </c>
      <c r="BE278" s="428">
        <f t="shared" si="518"/>
        <v>0</v>
      </c>
      <c r="BF278" s="428">
        <f t="shared" si="519"/>
        <v>0</v>
      </c>
      <c r="BG278" s="428">
        <f t="shared" si="520"/>
        <v>0</v>
      </c>
      <c r="BH278" s="428">
        <f t="shared" si="521"/>
        <v>0</v>
      </c>
      <c r="BI278" s="428">
        <f t="shared" si="522"/>
        <v>6332.139601765728</v>
      </c>
      <c r="BJ278" s="428">
        <f t="shared" si="522"/>
        <v>-2350</v>
      </c>
      <c r="BK278" s="428">
        <f t="shared" si="523"/>
        <v>0</v>
      </c>
      <c r="BL278" s="428">
        <f t="shared" si="524"/>
        <v>0</v>
      </c>
      <c r="BM278" s="428">
        <f t="shared" si="525"/>
        <v>0</v>
      </c>
      <c r="BN278" s="428">
        <f t="shared" si="526"/>
        <v>0</v>
      </c>
      <c r="BO278" s="428">
        <f t="shared" si="527"/>
        <v>6910.0702507832375</v>
      </c>
      <c r="BP278" s="428">
        <f t="shared" si="527"/>
        <v>-2350</v>
      </c>
      <c r="BQ278" s="428">
        <f t="shared" si="528"/>
        <v>0</v>
      </c>
      <c r="BR278" s="428">
        <f t="shared" si="529"/>
        <v>0</v>
      </c>
      <c r="BS278" s="428">
        <f t="shared" si="530"/>
        <v>0</v>
      </c>
      <c r="BT278" s="428">
        <f t="shared" si="531"/>
        <v>0</v>
      </c>
      <c r="BU278" s="428">
        <f t="shared" si="532"/>
        <v>7488.0008998007461</v>
      </c>
      <c r="BV278" s="428">
        <f t="shared" si="532"/>
        <v>-2350</v>
      </c>
      <c r="BW278" s="428">
        <f t="shared" si="533"/>
        <v>0</v>
      </c>
      <c r="BX278" s="428">
        <f t="shared" si="534"/>
        <v>0</v>
      </c>
      <c r="BY278" s="428">
        <f t="shared" si="535"/>
        <v>0</v>
      </c>
      <c r="BZ278" s="428">
        <f t="shared" si="536"/>
        <v>0</v>
      </c>
      <c r="CA278" s="428">
        <f t="shared" si="537"/>
        <v>8065.9315488182565</v>
      </c>
      <c r="CB278" s="428">
        <f t="shared" si="537"/>
        <v>-2350</v>
      </c>
      <c r="CC278" s="428">
        <f t="shared" si="538"/>
        <v>0</v>
      </c>
      <c r="CD278" s="428">
        <f t="shared" si="539"/>
        <v>0</v>
      </c>
      <c r="CE278" s="428">
        <f t="shared" si="540"/>
        <v>0</v>
      </c>
      <c r="CF278" s="428">
        <f t="shared" si="541"/>
        <v>0</v>
      </c>
      <c r="CG278" s="428">
        <f t="shared" si="542"/>
        <v>8643.862197835766</v>
      </c>
      <c r="CH278" s="428">
        <f t="shared" si="542"/>
        <v>-2350</v>
      </c>
      <c r="CI278" s="428">
        <f t="shared" si="543"/>
        <v>0</v>
      </c>
      <c r="CJ278" s="428">
        <f t="shared" si="544"/>
        <v>0</v>
      </c>
      <c r="CK278" s="428">
        <f t="shared" si="545"/>
        <v>0</v>
      </c>
      <c r="CL278" s="428">
        <f t="shared" si="546"/>
        <v>0</v>
      </c>
      <c r="CM278" s="428">
        <f t="shared" si="547"/>
        <v>9221.7928468532755</v>
      </c>
      <c r="CN278" s="428">
        <f t="shared" si="547"/>
        <v>-2350</v>
      </c>
      <c r="CO278" s="428">
        <f t="shared" si="548"/>
        <v>0</v>
      </c>
      <c r="CP278" s="428">
        <f t="shared" si="549"/>
        <v>0</v>
      </c>
      <c r="CQ278" s="428">
        <f t="shared" si="550"/>
        <v>0</v>
      </c>
      <c r="CR278" s="428">
        <f t="shared" si="551"/>
        <v>0</v>
      </c>
      <c r="CS278" s="428">
        <f t="shared" si="552"/>
        <v>9799.723495870785</v>
      </c>
      <c r="CT278" s="428">
        <f t="shared" si="552"/>
        <v>-2350</v>
      </c>
      <c r="CU278" s="428">
        <f t="shared" si="553"/>
        <v>0</v>
      </c>
      <c r="CV278" s="428">
        <f t="shared" si="554"/>
        <v>0</v>
      </c>
      <c r="CW278" s="428">
        <f t="shared" si="555"/>
        <v>0</v>
      </c>
      <c r="CX278" s="428">
        <f t="shared" si="556"/>
        <v>0</v>
      </c>
      <c r="CY278" s="428">
        <f t="shared" si="557"/>
        <v>10377.654144888296</v>
      </c>
      <c r="CZ278" s="428">
        <f t="shared" si="557"/>
        <v>-2350</v>
      </c>
      <c r="DA278" s="428">
        <f t="shared" si="558"/>
        <v>0</v>
      </c>
      <c r="DB278" s="428">
        <f t="shared" si="559"/>
        <v>0</v>
      </c>
      <c r="DC278" s="428">
        <f t="shared" si="560"/>
        <v>0</v>
      </c>
      <c r="DD278" s="428">
        <f t="shared" si="561"/>
        <v>0</v>
      </c>
      <c r="DE278" s="428">
        <f t="shared" si="562"/>
        <v>10955.584793905804</v>
      </c>
    </row>
    <row r="279" spans="1:109" ht="15" customHeight="1">
      <c r="A279" s="417"/>
      <c r="B279" s="821"/>
      <c r="C279" s="802">
        <f>$G$457</f>
        <v>48</v>
      </c>
      <c r="D279" s="632">
        <f t="shared" si="506"/>
        <v>0.21518956551814106</v>
      </c>
      <c r="E279" s="632">
        <f t="shared" si="507"/>
        <v>0.23599614927760082</v>
      </c>
      <c r="F279" s="632">
        <f t="shared" si="508"/>
        <v>0.2554892825493762</v>
      </c>
      <c r="G279" s="632">
        <f t="shared" si="509"/>
        <v>0.2738419695664629</v>
      </c>
      <c r="H279" s="790">
        <f t="shared" si="510"/>
        <v>0.29119416880747639</v>
      </c>
      <c r="I279" s="632">
        <f t="shared" si="511"/>
        <v>0.30766081563496561</v>
      </c>
      <c r="J279" s="632">
        <f t="shared" si="512"/>
        <v>0.32333753157222045</v>
      </c>
      <c r="K279" s="632">
        <f t="shared" si="513"/>
        <v>0.33830478091013427</v>
      </c>
      <c r="L279" s="632">
        <f t="shared" si="514"/>
        <v>0.35263095756566987</v>
      </c>
      <c r="M279" s="417"/>
      <c r="N279" s="417"/>
      <c r="O279" s="417"/>
      <c r="P279" s="417"/>
      <c r="Q279" s="417"/>
      <c r="AT279" s="805">
        <f t="shared" si="515"/>
        <v>0</v>
      </c>
      <c r="AU279" s="805">
        <f t="shared" si="515"/>
        <v>0</v>
      </c>
      <c r="AV279" s="805">
        <f t="shared" si="515"/>
        <v>0</v>
      </c>
      <c r="AW279" s="805">
        <f t="shared" si="515"/>
        <v>1</v>
      </c>
      <c r="AX279" s="805">
        <f t="shared" si="515"/>
        <v>2</v>
      </c>
      <c r="AY279" s="805">
        <f t="shared" si="515"/>
        <v>4</v>
      </c>
      <c r="AZ279" s="805">
        <f t="shared" si="515"/>
        <v>6</v>
      </c>
      <c r="BA279" s="805">
        <f t="shared" ref="BA279:BB279" si="565">IF(AG293&lt;$G$449,0,MIN($G$446,1+IFERROR(INT((AG293-$G$449)/$G$467),0)))</f>
        <v>8</v>
      </c>
      <c r="BB279" s="805">
        <f t="shared" si="565"/>
        <v>10</v>
      </c>
      <c r="BD279" s="428">
        <f t="shared" si="517"/>
        <v>-2350</v>
      </c>
      <c r="BE279" s="428">
        <f t="shared" si="518"/>
        <v>0</v>
      </c>
      <c r="BF279" s="428">
        <f t="shared" si="519"/>
        <v>0</v>
      </c>
      <c r="BG279" s="428">
        <f t="shared" si="520"/>
        <v>0</v>
      </c>
      <c r="BH279" s="428">
        <f t="shared" si="521"/>
        <v>0</v>
      </c>
      <c r="BI279" s="428">
        <f t="shared" si="522"/>
        <v>6227.1312689795104</v>
      </c>
      <c r="BJ279" s="428">
        <f t="shared" si="522"/>
        <v>-2350</v>
      </c>
      <c r="BK279" s="428">
        <f t="shared" si="523"/>
        <v>0</v>
      </c>
      <c r="BL279" s="428">
        <f t="shared" si="524"/>
        <v>0</v>
      </c>
      <c r="BM279" s="428">
        <f t="shared" si="525"/>
        <v>0</v>
      </c>
      <c r="BN279" s="428">
        <f t="shared" si="526"/>
        <v>0</v>
      </c>
      <c r="BO279" s="428">
        <f t="shared" si="527"/>
        <v>6778.809834800466</v>
      </c>
      <c r="BP279" s="428">
        <f t="shared" si="527"/>
        <v>-2350</v>
      </c>
      <c r="BQ279" s="428">
        <f t="shared" si="528"/>
        <v>0</v>
      </c>
      <c r="BR279" s="428">
        <f t="shared" si="529"/>
        <v>0</v>
      </c>
      <c r="BS279" s="428">
        <f t="shared" si="530"/>
        <v>0</v>
      </c>
      <c r="BT279" s="428">
        <f t="shared" si="531"/>
        <v>0</v>
      </c>
      <c r="BU279" s="428">
        <f t="shared" si="532"/>
        <v>7330.4884006214215</v>
      </c>
      <c r="BV279" s="428">
        <f t="shared" si="532"/>
        <v>-2350</v>
      </c>
      <c r="BW279" s="428">
        <f t="shared" si="533"/>
        <v>0</v>
      </c>
      <c r="BX279" s="428">
        <f t="shared" si="534"/>
        <v>0</v>
      </c>
      <c r="BY279" s="428">
        <f t="shared" si="535"/>
        <v>0</v>
      </c>
      <c r="BZ279" s="428">
        <f t="shared" si="536"/>
        <v>0</v>
      </c>
      <c r="CA279" s="428">
        <f t="shared" si="537"/>
        <v>7882.1669664423789</v>
      </c>
      <c r="CB279" s="428">
        <f t="shared" si="537"/>
        <v>-2350</v>
      </c>
      <c r="CC279" s="428">
        <f t="shared" si="538"/>
        <v>0</v>
      </c>
      <c r="CD279" s="428">
        <f t="shared" si="539"/>
        <v>0</v>
      </c>
      <c r="CE279" s="428">
        <f t="shared" si="540"/>
        <v>0</v>
      </c>
      <c r="CF279" s="428">
        <f t="shared" si="541"/>
        <v>0</v>
      </c>
      <c r="CG279" s="428">
        <f t="shared" si="542"/>
        <v>8433.8455322633345</v>
      </c>
      <c r="CH279" s="428">
        <f t="shared" si="542"/>
        <v>-2350</v>
      </c>
      <c r="CI279" s="428">
        <f t="shared" si="543"/>
        <v>0</v>
      </c>
      <c r="CJ279" s="428">
        <f t="shared" si="544"/>
        <v>0</v>
      </c>
      <c r="CK279" s="428">
        <f t="shared" si="545"/>
        <v>0</v>
      </c>
      <c r="CL279" s="428">
        <f t="shared" si="546"/>
        <v>0</v>
      </c>
      <c r="CM279" s="428">
        <f t="shared" si="547"/>
        <v>8985.52409808429</v>
      </c>
      <c r="CN279" s="428">
        <f t="shared" si="547"/>
        <v>-2350</v>
      </c>
      <c r="CO279" s="428">
        <f t="shared" si="548"/>
        <v>0</v>
      </c>
      <c r="CP279" s="428">
        <f t="shared" si="549"/>
        <v>0</v>
      </c>
      <c r="CQ279" s="428">
        <f t="shared" si="550"/>
        <v>0</v>
      </c>
      <c r="CR279" s="428">
        <f t="shared" si="551"/>
        <v>0</v>
      </c>
      <c r="CS279" s="428">
        <f t="shared" si="552"/>
        <v>9537.2026639052456</v>
      </c>
      <c r="CT279" s="428">
        <f t="shared" si="552"/>
        <v>-2350</v>
      </c>
      <c r="CU279" s="428">
        <f t="shared" si="553"/>
        <v>0</v>
      </c>
      <c r="CV279" s="428">
        <f t="shared" si="554"/>
        <v>0</v>
      </c>
      <c r="CW279" s="428">
        <f t="shared" si="555"/>
        <v>0</v>
      </c>
      <c r="CX279" s="428">
        <f t="shared" si="556"/>
        <v>0</v>
      </c>
      <c r="CY279" s="428">
        <f t="shared" si="557"/>
        <v>10088.881229726201</v>
      </c>
      <c r="CZ279" s="428">
        <f t="shared" si="557"/>
        <v>-2350</v>
      </c>
      <c r="DA279" s="428">
        <f t="shared" si="558"/>
        <v>0</v>
      </c>
      <c r="DB279" s="428">
        <f t="shared" si="559"/>
        <v>0</v>
      </c>
      <c r="DC279" s="428">
        <f t="shared" si="560"/>
        <v>0</v>
      </c>
      <c r="DD279" s="428">
        <f t="shared" si="561"/>
        <v>0</v>
      </c>
      <c r="DE279" s="428">
        <f t="shared" si="562"/>
        <v>10640.559795547155</v>
      </c>
    </row>
    <row r="280" spans="1:109" ht="15" customHeight="1">
      <c r="A280" s="417"/>
      <c r="B280" s="821"/>
      <c r="C280" s="802">
        <f>C279-$G$458</f>
        <v>44</v>
      </c>
      <c r="D280" s="632">
        <f t="shared" si="506"/>
        <v>0.21106328133491981</v>
      </c>
      <c r="E280" s="632">
        <f t="shared" si="507"/>
        <v>0.2311720354402893</v>
      </c>
      <c r="F280" s="632">
        <f t="shared" si="508"/>
        <v>0.25004688407692788</v>
      </c>
      <c r="G280" s="632">
        <f t="shared" si="509"/>
        <v>0.26784612904389848</v>
      </c>
      <c r="H280" s="632">
        <f t="shared" si="510"/>
        <v>0.28469856911304725</v>
      </c>
      <c r="I280" s="632">
        <f t="shared" si="511"/>
        <v>0.30071049934041216</v>
      </c>
      <c r="J280" s="632">
        <f t="shared" si="512"/>
        <v>0.31597073548571664</v>
      </c>
      <c r="K280" s="632">
        <f t="shared" si="513"/>
        <v>0.33055429955484694</v>
      </c>
      <c r="L280" s="632">
        <f t="shared" si="514"/>
        <v>0.3445251752059082</v>
      </c>
      <c r="M280" s="417"/>
      <c r="N280" s="417"/>
      <c r="O280" s="417"/>
      <c r="P280" s="417"/>
      <c r="Q280" s="417"/>
      <c r="AT280" s="805">
        <f t="shared" si="515"/>
        <v>0</v>
      </c>
      <c r="AU280" s="805">
        <f t="shared" si="515"/>
        <v>0</v>
      </c>
      <c r="AV280" s="805">
        <f t="shared" si="515"/>
        <v>0</v>
      </c>
      <c r="AW280" s="805">
        <f t="shared" si="515"/>
        <v>1</v>
      </c>
      <c r="AX280" s="805">
        <f t="shared" si="515"/>
        <v>3</v>
      </c>
      <c r="AY280" s="805">
        <f t="shared" si="515"/>
        <v>5</v>
      </c>
      <c r="AZ280" s="805">
        <f t="shared" si="515"/>
        <v>6</v>
      </c>
      <c r="BA280" s="805">
        <f t="shared" ref="BA280:BB280" si="566">IF(AG294&lt;$G$449,0,MIN($G$446,1+IFERROR(INT((AG294-$G$449)/$G$467),0)))</f>
        <v>8</v>
      </c>
      <c r="BB280" s="805">
        <f t="shared" si="566"/>
        <v>10</v>
      </c>
      <c r="BD280" s="428">
        <f t="shared" si="517"/>
        <v>-2350</v>
      </c>
      <c r="BE280" s="428">
        <f t="shared" si="518"/>
        <v>0</v>
      </c>
      <c r="BF280" s="428">
        <f t="shared" si="519"/>
        <v>0</v>
      </c>
      <c r="BG280" s="428">
        <f t="shared" si="520"/>
        <v>0</v>
      </c>
      <c r="BH280" s="428">
        <f t="shared" si="521"/>
        <v>0</v>
      </c>
      <c r="BI280" s="428">
        <f t="shared" si="522"/>
        <v>6122.1229361932947</v>
      </c>
      <c r="BJ280" s="428">
        <f t="shared" si="522"/>
        <v>-2350</v>
      </c>
      <c r="BK280" s="428">
        <f t="shared" si="523"/>
        <v>0</v>
      </c>
      <c r="BL280" s="428">
        <f t="shared" si="524"/>
        <v>0</v>
      </c>
      <c r="BM280" s="428">
        <f t="shared" si="525"/>
        <v>0</v>
      </c>
      <c r="BN280" s="428">
        <f t="shared" si="526"/>
        <v>0</v>
      </c>
      <c r="BO280" s="428">
        <f t="shared" si="527"/>
        <v>6647.5494188176963</v>
      </c>
      <c r="BP280" s="428">
        <f t="shared" si="527"/>
        <v>-2350</v>
      </c>
      <c r="BQ280" s="428">
        <f t="shared" si="528"/>
        <v>0</v>
      </c>
      <c r="BR280" s="428">
        <f t="shared" si="529"/>
        <v>0</v>
      </c>
      <c r="BS280" s="428">
        <f t="shared" si="530"/>
        <v>0</v>
      </c>
      <c r="BT280" s="428">
        <f t="shared" si="531"/>
        <v>0</v>
      </c>
      <c r="BU280" s="428">
        <f t="shared" si="532"/>
        <v>7172.975901442097</v>
      </c>
      <c r="BV280" s="428">
        <f t="shared" si="532"/>
        <v>-2350</v>
      </c>
      <c r="BW280" s="428">
        <f t="shared" si="533"/>
        <v>0</v>
      </c>
      <c r="BX280" s="428">
        <f t="shared" si="534"/>
        <v>0</v>
      </c>
      <c r="BY280" s="428">
        <f t="shared" si="535"/>
        <v>0</v>
      </c>
      <c r="BZ280" s="428">
        <f t="shared" si="536"/>
        <v>0</v>
      </c>
      <c r="CA280" s="428">
        <f t="shared" si="537"/>
        <v>7698.4023840664995</v>
      </c>
      <c r="CB280" s="428">
        <f t="shared" si="537"/>
        <v>-2350</v>
      </c>
      <c r="CC280" s="428">
        <f t="shared" si="538"/>
        <v>0</v>
      </c>
      <c r="CD280" s="428">
        <f t="shared" si="539"/>
        <v>0</v>
      </c>
      <c r="CE280" s="428">
        <f t="shared" si="540"/>
        <v>0</v>
      </c>
      <c r="CF280" s="428">
        <f t="shared" si="541"/>
        <v>0</v>
      </c>
      <c r="CG280" s="428">
        <f t="shared" si="542"/>
        <v>8223.8288666908993</v>
      </c>
      <c r="CH280" s="428">
        <f t="shared" si="542"/>
        <v>-2350</v>
      </c>
      <c r="CI280" s="428">
        <f t="shared" si="543"/>
        <v>0</v>
      </c>
      <c r="CJ280" s="428">
        <f t="shared" si="544"/>
        <v>0</v>
      </c>
      <c r="CK280" s="428">
        <f t="shared" si="545"/>
        <v>0</v>
      </c>
      <c r="CL280" s="428">
        <f t="shared" si="546"/>
        <v>0</v>
      </c>
      <c r="CM280" s="428">
        <f t="shared" si="547"/>
        <v>8749.2553493153027</v>
      </c>
      <c r="CN280" s="428">
        <f t="shared" si="547"/>
        <v>-2350</v>
      </c>
      <c r="CO280" s="428">
        <f t="shared" si="548"/>
        <v>0</v>
      </c>
      <c r="CP280" s="428">
        <f t="shared" si="549"/>
        <v>0</v>
      </c>
      <c r="CQ280" s="428">
        <f t="shared" si="550"/>
        <v>0</v>
      </c>
      <c r="CR280" s="428">
        <f t="shared" si="551"/>
        <v>0</v>
      </c>
      <c r="CS280" s="428">
        <f t="shared" si="552"/>
        <v>9274.6818319397044</v>
      </c>
      <c r="CT280" s="428">
        <f t="shared" si="552"/>
        <v>-2350</v>
      </c>
      <c r="CU280" s="428">
        <f t="shared" si="553"/>
        <v>0</v>
      </c>
      <c r="CV280" s="428">
        <f t="shared" si="554"/>
        <v>0</v>
      </c>
      <c r="CW280" s="428">
        <f t="shared" si="555"/>
        <v>0</v>
      </c>
      <c r="CX280" s="428">
        <f t="shared" si="556"/>
        <v>0</v>
      </c>
      <c r="CY280" s="428">
        <f t="shared" si="557"/>
        <v>9800.108314564106</v>
      </c>
      <c r="CZ280" s="428">
        <f t="shared" si="557"/>
        <v>-2350</v>
      </c>
      <c r="DA280" s="428">
        <f t="shared" si="558"/>
        <v>0</v>
      </c>
      <c r="DB280" s="428">
        <f t="shared" si="559"/>
        <v>0</v>
      </c>
      <c r="DC280" s="428">
        <f t="shared" si="560"/>
        <v>0</v>
      </c>
      <c r="DD280" s="428">
        <f t="shared" si="561"/>
        <v>0</v>
      </c>
      <c r="DE280" s="428">
        <f t="shared" si="562"/>
        <v>10325.534797188506</v>
      </c>
    </row>
    <row r="281" spans="1:109" ht="15" customHeight="1">
      <c r="A281" s="417"/>
      <c r="B281" s="821"/>
      <c r="C281" s="802">
        <f>C280-$G$458</f>
        <v>40</v>
      </c>
      <c r="D281" s="632">
        <f t="shared" si="506"/>
        <v>0.20687998283510489</v>
      </c>
      <c r="E281" s="632">
        <f t="shared" si="507"/>
        <v>0.22627110514865789</v>
      </c>
      <c r="F281" s="632">
        <f t="shared" si="508"/>
        <v>0.24450802153962403</v>
      </c>
      <c r="G281" s="632">
        <f t="shared" si="509"/>
        <v>0.26173467386335725</v>
      </c>
      <c r="H281" s="632">
        <f t="shared" si="510"/>
        <v>0.27806887842667893</v>
      </c>
      <c r="I281" s="632">
        <f t="shared" si="511"/>
        <v>0.29360837177229526</v>
      </c>
      <c r="J281" s="632">
        <f t="shared" si="512"/>
        <v>0.30843519012930276</v>
      </c>
      <c r="K281" s="632">
        <f t="shared" si="513"/>
        <v>0.32261890744229094</v>
      </c>
      <c r="L281" s="632">
        <f t="shared" si="514"/>
        <v>0.33621907313030253</v>
      </c>
      <c r="M281" s="417"/>
      <c r="N281" s="417"/>
      <c r="O281" s="417"/>
      <c r="P281" s="417"/>
      <c r="Q281" s="417"/>
      <c r="AT281" s="805">
        <f t="shared" si="515"/>
        <v>0</v>
      </c>
      <c r="AU281" s="805">
        <f t="shared" si="515"/>
        <v>0</v>
      </c>
      <c r="AV281" s="805">
        <f t="shared" si="515"/>
        <v>1</v>
      </c>
      <c r="AW281" s="805">
        <f t="shared" si="515"/>
        <v>2</v>
      </c>
      <c r="AX281" s="805">
        <f t="shared" si="515"/>
        <v>4</v>
      </c>
      <c r="AY281" s="805">
        <f t="shared" si="515"/>
        <v>5</v>
      </c>
      <c r="AZ281" s="805">
        <f t="shared" si="515"/>
        <v>7</v>
      </c>
      <c r="BA281" s="805">
        <f t="shared" ref="BA281:BB281" si="567">IF(AG295&lt;$G$449,0,MIN($G$446,1+IFERROR(INT((AG295-$G$449)/$G$467),0)))</f>
        <v>9</v>
      </c>
      <c r="BB281" s="805">
        <f t="shared" si="567"/>
        <v>10</v>
      </c>
      <c r="BD281" s="428">
        <f t="shared" si="517"/>
        <v>-2350</v>
      </c>
      <c r="BE281" s="428">
        <f t="shared" si="518"/>
        <v>0</v>
      </c>
      <c r="BF281" s="428">
        <f t="shared" si="519"/>
        <v>0</v>
      </c>
      <c r="BG281" s="428">
        <f t="shared" si="520"/>
        <v>0</v>
      </c>
      <c r="BH281" s="428">
        <f t="shared" si="521"/>
        <v>0</v>
      </c>
      <c r="BI281" s="428">
        <f t="shared" si="522"/>
        <v>6017.114603407078</v>
      </c>
      <c r="BJ281" s="428">
        <f t="shared" si="522"/>
        <v>-2350</v>
      </c>
      <c r="BK281" s="428">
        <f t="shared" si="523"/>
        <v>0</v>
      </c>
      <c r="BL281" s="428">
        <f t="shared" si="524"/>
        <v>0</v>
      </c>
      <c r="BM281" s="428">
        <f t="shared" si="525"/>
        <v>0</v>
      </c>
      <c r="BN281" s="428">
        <f t="shared" si="526"/>
        <v>0</v>
      </c>
      <c r="BO281" s="428">
        <f t="shared" si="527"/>
        <v>6516.2890028349257</v>
      </c>
      <c r="BP281" s="428">
        <f t="shared" si="527"/>
        <v>-2350</v>
      </c>
      <c r="BQ281" s="428">
        <f t="shared" si="528"/>
        <v>0</v>
      </c>
      <c r="BR281" s="428">
        <f t="shared" si="529"/>
        <v>0</v>
      </c>
      <c r="BS281" s="428">
        <f t="shared" si="530"/>
        <v>0</v>
      </c>
      <c r="BT281" s="428">
        <f t="shared" si="531"/>
        <v>0</v>
      </c>
      <c r="BU281" s="428">
        <f t="shared" si="532"/>
        <v>7015.4634022627724</v>
      </c>
      <c r="BV281" s="428">
        <f t="shared" si="532"/>
        <v>-2350</v>
      </c>
      <c r="BW281" s="428">
        <f t="shared" si="533"/>
        <v>0</v>
      </c>
      <c r="BX281" s="428">
        <f t="shared" si="534"/>
        <v>0</v>
      </c>
      <c r="BY281" s="428">
        <f t="shared" si="535"/>
        <v>0</v>
      </c>
      <c r="BZ281" s="428">
        <f t="shared" si="536"/>
        <v>0</v>
      </c>
      <c r="CA281" s="428">
        <f t="shared" si="537"/>
        <v>7514.6378016906201</v>
      </c>
      <c r="CB281" s="428">
        <f t="shared" si="537"/>
        <v>-2350</v>
      </c>
      <c r="CC281" s="428">
        <f t="shared" si="538"/>
        <v>0</v>
      </c>
      <c r="CD281" s="428">
        <f t="shared" si="539"/>
        <v>0</v>
      </c>
      <c r="CE281" s="428">
        <f t="shared" si="540"/>
        <v>0</v>
      </c>
      <c r="CF281" s="428">
        <f t="shared" si="541"/>
        <v>0</v>
      </c>
      <c r="CG281" s="428">
        <f t="shared" si="542"/>
        <v>8013.8122011184678</v>
      </c>
      <c r="CH281" s="428">
        <f t="shared" si="542"/>
        <v>-2350</v>
      </c>
      <c r="CI281" s="428">
        <f t="shared" si="543"/>
        <v>0</v>
      </c>
      <c r="CJ281" s="428">
        <f t="shared" si="544"/>
        <v>0</v>
      </c>
      <c r="CK281" s="428">
        <f t="shared" si="545"/>
        <v>0</v>
      </c>
      <c r="CL281" s="428">
        <f t="shared" si="546"/>
        <v>0</v>
      </c>
      <c r="CM281" s="428">
        <f t="shared" si="547"/>
        <v>8512.9866005463155</v>
      </c>
      <c r="CN281" s="428">
        <f t="shared" si="547"/>
        <v>-2350</v>
      </c>
      <c r="CO281" s="428">
        <f t="shared" si="548"/>
        <v>0</v>
      </c>
      <c r="CP281" s="428">
        <f t="shared" si="549"/>
        <v>0</v>
      </c>
      <c r="CQ281" s="428">
        <f t="shared" si="550"/>
        <v>0</v>
      </c>
      <c r="CR281" s="428">
        <f t="shared" si="551"/>
        <v>0</v>
      </c>
      <c r="CS281" s="428">
        <f t="shared" si="552"/>
        <v>9012.1609999741631</v>
      </c>
      <c r="CT281" s="428">
        <f t="shared" si="552"/>
        <v>-2350</v>
      </c>
      <c r="CU281" s="428">
        <f t="shared" si="553"/>
        <v>0</v>
      </c>
      <c r="CV281" s="428">
        <f t="shared" si="554"/>
        <v>0</v>
      </c>
      <c r="CW281" s="428">
        <f t="shared" si="555"/>
        <v>0</v>
      </c>
      <c r="CX281" s="428">
        <f t="shared" si="556"/>
        <v>0</v>
      </c>
      <c r="CY281" s="428">
        <f t="shared" si="557"/>
        <v>9511.3353994020108</v>
      </c>
      <c r="CZ281" s="428">
        <f t="shared" si="557"/>
        <v>-2350</v>
      </c>
      <c r="DA281" s="428">
        <f t="shared" si="558"/>
        <v>0</v>
      </c>
      <c r="DB281" s="428">
        <f t="shared" si="559"/>
        <v>0</v>
      </c>
      <c r="DC281" s="428">
        <f t="shared" si="560"/>
        <v>0</v>
      </c>
      <c r="DD281" s="428">
        <f t="shared" si="561"/>
        <v>0</v>
      </c>
      <c r="DE281" s="428">
        <f t="shared" si="562"/>
        <v>10010.509798829858</v>
      </c>
    </row>
    <row r="282" spans="1:109" ht="15" customHeight="1">
      <c r="A282" s="417"/>
      <c r="B282" s="822"/>
      <c r="C282" s="803">
        <f>C281-$G$458</f>
        <v>36</v>
      </c>
      <c r="D282" s="791">
        <f t="shared" si="506"/>
        <v>0.20263786629016378</v>
      </c>
      <c r="E282" s="791">
        <f t="shared" si="507"/>
        <v>0.22129055023585487</v>
      </c>
      <c r="F282" s="791">
        <f t="shared" si="508"/>
        <v>0.23886876056131934</v>
      </c>
      <c r="G282" s="791">
        <f t="shared" si="509"/>
        <v>0.25550246381572816</v>
      </c>
      <c r="H282" s="791">
        <f t="shared" si="510"/>
        <v>0.27129870313073168</v>
      </c>
      <c r="I282" s="791">
        <f t="shared" si="511"/>
        <v>0.28634676207929632</v>
      </c>
      <c r="J282" s="791">
        <f t="shared" si="512"/>
        <v>0.30072194097489491</v>
      </c>
      <c r="K282" s="791">
        <f t="shared" si="513"/>
        <v>0.31448837239615912</v>
      </c>
      <c r="L282" s="791">
        <f t="shared" si="514"/>
        <v>0.32770115639949005</v>
      </c>
      <c r="M282" s="417"/>
      <c r="N282" s="417"/>
      <c r="O282" s="417"/>
      <c r="P282" s="417"/>
      <c r="Q282" s="417"/>
      <c r="AT282" s="805">
        <f t="shared" si="515"/>
        <v>0</v>
      </c>
      <c r="AU282" s="805">
        <f t="shared" si="515"/>
        <v>0</v>
      </c>
      <c r="AV282" s="805">
        <f t="shared" si="515"/>
        <v>1</v>
      </c>
      <c r="AW282" s="805">
        <f t="shared" si="515"/>
        <v>3</v>
      </c>
      <c r="AX282" s="805">
        <f t="shared" si="515"/>
        <v>4</v>
      </c>
      <c r="AY282" s="805">
        <f t="shared" si="515"/>
        <v>6</v>
      </c>
      <c r="AZ282" s="805">
        <f t="shared" si="515"/>
        <v>7</v>
      </c>
      <c r="BA282" s="805">
        <f t="shared" ref="BA282:BB282" si="568">IF(AG296&lt;$G$449,0,MIN($G$446,1+IFERROR(INT((AG296-$G$449)/$G$467),0)))</f>
        <v>9</v>
      </c>
      <c r="BB282" s="805">
        <f t="shared" si="568"/>
        <v>10</v>
      </c>
      <c r="BD282" s="428">
        <f t="shared" si="517"/>
        <v>-2350</v>
      </c>
      <c r="BE282" s="428">
        <f t="shared" si="518"/>
        <v>0</v>
      </c>
      <c r="BF282" s="428">
        <f t="shared" si="519"/>
        <v>0</v>
      </c>
      <c r="BG282" s="428">
        <f t="shared" si="520"/>
        <v>0</v>
      </c>
      <c r="BH282" s="428">
        <f t="shared" si="521"/>
        <v>0</v>
      </c>
      <c r="BI282" s="428">
        <f t="shared" si="522"/>
        <v>5912.1062706208622</v>
      </c>
      <c r="BJ282" s="428">
        <f t="shared" si="522"/>
        <v>-2350</v>
      </c>
      <c r="BK282" s="428">
        <f t="shared" si="523"/>
        <v>0</v>
      </c>
      <c r="BL282" s="428">
        <f t="shared" si="524"/>
        <v>0</v>
      </c>
      <c r="BM282" s="428">
        <f t="shared" si="525"/>
        <v>0</v>
      </c>
      <c r="BN282" s="428">
        <f t="shared" si="526"/>
        <v>0</v>
      </c>
      <c r="BO282" s="428">
        <f t="shared" si="527"/>
        <v>6385.0285868521551</v>
      </c>
      <c r="BP282" s="428">
        <f t="shared" si="527"/>
        <v>-2350</v>
      </c>
      <c r="BQ282" s="428">
        <f t="shared" si="528"/>
        <v>0</v>
      </c>
      <c r="BR282" s="428">
        <f t="shared" si="529"/>
        <v>0</v>
      </c>
      <c r="BS282" s="428">
        <f t="shared" si="530"/>
        <v>0</v>
      </c>
      <c r="BT282" s="428">
        <f t="shared" si="531"/>
        <v>0</v>
      </c>
      <c r="BU282" s="428">
        <f t="shared" si="532"/>
        <v>6857.9509030834488</v>
      </c>
      <c r="BV282" s="428">
        <f t="shared" si="532"/>
        <v>-2350</v>
      </c>
      <c r="BW282" s="428">
        <f t="shared" si="533"/>
        <v>0</v>
      </c>
      <c r="BX282" s="428">
        <f t="shared" si="534"/>
        <v>0</v>
      </c>
      <c r="BY282" s="428">
        <f t="shared" si="535"/>
        <v>0</v>
      </c>
      <c r="BZ282" s="428">
        <f t="shared" si="536"/>
        <v>0</v>
      </c>
      <c r="CA282" s="428">
        <f t="shared" si="537"/>
        <v>7330.8732193147425</v>
      </c>
      <c r="CB282" s="428">
        <f t="shared" si="537"/>
        <v>-2350</v>
      </c>
      <c r="CC282" s="428">
        <f t="shared" si="538"/>
        <v>0</v>
      </c>
      <c r="CD282" s="428">
        <f t="shared" si="539"/>
        <v>0</v>
      </c>
      <c r="CE282" s="428">
        <f t="shared" si="540"/>
        <v>0</v>
      </c>
      <c r="CF282" s="428">
        <f t="shared" si="541"/>
        <v>0</v>
      </c>
      <c r="CG282" s="428">
        <f t="shared" si="542"/>
        <v>7803.7955355460363</v>
      </c>
      <c r="CH282" s="428">
        <f t="shared" si="542"/>
        <v>-2350</v>
      </c>
      <c r="CI282" s="428">
        <f t="shared" si="543"/>
        <v>0</v>
      </c>
      <c r="CJ282" s="428">
        <f t="shared" si="544"/>
        <v>0</v>
      </c>
      <c r="CK282" s="428">
        <f t="shared" si="545"/>
        <v>0</v>
      </c>
      <c r="CL282" s="428">
        <f t="shared" si="546"/>
        <v>0</v>
      </c>
      <c r="CM282" s="428">
        <f t="shared" si="547"/>
        <v>8276.71785177733</v>
      </c>
      <c r="CN282" s="428">
        <f t="shared" si="547"/>
        <v>-2350</v>
      </c>
      <c r="CO282" s="428">
        <f t="shared" si="548"/>
        <v>0</v>
      </c>
      <c r="CP282" s="428">
        <f t="shared" si="549"/>
        <v>0</v>
      </c>
      <c r="CQ282" s="428">
        <f t="shared" si="550"/>
        <v>0</v>
      </c>
      <c r="CR282" s="428">
        <f t="shared" si="551"/>
        <v>0</v>
      </c>
      <c r="CS282" s="428">
        <f t="shared" si="552"/>
        <v>8749.6401680086219</v>
      </c>
      <c r="CT282" s="428">
        <f t="shared" si="552"/>
        <v>-2350</v>
      </c>
      <c r="CU282" s="428">
        <f t="shared" si="553"/>
        <v>0</v>
      </c>
      <c r="CV282" s="428">
        <f t="shared" si="554"/>
        <v>0</v>
      </c>
      <c r="CW282" s="428">
        <f t="shared" si="555"/>
        <v>0</v>
      </c>
      <c r="CX282" s="428">
        <f t="shared" si="556"/>
        <v>0</v>
      </c>
      <c r="CY282" s="428">
        <f t="shared" si="557"/>
        <v>9222.5624842399156</v>
      </c>
      <c r="CZ282" s="428">
        <f t="shared" si="557"/>
        <v>-2350</v>
      </c>
      <c r="DA282" s="428">
        <f t="shared" si="558"/>
        <v>0</v>
      </c>
      <c r="DB282" s="428">
        <f t="shared" si="559"/>
        <v>0</v>
      </c>
      <c r="DC282" s="428">
        <f t="shared" si="560"/>
        <v>0</v>
      </c>
      <c r="DD282" s="428">
        <f t="shared" si="561"/>
        <v>0</v>
      </c>
      <c r="DE282" s="428">
        <f t="shared" si="562"/>
        <v>9695.4848004712094</v>
      </c>
    </row>
    <row r="283" spans="1:109" ht="3.95" hidden="1" customHeight="1">
      <c r="A283" s="417"/>
      <c r="B283" s="423" t="str">
        <f>"IRR: Yr 0 = cash at close less Keystone today; earnout Yr "&amp;$G$444&amp;"; Yr 5 = stake value; Topkey growth held at model (G437); rollover fixed at "&amp;TEXT($G$436,"0%")</f>
        <v>IRR: Yr 0 = cash at close less Keystone today; earnout Yr 3; Yr 5 = stake value; Topkey growth held at model (G437); rollover fixed at 30%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7"/>
      <c r="O283" s="417"/>
      <c r="P283" s="417"/>
      <c r="Q283" s="417"/>
    </row>
    <row r="284" spans="1:109" ht="3.95" customHeight="1">
      <c r="A284" s="417"/>
      <c r="B284" s="423"/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7"/>
      <c r="O284" s="417"/>
      <c r="P284" s="417"/>
      <c r="Q284" s="417"/>
    </row>
    <row r="285" spans="1:109" ht="15" customHeight="1">
      <c r="A285" s="417"/>
      <c r="B285" s="795" t="str">
        <f>"Ben's Return Profile Based on Partnering — Keystone Multiple × Net Client Wins ("&amp;TEXT($G$436,"0%")&amp;" Rollover) — Less Standalone"</f>
        <v>Ben's Return Profile Based on Partnering — Keystone Multiple × Net Client Wins (30% Rollover) — Less Standalone</v>
      </c>
      <c r="C285" s="795"/>
      <c r="D285" s="795"/>
      <c r="E285" s="795"/>
      <c r="F285" s="795"/>
      <c r="G285" s="795"/>
      <c r="H285" s="795"/>
      <c r="I285" s="795"/>
      <c r="J285" s="795"/>
      <c r="K285" s="795"/>
      <c r="L285" s="795"/>
      <c r="M285" s="417"/>
      <c r="N285" s="417"/>
      <c r="O285" s="417"/>
      <c r="P285" s="417"/>
      <c r="Q285" s="417"/>
    </row>
    <row r="286" spans="1:109" ht="15" customHeight="1">
      <c r="A286" s="417"/>
      <c r="B286" s="148" t="s">
        <v>2760</v>
      </c>
      <c r="C286" s="417"/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7"/>
      <c r="O286" s="417"/>
      <c r="P286" s="417"/>
      <c r="Q286" s="417"/>
    </row>
    <row r="287" spans="1:109" ht="2.1" customHeight="1">
      <c r="A287" s="417"/>
      <c r="B287" s="417"/>
      <c r="C287" s="417"/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7"/>
      <c r="O287" s="417"/>
      <c r="P287" s="417"/>
      <c r="Q287" s="417"/>
    </row>
    <row r="288" spans="1:109" ht="12.75" customHeight="1">
      <c r="A288" s="417"/>
      <c r="B288" s="454"/>
      <c r="C288" s="454"/>
      <c r="D288" s="768" t="s">
        <v>2753</v>
      </c>
      <c r="E288" s="768"/>
      <c r="F288" s="768"/>
      <c r="G288" s="768"/>
      <c r="H288" s="768"/>
      <c r="I288" s="768"/>
      <c r="J288" s="768"/>
      <c r="K288" s="768"/>
      <c r="L288" s="768"/>
      <c r="M288" s="417"/>
      <c r="N288" s="417"/>
      <c r="O288" s="417"/>
      <c r="P288" s="417"/>
      <c r="Q288" s="417"/>
      <c r="Z288" s="787" t="s">
        <v>2755</v>
      </c>
      <c r="AA288" s="747"/>
      <c r="AB288" s="747"/>
      <c r="AC288" s="747"/>
      <c r="AD288" s="747"/>
      <c r="AE288" s="747"/>
      <c r="AF288" s="747"/>
      <c r="AG288" s="747"/>
      <c r="AH288" s="747"/>
    </row>
    <row r="289" spans="1:54" ht="12.75" customHeight="1">
      <c r="A289" s="417"/>
      <c r="B289" s="454"/>
      <c r="C289" s="454"/>
      <c r="D289" s="816">
        <f>E289-$G$466</f>
        <v>1</v>
      </c>
      <c r="E289" s="816">
        <f>F289-$G$466</f>
        <v>1.25</v>
      </c>
      <c r="F289" s="816">
        <f>G289-$G$466</f>
        <v>1.5</v>
      </c>
      <c r="G289" s="816">
        <f>H289-$G$466</f>
        <v>1.75</v>
      </c>
      <c r="H289" s="816">
        <f>$G$465</f>
        <v>2</v>
      </c>
      <c r="I289" s="816">
        <f>H289+$G$466</f>
        <v>2.25</v>
      </c>
      <c r="J289" s="816">
        <f>I289+$G$466</f>
        <v>2.5</v>
      </c>
      <c r="K289" s="816">
        <f>J289+$G$466</f>
        <v>2.75</v>
      </c>
      <c r="L289" s="816">
        <f>K289+$G$466</f>
        <v>3</v>
      </c>
      <c r="M289" s="417"/>
      <c r="N289" s="417"/>
      <c r="O289" s="417"/>
      <c r="P289" s="417"/>
      <c r="Q289" s="417"/>
      <c r="Z289" s="817">
        <f t="shared" ref="Z289:AF289" si="569">D$289</f>
        <v>1</v>
      </c>
      <c r="AA289" s="817">
        <f t="shared" si="569"/>
        <v>1.25</v>
      </c>
      <c r="AB289" s="817">
        <f t="shared" si="569"/>
        <v>1.5</v>
      </c>
      <c r="AC289" s="817">
        <f t="shared" si="569"/>
        <v>1.75</v>
      </c>
      <c r="AD289" s="817">
        <f t="shared" si="569"/>
        <v>2</v>
      </c>
      <c r="AE289" s="817">
        <f t="shared" si="569"/>
        <v>2.25</v>
      </c>
      <c r="AF289" s="817">
        <f t="shared" si="569"/>
        <v>2.5</v>
      </c>
      <c r="AG289" s="817">
        <f t="shared" ref="AG289:AH289" si="570">K$289</f>
        <v>2.75</v>
      </c>
      <c r="AH289" s="817">
        <f t="shared" si="570"/>
        <v>3</v>
      </c>
      <c r="AT289" s="773" t="s">
        <v>2616</v>
      </c>
      <c r="AU289" s="427"/>
      <c r="AV289" s="427"/>
      <c r="AW289" s="427"/>
      <c r="AX289" s="427"/>
      <c r="AY289" s="427"/>
      <c r="AZ289" s="427"/>
      <c r="BA289" s="427"/>
      <c r="BB289" s="427"/>
    </row>
    <row r="290" spans="1:54" ht="15" customHeight="1">
      <c r="A290" s="417"/>
      <c r="B290" s="820" t="s">
        <v>2593</v>
      </c>
      <c r="C290" s="802">
        <f>C291+$G$458</f>
        <v>60</v>
      </c>
      <c r="D290" s="621">
        <f>ROUND(Z290,$G$452)</f>
        <v>-1500</v>
      </c>
      <c r="E290" s="621">
        <f t="shared" ref="E290:E296" si="571">ROUND(AA290,$G$452)</f>
        <v>-900</v>
      </c>
      <c r="F290" s="621">
        <f t="shared" ref="F290:F296" si="572">ROUND(AB290,$G$452)</f>
        <v>-300</v>
      </c>
      <c r="G290" s="621">
        <f t="shared" ref="G290:G296" si="573">ROUND(AC290,$G$452)</f>
        <v>300</v>
      </c>
      <c r="H290" s="621">
        <f t="shared" ref="H290:H296" si="574">ROUND(AD290,$G$452)</f>
        <v>1000</v>
      </c>
      <c r="I290" s="621">
        <f t="shared" ref="I290:I296" si="575">ROUND(AE290,$G$452)</f>
        <v>1600</v>
      </c>
      <c r="J290" s="621">
        <f t="shared" ref="J290:J296" si="576">ROUND(AF290,$G$452)</f>
        <v>2200</v>
      </c>
      <c r="K290" s="621">
        <f t="shared" ref="K290:K296" si="577">ROUND(AG290,$G$452)</f>
        <v>2900</v>
      </c>
      <c r="L290" s="621">
        <f t="shared" ref="L290:L296" si="578">ROUND(AH290,$G$452)</f>
        <v>3500</v>
      </c>
      <c r="M290" s="417"/>
      <c r="N290" s="417"/>
      <c r="O290" s="417"/>
      <c r="P290" s="417"/>
      <c r="Q290" s="417"/>
      <c r="Z290" s="367">
        <f t="shared" ref="Z290:AF296" si="579">Z250+$G$430-$AL250</f>
        <v>-1545.461905966924</v>
      </c>
      <c r="AA290" s="367">
        <f t="shared" si="579"/>
        <v>-915.02709055630567</v>
      </c>
      <c r="AB290" s="367">
        <f t="shared" si="579"/>
        <v>-284.5922751456892</v>
      </c>
      <c r="AC290" s="367">
        <f t="shared" si="579"/>
        <v>345.84254026492999</v>
      </c>
      <c r="AD290" s="367">
        <f t="shared" si="579"/>
        <v>976.27735567554737</v>
      </c>
      <c r="AE290" s="367">
        <f t="shared" si="579"/>
        <v>1606.7121710861647</v>
      </c>
      <c r="AF290" s="367">
        <f t="shared" si="579"/>
        <v>2237.1469864967839</v>
      </c>
      <c r="AG290" s="367">
        <f t="shared" ref="AG290:AH290" si="580">AG250+$G$430-$AL250</f>
        <v>2867.5818019073995</v>
      </c>
      <c r="AH290" s="367">
        <f t="shared" si="580"/>
        <v>3498.0166173180187</v>
      </c>
      <c r="AT290" s="805">
        <f t="shared" ref="AT290:AZ296" si="581">IF(Z290&lt;$G$449,0,MIN($G$446,1+IFERROR(INT((Z290-$G$449)/$G$467),0)))</f>
        <v>0</v>
      </c>
      <c r="AU290" s="805">
        <f t="shared" si="581"/>
        <v>0</v>
      </c>
      <c r="AV290" s="805">
        <f t="shared" si="581"/>
        <v>0</v>
      </c>
      <c r="AW290" s="805">
        <f t="shared" si="581"/>
        <v>0</v>
      </c>
      <c r="AX290" s="805">
        <f t="shared" si="581"/>
        <v>0</v>
      </c>
      <c r="AY290" s="805">
        <f t="shared" si="581"/>
        <v>2</v>
      </c>
      <c r="AZ290" s="805">
        <f t="shared" si="581"/>
        <v>4</v>
      </c>
      <c r="BA290" s="805">
        <f t="shared" ref="BA290:BB296" si="582">IF(AG290&lt;$G$449,0,MIN($G$446,1+IFERROR(INT((AG290-$G$449)/$G$467),0)))</f>
        <v>7</v>
      </c>
      <c r="BB290" s="805">
        <f t="shared" si="582"/>
        <v>9</v>
      </c>
    </row>
    <row r="291" spans="1:54" ht="15" customHeight="1">
      <c r="A291" s="417"/>
      <c r="B291" s="821"/>
      <c r="C291" s="802">
        <f>C292+$G$458</f>
        <v>56</v>
      </c>
      <c r="D291" s="470">
        <f t="shared" ref="D291:D296" si="583">ROUND(Z291,$G$452)</f>
        <v>-1200</v>
      </c>
      <c r="E291" s="470">
        <f t="shared" si="571"/>
        <v>-600</v>
      </c>
      <c r="F291" s="470">
        <f t="shared" si="572"/>
        <v>0</v>
      </c>
      <c r="G291" s="470">
        <f t="shared" si="573"/>
        <v>600</v>
      </c>
      <c r="H291" s="470">
        <f t="shared" si="574"/>
        <v>1200</v>
      </c>
      <c r="I291" s="470">
        <f t="shared" si="575"/>
        <v>1800</v>
      </c>
      <c r="J291" s="470">
        <f t="shared" si="576"/>
        <v>2400</v>
      </c>
      <c r="K291" s="470">
        <f t="shared" si="577"/>
        <v>3000</v>
      </c>
      <c r="L291" s="470">
        <f t="shared" si="578"/>
        <v>3600</v>
      </c>
      <c r="M291" s="417"/>
      <c r="N291" s="417"/>
      <c r="O291" s="417"/>
      <c r="P291" s="417"/>
      <c r="Q291" s="417"/>
      <c r="Z291" s="367">
        <f t="shared" si="579"/>
        <v>-1234.6834138943814</v>
      </c>
      <c r="AA291" s="367">
        <f t="shared" si="579"/>
        <v>-630.50068168031794</v>
      </c>
      <c r="AB291" s="367">
        <f t="shared" si="579"/>
        <v>-26.317949466254504</v>
      </c>
      <c r="AC291" s="367">
        <f t="shared" si="579"/>
        <v>577.86478274780893</v>
      </c>
      <c r="AD291" s="367">
        <f t="shared" si="579"/>
        <v>1182.0475149618724</v>
      </c>
      <c r="AE291" s="367">
        <f t="shared" si="579"/>
        <v>1786.2302471759376</v>
      </c>
      <c r="AF291" s="367">
        <f t="shared" si="579"/>
        <v>2390.4129793900011</v>
      </c>
      <c r="AG291" s="367">
        <f t="shared" ref="AG291:AH291" si="584">AG251+$G$430-$AL251</f>
        <v>2994.5957116040663</v>
      </c>
      <c r="AH291" s="367">
        <f t="shared" si="584"/>
        <v>3598.7784438181279</v>
      </c>
      <c r="AT291" s="805">
        <f t="shared" si="581"/>
        <v>0</v>
      </c>
      <c r="AU291" s="805">
        <f t="shared" si="581"/>
        <v>0</v>
      </c>
      <c r="AV291" s="805">
        <f t="shared" si="581"/>
        <v>0</v>
      </c>
      <c r="AW291" s="805">
        <f t="shared" si="581"/>
        <v>0</v>
      </c>
      <c r="AX291" s="805">
        <f t="shared" si="581"/>
        <v>1</v>
      </c>
      <c r="AY291" s="805">
        <f t="shared" si="581"/>
        <v>3</v>
      </c>
      <c r="AZ291" s="805">
        <f t="shared" si="581"/>
        <v>5</v>
      </c>
      <c r="BA291" s="805">
        <f t="shared" si="582"/>
        <v>7</v>
      </c>
      <c r="BB291" s="805">
        <f t="shared" si="582"/>
        <v>9</v>
      </c>
    </row>
    <row r="292" spans="1:54" ht="15" customHeight="1">
      <c r="A292" s="417"/>
      <c r="B292" s="821"/>
      <c r="C292" s="802">
        <f>C293+$G$458</f>
        <v>52</v>
      </c>
      <c r="D292" s="470">
        <f t="shared" si="583"/>
        <v>-900</v>
      </c>
      <c r="E292" s="470">
        <f t="shared" si="571"/>
        <v>-300</v>
      </c>
      <c r="F292" s="470">
        <f t="shared" si="572"/>
        <v>200</v>
      </c>
      <c r="G292" s="470">
        <f t="shared" si="573"/>
        <v>800</v>
      </c>
      <c r="H292" s="470">
        <f t="shared" si="574"/>
        <v>1400</v>
      </c>
      <c r="I292" s="470">
        <f t="shared" si="575"/>
        <v>2000</v>
      </c>
      <c r="J292" s="470">
        <f t="shared" si="576"/>
        <v>2500</v>
      </c>
      <c r="K292" s="470">
        <f t="shared" si="577"/>
        <v>3100</v>
      </c>
      <c r="L292" s="470">
        <f t="shared" si="578"/>
        <v>3700</v>
      </c>
      <c r="M292" s="417"/>
      <c r="N292" s="417"/>
      <c r="O292" s="417"/>
      <c r="P292" s="417"/>
      <c r="Q292" s="417"/>
      <c r="Z292" s="367">
        <f t="shared" si="579"/>
        <v>-923.90492182184062</v>
      </c>
      <c r="AA292" s="367">
        <f t="shared" si="579"/>
        <v>-345.97427280433112</v>
      </c>
      <c r="AB292" s="367">
        <f t="shared" si="579"/>
        <v>231.95637621317746</v>
      </c>
      <c r="AC292" s="367">
        <f t="shared" si="579"/>
        <v>809.88702523068787</v>
      </c>
      <c r="AD292" s="367">
        <f t="shared" si="579"/>
        <v>1387.8176742481974</v>
      </c>
      <c r="AE292" s="367">
        <f t="shared" si="579"/>
        <v>1965.7483232657069</v>
      </c>
      <c r="AF292" s="367">
        <f t="shared" si="579"/>
        <v>2543.6789722832164</v>
      </c>
      <c r="AG292" s="367">
        <f t="shared" ref="AG292:AH292" si="585">AG252+$G$430-$AL252</f>
        <v>3121.6096213007277</v>
      </c>
      <c r="AH292" s="367">
        <f t="shared" si="585"/>
        <v>3699.5402703182353</v>
      </c>
      <c r="AT292" s="805">
        <f t="shared" si="581"/>
        <v>0</v>
      </c>
      <c r="AU292" s="805">
        <f t="shared" si="581"/>
        <v>0</v>
      </c>
      <c r="AV292" s="805">
        <f t="shared" si="581"/>
        <v>0</v>
      </c>
      <c r="AW292" s="805">
        <f t="shared" si="581"/>
        <v>0</v>
      </c>
      <c r="AX292" s="805">
        <f t="shared" si="581"/>
        <v>2</v>
      </c>
      <c r="AY292" s="805">
        <f t="shared" si="581"/>
        <v>4</v>
      </c>
      <c r="AZ292" s="805">
        <f t="shared" si="581"/>
        <v>5</v>
      </c>
      <c r="BA292" s="805">
        <f t="shared" si="582"/>
        <v>7</v>
      </c>
      <c r="BB292" s="805">
        <f t="shared" si="582"/>
        <v>9</v>
      </c>
    </row>
    <row r="293" spans="1:54" ht="15" customHeight="1">
      <c r="A293" s="417"/>
      <c r="B293" s="821"/>
      <c r="C293" s="802">
        <f>$G$457</f>
        <v>48</v>
      </c>
      <c r="D293" s="470">
        <f t="shared" si="583"/>
        <v>-600</v>
      </c>
      <c r="E293" s="470">
        <f t="shared" si="571"/>
        <v>-100</v>
      </c>
      <c r="F293" s="470">
        <f t="shared" si="572"/>
        <v>500</v>
      </c>
      <c r="G293" s="470">
        <f t="shared" si="573"/>
        <v>1000</v>
      </c>
      <c r="H293" s="782">
        <f t="shared" si="574"/>
        <v>1600</v>
      </c>
      <c r="I293" s="470">
        <f t="shared" si="575"/>
        <v>2100</v>
      </c>
      <c r="J293" s="470">
        <f t="shared" si="576"/>
        <v>2700</v>
      </c>
      <c r="K293" s="470">
        <f t="shared" si="577"/>
        <v>3200</v>
      </c>
      <c r="L293" s="470">
        <f t="shared" si="578"/>
        <v>3800</v>
      </c>
      <c r="M293" s="417"/>
      <c r="N293" s="417"/>
      <c r="O293" s="417"/>
      <c r="P293" s="417"/>
      <c r="Q293" s="417"/>
      <c r="Z293" s="367">
        <f t="shared" si="579"/>
        <v>-613.12642974930168</v>
      </c>
      <c r="AA293" s="367">
        <f t="shared" si="579"/>
        <v>-61.447863928346123</v>
      </c>
      <c r="AB293" s="367">
        <f t="shared" si="579"/>
        <v>490.23070189260943</v>
      </c>
      <c r="AC293" s="367">
        <f t="shared" si="579"/>
        <v>1041.9092677135668</v>
      </c>
      <c r="AD293" s="367">
        <f t="shared" si="579"/>
        <v>1593.5878335345224</v>
      </c>
      <c r="AE293" s="367">
        <f t="shared" si="579"/>
        <v>2145.2663993554779</v>
      </c>
      <c r="AF293" s="367">
        <f t="shared" si="579"/>
        <v>2696.9449651764335</v>
      </c>
      <c r="AG293" s="367">
        <f t="shared" ref="AG293:AH293" si="586">AG253+$G$430-$AL253</f>
        <v>3248.623530997389</v>
      </c>
      <c r="AH293" s="367">
        <f t="shared" si="586"/>
        <v>3800.3020968183428</v>
      </c>
      <c r="AT293" s="805">
        <f t="shared" si="581"/>
        <v>0</v>
      </c>
      <c r="AU293" s="805">
        <f t="shared" si="581"/>
        <v>0</v>
      </c>
      <c r="AV293" s="805">
        <f t="shared" si="581"/>
        <v>0</v>
      </c>
      <c r="AW293" s="805">
        <f t="shared" si="581"/>
        <v>1</v>
      </c>
      <c r="AX293" s="805">
        <f t="shared" si="581"/>
        <v>2</v>
      </c>
      <c r="AY293" s="805">
        <f t="shared" si="581"/>
        <v>4</v>
      </c>
      <c r="AZ293" s="805">
        <f t="shared" si="581"/>
        <v>6</v>
      </c>
      <c r="BA293" s="805">
        <f t="shared" si="582"/>
        <v>8</v>
      </c>
      <c r="BB293" s="805">
        <f t="shared" si="582"/>
        <v>10</v>
      </c>
    </row>
    <row r="294" spans="1:54" ht="15" customHeight="1">
      <c r="A294" s="417"/>
      <c r="B294" s="821"/>
      <c r="C294" s="802">
        <f>C293-$G$458</f>
        <v>44</v>
      </c>
      <c r="D294" s="470">
        <f t="shared" si="583"/>
        <v>-300</v>
      </c>
      <c r="E294" s="470">
        <f t="shared" si="571"/>
        <v>200</v>
      </c>
      <c r="F294" s="470">
        <f t="shared" si="572"/>
        <v>700</v>
      </c>
      <c r="G294" s="470">
        <f t="shared" si="573"/>
        <v>1300</v>
      </c>
      <c r="H294" s="470">
        <f t="shared" si="574"/>
        <v>1800</v>
      </c>
      <c r="I294" s="470">
        <f t="shared" si="575"/>
        <v>2300</v>
      </c>
      <c r="J294" s="470">
        <f t="shared" si="576"/>
        <v>2900</v>
      </c>
      <c r="K294" s="470">
        <f t="shared" si="577"/>
        <v>3400</v>
      </c>
      <c r="L294" s="470">
        <f t="shared" si="578"/>
        <v>3900</v>
      </c>
      <c r="M294" s="417"/>
      <c r="N294" s="417"/>
      <c r="O294" s="417"/>
      <c r="P294" s="417"/>
      <c r="Q294" s="417"/>
      <c r="Z294" s="367">
        <f t="shared" si="579"/>
        <v>-302.34793767676001</v>
      </c>
      <c r="AA294" s="367">
        <f t="shared" si="579"/>
        <v>223.0785449476416</v>
      </c>
      <c r="AB294" s="367">
        <f t="shared" si="579"/>
        <v>748.50502757204231</v>
      </c>
      <c r="AC294" s="367">
        <f t="shared" si="579"/>
        <v>1273.9315101964448</v>
      </c>
      <c r="AD294" s="367">
        <f t="shared" si="579"/>
        <v>1799.3579928208446</v>
      </c>
      <c r="AE294" s="367">
        <f t="shared" si="579"/>
        <v>2324.7844754452481</v>
      </c>
      <c r="AF294" s="367">
        <f t="shared" si="579"/>
        <v>2850.2109580696497</v>
      </c>
      <c r="AG294" s="367">
        <f t="shared" ref="AG294:AH294" si="587">AG254+$G$430-$AL254</f>
        <v>3375.6374406940513</v>
      </c>
      <c r="AH294" s="367">
        <f t="shared" si="587"/>
        <v>3901.0639233184511</v>
      </c>
      <c r="AT294" s="805">
        <f t="shared" si="581"/>
        <v>0</v>
      </c>
      <c r="AU294" s="805">
        <f t="shared" si="581"/>
        <v>0</v>
      </c>
      <c r="AV294" s="805">
        <f t="shared" si="581"/>
        <v>0</v>
      </c>
      <c r="AW294" s="805">
        <f t="shared" si="581"/>
        <v>1</v>
      </c>
      <c r="AX294" s="805">
        <f t="shared" si="581"/>
        <v>3</v>
      </c>
      <c r="AY294" s="805">
        <f t="shared" si="581"/>
        <v>5</v>
      </c>
      <c r="AZ294" s="805">
        <f t="shared" si="581"/>
        <v>6</v>
      </c>
      <c r="BA294" s="805">
        <f t="shared" si="582"/>
        <v>8</v>
      </c>
      <c r="BB294" s="805">
        <f t="shared" si="582"/>
        <v>10</v>
      </c>
    </row>
    <row r="295" spans="1:54" ht="15" customHeight="1">
      <c r="A295" s="417"/>
      <c r="B295" s="821"/>
      <c r="C295" s="802">
        <f>C294-$G$458</f>
        <v>40</v>
      </c>
      <c r="D295" s="470">
        <f t="shared" si="583"/>
        <v>0</v>
      </c>
      <c r="E295" s="470">
        <f t="shared" si="571"/>
        <v>500</v>
      </c>
      <c r="F295" s="470">
        <f t="shared" si="572"/>
        <v>1000</v>
      </c>
      <c r="G295" s="470">
        <f t="shared" si="573"/>
        <v>1500</v>
      </c>
      <c r="H295" s="470">
        <f t="shared" si="574"/>
        <v>2000</v>
      </c>
      <c r="I295" s="470">
        <f t="shared" si="575"/>
        <v>2500</v>
      </c>
      <c r="J295" s="470">
        <f t="shared" si="576"/>
        <v>3000</v>
      </c>
      <c r="K295" s="470">
        <f t="shared" si="577"/>
        <v>3500</v>
      </c>
      <c r="L295" s="470">
        <f t="shared" si="578"/>
        <v>4000</v>
      </c>
      <c r="M295" s="417"/>
      <c r="N295" s="417"/>
      <c r="O295" s="417"/>
      <c r="P295" s="417"/>
      <c r="Q295" s="417"/>
      <c r="Z295" s="367">
        <f t="shared" si="579"/>
        <v>8.4305543957789268</v>
      </c>
      <c r="AA295" s="367">
        <f t="shared" si="579"/>
        <v>507.6049538236266</v>
      </c>
      <c r="AB295" s="367">
        <f t="shared" si="579"/>
        <v>1006.7793532514734</v>
      </c>
      <c r="AC295" s="367">
        <f t="shared" si="579"/>
        <v>1505.953752679321</v>
      </c>
      <c r="AD295" s="367">
        <f t="shared" si="579"/>
        <v>2005.1281521071687</v>
      </c>
      <c r="AE295" s="367">
        <f t="shared" si="579"/>
        <v>2504.3025515350164</v>
      </c>
      <c r="AF295" s="367">
        <f t="shared" si="579"/>
        <v>3003.4769509628641</v>
      </c>
      <c r="AG295" s="367">
        <f t="shared" ref="AG295:AH295" si="588">AG255+$G$430-$AL255</f>
        <v>3502.6513503907117</v>
      </c>
      <c r="AH295" s="367">
        <f t="shared" si="588"/>
        <v>4001.8257498185594</v>
      </c>
      <c r="AT295" s="805">
        <f t="shared" si="581"/>
        <v>0</v>
      </c>
      <c r="AU295" s="805">
        <f t="shared" si="581"/>
        <v>0</v>
      </c>
      <c r="AV295" s="805">
        <f t="shared" si="581"/>
        <v>1</v>
      </c>
      <c r="AW295" s="805">
        <f t="shared" si="581"/>
        <v>2</v>
      </c>
      <c r="AX295" s="805">
        <f t="shared" si="581"/>
        <v>4</v>
      </c>
      <c r="AY295" s="805">
        <f t="shared" si="581"/>
        <v>5</v>
      </c>
      <c r="AZ295" s="805">
        <f t="shared" si="581"/>
        <v>7</v>
      </c>
      <c r="BA295" s="805">
        <f t="shared" si="582"/>
        <v>9</v>
      </c>
      <c r="BB295" s="805">
        <f t="shared" si="582"/>
        <v>10</v>
      </c>
    </row>
    <row r="296" spans="1:54" ht="15" customHeight="1">
      <c r="A296" s="417"/>
      <c r="B296" s="822"/>
      <c r="C296" s="803">
        <f>C295-$G$458</f>
        <v>36</v>
      </c>
      <c r="D296" s="772">
        <f t="shared" si="583"/>
        <v>300</v>
      </c>
      <c r="E296" s="772">
        <f t="shared" si="571"/>
        <v>800</v>
      </c>
      <c r="F296" s="772">
        <f t="shared" si="572"/>
        <v>1300</v>
      </c>
      <c r="G296" s="772">
        <f t="shared" si="573"/>
        <v>1700</v>
      </c>
      <c r="H296" s="772">
        <f t="shared" si="574"/>
        <v>2200</v>
      </c>
      <c r="I296" s="772">
        <f t="shared" si="575"/>
        <v>2700</v>
      </c>
      <c r="J296" s="772">
        <f t="shared" si="576"/>
        <v>3200</v>
      </c>
      <c r="K296" s="772">
        <f t="shared" si="577"/>
        <v>3600</v>
      </c>
      <c r="L296" s="772">
        <f t="shared" si="578"/>
        <v>4100</v>
      </c>
      <c r="M296" s="417"/>
      <c r="N296" s="417"/>
      <c r="O296" s="417"/>
      <c r="P296" s="417"/>
      <c r="Q296" s="417"/>
      <c r="Z296" s="367">
        <f t="shared" si="579"/>
        <v>319.2090464683215</v>
      </c>
      <c r="AA296" s="367">
        <f t="shared" si="579"/>
        <v>792.13136269961433</v>
      </c>
      <c r="AB296" s="367">
        <f t="shared" si="579"/>
        <v>1265.0536789309081</v>
      </c>
      <c r="AC296" s="367">
        <f t="shared" si="579"/>
        <v>1737.9759951622018</v>
      </c>
      <c r="AD296" s="367">
        <f t="shared" si="579"/>
        <v>2210.8983113934955</v>
      </c>
      <c r="AE296" s="367">
        <f t="shared" si="579"/>
        <v>2683.8206276247893</v>
      </c>
      <c r="AF296" s="367">
        <f t="shared" si="579"/>
        <v>3156.7429438560812</v>
      </c>
      <c r="AG296" s="367">
        <f t="shared" ref="AG296:AH296" si="589">AG256+$G$430-$AL256</f>
        <v>3629.6652600873749</v>
      </c>
      <c r="AH296" s="367">
        <f t="shared" si="589"/>
        <v>4102.5875763186687</v>
      </c>
      <c r="AT296" s="805">
        <f t="shared" si="581"/>
        <v>0</v>
      </c>
      <c r="AU296" s="805">
        <f t="shared" si="581"/>
        <v>0</v>
      </c>
      <c r="AV296" s="805">
        <f t="shared" si="581"/>
        <v>1</v>
      </c>
      <c r="AW296" s="805">
        <f t="shared" si="581"/>
        <v>3</v>
      </c>
      <c r="AX296" s="805">
        <f t="shared" si="581"/>
        <v>4</v>
      </c>
      <c r="AY296" s="805">
        <f t="shared" si="581"/>
        <v>6</v>
      </c>
      <c r="AZ296" s="805">
        <f t="shared" si="581"/>
        <v>7</v>
      </c>
      <c r="BA296" s="805">
        <f t="shared" si="582"/>
        <v>9</v>
      </c>
      <c r="BB296" s="805">
        <f t="shared" si="582"/>
        <v>10</v>
      </c>
    </row>
    <row r="297" spans="1:54" ht="3.95" hidden="1" customHeight="1">
      <c r="A297" s="417"/>
      <c r="B297" s="423" t="s">
        <v>2763</v>
      </c>
      <c r="C297" s="785"/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7"/>
      <c r="O297" s="417"/>
      <c r="P297" s="417"/>
      <c r="Q297" s="417"/>
    </row>
    <row r="298" spans="1:54" ht="3.95" customHeight="1">
      <c r="A298" s="417"/>
      <c r="B298" s="417"/>
      <c r="C298" s="417"/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7"/>
      <c r="O298" s="417"/>
      <c r="P298" s="417"/>
      <c r="Q298" s="417"/>
    </row>
    <row r="299" spans="1:54" ht="15" customHeight="1">
      <c r="A299" s="417"/>
      <c r="B299" s="148" t="s">
        <v>2761</v>
      </c>
      <c r="C299" s="417"/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7"/>
      <c r="O299" s="417"/>
      <c r="P299" s="417"/>
      <c r="Q299" s="417"/>
    </row>
    <row r="300" spans="1:54" ht="2.1" customHeight="1">
      <c r="A300" s="417"/>
      <c r="B300" s="417"/>
      <c r="C300" s="417"/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7"/>
      <c r="O300" s="417"/>
      <c r="P300" s="417"/>
      <c r="Q300" s="417"/>
    </row>
    <row r="301" spans="1:54" ht="12.75" customHeight="1">
      <c r="A301" s="417"/>
      <c r="B301" s="454"/>
      <c r="C301" s="454"/>
      <c r="D301" s="768" t="s">
        <v>2753</v>
      </c>
      <c r="E301" s="768"/>
      <c r="F301" s="768"/>
      <c r="G301" s="768"/>
      <c r="H301" s="768"/>
      <c r="I301" s="768"/>
      <c r="J301" s="768"/>
      <c r="K301" s="768"/>
      <c r="L301" s="768"/>
      <c r="M301" s="417"/>
      <c r="N301" s="417"/>
      <c r="O301" s="417"/>
      <c r="P301" s="417"/>
      <c r="Q301" s="417"/>
    </row>
    <row r="302" spans="1:54" ht="12.75" customHeight="1">
      <c r="A302" s="417"/>
      <c r="B302" s="454"/>
      <c r="C302" s="454"/>
      <c r="D302" s="816">
        <f>E302-$G$466</f>
        <v>1</v>
      </c>
      <c r="E302" s="816">
        <f>F302-$G$466</f>
        <v>1.25</v>
      </c>
      <c r="F302" s="816">
        <f>G302-$G$466</f>
        <v>1.5</v>
      </c>
      <c r="G302" s="816">
        <f>H302-$G$466</f>
        <v>1.75</v>
      </c>
      <c r="H302" s="816">
        <f>$G$465</f>
        <v>2</v>
      </c>
      <c r="I302" s="816">
        <f>H302+$G$466</f>
        <v>2.25</v>
      </c>
      <c r="J302" s="816">
        <f>I302+$G$466</f>
        <v>2.5</v>
      </c>
      <c r="K302" s="816">
        <f>J302+$G$466</f>
        <v>2.75</v>
      </c>
      <c r="L302" s="816">
        <f>K302+$G$466</f>
        <v>3</v>
      </c>
      <c r="M302" s="417"/>
      <c r="N302" s="417"/>
      <c r="O302" s="417"/>
      <c r="P302" s="417"/>
      <c r="Q302" s="417"/>
      <c r="AT302" s="773" t="s">
        <v>2616</v>
      </c>
      <c r="AU302" s="427"/>
      <c r="AV302" s="427"/>
      <c r="AW302" s="427"/>
      <c r="AX302" s="427"/>
      <c r="AY302" s="427"/>
      <c r="AZ302" s="427"/>
      <c r="BA302" s="427"/>
      <c r="BB302" s="427"/>
    </row>
    <row r="303" spans="1:54" ht="15" customHeight="1">
      <c r="A303" s="417"/>
      <c r="B303" s="820" t="s">
        <v>2593</v>
      </c>
      <c r="C303" s="802">
        <f>C304+$G$458</f>
        <v>60</v>
      </c>
      <c r="D303" s="490">
        <f>IFERROR(Z290/$AL250,0)</f>
        <v>-0.17687450690951159</v>
      </c>
      <c r="E303" s="490">
        <f t="shared" ref="E303:E309" si="590">IFERROR(AA290/$AL250,0)</f>
        <v>-0.10472271417763136</v>
      </c>
      <c r="F303" s="490">
        <f t="shared" ref="F303:F309" si="591">IFERROR(AB290/$AL250,0)</f>
        <v>-3.2570921445751341E-2</v>
      </c>
      <c r="G303" s="490">
        <f t="shared" ref="G303:G309" si="592">IFERROR(AC290/$AL250,0)</f>
        <v>3.9580871286128985E-2</v>
      </c>
      <c r="H303" s="490">
        <f t="shared" ref="H303:H309" si="593">IFERROR(AD290/$AL250,0)</f>
        <v>0.1117326640180091</v>
      </c>
      <c r="I303" s="490">
        <f t="shared" ref="I303:I309" si="594">IFERROR(AE290/$AL250,0)</f>
        <v>0.18388445674988924</v>
      </c>
      <c r="J303" s="490">
        <f t="shared" ref="J303:J309" si="595">IFERROR(AF290/$AL250,0)</f>
        <v>0.25603624948176956</v>
      </c>
      <c r="K303" s="490">
        <f t="shared" ref="K303:K309" si="596">IFERROR(AG290/$AL250,0)</f>
        <v>0.32818804221364944</v>
      </c>
      <c r="L303" s="490">
        <f t="shared" ref="L303:L309" si="597">IFERROR(AH290/$AL250,0)</f>
        <v>0.40033983494552977</v>
      </c>
      <c r="M303" s="417"/>
      <c r="N303" s="417"/>
      <c r="O303" s="417"/>
      <c r="P303" s="417"/>
      <c r="Q303" s="417"/>
      <c r="AT303" s="805">
        <f t="shared" ref="AT303:AZ309" si="598">IF(Z290&lt;$G$449,0,MIN($G$446,1+IFERROR(INT((Z290-$G$449)/$G$467),0)))</f>
        <v>0</v>
      </c>
      <c r="AU303" s="805">
        <f t="shared" si="598"/>
        <v>0</v>
      </c>
      <c r="AV303" s="805">
        <f t="shared" si="598"/>
        <v>0</v>
      </c>
      <c r="AW303" s="805">
        <f t="shared" si="598"/>
        <v>0</v>
      </c>
      <c r="AX303" s="805">
        <f t="shared" si="598"/>
        <v>0</v>
      </c>
      <c r="AY303" s="805">
        <f t="shared" si="598"/>
        <v>2</v>
      </c>
      <c r="AZ303" s="805">
        <f t="shared" si="598"/>
        <v>4</v>
      </c>
      <c r="BA303" s="805">
        <f t="shared" ref="BA303:BB303" si="599">IF(AG290&lt;$G$449,0,MIN($G$446,1+IFERROR(INT((AG290-$G$449)/$G$467),0)))</f>
        <v>7</v>
      </c>
      <c r="BB303" s="805">
        <f t="shared" si="599"/>
        <v>9</v>
      </c>
    </row>
    <row r="304" spans="1:54" ht="15" customHeight="1">
      <c r="A304" s="417"/>
      <c r="B304" s="821"/>
      <c r="C304" s="802">
        <f>C305+$G$458</f>
        <v>56</v>
      </c>
      <c r="D304" s="490">
        <f t="shared" ref="D304:D309" si="600">IFERROR(Z291/$AL251,0)</f>
        <v>-0.1483667911781095</v>
      </c>
      <c r="E304" s="490">
        <f t="shared" si="590"/>
        <v>-7.5764655071750717E-2</v>
      </c>
      <c r="F304" s="490">
        <f t="shared" si="591"/>
        <v>-3.1625189653919183E-3</v>
      </c>
      <c r="G304" s="490">
        <f t="shared" si="592"/>
        <v>6.9439617140966872E-2</v>
      </c>
      <c r="H304" s="490">
        <f t="shared" si="593"/>
        <v>0.14204175324732568</v>
      </c>
      <c r="I304" s="490">
        <f t="shared" si="594"/>
        <v>0.2146438893536847</v>
      </c>
      <c r="J304" s="490">
        <f t="shared" si="595"/>
        <v>0.28724602546004346</v>
      </c>
      <c r="K304" s="490">
        <f t="shared" si="596"/>
        <v>0.35984816156640248</v>
      </c>
      <c r="L304" s="490">
        <f t="shared" si="597"/>
        <v>0.43245029767276105</v>
      </c>
      <c r="M304" s="417"/>
      <c r="N304" s="417"/>
      <c r="O304" s="417"/>
      <c r="P304" s="417"/>
      <c r="Q304" s="417"/>
      <c r="AT304" s="805">
        <f t="shared" si="598"/>
        <v>0</v>
      </c>
      <c r="AU304" s="805">
        <f t="shared" si="598"/>
        <v>0</v>
      </c>
      <c r="AV304" s="805">
        <f t="shared" si="598"/>
        <v>0</v>
      </c>
      <c r="AW304" s="805">
        <f t="shared" si="598"/>
        <v>0</v>
      </c>
      <c r="AX304" s="805">
        <f t="shared" si="598"/>
        <v>1</v>
      </c>
      <c r="AY304" s="805">
        <f t="shared" si="598"/>
        <v>3</v>
      </c>
      <c r="AZ304" s="805">
        <f t="shared" si="598"/>
        <v>5</v>
      </c>
      <c r="BA304" s="805">
        <f t="shared" ref="BA304:BB304" si="601">IF(AG291&lt;$G$449,0,MIN($G$446,1+IFERROR(INT((AG291-$G$449)/$G$467),0)))</f>
        <v>7</v>
      </c>
      <c r="BB304" s="805">
        <f t="shared" si="601"/>
        <v>9</v>
      </c>
    </row>
    <row r="305" spans="1:54" ht="15" customHeight="1">
      <c r="A305" s="417"/>
      <c r="B305" s="821"/>
      <c r="C305" s="802">
        <f>C306+$G$458</f>
        <v>52</v>
      </c>
      <c r="D305" s="490">
        <f t="shared" si="600"/>
        <v>-0.11686057662151836</v>
      </c>
      <c r="E305" s="490">
        <f t="shared" si="590"/>
        <v>-4.376072911961499E-2</v>
      </c>
      <c r="F305" s="490">
        <f t="shared" si="591"/>
        <v>2.9339118382288261E-2</v>
      </c>
      <c r="G305" s="490">
        <f t="shared" si="592"/>
        <v>0.10243896588419174</v>
      </c>
      <c r="H305" s="490">
        <f t="shared" si="593"/>
        <v>0.17553881338609509</v>
      </c>
      <c r="I305" s="490">
        <f t="shared" si="594"/>
        <v>0.24863866088799846</v>
      </c>
      <c r="J305" s="490">
        <f t="shared" si="595"/>
        <v>0.32173850838990181</v>
      </c>
      <c r="K305" s="490">
        <f t="shared" si="596"/>
        <v>0.39483835589180544</v>
      </c>
      <c r="L305" s="490">
        <f t="shared" si="597"/>
        <v>0.46793820339370856</v>
      </c>
      <c r="M305" s="417"/>
      <c r="N305" s="417"/>
      <c r="O305" s="417"/>
      <c r="P305" s="417"/>
      <c r="Q305" s="417"/>
      <c r="AT305" s="805">
        <f t="shared" si="598"/>
        <v>0</v>
      </c>
      <c r="AU305" s="805">
        <f t="shared" si="598"/>
        <v>0</v>
      </c>
      <c r="AV305" s="805">
        <f t="shared" si="598"/>
        <v>0</v>
      </c>
      <c r="AW305" s="805">
        <f t="shared" si="598"/>
        <v>0</v>
      </c>
      <c r="AX305" s="805">
        <f t="shared" si="598"/>
        <v>2</v>
      </c>
      <c r="AY305" s="805">
        <f t="shared" si="598"/>
        <v>4</v>
      </c>
      <c r="AZ305" s="805">
        <f t="shared" si="598"/>
        <v>5</v>
      </c>
      <c r="BA305" s="805">
        <f t="shared" ref="BA305:BB305" si="602">IF(AG292&lt;$G$449,0,MIN($G$446,1+IFERROR(INT((AG292-$G$449)/$G$467),0)))</f>
        <v>7</v>
      </c>
      <c r="BB305" s="805">
        <f t="shared" si="602"/>
        <v>9</v>
      </c>
    </row>
    <row r="306" spans="1:54" ht="15" customHeight="1">
      <c r="A306" s="417"/>
      <c r="B306" s="821"/>
      <c r="C306" s="802">
        <f>$G$457</f>
        <v>48</v>
      </c>
      <c r="D306" s="490">
        <f t="shared" si="600"/>
        <v>-8.1856520083862627E-2</v>
      </c>
      <c r="E306" s="490">
        <f t="shared" si="590"/>
        <v>-8.2037049190943831E-3</v>
      </c>
      <c r="F306" s="490">
        <f t="shared" si="591"/>
        <v>6.5449110245673861E-2</v>
      </c>
      <c r="G306" s="490">
        <f t="shared" si="592"/>
        <v>0.13910192541044236</v>
      </c>
      <c r="H306" s="783">
        <f t="shared" si="593"/>
        <v>0.2127547405752106</v>
      </c>
      <c r="I306" s="490">
        <f t="shared" si="594"/>
        <v>0.28640755573997884</v>
      </c>
      <c r="J306" s="490">
        <f t="shared" si="595"/>
        <v>0.36006037090474707</v>
      </c>
      <c r="K306" s="490">
        <f t="shared" si="596"/>
        <v>0.43371318606951531</v>
      </c>
      <c r="L306" s="490">
        <f t="shared" si="597"/>
        <v>0.50736600123428333</v>
      </c>
      <c r="M306" s="417"/>
      <c r="N306" s="417"/>
      <c r="O306" s="417"/>
      <c r="P306" s="417"/>
      <c r="Q306" s="417"/>
      <c r="AT306" s="805">
        <f t="shared" si="598"/>
        <v>0</v>
      </c>
      <c r="AU306" s="805">
        <f t="shared" si="598"/>
        <v>0</v>
      </c>
      <c r="AV306" s="805">
        <f t="shared" si="598"/>
        <v>0</v>
      </c>
      <c r="AW306" s="805">
        <f t="shared" si="598"/>
        <v>1</v>
      </c>
      <c r="AX306" s="805">
        <f t="shared" si="598"/>
        <v>2</v>
      </c>
      <c r="AY306" s="805">
        <f t="shared" si="598"/>
        <v>4</v>
      </c>
      <c r="AZ306" s="805">
        <f t="shared" si="598"/>
        <v>6</v>
      </c>
      <c r="BA306" s="805">
        <f t="shared" ref="BA306:BB306" si="603">IF(AG293&lt;$G$449,0,MIN($G$446,1+IFERROR(INT((AG293-$G$449)/$G$467),0)))</f>
        <v>8</v>
      </c>
      <c r="BB306" s="805">
        <f t="shared" si="603"/>
        <v>10</v>
      </c>
    </row>
    <row r="307" spans="1:54" ht="15" customHeight="1">
      <c r="A307" s="417"/>
      <c r="B307" s="821"/>
      <c r="C307" s="802">
        <f>C306-$G$458</f>
        <v>44</v>
      </c>
      <c r="D307" s="490">
        <f t="shared" si="600"/>
        <v>-4.2737887125028483E-2</v>
      </c>
      <c r="E307" s="490">
        <f t="shared" si="590"/>
        <v>3.1532894675076605E-2</v>
      </c>
      <c r="F307" s="490">
        <f t="shared" si="591"/>
        <v>0.10580367647518157</v>
      </c>
      <c r="G307" s="490">
        <f t="shared" si="592"/>
        <v>0.18007445827528679</v>
      </c>
      <c r="H307" s="490">
        <f t="shared" si="593"/>
        <v>0.25434524007539161</v>
      </c>
      <c r="I307" s="490">
        <f t="shared" si="594"/>
        <v>0.32861602187549699</v>
      </c>
      <c r="J307" s="490">
        <f t="shared" si="595"/>
        <v>0.40288680367560209</v>
      </c>
      <c r="K307" s="490">
        <f t="shared" si="596"/>
        <v>0.47715758547570714</v>
      </c>
      <c r="L307" s="490">
        <f t="shared" si="597"/>
        <v>0.55142836727581201</v>
      </c>
      <c r="M307" s="417"/>
      <c r="N307" s="417"/>
      <c r="O307" s="417"/>
      <c r="P307" s="417"/>
      <c r="Q307" s="417"/>
      <c r="AT307" s="805">
        <f t="shared" si="598"/>
        <v>0</v>
      </c>
      <c r="AU307" s="805">
        <f t="shared" si="598"/>
        <v>0</v>
      </c>
      <c r="AV307" s="805">
        <f t="shared" si="598"/>
        <v>0</v>
      </c>
      <c r="AW307" s="805">
        <f t="shared" si="598"/>
        <v>1</v>
      </c>
      <c r="AX307" s="805">
        <f t="shared" si="598"/>
        <v>3</v>
      </c>
      <c r="AY307" s="805">
        <f t="shared" si="598"/>
        <v>5</v>
      </c>
      <c r="AZ307" s="805">
        <f t="shared" si="598"/>
        <v>6</v>
      </c>
      <c r="BA307" s="805">
        <f t="shared" ref="BA307:BB307" si="604">IF(AG294&lt;$G$449,0,MIN($G$446,1+IFERROR(INT((AG294-$G$449)/$G$467),0)))</f>
        <v>8</v>
      </c>
      <c r="BB307" s="805">
        <f t="shared" si="604"/>
        <v>10</v>
      </c>
    </row>
    <row r="308" spans="1:54" ht="15" customHeight="1">
      <c r="A308" s="417"/>
      <c r="B308" s="821"/>
      <c r="C308" s="802">
        <f>C307-$G$458</f>
        <v>40</v>
      </c>
      <c r="D308" s="490">
        <f t="shared" si="600"/>
        <v>1.2660991772136599E-3</v>
      </c>
      <c r="E308" s="490">
        <f t="shared" si="590"/>
        <v>7.6232022737134864E-2</v>
      </c>
      <c r="F308" s="490">
        <f t="shared" si="591"/>
        <v>0.15119794629705594</v>
      </c>
      <c r="G308" s="490">
        <f t="shared" si="592"/>
        <v>0.22616386985697715</v>
      </c>
      <c r="H308" s="490">
        <f t="shared" si="593"/>
        <v>0.30112979341689833</v>
      </c>
      <c r="I308" s="490">
        <f t="shared" si="594"/>
        <v>0.37609571697681954</v>
      </c>
      <c r="J308" s="490">
        <f t="shared" si="595"/>
        <v>0.45106164053674075</v>
      </c>
      <c r="K308" s="490">
        <f t="shared" si="596"/>
        <v>0.52602756409666196</v>
      </c>
      <c r="L308" s="490">
        <f t="shared" si="597"/>
        <v>0.60099348765658323</v>
      </c>
      <c r="M308" s="417"/>
      <c r="N308" s="417"/>
      <c r="O308" s="417"/>
      <c r="P308" s="417"/>
      <c r="Q308" s="417"/>
      <c r="AT308" s="805">
        <f t="shared" si="598"/>
        <v>0</v>
      </c>
      <c r="AU308" s="805">
        <f t="shared" si="598"/>
        <v>0</v>
      </c>
      <c r="AV308" s="805">
        <f t="shared" si="598"/>
        <v>1</v>
      </c>
      <c r="AW308" s="805">
        <f t="shared" si="598"/>
        <v>2</v>
      </c>
      <c r="AX308" s="805">
        <f t="shared" si="598"/>
        <v>4</v>
      </c>
      <c r="AY308" s="805">
        <f t="shared" si="598"/>
        <v>5</v>
      </c>
      <c r="AZ308" s="805">
        <f t="shared" si="598"/>
        <v>7</v>
      </c>
      <c r="BA308" s="805">
        <f t="shared" ref="BA308:BB308" si="605">IF(AG295&lt;$G$449,0,MIN($G$446,1+IFERROR(INT((AG295-$G$449)/$G$467),0)))</f>
        <v>9</v>
      </c>
      <c r="BB308" s="805">
        <f t="shared" si="605"/>
        <v>10</v>
      </c>
    </row>
    <row r="309" spans="1:54" ht="15" customHeight="1">
      <c r="A309" s="417"/>
      <c r="B309" s="822"/>
      <c r="C309" s="803">
        <f>C308-$G$458</f>
        <v>36</v>
      </c>
      <c r="D309" s="784">
        <f t="shared" si="600"/>
        <v>5.113155559142709E-2</v>
      </c>
      <c r="E309" s="784">
        <f t="shared" si="590"/>
        <v>0.1268852159915454</v>
      </c>
      <c r="F309" s="784">
        <f t="shared" si="591"/>
        <v>0.20263887639166384</v>
      </c>
      <c r="G309" s="784">
        <f t="shared" si="592"/>
        <v>0.27839253679178227</v>
      </c>
      <c r="H309" s="784">
        <f t="shared" si="593"/>
        <v>0.35414619719190077</v>
      </c>
      <c r="I309" s="784">
        <f t="shared" si="594"/>
        <v>0.42989985759201921</v>
      </c>
      <c r="J309" s="784">
        <f t="shared" si="595"/>
        <v>0.50565351799213731</v>
      </c>
      <c r="K309" s="784">
        <f t="shared" si="596"/>
        <v>0.58140717839225586</v>
      </c>
      <c r="L309" s="784">
        <f t="shared" si="597"/>
        <v>0.6571608387923743</v>
      </c>
      <c r="M309" s="417"/>
      <c r="N309" s="417"/>
      <c r="O309" s="417"/>
      <c r="P309" s="417"/>
      <c r="Q309" s="417"/>
      <c r="AT309" s="805">
        <f t="shared" si="598"/>
        <v>0</v>
      </c>
      <c r="AU309" s="805">
        <f t="shared" si="598"/>
        <v>0</v>
      </c>
      <c r="AV309" s="805">
        <f t="shared" si="598"/>
        <v>1</v>
      </c>
      <c r="AW309" s="805">
        <f t="shared" si="598"/>
        <v>3</v>
      </c>
      <c r="AX309" s="805">
        <f t="shared" si="598"/>
        <v>4</v>
      </c>
      <c r="AY309" s="805">
        <f t="shared" si="598"/>
        <v>6</v>
      </c>
      <c r="AZ309" s="805">
        <f t="shared" si="598"/>
        <v>7</v>
      </c>
      <c r="BA309" s="805">
        <f t="shared" ref="BA309:BB309" si="606">IF(AG296&lt;$G$449,0,MIN($G$446,1+IFERROR(INT((AG296-$G$449)/$G$467),0)))</f>
        <v>9</v>
      </c>
      <c r="BB309" s="805">
        <f t="shared" si="606"/>
        <v>10</v>
      </c>
    </row>
    <row r="310" spans="1:54" ht="3.95" hidden="1" customHeight="1">
      <c r="A310" s="417"/>
      <c r="B310" s="423" t="s">
        <v>2764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7"/>
      <c r="O310" s="417"/>
      <c r="P310" s="417"/>
      <c r="Q310" s="417"/>
    </row>
    <row r="311" spans="1:54" ht="3.95" customHeight="1">
      <c r="A311" s="417"/>
      <c r="M311" s="417"/>
      <c r="N311" s="417"/>
      <c r="O311" s="417"/>
      <c r="P311" s="417"/>
      <c r="Q311" s="417"/>
    </row>
    <row r="312" spans="1:54" ht="15" customHeight="1">
      <c r="A312" s="417"/>
      <c r="B312" s="148" t="s">
        <v>2762</v>
      </c>
      <c r="C312" s="417"/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7"/>
      <c r="O312" s="417"/>
      <c r="P312" s="417"/>
      <c r="Q312" s="417"/>
    </row>
    <row r="313" spans="1:54" ht="2.1" customHeight="1">
      <c r="A313" s="417"/>
      <c r="B313" s="417"/>
      <c r="C313" s="417"/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7"/>
      <c r="O313" s="417"/>
      <c r="P313" s="417"/>
      <c r="Q313" s="417"/>
    </row>
    <row r="314" spans="1:54" ht="12.75" customHeight="1">
      <c r="A314" s="417"/>
      <c r="B314" s="454"/>
      <c r="C314" s="454"/>
      <c r="D314" s="768" t="s">
        <v>2753</v>
      </c>
      <c r="E314" s="768"/>
      <c r="F314" s="768"/>
      <c r="G314" s="768"/>
      <c r="H314" s="768"/>
      <c r="I314" s="768"/>
      <c r="J314" s="768"/>
      <c r="K314" s="768"/>
      <c r="L314" s="768"/>
      <c r="M314" s="417"/>
      <c r="N314" s="417"/>
      <c r="O314" s="417"/>
      <c r="P314" s="417"/>
      <c r="Q314" s="417"/>
    </row>
    <row r="315" spans="1:54" ht="12.75" customHeight="1">
      <c r="A315" s="417"/>
      <c r="B315" s="454"/>
      <c r="C315" s="454"/>
      <c r="D315" s="816">
        <f>E315-$G$466</f>
        <v>1</v>
      </c>
      <c r="E315" s="816">
        <f>F315-$G$466</f>
        <v>1.25</v>
      </c>
      <c r="F315" s="816">
        <f>G315-$G$466</f>
        <v>1.5</v>
      </c>
      <c r="G315" s="816">
        <f>H315-$G$466</f>
        <v>1.75</v>
      </c>
      <c r="H315" s="816">
        <f>$G$465</f>
        <v>2</v>
      </c>
      <c r="I315" s="816">
        <f>H315+$G$466</f>
        <v>2.25</v>
      </c>
      <c r="J315" s="816">
        <f>I315+$G$466</f>
        <v>2.5</v>
      </c>
      <c r="K315" s="816">
        <f>J315+$G$466</f>
        <v>2.75</v>
      </c>
      <c r="L315" s="816">
        <f>K315+$G$466</f>
        <v>3</v>
      </c>
      <c r="M315" s="417"/>
      <c r="N315" s="417"/>
      <c r="O315" s="417"/>
      <c r="P315" s="417"/>
      <c r="Q315" s="417"/>
      <c r="AT315" s="773" t="s">
        <v>2616</v>
      </c>
      <c r="AU315" s="427"/>
      <c r="AV315" s="427"/>
      <c r="AW315" s="427"/>
      <c r="AX315" s="427"/>
      <c r="AY315" s="427"/>
      <c r="AZ315" s="427"/>
      <c r="BA315" s="427"/>
      <c r="BB315" s="427"/>
    </row>
    <row r="316" spans="1:54" ht="15" customHeight="1">
      <c r="A316" s="417"/>
      <c r="B316" s="820" t="s">
        <v>2593</v>
      </c>
      <c r="C316" s="802">
        <f>C317+$G$458</f>
        <v>60</v>
      </c>
      <c r="D316" s="632">
        <f>D276-$AM250</f>
        <v>-1.1138100277189755E-2</v>
      </c>
      <c r="E316" s="632">
        <f t="shared" ref="E316:J316" si="607">E276-$AM250</f>
        <v>1.165223915004665E-2</v>
      </c>
      <c r="F316" s="632">
        <f t="shared" si="607"/>
        <v>3.2892394128265945E-2</v>
      </c>
      <c r="G316" s="632">
        <f t="shared" si="607"/>
        <v>5.2801153660193778E-2</v>
      </c>
      <c r="H316" s="632">
        <f t="shared" si="607"/>
        <v>7.155274130781808E-2</v>
      </c>
      <c r="I316" s="632">
        <f t="shared" si="607"/>
        <v>8.928830457983139E-2</v>
      </c>
      <c r="J316" s="632">
        <f t="shared" si="607"/>
        <v>0.10612389912003328</v>
      </c>
      <c r="K316" s="632">
        <f t="shared" ref="K316:L316" si="608">K276-$AM250</f>
        <v>0.12215618297995556</v>
      </c>
      <c r="L316" s="632">
        <f t="shared" si="608"/>
        <v>0.13746657010251973</v>
      </c>
      <c r="M316" s="417"/>
      <c r="N316" s="417"/>
      <c r="O316" s="417"/>
      <c r="P316" s="417"/>
      <c r="Q316" s="417"/>
      <c r="AT316" s="805">
        <f t="shared" ref="AT316:AZ322" si="609">IF(Z290&lt;$G$449,0,MIN($G$446,1+IFERROR(INT((Z290-$G$449)/$G$467),0)))</f>
        <v>0</v>
      </c>
      <c r="AU316" s="805">
        <f t="shared" si="609"/>
        <v>0</v>
      </c>
      <c r="AV316" s="805">
        <f t="shared" si="609"/>
        <v>0</v>
      </c>
      <c r="AW316" s="805">
        <f t="shared" si="609"/>
        <v>0</v>
      </c>
      <c r="AX316" s="805">
        <f t="shared" si="609"/>
        <v>0</v>
      </c>
      <c r="AY316" s="805">
        <f t="shared" si="609"/>
        <v>2</v>
      </c>
      <c r="AZ316" s="805">
        <f t="shared" si="609"/>
        <v>4</v>
      </c>
      <c r="BA316" s="805">
        <f t="shared" ref="BA316:BB316" si="610">IF(AG290&lt;$G$449,0,MIN($G$446,1+IFERROR(INT((AG290-$G$449)/$G$467),0)))</f>
        <v>7</v>
      </c>
      <c r="BB316" s="805">
        <f t="shared" si="610"/>
        <v>9</v>
      </c>
    </row>
    <row r="317" spans="1:54" ht="15" customHeight="1">
      <c r="A317" s="417"/>
      <c r="B317" s="821"/>
      <c r="C317" s="802">
        <f>C318+$G$458</f>
        <v>56</v>
      </c>
      <c r="D317" s="632">
        <f t="shared" ref="D317:J317" si="611">D277-$AM251</f>
        <v>-3.0865009407343713E-3</v>
      </c>
      <c r="E317" s="632">
        <f t="shared" si="611"/>
        <v>1.9060026503454175E-2</v>
      </c>
      <c r="F317" s="632">
        <f t="shared" si="611"/>
        <v>3.9734880678802265E-2</v>
      </c>
      <c r="G317" s="632">
        <f t="shared" si="611"/>
        <v>5.9141344355382763E-2</v>
      </c>
      <c r="H317" s="632">
        <f t="shared" si="611"/>
        <v>7.7442113510935551E-2</v>
      </c>
      <c r="I317" s="632">
        <f t="shared" si="611"/>
        <v>9.4769567360532658E-2</v>
      </c>
      <c r="J317" s="632">
        <f t="shared" si="611"/>
        <v>0.11123295957658064</v>
      </c>
      <c r="K317" s="632">
        <f t="shared" ref="K317:L317" si="612">K277-$AM251</f>
        <v>0.12692358072032839</v>
      </c>
      <c r="L317" s="632">
        <f t="shared" si="612"/>
        <v>0.1419185453246059</v>
      </c>
      <c r="M317" s="417"/>
      <c r="N317" s="417"/>
      <c r="O317" s="417"/>
      <c r="P317" s="417"/>
      <c r="Q317" s="417"/>
      <c r="AT317" s="805">
        <f t="shared" si="609"/>
        <v>0</v>
      </c>
      <c r="AU317" s="805">
        <f t="shared" si="609"/>
        <v>0</v>
      </c>
      <c r="AV317" s="805">
        <f t="shared" si="609"/>
        <v>0</v>
      </c>
      <c r="AW317" s="805">
        <f t="shared" si="609"/>
        <v>0</v>
      </c>
      <c r="AX317" s="805">
        <f t="shared" si="609"/>
        <v>1</v>
      </c>
      <c r="AY317" s="805">
        <f t="shared" si="609"/>
        <v>3</v>
      </c>
      <c r="AZ317" s="805">
        <f t="shared" si="609"/>
        <v>5</v>
      </c>
      <c r="BA317" s="805">
        <f t="shared" ref="BA317:BB317" si="613">IF(AG291&lt;$G$449,0,MIN($G$446,1+IFERROR(INT((AG291-$G$449)/$G$467),0)))</f>
        <v>7</v>
      </c>
      <c r="BB317" s="805">
        <f t="shared" si="613"/>
        <v>9</v>
      </c>
    </row>
    <row r="318" spans="1:54" ht="15" customHeight="1">
      <c r="A318" s="417"/>
      <c r="B318" s="821"/>
      <c r="C318" s="802">
        <f>C319+$G$458</f>
        <v>52</v>
      </c>
      <c r="D318" s="632">
        <f t="shared" ref="D318:J318" si="614">D278-$AM252</f>
        <v>5.4033502354580154E-3</v>
      </c>
      <c r="E318" s="632">
        <f t="shared" si="614"/>
        <v>2.6888899450959292E-2</v>
      </c>
      <c r="F318" s="632">
        <f t="shared" si="614"/>
        <v>4.6981712325365521E-2</v>
      </c>
      <c r="G318" s="632">
        <f t="shared" si="614"/>
        <v>6.5869798848938066E-2</v>
      </c>
      <c r="H318" s="632">
        <f t="shared" si="614"/>
        <v>8.3704425352274736E-2</v>
      </c>
      <c r="I318" s="632">
        <f t="shared" si="614"/>
        <v>0.10060922816468398</v>
      </c>
      <c r="J318" s="632">
        <f t="shared" si="614"/>
        <v>0.11668664580075805</v>
      </c>
      <c r="K318" s="632">
        <f t="shared" ref="K318:L318" si="615">K278-$AM252</f>
        <v>0.13202256838791504</v>
      </c>
      <c r="L318" s="632">
        <f t="shared" si="615"/>
        <v>0.14668976881262652</v>
      </c>
      <c r="M318" s="417"/>
      <c r="N318" s="417"/>
      <c r="O318" s="417"/>
      <c r="P318" s="417"/>
      <c r="Q318" s="417"/>
      <c r="AT318" s="805">
        <f t="shared" si="609"/>
        <v>0</v>
      </c>
      <c r="AU318" s="805">
        <f t="shared" si="609"/>
        <v>0</v>
      </c>
      <c r="AV318" s="805">
        <f t="shared" si="609"/>
        <v>0</v>
      </c>
      <c r="AW318" s="805">
        <f t="shared" si="609"/>
        <v>0</v>
      </c>
      <c r="AX318" s="805">
        <f t="shared" si="609"/>
        <v>2</v>
      </c>
      <c r="AY318" s="805">
        <f t="shared" si="609"/>
        <v>4</v>
      </c>
      <c r="AZ318" s="805">
        <f t="shared" si="609"/>
        <v>5</v>
      </c>
      <c r="BA318" s="805">
        <f t="shared" ref="BA318:BB318" si="616">IF(AG292&lt;$G$449,0,MIN($G$446,1+IFERROR(INT((AG292-$G$449)/$G$467),0)))</f>
        <v>7</v>
      </c>
      <c r="BB318" s="805">
        <f t="shared" si="616"/>
        <v>9</v>
      </c>
    </row>
    <row r="319" spans="1:54" ht="15" customHeight="1">
      <c r="A319" s="417"/>
      <c r="B319" s="821"/>
      <c r="C319" s="802">
        <f>$G$457</f>
        <v>48</v>
      </c>
      <c r="D319" s="632">
        <f t="shared" ref="D319:J319" si="617">D279-$AM253</f>
        <v>1.4377339561529201E-2</v>
      </c>
      <c r="E319" s="632">
        <f t="shared" si="617"/>
        <v>3.5183923320988963E-2</v>
      </c>
      <c r="F319" s="632">
        <f t="shared" si="617"/>
        <v>5.4677056592764339E-2</v>
      </c>
      <c r="G319" s="632">
        <f t="shared" si="617"/>
        <v>7.3029743609851039E-2</v>
      </c>
      <c r="H319" s="790">
        <f t="shared" si="617"/>
        <v>9.0381942850864538E-2</v>
      </c>
      <c r="I319" s="632">
        <f t="shared" si="617"/>
        <v>0.10684858967835376</v>
      </c>
      <c r="J319" s="632">
        <f t="shared" si="617"/>
        <v>0.12252530561560859</v>
      </c>
      <c r="K319" s="632">
        <f t="shared" ref="K319:L319" si="618">K279-$AM253</f>
        <v>0.13749255495352242</v>
      </c>
      <c r="L319" s="632">
        <f t="shared" si="618"/>
        <v>0.15181873160905801</v>
      </c>
      <c r="M319" s="417"/>
      <c r="N319" s="417"/>
      <c r="O319" s="417"/>
      <c r="P319" s="417"/>
      <c r="Q319" s="417"/>
      <c r="AT319" s="805">
        <f t="shared" si="609"/>
        <v>0</v>
      </c>
      <c r="AU319" s="805">
        <f t="shared" si="609"/>
        <v>0</v>
      </c>
      <c r="AV319" s="805">
        <f t="shared" si="609"/>
        <v>0</v>
      </c>
      <c r="AW319" s="805">
        <f t="shared" si="609"/>
        <v>1</v>
      </c>
      <c r="AX319" s="805">
        <f t="shared" si="609"/>
        <v>2</v>
      </c>
      <c r="AY319" s="805">
        <f t="shared" si="609"/>
        <v>4</v>
      </c>
      <c r="AZ319" s="805">
        <f t="shared" si="609"/>
        <v>6</v>
      </c>
      <c r="BA319" s="805">
        <f t="shared" ref="BA319:BB319" si="619">IF(AG293&lt;$G$449,0,MIN($G$446,1+IFERROR(INT((AG293-$G$449)/$G$467),0)))</f>
        <v>8</v>
      </c>
      <c r="BB319" s="805">
        <f t="shared" si="619"/>
        <v>10</v>
      </c>
    </row>
    <row r="320" spans="1:54" ht="15" customHeight="1">
      <c r="A320" s="417"/>
      <c r="B320" s="821"/>
      <c r="C320" s="802">
        <f>C319-$G$458</f>
        <v>44</v>
      </c>
      <c r="D320" s="632">
        <f t="shared" ref="D320:J320" si="620">D280-$AM254</f>
        <v>2.3888830372370995E-2</v>
      </c>
      <c r="E320" s="632">
        <f t="shared" si="620"/>
        <v>4.3997584477740492E-2</v>
      </c>
      <c r="F320" s="632">
        <f t="shared" si="620"/>
        <v>6.2872433114379067E-2</v>
      </c>
      <c r="G320" s="632">
        <f t="shared" si="620"/>
        <v>8.0671678081349674E-2</v>
      </c>
      <c r="H320" s="632">
        <f t="shared" si="620"/>
        <v>9.752411815049844E-2</v>
      </c>
      <c r="I320" s="632">
        <f t="shared" si="620"/>
        <v>0.11353604837786335</v>
      </c>
      <c r="J320" s="632">
        <f t="shared" si="620"/>
        <v>0.12879628452316783</v>
      </c>
      <c r="K320" s="632">
        <f t="shared" ref="K320:L320" si="621">K280-$AM254</f>
        <v>0.14337984859229813</v>
      </c>
      <c r="L320" s="632">
        <f t="shared" si="621"/>
        <v>0.15735072424335939</v>
      </c>
      <c r="M320" s="417"/>
      <c r="N320" s="417"/>
      <c r="O320" s="417"/>
      <c r="P320" s="417"/>
      <c r="Q320" s="417"/>
      <c r="AT320" s="805">
        <f t="shared" si="609"/>
        <v>0</v>
      </c>
      <c r="AU320" s="805">
        <f t="shared" si="609"/>
        <v>0</v>
      </c>
      <c r="AV320" s="805">
        <f t="shared" si="609"/>
        <v>0</v>
      </c>
      <c r="AW320" s="805">
        <f t="shared" si="609"/>
        <v>1</v>
      </c>
      <c r="AX320" s="805">
        <f t="shared" si="609"/>
        <v>3</v>
      </c>
      <c r="AY320" s="805">
        <f t="shared" si="609"/>
        <v>5</v>
      </c>
      <c r="AZ320" s="805">
        <f t="shared" si="609"/>
        <v>6</v>
      </c>
      <c r="BA320" s="805">
        <f t="shared" ref="BA320:BB320" si="622">IF(AG294&lt;$G$449,0,MIN($G$446,1+IFERROR(INT((AG294-$G$449)/$G$467),0)))</f>
        <v>8</v>
      </c>
      <c r="BB320" s="805">
        <f t="shared" si="622"/>
        <v>10</v>
      </c>
    </row>
    <row r="321" spans="1:54" ht="15" customHeight="1">
      <c r="A321" s="417"/>
      <c r="B321" s="821"/>
      <c r="C321" s="802">
        <f>C320-$G$458</f>
        <v>40</v>
      </c>
      <c r="D321" s="632">
        <f t="shared" ref="D321:J321" si="623">D281-$AM255</f>
        <v>3.4000387975288371E-2</v>
      </c>
      <c r="E321" s="632">
        <f t="shared" si="623"/>
        <v>5.3391510288841371E-2</v>
      </c>
      <c r="F321" s="632">
        <f t="shared" si="623"/>
        <v>7.1628426679807511E-2</v>
      </c>
      <c r="G321" s="632">
        <f t="shared" si="623"/>
        <v>8.8855079003540727E-2</v>
      </c>
      <c r="H321" s="632">
        <f t="shared" si="623"/>
        <v>0.10518928356686241</v>
      </c>
      <c r="I321" s="632">
        <f t="shared" si="623"/>
        <v>0.12072877691247874</v>
      </c>
      <c r="J321" s="632">
        <f t="shared" si="623"/>
        <v>0.13555559526948624</v>
      </c>
      <c r="K321" s="632">
        <f t="shared" ref="K321:L321" si="624">K281-$AM255</f>
        <v>0.14973931258247442</v>
      </c>
      <c r="L321" s="632">
        <f t="shared" si="624"/>
        <v>0.163339478270486</v>
      </c>
      <c r="M321" s="417"/>
      <c r="N321" s="417"/>
      <c r="O321" s="417"/>
      <c r="P321" s="417"/>
      <c r="Q321" s="417"/>
      <c r="AT321" s="805">
        <f t="shared" si="609"/>
        <v>0</v>
      </c>
      <c r="AU321" s="805">
        <f t="shared" si="609"/>
        <v>0</v>
      </c>
      <c r="AV321" s="805">
        <f t="shared" si="609"/>
        <v>1</v>
      </c>
      <c r="AW321" s="805">
        <f t="shared" si="609"/>
        <v>2</v>
      </c>
      <c r="AX321" s="805">
        <f t="shared" si="609"/>
        <v>4</v>
      </c>
      <c r="AY321" s="805">
        <f t="shared" si="609"/>
        <v>5</v>
      </c>
      <c r="AZ321" s="805">
        <f t="shared" si="609"/>
        <v>7</v>
      </c>
      <c r="BA321" s="805">
        <f t="shared" ref="BA321:BB321" si="625">IF(AG295&lt;$G$449,0,MIN($G$446,1+IFERROR(INT((AG295-$G$449)/$G$467),0)))</f>
        <v>9</v>
      </c>
      <c r="BB321" s="805">
        <f t="shared" si="625"/>
        <v>10</v>
      </c>
    </row>
    <row r="322" spans="1:54" ht="15" customHeight="1">
      <c r="A322" s="417"/>
      <c r="B322" s="822"/>
      <c r="C322" s="803">
        <f>C321-$G$458</f>
        <v>36</v>
      </c>
      <c r="D322" s="791">
        <f t="shared" ref="D322:J322" si="626">D282-$AM256</f>
        <v>4.4786037049407756E-2</v>
      </c>
      <c r="E322" s="791">
        <f t="shared" si="626"/>
        <v>6.3438720995098841E-2</v>
      </c>
      <c r="F322" s="791">
        <f t="shared" si="626"/>
        <v>8.1016931320563312E-2</v>
      </c>
      <c r="G322" s="791">
        <f t="shared" si="626"/>
        <v>9.7650634574972139E-2</v>
      </c>
      <c r="H322" s="791">
        <f t="shared" si="626"/>
        <v>0.11344687388997565</v>
      </c>
      <c r="I322" s="791">
        <f t="shared" si="626"/>
        <v>0.1284949328385403</v>
      </c>
      <c r="J322" s="791">
        <f t="shared" si="626"/>
        <v>0.14287011173413888</v>
      </c>
      <c r="K322" s="791">
        <f t="shared" ref="K322:L322" si="627">K282-$AM256</f>
        <v>0.1566365431554031</v>
      </c>
      <c r="L322" s="791">
        <f t="shared" si="627"/>
        <v>0.16984932715873402</v>
      </c>
      <c r="M322" s="417"/>
      <c r="N322" s="417"/>
      <c r="O322" s="417"/>
      <c r="P322" s="417"/>
      <c r="Q322" s="417"/>
      <c r="AT322" s="805">
        <f t="shared" si="609"/>
        <v>0</v>
      </c>
      <c r="AU322" s="805">
        <f t="shared" si="609"/>
        <v>0</v>
      </c>
      <c r="AV322" s="805">
        <f t="shared" si="609"/>
        <v>1</v>
      </c>
      <c r="AW322" s="805">
        <f t="shared" si="609"/>
        <v>3</v>
      </c>
      <c r="AX322" s="805">
        <f t="shared" si="609"/>
        <v>4</v>
      </c>
      <c r="AY322" s="805">
        <f t="shared" si="609"/>
        <v>6</v>
      </c>
      <c r="AZ322" s="805">
        <f t="shared" si="609"/>
        <v>7</v>
      </c>
      <c r="BA322" s="805">
        <f t="shared" ref="BA322:BB322" si="628">IF(AG296&lt;$G$449,0,MIN($G$446,1+IFERROR(INT((AG296-$G$449)/$G$467),0)))</f>
        <v>9</v>
      </c>
      <c r="BB322" s="805">
        <f t="shared" si="628"/>
        <v>10</v>
      </c>
    </row>
    <row r="323" spans="1:54" ht="3.95" hidden="1" customHeight="1">
      <c r="A323" s="417"/>
      <c r="B323" s="423" t="s">
        <v>2765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7"/>
      <c r="O323" s="417"/>
      <c r="P323" s="417"/>
      <c r="Q323" s="417"/>
    </row>
    <row r="324" spans="1:54" ht="3.95" customHeight="1">
      <c r="A324" s="417"/>
      <c r="M324" s="417"/>
    </row>
    <row r="325" spans="1:54" ht="15" customHeight="1">
      <c r="A325" s="417"/>
      <c r="B325" s="796" t="str">
        <f>"Ben's Return Profile Based on Partnering — Keystone Multiple × Topkey Growth ("&amp;TEXT($G$436,"0%")&amp;" Rollover)"</f>
        <v>Ben's Return Profile Based on Partnering — Keystone Multiple × Topkey Growth (30% Rollover)</v>
      </c>
      <c r="C325" s="797"/>
      <c r="D325" s="797"/>
      <c r="E325" s="797"/>
      <c r="F325" s="797"/>
      <c r="G325" s="797"/>
      <c r="H325" s="797"/>
      <c r="I325" s="797"/>
      <c r="J325" s="797"/>
      <c r="K325" s="797"/>
      <c r="L325" s="797"/>
      <c r="M325" s="417"/>
      <c r="N325" s="417"/>
      <c r="O325" s="417"/>
      <c r="P325" s="417"/>
      <c r="Q325" s="417"/>
    </row>
    <row r="326" spans="1:54" ht="15" customHeight="1">
      <c r="A326" s="417"/>
      <c r="B326" s="148" t="s">
        <v>2766</v>
      </c>
      <c r="C326" s="417"/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7"/>
      <c r="O326" s="417"/>
      <c r="P326" s="417"/>
      <c r="Q326" s="417"/>
    </row>
    <row r="327" spans="1:54" ht="2.1" customHeight="1">
      <c r="A327" s="417"/>
      <c r="B327" s="417"/>
      <c r="C327" s="417"/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7"/>
      <c r="O327" s="417"/>
      <c r="P327" s="417"/>
      <c r="Q327" s="417"/>
    </row>
    <row r="328" spans="1:54" ht="12.75" customHeight="1">
      <c r="A328" s="417"/>
      <c r="B328" s="454"/>
      <c r="C328" s="454"/>
      <c r="D328" s="768" t="s">
        <v>2753</v>
      </c>
      <c r="E328" s="768"/>
      <c r="F328" s="768"/>
      <c r="G328" s="768"/>
      <c r="H328" s="768"/>
      <c r="I328" s="768"/>
      <c r="J328" s="768"/>
      <c r="K328" s="768"/>
      <c r="L328" s="768"/>
      <c r="M328" s="417"/>
      <c r="N328" s="417"/>
      <c r="O328" s="417"/>
      <c r="P328" s="417"/>
      <c r="Q328" s="417"/>
      <c r="Z328" s="787" t="str">
        <f>"Helper: Unrounded Net Return — Multiple × Topkey Growth ("&amp;TEXT($G$436,"0%")&amp;" Rollover)"</f>
        <v>Helper: Unrounded Net Return — Multiple × Topkey Growth (30% Rollover)</v>
      </c>
      <c r="AA328" s="747"/>
      <c r="AB328" s="747"/>
      <c r="AC328" s="747"/>
      <c r="AD328" s="747"/>
      <c r="AE328" s="747"/>
      <c r="AF328" s="747"/>
      <c r="AG328" s="747"/>
      <c r="AH328" s="747"/>
      <c r="AJ328" s="804" t="s">
        <v>2782</v>
      </c>
      <c r="AK328" s="804" t="s">
        <v>2754</v>
      </c>
      <c r="AL328" s="804" t="s">
        <v>2596</v>
      </c>
      <c r="AM328" s="804" t="s">
        <v>2597</v>
      </c>
    </row>
    <row r="329" spans="1:54" ht="12.75" customHeight="1">
      <c r="A329" s="417"/>
      <c r="B329" s="454"/>
      <c r="C329" s="454"/>
      <c r="D329" s="816">
        <f>E329-$G$466</f>
        <v>1</v>
      </c>
      <c r="E329" s="816">
        <f>F329-$G$466</f>
        <v>1.25</v>
      </c>
      <c r="F329" s="816">
        <f>G329-$G$466</f>
        <v>1.5</v>
      </c>
      <c r="G329" s="816">
        <f>H329-$G$466</f>
        <v>1.75</v>
      </c>
      <c r="H329" s="816">
        <f>$G$465</f>
        <v>2</v>
      </c>
      <c r="I329" s="816">
        <f>H329+$G$466</f>
        <v>2.25</v>
      </c>
      <c r="J329" s="816">
        <f>I329+$G$466</f>
        <v>2.5</v>
      </c>
      <c r="K329" s="816">
        <f>J329+$G$466</f>
        <v>2.75</v>
      </c>
      <c r="L329" s="816">
        <f>K329+$G$466</f>
        <v>3</v>
      </c>
      <c r="M329" s="417"/>
      <c r="N329" s="417"/>
      <c r="O329" s="417"/>
      <c r="P329" s="417"/>
      <c r="Q329" s="417"/>
      <c r="Z329" s="817">
        <f t="shared" ref="Z329:AF329" si="629">D$329</f>
        <v>1</v>
      </c>
      <c r="AA329" s="817">
        <f t="shared" si="629"/>
        <v>1.25</v>
      </c>
      <c r="AB329" s="817">
        <f t="shared" si="629"/>
        <v>1.5</v>
      </c>
      <c r="AC329" s="817">
        <f t="shared" si="629"/>
        <v>1.75</v>
      </c>
      <c r="AD329" s="817">
        <f t="shared" si="629"/>
        <v>2</v>
      </c>
      <c r="AE329" s="817">
        <f t="shared" si="629"/>
        <v>2.25</v>
      </c>
      <c r="AF329" s="817">
        <f t="shared" si="629"/>
        <v>2.5</v>
      </c>
      <c r="AG329" s="817">
        <f t="shared" ref="AG329:AH329" si="630">K$329</f>
        <v>2.75</v>
      </c>
      <c r="AH329" s="817">
        <f t="shared" si="630"/>
        <v>3</v>
      </c>
      <c r="AJ329" s="747"/>
      <c r="AK329" s="747"/>
      <c r="AL329" s="747"/>
      <c r="AM329" s="747"/>
      <c r="AT329" s="773" t="s">
        <v>2616</v>
      </c>
      <c r="AU329" s="427"/>
      <c r="AV329" s="427"/>
      <c r="AW329" s="427"/>
      <c r="AX329" s="427"/>
      <c r="AY329" s="427"/>
      <c r="AZ329" s="427"/>
      <c r="BA329" s="427"/>
      <c r="BB329" s="427"/>
    </row>
    <row r="330" spans="1:54" ht="15" customHeight="1">
      <c r="A330" s="417"/>
      <c r="B330" s="820" t="s">
        <v>2527</v>
      </c>
      <c r="C330" s="780">
        <f>C331-$G$441</f>
        <v>1.2719039595619215</v>
      </c>
      <c r="D330" s="621">
        <f>ROUND(Z330,$G$452)</f>
        <v>2900</v>
      </c>
      <c r="E330" s="621">
        <f t="shared" ref="E330:E336" si="631">ROUND(AA330,$G$452)</f>
        <v>3400</v>
      </c>
      <c r="F330" s="621">
        <f t="shared" ref="F330:F336" si="632">ROUND(AB330,$G$452)</f>
        <v>4000</v>
      </c>
      <c r="G330" s="621">
        <f t="shared" ref="G330:G336" si="633">ROUND(AC330,$G$452)</f>
        <v>4500</v>
      </c>
      <c r="H330" s="621">
        <f t="shared" ref="H330:H336" si="634">ROUND(AD330,$G$452)</f>
        <v>5100</v>
      </c>
      <c r="I330" s="621">
        <f t="shared" ref="I330:I336" si="635">ROUND(AE330,$G$452)</f>
        <v>5600</v>
      </c>
      <c r="J330" s="621">
        <f t="shared" ref="J330:J336" si="636">ROUND(AF330,$G$452)</f>
        <v>6200</v>
      </c>
      <c r="K330" s="621">
        <f t="shared" ref="K330:K336" si="637">ROUND(AG330,$G$452)</f>
        <v>6700</v>
      </c>
      <c r="L330" s="621">
        <f t="shared" ref="L330:L336" si="638">ROUND(AH330,$G$452)</f>
        <v>7300</v>
      </c>
      <c r="M330" s="417"/>
      <c r="N330" s="417"/>
      <c r="O330" s="417"/>
      <c r="P330" s="417"/>
      <c r="Q330" s="417"/>
      <c r="Z330" s="367">
        <f t="shared" ref="Z330:AF336" si="639">$O$18+$G$435+$N$18*$AK330*Z$329+$R$18*($Q$18*(1+$C330)+$AK330*Z$329*(1-$N$18))-$G$430</f>
        <v>2879.3124121853689</v>
      </c>
      <c r="AA330" s="367">
        <f t="shared" si="639"/>
        <v>3430.9909780063244</v>
      </c>
      <c r="AB330" s="367">
        <f t="shared" si="639"/>
        <v>3982.66954382728</v>
      </c>
      <c r="AC330" s="367">
        <f t="shared" si="639"/>
        <v>4534.3481096482355</v>
      </c>
      <c r="AD330" s="367">
        <f t="shared" si="639"/>
        <v>5086.0266754691911</v>
      </c>
      <c r="AE330" s="367">
        <f t="shared" si="639"/>
        <v>5637.7052412901467</v>
      </c>
      <c r="AF330" s="367">
        <f t="shared" si="639"/>
        <v>6189.383807111104</v>
      </c>
      <c r="AG330" s="367">
        <f t="shared" ref="AG330:AH336" si="640">$O$18+$G$435+$N$18*$AK330*AG$329+$R$18*($Q$18*(1+$C330)+$AK330*AG$329*(1-$N$18))-$G$430</f>
        <v>6741.0623729320596</v>
      </c>
      <c r="AH330" s="367">
        <f t="shared" si="640"/>
        <v>7292.7409387530133</v>
      </c>
      <c r="AJ330" s="367">
        <f t="shared" ref="AJ330:AJ336" si="641">$G$456</f>
        <v>48</v>
      </c>
      <c r="AK330" s="367">
        <f t="shared" ref="AK330:AK336" si="642">$G$453+AJ330*$G$445*$G$454</f>
        <v>6990.0945386440662</v>
      </c>
      <c r="AL330" s="367">
        <f>($G$453+(AJ330-$G$459)*$G$445*$G$460)*$G$461*$G$462</f>
        <v>7490.2576987288121</v>
      </c>
      <c r="AM330" s="801">
        <f>IFERROR((AL330/$G$430)^(1/$G$445)-1,0)</f>
        <v>0.20081222595661186</v>
      </c>
      <c r="AT330" s="805">
        <f t="shared" ref="AT330:AZ336" si="643">IF(Z370&lt;$G$449,0,MIN($G$446,1+IFERROR(INT((Z370-$G$449)/$G$468),0)))</f>
        <v>0</v>
      </c>
      <c r="AU330" s="805">
        <f t="shared" si="643"/>
        <v>0</v>
      </c>
      <c r="AV330" s="805">
        <f t="shared" si="643"/>
        <v>0</v>
      </c>
      <c r="AW330" s="805">
        <f t="shared" si="643"/>
        <v>0</v>
      </c>
      <c r="AX330" s="805">
        <f t="shared" si="643"/>
        <v>0</v>
      </c>
      <c r="AY330" s="805">
        <f t="shared" si="643"/>
        <v>1</v>
      </c>
      <c r="AZ330" s="805">
        <f t="shared" si="643"/>
        <v>2</v>
      </c>
      <c r="BA330" s="805">
        <f t="shared" ref="BA330:BB330" si="644">IF(AG370&lt;$G$449,0,MIN($G$446,1+IFERROR(INT((AG370-$G$449)/$G$468),0)))</f>
        <v>4</v>
      </c>
      <c r="BB330" s="805">
        <f t="shared" si="644"/>
        <v>5</v>
      </c>
    </row>
    <row r="331" spans="1:54" ht="15" customHeight="1">
      <c r="A331" s="417"/>
      <c r="B331" s="821"/>
      <c r="C331" s="780">
        <f>C332-$G$441</f>
        <v>1.5219039595619215</v>
      </c>
      <c r="D331" s="470">
        <f t="shared" ref="D331:D336" si="645">ROUND(Z331,$G$452)</f>
        <v>3200</v>
      </c>
      <c r="E331" s="470">
        <f t="shared" si="631"/>
        <v>3800</v>
      </c>
      <c r="F331" s="470">
        <f t="shared" si="632"/>
        <v>4300</v>
      </c>
      <c r="G331" s="470">
        <f t="shared" si="633"/>
        <v>4900</v>
      </c>
      <c r="H331" s="470">
        <f t="shared" si="634"/>
        <v>5400</v>
      </c>
      <c r="I331" s="470">
        <f t="shared" si="635"/>
        <v>6000</v>
      </c>
      <c r="J331" s="470">
        <f t="shared" si="636"/>
        <v>6500</v>
      </c>
      <c r="K331" s="470">
        <f t="shared" si="637"/>
        <v>7100</v>
      </c>
      <c r="L331" s="470">
        <f t="shared" si="638"/>
        <v>7600</v>
      </c>
      <c r="M331" s="417"/>
      <c r="N331" s="417"/>
      <c r="O331" s="417"/>
      <c r="P331" s="417"/>
      <c r="Q331" s="417"/>
      <c r="Z331" s="367">
        <f t="shared" si="639"/>
        <v>3211.9186977834161</v>
      </c>
      <c r="AA331" s="367">
        <f t="shared" si="639"/>
        <v>3763.5972636043716</v>
      </c>
      <c r="AB331" s="367">
        <f t="shared" si="639"/>
        <v>4315.2758294253272</v>
      </c>
      <c r="AC331" s="367">
        <f t="shared" si="639"/>
        <v>4866.9543952462827</v>
      </c>
      <c r="AD331" s="367">
        <f t="shared" si="639"/>
        <v>5418.6329610672383</v>
      </c>
      <c r="AE331" s="367">
        <f t="shared" si="639"/>
        <v>5970.3115268881938</v>
      </c>
      <c r="AF331" s="367">
        <f t="shared" si="639"/>
        <v>6521.9900927091512</v>
      </c>
      <c r="AG331" s="367">
        <f t="shared" si="640"/>
        <v>7073.6686585301068</v>
      </c>
      <c r="AH331" s="367">
        <f t="shared" si="640"/>
        <v>7625.3472243510605</v>
      </c>
      <c r="AJ331" s="367">
        <f t="shared" si="641"/>
        <v>48</v>
      </c>
      <c r="AK331" s="367">
        <f t="shared" si="642"/>
        <v>6990.0945386440662</v>
      </c>
      <c r="AL331" s="367">
        <f t="shared" ref="AL331:AL336" si="646">($G$453+(AJ331-$G$459)*$G$445*$G$460)*$G$461*$G$462</f>
        <v>7490.2576987288121</v>
      </c>
      <c r="AM331" s="801">
        <f t="shared" ref="AM331:AM336" si="647">IFERROR((AL331/$G$430)^(1/$G$445)-1,0)</f>
        <v>0.20081222595661186</v>
      </c>
      <c r="AT331" s="805">
        <f t="shared" si="643"/>
        <v>0</v>
      </c>
      <c r="AU331" s="805">
        <f t="shared" si="643"/>
        <v>0</v>
      </c>
      <c r="AV331" s="805">
        <f t="shared" si="643"/>
        <v>0</v>
      </c>
      <c r="AW331" s="805">
        <f t="shared" si="643"/>
        <v>0</v>
      </c>
      <c r="AX331" s="805">
        <f t="shared" si="643"/>
        <v>0</v>
      </c>
      <c r="AY331" s="805">
        <f t="shared" si="643"/>
        <v>2</v>
      </c>
      <c r="AZ331" s="805">
        <f t="shared" si="643"/>
        <v>3</v>
      </c>
      <c r="BA331" s="805">
        <f t="shared" ref="BA331:BB331" si="648">IF(AG371&lt;$G$449,0,MIN($G$446,1+IFERROR(INT((AG371-$G$449)/$G$468),0)))</f>
        <v>5</v>
      </c>
      <c r="BB331" s="805">
        <f t="shared" si="648"/>
        <v>6</v>
      </c>
    </row>
    <row r="332" spans="1:54" ht="15" customHeight="1">
      <c r="A332" s="417"/>
      <c r="B332" s="821"/>
      <c r="C332" s="780">
        <f>C333-$G$441</f>
        <v>1.7719039595619215</v>
      </c>
      <c r="D332" s="470">
        <f t="shared" si="645"/>
        <v>3500</v>
      </c>
      <c r="E332" s="470">
        <f t="shared" si="631"/>
        <v>4100</v>
      </c>
      <c r="F332" s="470">
        <f t="shared" si="632"/>
        <v>4600</v>
      </c>
      <c r="G332" s="470">
        <f t="shared" si="633"/>
        <v>5200</v>
      </c>
      <c r="H332" s="470">
        <f t="shared" si="634"/>
        <v>5800</v>
      </c>
      <c r="I332" s="470">
        <f t="shared" si="635"/>
        <v>6300</v>
      </c>
      <c r="J332" s="470">
        <f t="shared" si="636"/>
        <v>6900</v>
      </c>
      <c r="K332" s="470">
        <f t="shared" si="637"/>
        <v>7400</v>
      </c>
      <c r="L332" s="470">
        <f t="shared" si="638"/>
        <v>8000</v>
      </c>
      <c r="M332" s="417"/>
      <c r="N332" s="417"/>
      <c r="O332" s="417"/>
      <c r="P332" s="417"/>
      <c r="Q332" s="417"/>
      <c r="Z332" s="367">
        <f t="shared" si="639"/>
        <v>3544.5249833814632</v>
      </c>
      <c r="AA332" s="367">
        <f t="shared" si="639"/>
        <v>4096.2035492024188</v>
      </c>
      <c r="AB332" s="367">
        <f t="shared" si="639"/>
        <v>4647.8821150233744</v>
      </c>
      <c r="AC332" s="367">
        <f t="shared" si="639"/>
        <v>5199.5606808443299</v>
      </c>
      <c r="AD332" s="367">
        <f t="shared" si="639"/>
        <v>5751.2392466652855</v>
      </c>
      <c r="AE332" s="367">
        <f t="shared" si="639"/>
        <v>6302.917812486241</v>
      </c>
      <c r="AF332" s="367">
        <f t="shared" si="639"/>
        <v>6854.5963783071984</v>
      </c>
      <c r="AG332" s="367">
        <f t="shared" si="640"/>
        <v>7406.2749441281539</v>
      </c>
      <c r="AH332" s="367">
        <f t="shared" si="640"/>
        <v>7957.9535099491077</v>
      </c>
      <c r="AJ332" s="367">
        <f t="shared" si="641"/>
        <v>48</v>
      </c>
      <c r="AK332" s="367">
        <f t="shared" si="642"/>
        <v>6990.0945386440662</v>
      </c>
      <c r="AL332" s="367">
        <f t="shared" si="646"/>
        <v>7490.2576987288121</v>
      </c>
      <c r="AM332" s="801">
        <f t="shared" si="647"/>
        <v>0.20081222595661186</v>
      </c>
      <c r="AT332" s="805">
        <f t="shared" si="643"/>
        <v>0</v>
      </c>
      <c r="AU332" s="805">
        <f t="shared" si="643"/>
        <v>0</v>
      </c>
      <c r="AV332" s="805">
        <f t="shared" si="643"/>
        <v>0</v>
      </c>
      <c r="AW332" s="805">
        <f t="shared" si="643"/>
        <v>0</v>
      </c>
      <c r="AX332" s="805">
        <f t="shared" si="643"/>
        <v>1</v>
      </c>
      <c r="AY332" s="805">
        <f t="shared" si="643"/>
        <v>3</v>
      </c>
      <c r="AZ332" s="805">
        <f t="shared" si="643"/>
        <v>4</v>
      </c>
      <c r="BA332" s="805">
        <f t="shared" ref="BA332:BB332" si="649">IF(AG372&lt;$G$449,0,MIN($G$446,1+IFERROR(INT((AG372-$G$449)/$G$468),0)))</f>
        <v>6</v>
      </c>
      <c r="BB332" s="805">
        <f t="shared" si="649"/>
        <v>7</v>
      </c>
    </row>
    <row r="333" spans="1:54" ht="15" customHeight="1">
      <c r="A333" s="417"/>
      <c r="B333" s="821"/>
      <c r="C333" s="780">
        <f>$G$440</f>
        <v>2.0219039595619215</v>
      </c>
      <c r="D333" s="470">
        <f t="shared" si="645"/>
        <v>3900</v>
      </c>
      <c r="E333" s="470">
        <f t="shared" si="631"/>
        <v>4400</v>
      </c>
      <c r="F333" s="470">
        <f t="shared" si="632"/>
        <v>5000</v>
      </c>
      <c r="G333" s="470">
        <f t="shared" si="633"/>
        <v>5500</v>
      </c>
      <c r="H333" s="782">
        <f t="shared" si="634"/>
        <v>6100</v>
      </c>
      <c r="I333" s="470">
        <f t="shared" si="635"/>
        <v>6600</v>
      </c>
      <c r="J333" s="470">
        <f t="shared" si="636"/>
        <v>7200</v>
      </c>
      <c r="K333" s="470">
        <f t="shared" si="637"/>
        <v>7700</v>
      </c>
      <c r="L333" s="470">
        <f t="shared" si="638"/>
        <v>8300</v>
      </c>
      <c r="M333" s="417"/>
      <c r="N333" s="417"/>
      <c r="O333" s="417"/>
      <c r="P333" s="417"/>
      <c r="Q333" s="417"/>
      <c r="Z333" s="367">
        <f t="shared" si="639"/>
        <v>3877.1312689795104</v>
      </c>
      <c r="AA333" s="367">
        <f t="shared" si="639"/>
        <v>4428.809834800466</v>
      </c>
      <c r="AB333" s="367">
        <f t="shared" si="639"/>
        <v>4980.4884006214215</v>
      </c>
      <c r="AC333" s="367">
        <f t="shared" si="639"/>
        <v>5532.1669664423789</v>
      </c>
      <c r="AD333" s="367">
        <f t="shared" si="639"/>
        <v>6083.8455322633345</v>
      </c>
      <c r="AE333" s="367">
        <f t="shared" si="639"/>
        <v>6635.52409808429</v>
      </c>
      <c r="AF333" s="367">
        <f t="shared" si="639"/>
        <v>7187.2026639052456</v>
      </c>
      <c r="AG333" s="367">
        <f t="shared" si="640"/>
        <v>7738.8812297262011</v>
      </c>
      <c r="AH333" s="367">
        <f t="shared" si="640"/>
        <v>8290.5597955471549</v>
      </c>
      <c r="AJ333" s="367">
        <f t="shared" si="641"/>
        <v>48</v>
      </c>
      <c r="AK333" s="367">
        <f t="shared" si="642"/>
        <v>6990.0945386440662</v>
      </c>
      <c r="AL333" s="367">
        <f t="shared" si="646"/>
        <v>7490.2576987288121</v>
      </c>
      <c r="AM333" s="801">
        <f t="shared" si="647"/>
        <v>0.20081222595661186</v>
      </c>
      <c r="AT333" s="805">
        <f t="shared" si="643"/>
        <v>0</v>
      </c>
      <c r="AU333" s="805">
        <f t="shared" si="643"/>
        <v>0</v>
      </c>
      <c r="AV333" s="805">
        <f t="shared" si="643"/>
        <v>0</v>
      </c>
      <c r="AW333" s="805">
        <f t="shared" si="643"/>
        <v>1</v>
      </c>
      <c r="AX333" s="805">
        <f t="shared" si="643"/>
        <v>2</v>
      </c>
      <c r="AY333" s="805">
        <f t="shared" si="643"/>
        <v>4</v>
      </c>
      <c r="AZ333" s="805">
        <f t="shared" si="643"/>
        <v>5</v>
      </c>
      <c r="BA333" s="805">
        <f t="shared" ref="BA333:BB333" si="650">IF(AG373&lt;$G$449,0,MIN($G$446,1+IFERROR(INT((AG373-$G$449)/$G$468),0)))</f>
        <v>6</v>
      </c>
      <c r="BB333" s="805">
        <f t="shared" si="650"/>
        <v>8</v>
      </c>
    </row>
    <row r="334" spans="1:54" ht="15" customHeight="1">
      <c r="A334" s="417"/>
      <c r="B334" s="821"/>
      <c r="C334" s="780">
        <f>C333+$G$441</f>
        <v>2.2719039595619215</v>
      </c>
      <c r="D334" s="470">
        <f t="shared" si="645"/>
        <v>4200</v>
      </c>
      <c r="E334" s="470">
        <f t="shared" si="631"/>
        <v>4800</v>
      </c>
      <c r="F334" s="470">
        <f t="shared" si="632"/>
        <v>5300</v>
      </c>
      <c r="G334" s="470">
        <f t="shared" si="633"/>
        <v>5900</v>
      </c>
      <c r="H334" s="470">
        <f t="shared" si="634"/>
        <v>6400</v>
      </c>
      <c r="I334" s="470">
        <f t="shared" si="635"/>
        <v>7000</v>
      </c>
      <c r="J334" s="470">
        <f t="shared" si="636"/>
        <v>7500</v>
      </c>
      <c r="K334" s="470">
        <f t="shared" si="637"/>
        <v>8100</v>
      </c>
      <c r="L334" s="470">
        <f t="shared" si="638"/>
        <v>8600</v>
      </c>
      <c r="M334" s="417"/>
      <c r="N334" s="417"/>
      <c r="O334" s="417"/>
      <c r="P334" s="417"/>
      <c r="Q334" s="417"/>
      <c r="Z334" s="367">
        <f t="shared" si="639"/>
        <v>4209.7375545775576</v>
      </c>
      <c r="AA334" s="367">
        <f t="shared" si="639"/>
        <v>4761.4161203985132</v>
      </c>
      <c r="AB334" s="367">
        <f t="shared" si="639"/>
        <v>5313.0946862194687</v>
      </c>
      <c r="AC334" s="367">
        <f t="shared" si="639"/>
        <v>5864.7732520404243</v>
      </c>
      <c r="AD334" s="367">
        <f t="shared" si="639"/>
        <v>6416.4518178613798</v>
      </c>
      <c r="AE334" s="367">
        <f t="shared" si="639"/>
        <v>6968.1303836823354</v>
      </c>
      <c r="AF334" s="367">
        <f t="shared" si="639"/>
        <v>7519.8089495032909</v>
      </c>
      <c r="AG334" s="367">
        <f t="shared" si="640"/>
        <v>8071.4875153242465</v>
      </c>
      <c r="AH334" s="367">
        <f t="shared" si="640"/>
        <v>8623.166081145202</v>
      </c>
      <c r="AJ334" s="367">
        <f t="shared" si="641"/>
        <v>48</v>
      </c>
      <c r="AK334" s="367">
        <f t="shared" si="642"/>
        <v>6990.0945386440662</v>
      </c>
      <c r="AL334" s="367">
        <f t="shared" si="646"/>
        <v>7490.2576987288121</v>
      </c>
      <c r="AM334" s="801">
        <f t="shared" si="647"/>
        <v>0.20081222595661186</v>
      </c>
      <c r="AT334" s="805">
        <f t="shared" si="643"/>
        <v>0</v>
      </c>
      <c r="AU334" s="805">
        <f t="shared" si="643"/>
        <v>0</v>
      </c>
      <c r="AV334" s="805">
        <f t="shared" si="643"/>
        <v>0</v>
      </c>
      <c r="AW334" s="805">
        <f t="shared" si="643"/>
        <v>1</v>
      </c>
      <c r="AX334" s="805">
        <f t="shared" si="643"/>
        <v>3</v>
      </c>
      <c r="AY334" s="805">
        <f t="shared" si="643"/>
        <v>4</v>
      </c>
      <c r="AZ334" s="805">
        <f t="shared" si="643"/>
        <v>6</v>
      </c>
      <c r="BA334" s="805">
        <f t="shared" ref="BA334:BB334" si="651">IF(AG374&lt;$G$449,0,MIN($G$446,1+IFERROR(INT((AG374-$G$449)/$G$468),0)))</f>
        <v>7</v>
      </c>
      <c r="BB334" s="805">
        <f t="shared" si="651"/>
        <v>9</v>
      </c>
    </row>
    <row r="335" spans="1:54" ht="15" customHeight="1">
      <c r="A335" s="417"/>
      <c r="B335" s="821"/>
      <c r="C335" s="780">
        <f>C334+$G$441</f>
        <v>2.5219039595619215</v>
      </c>
      <c r="D335" s="470">
        <f t="shared" si="645"/>
        <v>4500</v>
      </c>
      <c r="E335" s="470">
        <f t="shared" si="631"/>
        <v>5100</v>
      </c>
      <c r="F335" s="470">
        <f t="shared" si="632"/>
        <v>5600</v>
      </c>
      <c r="G335" s="470">
        <f t="shared" si="633"/>
        <v>6200</v>
      </c>
      <c r="H335" s="470">
        <f t="shared" si="634"/>
        <v>6700</v>
      </c>
      <c r="I335" s="470">
        <f t="shared" si="635"/>
        <v>7300</v>
      </c>
      <c r="J335" s="470">
        <f t="shared" si="636"/>
        <v>7900</v>
      </c>
      <c r="K335" s="470">
        <f t="shared" si="637"/>
        <v>8400</v>
      </c>
      <c r="L335" s="470">
        <f t="shared" si="638"/>
        <v>9000</v>
      </c>
      <c r="M335" s="417"/>
      <c r="N335" s="417"/>
      <c r="O335" s="417"/>
      <c r="P335" s="417"/>
      <c r="Q335" s="417"/>
      <c r="Z335" s="367">
        <f t="shared" si="639"/>
        <v>4542.3438401756048</v>
      </c>
      <c r="AA335" s="367">
        <f t="shared" si="639"/>
        <v>5094.0224059965603</v>
      </c>
      <c r="AB335" s="367">
        <f t="shared" si="639"/>
        <v>5645.7009718175159</v>
      </c>
      <c r="AC335" s="367">
        <f t="shared" si="639"/>
        <v>6197.3795376384714</v>
      </c>
      <c r="AD335" s="367">
        <f t="shared" si="639"/>
        <v>6749.0581034594288</v>
      </c>
      <c r="AE335" s="367">
        <f t="shared" si="639"/>
        <v>7300.7366692803844</v>
      </c>
      <c r="AF335" s="367">
        <f t="shared" si="639"/>
        <v>7852.4152351013399</v>
      </c>
      <c r="AG335" s="367">
        <f t="shared" si="640"/>
        <v>8404.0938009222955</v>
      </c>
      <c r="AH335" s="367">
        <f t="shared" si="640"/>
        <v>8955.7723667432492</v>
      </c>
      <c r="AJ335" s="367">
        <f t="shared" si="641"/>
        <v>48</v>
      </c>
      <c r="AK335" s="367">
        <f t="shared" si="642"/>
        <v>6990.0945386440662</v>
      </c>
      <c r="AL335" s="367">
        <f t="shared" si="646"/>
        <v>7490.2576987288121</v>
      </c>
      <c r="AM335" s="801">
        <f t="shared" si="647"/>
        <v>0.20081222595661186</v>
      </c>
      <c r="AT335" s="805">
        <f t="shared" si="643"/>
        <v>0</v>
      </c>
      <c r="AU335" s="805">
        <f t="shared" si="643"/>
        <v>0</v>
      </c>
      <c r="AV335" s="805">
        <f t="shared" si="643"/>
        <v>1</v>
      </c>
      <c r="AW335" s="805">
        <f t="shared" si="643"/>
        <v>2</v>
      </c>
      <c r="AX335" s="805">
        <f t="shared" si="643"/>
        <v>4</v>
      </c>
      <c r="AY335" s="805">
        <f t="shared" si="643"/>
        <v>5</v>
      </c>
      <c r="AZ335" s="805">
        <f t="shared" si="643"/>
        <v>7</v>
      </c>
      <c r="BA335" s="805">
        <f t="shared" ref="BA335:BB335" si="652">IF(AG375&lt;$G$449,0,MIN($G$446,1+IFERROR(INT((AG375-$G$449)/$G$468),0)))</f>
        <v>8</v>
      </c>
      <c r="BB335" s="805">
        <f t="shared" si="652"/>
        <v>10</v>
      </c>
    </row>
    <row r="336" spans="1:54" ht="15" customHeight="1">
      <c r="A336" s="417"/>
      <c r="B336" s="822"/>
      <c r="C336" s="781">
        <f>C335+$G$441</f>
        <v>2.7719039595619215</v>
      </c>
      <c r="D336" s="772">
        <f t="shared" si="645"/>
        <v>4900</v>
      </c>
      <c r="E336" s="772">
        <f t="shared" si="631"/>
        <v>5400</v>
      </c>
      <c r="F336" s="772">
        <f t="shared" si="632"/>
        <v>6000</v>
      </c>
      <c r="G336" s="772">
        <f t="shared" si="633"/>
        <v>6500</v>
      </c>
      <c r="H336" s="772">
        <f t="shared" si="634"/>
        <v>7100</v>
      </c>
      <c r="I336" s="772">
        <f t="shared" si="635"/>
        <v>7600</v>
      </c>
      <c r="J336" s="772">
        <f t="shared" si="636"/>
        <v>8200</v>
      </c>
      <c r="K336" s="772">
        <f t="shared" si="637"/>
        <v>8700</v>
      </c>
      <c r="L336" s="772">
        <f t="shared" si="638"/>
        <v>9300</v>
      </c>
      <c r="M336" s="417"/>
      <c r="N336" s="417"/>
      <c r="O336" s="417"/>
      <c r="P336" s="417"/>
      <c r="Q336" s="417"/>
      <c r="Z336" s="367">
        <f t="shared" si="639"/>
        <v>4874.950125773652</v>
      </c>
      <c r="AA336" s="367">
        <f t="shared" si="639"/>
        <v>5426.6286915946075</v>
      </c>
      <c r="AB336" s="367">
        <f t="shared" si="639"/>
        <v>5978.3072574155631</v>
      </c>
      <c r="AC336" s="367">
        <f t="shared" si="639"/>
        <v>6529.9858232365186</v>
      </c>
      <c r="AD336" s="367">
        <f t="shared" si="639"/>
        <v>7081.6643890574742</v>
      </c>
      <c r="AE336" s="367">
        <f t="shared" si="639"/>
        <v>7633.3429548784297</v>
      </c>
      <c r="AF336" s="367">
        <f t="shared" si="639"/>
        <v>8185.0215206993853</v>
      </c>
      <c r="AG336" s="367">
        <f t="shared" si="640"/>
        <v>8736.7000865203408</v>
      </c>
      <c r="AH336" s="367">
        <f t="shared" si="640"/>
        <v>9288.3786523412964</v>
      </c>
      <c r="AJ336" s="367">
        <f t="shared" si="641"/>
        <v>48</v>
      </c>
      <c r="AK336" s="367">
        <f t="shared" si="642"/>
        <v>6990.0945386440662</v>
      </c>
      <c r="AL336" s="367">
        <f t="shared" si="646"/>
        <v>7490.2576987288121</v>
      </c>
      <c r="AM336" s="801">
        <f t="shared" si="647"/>
        <v>0.20081222595661186</v>
      </c>
      <c r="AT336" s="805">
        <f t="shared" si="643"/>
        <v>0</v>
      </c>
      <c r="AU336" s="805">
        <f t="shared" si="643"/>
        <v>0</v>
      </c>
      <c r="AV336" s="805">
        <f t="shared" si="643"/>
        <v>2</v>
      </c>
      <c r="AW336" s="805">
        <f t="shared" si="643"/>
        <v>3</v>
      </c>
      <c r="AX336" s="805">
        <f t="shared" si="643"/>
        <v>5</v>
      </c>
      <c r="AY336" s="805">
        <f t="shared" si="643"/>
        <v>6</v>
      </c>
      <c r="AZ336" s="805">
        <f t="shared" si="643"/>
        <v>8</v>
      </c>
      <c r="BA336" s="805">
        <f t="shared" ref="BA336:BB336" si="653">IF(AG376&lt;$G$449,0,MIN($G$446,1+IFERROR(INT((AG376-$G$449)/$G$468),0)))</f>
        <v>9</v>
      </c>
      <c r="BB336" s="805">
        <f t="shared" si="653"/>
        <v>10</v>
      </c>
    </row>
    <row r="337" spans="1:54" ht="3.95" hidden="1" customHeight="1">
      <c r="A337" s="417"/>
      <c r="B337" s="423" t="str">
        <f>"Ben's Yr 5 value less Keystone today (G430); Keystone Yr 5 value = Yr 5 revenue (helper AK) × column multiple; net client wins held at model (G456); rollover fixed at "&amp;TEXT($G$436,"0%")</f>
        <v>Ben's Yr 5 value less Keystone today (G430); Keystone Yr 5 value = Yr 5 revenue (helper AK) × column multiple; net client wins held at model (G456); rollover fixed at 30%</v>
      </c>
      <c r="C337" s="785"/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7"/>
      <c r="O337" s="417"/>
      <c r="P337" s="417"/>
      <c r="Q337" s="417"/>
    </row>
    <row r="338" spans="1:54" ht="3.95" customHeight="1">
      <c r="A338" s="417"/>
      <c r="B338" s="417"/>
      <c r="C338" s="417"/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7"/>
      <c r="O338" s="417"/>
      <c r="P338" s="417"/>
      <c r="Q338" s="417"/>
    </row>
    <row r="339" spans="1:54" ht="15" customHeight="1">
      <c r="A339" s="417"/>
      <c r="B339" s="148" t="s">
        <v>2767</v>
      </c>
      <c r="C339" s="417"/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7"/>
      <c r="O339" s="417"/>
      <c r="P339" s="417"/>
      <c r="Q339" s="417"/>
    </row>
    <row r="340" spans="1:54" ht="2.1" customHeight="1">
      <c r="A340" s="417"/>
      <c r="B340" s="417"/>
      <c r="C340" s="417"/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7"/>
      <c r="O340" s="417"/>
      <c r="P340" s="417"/>
      <c r="Q340" s="417"/>
    </row>
    <row r="341" spans="1:54" ht="12.75" customHeight="1">
      <c r="A341" s="417"/>
      <c r="B341" s="454"/>
      <c r="C341" s="454"/>
      <c r="D341" s="768" t="s">
        <v>2753</v>
      </c>
      <c r="E341" s="768"/>
      <c r="F341" s="768"/>
      <c r="G341" s="768"/>
      <c r="H341" s="768"/>
      <c r="I341" s="768"/>
      <c r="J341" s="768"/>
      <c r="K341" s="768"/>
      <c r="L341" s="768"/>
      <c r="M341" s="417"/>
      <c r="N341" s="417"/>
      <c r="O341" s="417"/>
      <c r="P341" s="417"/>
      <c r="Q341" s="417"/>
    </row>
    <row r="342" spans="1:54" ht="12.75" customHeight="1">
      <c r="A342" s="417"/>
      <c r="B342" s="454"/>
      <c r="C342" s="454"/>
      <c r="D342" s="816">
        <f>E342-$G$466</f>
        <v>1</v>
      </c>
      <c r="E342" s="816">
        <f>F342-$G$466</f>
        <v>1.25</v>
      </c>
      <c r="F342" s="816">
        <f>G342-$G$466</f>
        <v>1.5</v>
      </c>
      <c r="G342" s="816">
        <f>H342-$G$466</f>
        <v>1.75</v>
      </c>
      <c r="H342" s="816">
        <f>$G$465</f>
        <v>2</v>
      </c>
      <c r="I342" s="816">
        <f>H342+$G$466</f>
        <v>2.25</v>
      </c>
      <c r="J342" s="816">
        <f>I342+$G$466</f>
        <v>2.5</v>
      </c>
      <c r="K342" s="816">
        <f>J342+$G$466</f>
        <v>2.75</v>
      </c>
      <c r="L342" s="816">
        <f>K342+$G$466</f>
        <v>3</v>
      </c>
      <c r="M342" s="417"/>
      <c r="N342" s="417"/>
      <c r="O342" s="417"/>
      <c r="P342" s="417"/>
      <c r="Q342" s="417"/>
      <c r="AT342" s="773" t="s">
        <v>2616</v>
      </c>
      <c r="AU342" s="427"/>
      <c r="AV342" s="427"/>
      <c r="AW342" s="427"/>
      <c r="AX342" s="427"/>
      <c r="AY342" s="427"/>
      <c r="AZ342" s="427"/>
      <c r="BA342" s="427"/>
      <c r="BB342" s="427"/>
    </row>
    <row r="343" spans="1:54" ht="15" customHeight="1">
      <c r="A343" s="417"/>
      <c r="B343" s="820" t="s">
        <v>2527</v>
      </c>
      <c r="C343" s="780">
        <f>C344-$G$441</f>
        <v>1.2719039595619215</v>
      </c>
      <c r="D343" s="490">
        <f>IFERROR(Z330/$G$430,0)</f>
        <v>0.95977080406178961</v>
      </c>
      <c r="E343" s="490">
        <f t="shared" ref="E343:E349" si="654">IFERROR(AA330/$G$430,0)</f>
        <v>1.1436636593354415</v>
      </c>
      <c r="F343" s="490">
        <f t="shared" ref="F343:F349" si="655">IFERROR(AB330/$G$430,0)</f>
        <v>1.3275565146090933</v>
      </c>
      <c r="G343" s="490">
        <f t="shared" ref="G343:G349" si="656">IFERROR(AC330/$G$430,0)</f>
        <v>1.5114493698827451</v>
      </c>
      <c r="H343" s="490">
        <f t="shared" ref="H343:H349" si="657">IFERROR(AD330/$G$430,0)</f>
        <v>1.695342225156397</v>
      </c>
      <c r="I343" s="490">
        <f t="shared" ref="I343:I349" si="658">IFERROR(AE330/$G$430,0)</f>
        <v>1.8792350804300488</v>
      </c>
      <c r="J343" s="490">
        <f t="shared" ref="J343:J349" si="659">IFERROR(AF330/$G$430,0)</f>
        <v>2.0631279357037013</v>
      </c>
      <c r="K343" s="490">
        <f t="shared" ref="K343:K349" si="660">IFERROR(AG330/$G$430,0)</f>
        <v>2.2470207909773534</v>
      </c>
      <c r="L343" s="490">
        <f t="shared" ref="L343:L349" si="661">IFERROR(AH330/$G$430,0)</f>
        <v>2.4309136462510046</v>
      </c>
      <c r="M343" s="417"/>
      <c r="N343" s="417"/>
      <c r="O343" s="417"/>
      <c r="P343" s="417"/>
      <c r="Q343" s="417"/>
      <c r="AT343" s="805">
        <f t="shared" ref="AT343:AZ349" si="662">IF(Z370&lt;$G$449,0,MIN($G$446,1+IFERROR(INT((Z370-$G$449)/$G$468),0)))</f>
        <v>0</v>
      </c>
      <c r="AU343" s="805">
        <f t="shared" si="662"/>
        <v>0</v>
      </c>
      <c r="AV343" s="805">
        <f t="shared" si="662"/>
        <v>0</v>
      </c>
      <c r="AW343" s="805">
        <f t="shared" si="662"/>
        <v>0</v>
      </c>
      <c r="AX343" s="805">
        <f t="shared" si="662"/>
        <v>0</v>
      </c>
      <c r="AY343" s="805">
        <f t="shared" si="662"/>
        <v>1</v>
      </c>
      <c r="AZ343" s="805">
        <f t="shared" si="662"/>
        <v>2</v>
      </c>
      <c r="BA343" s="805">
        <f t="shared" ref="BA343:BB343" si="663">IF(AG370&lt;$G$449,0,MIN($G$446,1+IFERROR(INT((AG370-$G$449)/$G$468),0)))</f>
        <v>4</v>
      </c>
      <c r="BB343" s="805">
        <f t="shared" si="663"/>
        <v>5</v>
      </c>
    </row>
    <row r="344" spans="1:54" ht="15" customHeight="1">
      <c r="A344" s="417"/>
      <c r="B344" s="821"/>
      <c r="C344" s="780">
        <f>C345-$G$441</f>
        <v>1.5219039595619215</v>
      </c>
      <c r="D344" s="490">
        <f t="shared" ref="D344:D349" si="664">IFERROR(Z331/$G$430,0)</f>
        <v>1.0706395659278054</v>
      </c>
      <c r="E344" s="490">
        <f t="shared" si="654"/>
        <v>1.2545324212014572</v>
      </c>
      <c r="F344" s="490">
        <f t="shared" si="655"/>
        <v>1.4384252764751091</v>
      </c>
      <c r="G344" s="490">
        <f t="shared" si="656"/>
        <v>1.6223181317487609</v>
      </c>
      <c r="H344" s="490">
        <f t="shared" si="657"/>
        <v>1.8062109870224128</v>
      </c>
      <c r="I344" s="490">
        <f t="shared" si="658"/>
        <v>1.9901038422960646</v>
      </c>
      <c r="J344" s="490">
        <f t="shared" si="659"/>
        <v>2.1739966975697169</v>
      </c>
      <c r="K344" s="490">
        <f t="shared" si="660"/>
        <v>2.357889552843369</v>
      </c>
      <c r="L344" s="490">
        <f t="shared" si="661"/>
        <v>2.5417824081170202</v>
      </c>
      <c r="M344" s="417"/>
      <c r="N344" s="417"/>
      <c r="O344" s="417"/>
      <c r="P344" s="417"/>
      <c r="Q344" s="417"/>
      <c r="AT344" s="805">
        <f t="shared" si="662"/>
        <v>0</v>
      </c>
      <c r="AU344" s="805">
        <f t="shared" si="662"/>
        <v>0</v>
      </c>
      <c r="AV344" s="805">
        <f t="shared" si="662"/>
        <v>0</v>
      </c>
      <c r="AW344" s="805">
        <f t="shared" si="662"/>
        <v>0</v>
      </c>
      <c r="AX344" s="805">
        <f t="shared" si="662"/>
        <v>0</v>
      </c>
      <c r="AY344" s="805">
        <f t="shared" si="662"/>
        <v>2</v>
      </c>
      <c r="AZ344" s="805">
        <f t="shared" si="662"/>
        <v>3</v>
      </c>
      <c r="BA344" s="805">
        <f t="shared" ref="BA344:BB344" si="665">IF(AG371&lt;$G$449,0,MIN($G$446,1+IFERROR(INT((AG371-$G$449)/$G$468),0)))</f>
        <v>5</v>
      </c>
      <c r="BB344" s="805">
        <f t="shared" si="665"/>
        <v>6</v>
      </c>
    </row>
    <row r="345" spans="1:54" ht="15" customHeight="1">
      <c r="A345" s="417"/>
      <c r="B345" s="821"/>
      <c r="C345" s="780">
        <f>C346-$G$441</f>
        <v>1.7719039595619215</v>
      </c>
      <c r="D345" s="490">
        <f t="shared" si="664"/>
        <v>1.181508327793821</v>
      </c>
      <c r="E345" s="490">
        <f t="shared" si="654"/>
        <v>1.3654011830674728</v>
      </c>
      <c r="F345" s="490">
        <f t="shared" si="655"/>
        <v>1.5492940383411249</v>
      </c>
      <c r="G345" s="490">
        <f t="shared" si="656"/>
        <v>1.7331868936147767</v>
      </c>
      <c r="H345" s="490">
        <f t="shared" si="657"/>
        <v>1.9170797488884286</v>
      </c>
      <c r="I345" s="490">
        <f t="shared" si="658"/>
        <v>2.1009726041620804</v>
      </c>
      <c r="J345" s="490">
        <f t="shared" si="659"/>
        <v>2.2848654594357329</v>
      </c>
      <c r="K345" s="490">
        <f t="shared" si="660"/>
        <v>2.4687583147093846</v>
      </c>
      <c r="L345" s="490">
        <f t="shared" si="661"/>
        <v>2.6526511699830357</v>
      </c>
      <c r="M345" s="417"/>
      <c r="N345" s="417"/>
      <c r="O345" s="417"/>
      <c r="P345" s="417"/>
      <c r="Q345" s="417"/>
      <c r="AT345" s="805">
        <f t="shared" si="662"/>
        <v>0</v>
      </c>
      <c r="AU345" s="805">
        <f t="shared" si="662"/>
        <v>0</v>
      </c>
      <c r="AV345" s="805">
        <f t="shared" si="662"/>
        <v>0</v>
      </c>
      <c r="AW345" s="805">
        <f t="shared" si="662"/>
        <v>0</v>
      </c>
      <c r="AX345" s="805">
        <f t="shared" si="662"/>
        <v>1</v>
      </c>
      <c r="AY345" s="805">
        <f t="shared" si="662"/>
        <v>3</v>
      </c>
      <c r="AZ345" s="805">
        <f t="shared" si="662"/>
        <v>4</v>
      </c>
      <c r="BA345" s="805">
        <f t="shared" ref="BA345:BB345" si="666">IF(AG372&lt;$G$449,0,MIN($G$446,1+IFERROR(INT((AG372-$G$449)/$G$468),0)))</f>
        <v>6</v>
      </c>
      <c r="BB345" s="805">
        <f t="shared" si="666"/>
        <v>7</v>
      </c>
    </row>
    <row r="346" spans="1:54" ht="15" customHeight="1">
      <c r="A346" s="417"/>
      <c r="B346" s="821"/>
      <c r="C346" s="780">
        <f>$G$440</f>
        <v>2.0219039595619215</v>
      </c>
      <c r="D346" s="490">
        <f t="shared" si="664"/>
        <v>1.2923770896598368</v>
      </c>
      <c r="E346" s="490">
        <f t="shared" si="654"/>
        <v>1.4762699449334886</v>
      </c>
      <c r="F346" s="490">
        <f t="shared" si="655"/>
        <v>1.6601628002071405</v>
      </c>
      <c r="G346" s="490">
        <f t="shared" si="656"/>
        <v>1.844055655480793</v>
      </c>
      <c r="H346" s="783">
        <f t="shared" si="657"/>
        <v>2.0279485107544448</v>
      </c>
      <c r="I346" s="490">
        <f t="shared" si="658"/>
        <v>2.2118413660280969</v>
      </c>
      <c r="J346" s="490">
        <f t="shared" si="659"/>
        <v>2.3957342213017485</v>
      </c>
      <c r="K346" s="490">
        <f t="shared" si="660"/>
        <v>2.5796270765754006</v>
      </c>
      <c r="L346" s="490">
        <f t="shared" si="661"/>
        <v>2.7635199318490518</v>
      </c>
      <c r="M346" s="417"/>
      <c r="N346" s="417"/>
      <c r="O346" s="417"/>
      <c r="P346" s="417"/>
      <c r="Q346" s="417"/>
      <c r="AT346" s="805">
        <f t="shared" si="662"/>
        <v>0</v>
      </c>
      <c r="AU346" s="805">
        <f t="shared" si="662"/>
        <v>0</v>
      </c>
      <c r="AV346" s="805">
        <f t="shared" si="662"/>
        <v>0</v>
      </c>
      <c r="AW346" s="805">
        <f t="shared" si="662"/>
        <v>1</v>
      </c>
      <c r="AX346" s="805">
        <f t="shared" si="662"/>
        <v>2</v>
      </c>
      <c r="AY346" s="805">
        <f t="shared" si="662"/>
        <v>4</v>
      </c>
      <c r="AZ346" s="805">
        <f t="shared" si="662"/>
        <v>5</v>
      </c>
      <c r="BA346" s="805">
        <f t="shared" ref="BA346:BB346" si="667">IF(AG373&lt;$G$449,0,MIN($G$446,1+IFERROR(INT((AG373-$G$449)/$G$468),0)))</f>
        <v>6</v>
      </c>
      <c r="BB346" s="805">
        <f t="shared" si="667"/>
        <v>8</v>
      </c>
    </row>
    <row r="347" spans="1:54" ht="15" customHeight="1">
      <c r="A347" s="417"/>
      <c r="B347" s="821"/>
      <c r="C347" s="780">
        <f>C346+$G$441</f>
        <v>2.2719039595619215</v>
      </c>
      <c r="D347" s="490">
        <f t="shared" si="664"/>
        <v>1.4032458515258526</v>
      </c>
      <c r="E347" s="490">
        <f t="shared" si="654"/>
        <v>1.5871387067995044</v>
      </c>
      <c r="F347" s="490">
        <f t="shared" si="655"/>
        <v>1.7710315620731563</v>
      </c>
      <c r="G347" s="490">
        <f t="shared" si="656"/>
        <v>1.9549244173468081</v>
      </c>
      <c r="H347" s="490">
        <f t="shared" si="657"/>
        <v>2.13881727262046</v>
      </c>
      <c r="I347" s="490">
        <f t="shared" si="658"/>
        <v>2.3227101278941116</v>
      </c>
      <c r="J347" s="490">
        <f t="shared" si="659"/>
        <v>2.5066029831677636</v>
      </c>
      <c r="K347" s="490">
        <f t="shared" si="660"/>
        <v>2.6904958384414157</v>
      </c>
      <c r="L347" s="490">
        <f t="shared" si="661"/>
        <v>2.8743886937150673</v>
      </c>
      <c r="M347" s="417"/>
      <c r="N347" s="417"/>
      <c r="O347" s="417"/>
      <c r="P347" s="417"/>
      <c r="Q347" s="417"/>
      <c r="AT347" s="805">
        <f t="shared" si="662"/>
        <v>0</v>
      </c>
      <c r="AU347" s="805">
        <f t="shared" si="662"/>
        <v>0</v>
      </c>
      <c r="AV347" s="805">
        <f t="shared" si="662"/>
        <v>0</v>
      </c>
      <c r="AW347" s="805">
        <f t="shared" si="662"/>
        <v>1</v>
      </c>
      <c r="AX347" s="805">
        <f t="shared" si="662"/>
        <v>3</v>
      </c>
      <c r="AY347" s="805">
        <f t="shared" si="662"/>
        <v>4</v>
      </c>
      <c r="AZ347" s="805">
        <f t="shared" si="662"/>
        <v>6</v>
      </c>
      <c r="BA347" s="805">
        <f t="shared" ref="BA347:BB347" si="668">IF(AG374&lt;$G$449,0,MIN($G$446,1+IFERROR(INT((AG374-$G$449)/$G$468),0)))</f>
        <v>7</v>
      </c>
      <c r="BB347" s="805">
        <f t="shared" si="668"/>
        <v>9</v>
      </c>
    </row>
    <row r="348" spans="1:54" ht="15" customHeight="1">
      <c r="A348" s="417"/>
      <c r="B348" s="821"/>
      <c r="C348" s="780">
        <f>C347+$G$441</f>
        <v>2.5219039595619215</v>
      </c>
      <c r="D348" s="490">
        <f t="shared" si="664"/>
        <v>1.5141146133918684</v>
      </c>
      <c r="E348" s="490">
        <f t="shared" si="654"/>
        <v>1.6980074686655202</v>
      </c>
      <c r="F348" s="490">
        <f t="shared" si="655"/>
        <v>1.8819003239391721</v>
      </c>
      <c r="G348" s="490">
        <f t="shared" si="656"/>
        <v>2.0657931792128239</v>
      </c>
      <c r="H348" s="490">
        <f t="shared" si="657"/>
        <v>2.2496860344864764</v>
      </c>
      <c r="I348" s="490">
        <f t="shared" si="658"/>
        <v>2.433578889760128</v>
      </c>
      <c r="J348" s="490">
        <f t="shared" si="659"/>
        <v>2.6174717450337801</v>
      </c>
      <c r="K348" s="490">
        <f t="shared" si="660"/>
        <v>2.8013646003074317</v>
      </c>
      <c r="L348" s="490">
        <f t="shared" si="661"/>
        <v>2.9852574555810829</v>
      </c>
      <c r="M348" s="417"/>
      <c r="N348" s="417"/>
      <c r="O348" s="417"/>
      <c r="P348" s="417"/>
      <c r="Q348" s="417"/>
      <c r="AT348" s="805">
        <f t="shared" si="662"/>
        <v>0</v>
      </c>
      <c r="AU348" s="805">
        <f t="shared" si="662"/>
        <v>0</v>
      </c>
      <c r="AV348" s="805">
        <f t="shared" si="662"/>
        <v>1</v>
      </c>
      <c r="AW348" s="805">
        <f t="shared" si="662"/>
        <v>2</v>
      </c>
      <c r="AX348" s="805">
        <f t="shared" si="662"/>
        <v>4</v>
      </c>
      <c r="AY348" s="805">
        <f t="shared" si="662"/>
        <v>5</v>
      </c>
      <c r="AZ348" s="805">
        <f t="shared" si="662"/>
        <v>7</v>
      </c>
      <c r="BA348" s="805">
        <f t="shared" ref="BA348:BB348" si="669">IF(AG375&lt;$G$449,0,MIN($G$446,1+IFERROR(INT((AG375-$G$449)/$G$468),0)))</f>
        <v>8</v>
      </c>
      <c r="BB348" s="805">
        <f t="shared" si="669"/>
        <v>10</v>
      </c>
    </row>
    <row r="349" spans="1:54" ht="15" customHeight="1">
      <c r="A349" s="417"/>
      <c r="B349" s="822"/>
      <c r="C349" s="781">
        <f>C348+$G$441</f>
        <v>2.7719039595619215</v>
      </c>
      <c r="D349" s="784">
        <f t="shared" si="664"/>
        <v>1.6249833752578839</v>
      </c>
      <c r="E349" s="784">
        <f t="shared" si="654"/>
        <v>1.8088762305315358</v>
      </c>
      <c r="F349" s="784">
        <f t="shared" si="655"/>
        <v>1.9927690858051876</v>
      </c>
      <c r="G349" s="784">
        <f t="shared" si="656"/>
        <v>2.1766619410788395</v>
      </c>
      <c r="H349" s="784">
        <f t="shared" si="657"/>
        <v>2.3605547963524915</v>
      </c>
      <c r="I349" s="784">
        <f t="shared" si="658"/>
        <v>2.5444476516261432</v>
      </c>
      <c r="J349" s="784">
        <f t="shared" si="659"/>
        <v>2.7283405068997952</v>
      </c>
      <c r="K349" s="784">
        <f t="shared" si="660"/>
        <v>2.9122333621734469</v>
      </c>
      <c r="L349" s="784">
        <f t="shared" si="661"/>
        <v>3.0961262174470989</v>
      </c>
      <c r="M349" s="417"/>
      <c r="N349" s="417"/>
      <c r="O349" s="417"/>
      <c r="P349" s="417"/>
      <c r="Q349" s="417"/>
      <c r="AT349" s="805">
        <f t="shared" si="662"/>
        <v>0</v>
      </c>
      <c r="AU349" s="805">
        <f t="shared" si="662"/>
        <v>0</v>
      </c>
      <c r="AV349" s="805">
        <f t="shared" si="662"/>
        <v>2</v>
      </c>
      <c r="AW349" s="805">
        <f t="shared" si="662"/>
        <v>3</v>
      </c>
      <c r="AX349" s="805">
        <f t="shared" si="662"/>
        <v>5</v>
      </c>
      <c r="AY349" s="805">
        <f t="shared" si="662"/>
        <v>6</v>
      </c>
      <c r="AZ349" s="805">
        <f t="shared" si="662"/>
        <v>8</v>
      </c>
      <c r="BA349" s="805">
        <f t="shared" ref="BA349:BB349" si="670">IF(AG376&lt;$G$449,0,MIN($G$446,1+IFERROR(INT((AG376-$G$449)/$G$468),0)))</f>
        <v>9</v>
      </c>
      <c r="BB349" s="805">
        <f t="shared" si="670"/>
        <v>10</v>
      </c>
    </row>
    <row r="350" spans="1:54" ht="3.95" hidden="1" customHeight="1">
      <c r="A350" s="417"/>
      <c r="B350" s="423" t="str">
        <f>"Ben's Year 5 total value ÷ Keystone value today (G430), less 1; net client wins held at model (G456); rollover fixed at "&amp;TEXT($G$436,"0%")</f>
        <v>Ben's Year 5 total value ÷ Keystone value today (G430), less 1; net client wins held at model (G456); rollover fixed at 30%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7"/>
      <c r="O350" s="417"/>
      <c r="P350" s="417"/>
      <c r="Q350" s="417"/>
    </row>
    <row r="351" spans="1:54" ht="3.95" customHeight="1">
      <c r="A351" s="417"/>
      <c r="M351" s="417"/>
      <c r="N351" s="417"/>
      <c r="O351" s="417"/>
      <c r="P351" s="417"/>
      <c r="Q351" s="417"/>
    </row>
    <row r="352" spans="1:54" ht="15" customHeight="1">
      <c r="A352" s="417"/>
      <c r="B352" s="148" t="s">
        <v>2768</v>
      </c>
      <c r="C352" s="417"/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7"/>
      <c r="O352" s="417"/>
      <c r="P352" s="417"/>
      <c r="Q352" s="417"/>
    </row>
    <row r="353" spans="1:109" ht="2.1" customHeight="1">
      <c r="A353" s="417"/>
      <c r="B353" s="417"/>
      <c r="C353" s="417"/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7"/>
      <c r="O353" s="417"/>
      <c r="P353" s="417"/>
      <c r="Q353" s="417"/>
    </row>
    <row r="354" spans="1:109" ht="12.75" customHeight="1">
      <c r="A354" s="417"/>
      <c r="B354" s="454"/>
      <c r="C354" s="454"/>
      <c r="D354" s="768" t="s">
        <v>2753</v>
      </c>
      <c r="E354" s="768"/>
      <c r="F354" s="768"/>
      <c r="G354" s="768"/>
      <c r="H354" s="768"/>
      <c r="I354" s="768"/>
      <c r="J354" s="768"/>
      <c r="K354" s="768"/>
      <c r="L354" s="768"/>
      <c r="M354" s="417"/>
      <c r="N354" s="417"/>
      <c r="O354" s="417"/>
      <c r="P354" s="417"/>
      <c r="Q354" s="417"/>
      <c r="BD354" s="773" t="s">
        <v>2805</v>
      </c>
      <c r="BE354" s="773"/>
      <c r="BF354" s="773"/>
      <c r="BG354" s="773"/>
      <c r="BH354" s="773"/>
      <c r="BI354" s="773"/>
      <c r="BJ354" s="773" t="s">
        <v>2806</v>
      </c>
      <c r="BK354" s="773"/>
      <c r="BL354" s="773"/>
      <c r="BM354" s="773"/>
      <c r="BN354" s="773"/>
      <c r="BO354" s="773"/>
      <c r="BP354" s="773" t="s">
        <v>2807</v>
      </c>
      <c r="BQ354" s="773"/>
      <c r="BR354" s="773"/>
      <c r="BS354" s="773"/>
      <c r="BT354" s="773"/>
      <c r="BU354" s="773"/>
      <c r="BV354" s="773" t="s">
        <v>2808</v>
      </c>
      <c r="BW354" s="773"/>
      <c r="BX354" s="773"/>
      <c r="BY354" s="773"/>
      <c r="BZ354" s="773"/>
      <c r="CA354" s="773"/>
      <c r="CB354" s="773" t="s">
        <v>2809</v>
      </c>
      <c r="CC354" s="773"/>
      <c r="CD354" s="773"/>
      <c r="CE354" s="773"/>
      <c r="CF354" s="773"/>
      <c r="CG354" s="773"/>
      <c r="CH354" s="773" t="s">
        <v>2810</v>
      </c>
      <c r="CI354" s="773"/>
      <c r="CJ354" s="773"/>
      <c r="CK354" s="773"/>
      <c r="CL354" s="773"/>
      <c r="CM354" s="773"/>
      <c r="CN354" s="773" t="s">
        <v>2811</v>
      </c>
      <c r="CO354" s="773"/>
      <c r="CP354" s="773"/>
      <c r="CQ354" s="773"/>
      <c r="CR354" s="773"/>
      <c r="CS354" s="773"/>
      <c r="CT354" s="773" t="s">
        <v>2812</v>
      </c>
      <c r="CU354" s="773"/>
      <c r="CV354" s="773"/>
      <c r="CW354" s="773"/>
      <c r="CX354" s="773"/>
      <c r="CY354" s="773"/>
      <c r="CZ354" s="773" t="s">
        <v>2813</v>
      </c>
      <c r="DA354" s="773"/>
      <c r="DB354" s="773"/>
      <c r="DC354" s="773"/>
      <c r="DD354" s="773"/>
      <c r="DE354" s="773"/>
    </row>
    <row r="355" spans="1:109" ht="12.75" customHeight="1">
      <c r="A355" s="417"/>
      <c r="B355" s="454"/>
      <c r="C355" s="454"/>
      <c r="D355" s="816">
        <f>E355-$G$466</f>
        <v>1</v>
      </c>
      <c r="E355" s="816">
        <f>F355-$G$466</f>
        <v>1.25</v>
      </c>
      <c r="F355" s="816">
        <f>G355-$G$466</f>
        <v>1.5</v>
      </c>
      <c r="G355" s="816">
        <f>H355-$G$466</f>
        <v>1.75</v>
      </c>
      <c r="H355" s="816">
        <f>$G$465</f>
        <v>2</v>
      </c>
      <c r="I355" s="816">
        <f>H355+$G$466</f>
        <v>2.25</v>
      </c>
      <c r="J355" s="816">
        <f>I355+$G$466</f>
        <v>2.5</v>
      </c>
      <c r="K355" s="816">
        <f>J355+$G$466</f>
        <v>2.75</v>
      </c>
      <c r="L355" s="816">
        <f>K355+$G$466</f>
        <v>3</v>
      </c>
      <c r="M355" s="417"/>
      <c r="N355" s="417"/>
      <c r="O355" s="417"/>
      <c r="P355" s="417"/>
      <c r="Q355" s="417"/>
      <c r="AT355" s="773" t="s">
        <v>2616</v>
      </c>
      <c r="AU355" s="427"/>
      <c r="AV355" s="427"/>
      <c r="AW355" s="427"/>
      <c r="AX355" s="427"/>
      <c r="AY355" s="427"/>
      <c r="AZ355" s="427"/>
      <c r="BA355" s="427"/>
      <c r="BB355" s="427"/>
      <c r="BD355" s="819">
        <f>$S$9</f>
        <v>0</v>
      </c>
      <c r="BE355" s="819">
        <f>$T$9</f>
        <v>1</v>
      </c>
      <c r="BF355" s="819">
        <f>$U$9</f>
        <v>2</v>
      </c>
      <c r="BG355" s="819">
        <f>$V$9</f>
        <v>3</v>
      </c>
      <c r="BH355" s="819">
        <f>$W$9</f>
        <v>4</v>
      </c>
      <c r="BI355" s="819">
        <f>$X$9</f>
        <v>5</v>
      </c>
      <c r="BJ355" s="819">
        <f>$S$9</f>
        <v>0</v>
      </c>
      <c r="BK355" s="819">
        <f>$T$9</f>
        <v>1</v>
      </c>
      <c r="BL355" s="819">
        <f>$U$9</f>
        <v>2</v>
      </c>
      <c r="BM355" s="819">
        <f>$V$9</f>
        <v>3</v>
      </c>
      <c r="BN355" s="819">
        <f>$W$9</f>
        <v>4</v>
      </c>
      <c r="BO355" s="819">
        <f>$X$9</f>
        <v>5</v>
      </c>
      <c r="BP355" s="819">
        <f>$S$9</f>
        <v>0</v>
      </c>
      <c r="BQ355" s="819">
        <f>$T$9</f>
        <v>1</v>
      </c>
      <c r="BR355" s="819">
        <f>$U$9</f>
        <v>2</v>
      </c>
      <c r="BS355" s="819">
        <f>$V$9</f>
        <v>3</v>
      </c>
      <c r="BT355" s="819">
        <f>$W$9</f>
        <v>4</v>
      </c>
      <c r="BU355" s="819">
        <f>$X$9</f>
        <v>5</v>
      </c>
      <c r="BV355" s="819">
        <f>$S$9</f>
        <v>0</v>
      </c>
      <c r="BW355" s="819">
        <f>$T$9</f>
        <v>1</v>
      </c>
      <c r="BX355" s="819">
        <f>$U$9</f>
        <v>2</v>
      </c>
      <c r="BY355" s="819">
        <f>$V$9</f>
        <v>3</v>
      </c>
      <c r="BZ355" s="819">
        <f>$W$9</f>
        <v>4</v>
      </c>
      <c r="CA355" s="819">
        <f>$X$9</f>
        <v>5</v>
      </c>
      <c r="CB355" s="819">
        <f>$S$9</f>
        <v>0</v>
      </c>
      <c r="CC355" s="819">
        <f>$T$9</f>
        <v>1</v>
      </c>
      <c r="CD355" s="819">
        <f>$U$9</f>
        <v>2</v>
      </c>
      <c r="CE355" s="819">
        <f>$V$9</f>
        <v>3</v>
      </c>
      <c r="CF355" s="819">
        <f>$W$9</f>
        <v>4</v>
      </c>
      <c r="CG355" s="819">
        <f>$X$9</f>
        <v>5</v>
      </c>
      <c r="CH355" s="819">
        <f>$S$9</f>
        <v>0</v>
      </c>
      <c r="CI355" s="819">
        <f>$T$9</f>
        <v>1</v>
      </c>
      <c r="CJ355" s="819">
        <f>$U$9</f>
        <v>2</v>
      </c>
      <c r="CK355" s="819">
        <f>$V$9</f>
        <v>3</v>
      </c>
      <c r="CL355" s="819">
        <f>$W$9</f>
        <v>4</v>
      </c>
      <c r="CM355" s="819">
        <f>$X$9</f>
        <v>5</v>
      </c>
      <c r="CN355" s="819">
        <f>$S$9</f>
        <v>0</v>
      </c>
      <c r="CO355" s="819">
        <f>$T$9</f>
        <v>1</v>
      </c>
      <c r="CP355" s="819">
        <f>$U$9</f>
        <v>2</v>
      </c>
      <c r="CQ355" s="819">
        <f>$V$9</f>
        <v>3</v>
      </c>
      <c r="CR355" s="819">
        <f>$W$9</f>
        <v>4</v>
      </c>
      <c r="CS355" s="819">
        <f>$X$9</f>
        <v>5</v>
      </c>
      <c r="CT355" s="819">
        <f>$S$9</f>
        <v>0</v>
      </c>
      <c r="CU355" s="819">
        <f>$T$9</f>
        <v>1</v>
      </c>
      <c r="CV355" s="819">
        <f>$U$9</f>
        <v>2</v>
      </c>
      <c r="CW355" s="819">
        <f>$V$9</f>
        <v>3</v>
      </c>
      <c r="CX355" s="819">
        <f>$W$9</f>
        <v>4</v>
      </c>
      <c r="CY355" s="819">
        <f>$X$9</f>
        <v>5</v>
      </c>
      <c r="CZ355" s="819">
        <f>$S$9</f>
        <v>0</v>
      </c>
      <c r="DA355" s="819">
        <f>$T$9</f>
        <v>1</v>
      </c>
      <c r="DB355" s="819">
        <f>$U$9</f>
        <v>2</v>
      </c>
      <c r="DC355" s="819">
        <f>$V$9</f>
        <v>3</v>
      </c>
      <c r="DD355" s="819">
        <f>$W$9</f>
        <v>4</v>
      </c>
      <c r="DE355" s="819">
        <f>$X$9</f>
        <v>5</v>
      </c>
    </row>
    <row r="356" spans="1:109" ht="15" customHeight="1">
      <c r="A356" s="417"/>
      <c r="B356" s="820" t="s">
        <v>2527</v>
      </c>
      <c r="C356" s="780">
        <f>C357-$G$441</f>
        <v>1.2719039595619215</v>
      </c>
      <c r="D356" s="632">
        <f t="shared" ref="D356:D362" si="671">IFERROR(IRR(BD356:BI356),0)</f>
        <v>0.17347906254875389</v>
      </c>
      <c r="E356" s="632">
        <f t="shared" ref="E356:E362" si="672">IFERROR(IRR(BJ356:BO356),0)</f>
        <v>0.19725562424153043</v>
      </c>
      <c r="F356" s="632">
        <f t="shared" ref="F356:F362" si="673">IFERROR(IRR(BP356:BU356),0)</f>
        <v>0.21928096201297365</v>
      </c>
      <c r="G356" s="632">
        <f t="shared" ref="G356:G362" si="674">IFERROR(IRR(BV356:CA356),0)</f>
        <v>0.2398210111725021</v>
      </c>
      <c r="H356" s="632">
        <f t="shared" ref="H356:H362" si="675">IFERROR(IRR(CB356:CG356),0)</f>
        <v>0.25908373981303301</v>
      </c>
      <c r="I356" s="632">
        <f t="shared" ref="I356:I362" si="676">IFERROR(IRR(CH356:CM356),0)</f>
        <v>0.27723506657728092</v>
      </c>
      <c r="J356" s="632">
        <f t="shared" ref="J356:J362" si="677">IFERROR(IRR(CN356:CS356),0)</f>
        <v>0.29440962692248673</v>
      </c>
      <c r="K356" s="632">
        <f t="shared" ref="K356:K362" si="678">IFERROR(IRR(CT356:CY356),0)</f>
        <v>0.31071827592456458</v>
      </c>
      <c r="L356" s="632">
        <f t="shared" ref="L356:L362" si="679">IFERROR(IRR(CZ356:DE356),0)</f>
        <v>0.32625345225134073</v>
      </c>
      <c r="M356" s="417"/>
      <c r="N356" s="417"/>
      <c r="O356" s="417"/>
      <c r="P356" s="417"/>
      <c r="Q356" s="417"/>
      <c r="AT356" s="805">
        <f t="shared" ref="AT356:AZ362" si="680">IF(Z370&lt;$G$449,0,MIN($G$446,1+IFERROR(INT((Z370-$G$449)/$G$468),0)))</f>
        <v>0</v>
      </c>
      <c r="AU356" s="805">
        <f t="shared" si="680"/>
        <v>0</v>
      </c>
      <c r="AV356" s="805">
        <f t="shared" si="680"/>
        <v>0</v>
      </c>
      <c r="AW356" s="805">
        <f t="shared" si="680"/>
        <v>0</v>
      </c>
      <c r="AX356" s="805">
        <f t="shared" si="680"/>
        <v>0</v>
      </c>
      <c r="AY356" s="805">
        <f t="shared" si="680"/>
        <v>1</v>
      </c>
      <c r="AZ356" s="805">
        <f t="shared" si="680"/>
        <v>2</v>
      </c>
      <c r="BA356" s="805">
        <f t="shared" ref="BA356:BB356" si="681">IF(AG370&lt;$G$449,0,MIN($G$446,1+IFERROR(INT((AG370-$G$449)/$G$468),0)))</f>
        <v>4</v>
      </c>
      <c r="BB356" s="805">
        <f t="shared" si="681"/>
        <v>5</v>
      </c>
      <c r="BD356" s="428">
        <f t="shared" ref="BD356:BD362" si="682">(BD$355=0)*($O$18-$G$430)+(BD$355=$G$444)*$G$435+(BD$355=$G$445)*(Z330+$G$430-$O$18-$G$435)</f>
        <v>-2350</v>
      </c>
      <c r="BE356" s="428">
        <f t="shared" ref="BE356:BE362" si="683">(BE$355=0)*($O$18-$G$430)+(BE$355=$G$444)*$G$435+(BE$355=$G$445)*(Z330+$G$430-$O$18-$G$435)</f>
        <v>0</v>
      </c>
      <c r="BF356" s="428">
        <f t="shared" ref="BF356:BF362" si="684">(BF$355=0)*($O$18-$G$430)+(BF$355=$G$444)*$G$435+(BF$355=$G$445)*(Z330+$G$430-$O$18-$G$435)</f>
        <v>0</v>
      </c>
      <c r="BG356" s="428">
        <f t="shared" ref="BG356:BG362" si="685">(BG$355=0)*($O$18-$G$430)+(BG$355=$G$444)*$G$435+(BG$355=$G$445)*(Z330+$G$430-$O$18-$G$435)</f>
        <v>0</v>
      </c>
      <c r="BH356" s="428">
        <f t="shared" ref="BH356:BH362" si="686">(BH$355=0)*($O$18-$G$430)+(BH$355=$G$444)*$G$435+(BH$355=$G$445)*(Z330+$G$430-$O$18-$G$435)</f>
        <v>0</v>
      </c>
      <c r="BI356" s="428">
        <f t="shared" ref="BI356:BJ362" si="687">(BI$355=0)*($O$18-$G$430)+(BI$355=$G$444)*$G$435+(BI$355=$G$445)*(Z330+$G$430-$O$18-$G$435)</f>
        <v>5229.3124121853689</v>
      </c>
      <c r="BJ356" s="428">
        <f t="shared" si="687"/>
        <v>-2350</v>
      </c>
      <c r="BK356" s="428">
        <f t="shared" ref="BK356:BK362" si="688">(BK$355=0)*($O$18-$G$430)+(BK$355=$G$444)*$G$435+(BK$355=$G$445)*(AA330+$G$430-$O$18-$G$435)</f>
        <v>0</v>
      </c>
      <c r="BL356" s="428">
        <f t="shared" ref="BL356:BL362" si="689">(BL$355=0)*($O$18-$G$430)+(BL$355=$G$444)*$G$435+(BL$355=$G$445)*(AA330+$G$430-$O$18-$G$435)</f>
        <v>0</v>
      </c>
      <c r="BM356" s="428">
        <f t="shared" ref="BM356:BM362" si="690">(BM$355=0)*($O$18-$G$430)+(BM$355=$G$444)*$G$435+(BM$355=$G$445)*(AA330+$G$430-$O$18-$G$435)</f>
        <v>0</v>
      </c>
      <c r="BN356" s="428">
        <f t="shared" ref="BN356:BN362" si="691">(BN$355=0)*($O$18-$G$430)+(BN$355=$G$444)*$G$435+(BN$355=$G$445)*(AA330+$G$430-$O$18-$G$435)</f>
        <v>0</v>
      </c>
      <c r="BO356" s="428">
        <f t="shared" ref="BO356:BP362" si="692">(BO$355=0)*($O$18-$G$430)+(BO$355=$G$444)*$G$435+(BO$355=$G$445)*(AA330+$G$430-$O$18-$G$435)</f>
        <v>5780.9909780063244</v>
      </c>
      <c r="BP356" s="428">
        <f t="shared" si="692"/>
        <v>-2350</v>
      </c>
      <c r="BQ356" s="428">
        <f t="shared" ref="BQ356:BQ362" si="693">(BQ$355=0)*($O$18-$G$430)+(BQ$355=$G$444)*$G$435+(BQ$355=$G$445)*(AB330+$G$430-$O$18-$G$435)</f>
        <v>0</v>
      </c>
      <c r="BR356" s="428">
        <f t="shared" ref="BR356:BR362" si="694">(BR$355=0)*($O$18-$G$430)+(BR$355=$G$444)*$G$435+(BR$355=$G$445)*(AB330+$G$430-$O$18-$G$435)</f>
        <v>0</v>
      </c>
      <c r="BS356" s="428">
        <f t="shared" ref="BS356:BS362" si="695">(BS$355=0)*($O$18-$G$430)+(BS$355=$G$444)*$G$435+(BS$355=$G$445)*(AB330+$G$430-$O$18-$G$435)</f>
        <v>0</v>
      </c>
      <c r="BT356" s="428">
        <f t="shared" ref="BT356:BT362" si="696">(BT$355=0)*($O$18-$G$430)+(BT$355=$G$444)*$G$435+(BT$355=$G$445)*(AB330+$G$430-$O$18-$G$435)</f>
        <v>0</v>
      </c>
      <c r="BU356" s="428">
        <f t="shared" ref="BU356:BV362" si="697">(BU$355=0)*($O$18-$G$430)+(BU$355=$G$444)*$G$435+(BU$355=$G$445)*(AB330+$G$430-$O$18-$G$435)</f>
        <v>6332.66954382728</v>
      </c>
      <c r="BV356" s="428">
        <f t="shared" si="697"/>
        <v>-2350</v>
      </c>
      <c r="BW356" s="428">
        <f t="shared" ref="BW356:BW362" si="698">(BW$355=0)*($O$18-$G$430)+(BW$355=$G$444)*$G$435+(BW$355=$G$445)*(AC330+$G$430-$O$18-$G$435)</f>
        <v>0</v>
      </c>
      <c r="BX356" s="428">
        <f t="shared" ref="BX356:BX362" si="699">(BX$355=0)*($O$18-$G$430)+(BX$355=$G$444)*$G$435+(BX$355=$G$445)*(AC330+$G$430-$O$18-$G$435)</f>
        <v>0</v>
      </c>
      <c r="BY356" s="428">
        <f t="shared" ref="BY356:BY362" si="700">(BY$355=0)*($O$18-$G$430)+(BY$355=$G$444)*$G$435+(BY$355=$G$445)*(AC330+$G$430-$O$18-$G$435)</f>
        <v>0</v>
      </c>
      <c r="BZ356" s="428">
        <f t="shared" ref="BZ356:BZ362" si="701">(BZ$355=0)*($O$18-$G$430)+(BZ$355=$G$444)*$G$435+(BZ$355=$G$445)*(AC330+$G$430-$O$18-$G$435)</f>
        <v>0</v>
      </c>
      <c r="CA356" s="428">
        <f t="shared" ref="CA356:CB362" si="702">(CA$355=0)*($O$18-$G$430)+(CA$355=$G$444)*$G$435+(CA$355=$G$445)*(AC330+$G$430-$O$18-$G$435)</f>
        <v>6884.3481096482355</v>
      </c>
      <c r="CB356" s="428">
        <f t="shared" si="702"/>
        <v>-2350</v>
      </c>
      <c r="CC356" s="428">
        <f t="shared" ref="CC356:CC362" si="703">(CC$355=0)*($O$18-$G$430)+(CC$355=$G$444)*$G$435+(CC$355=$G$445)*(AD330+$G$430-$O$18-$G$435)</f>
        <v>0</v>
      </c>
      <c r="CD356" s="428">
        <f t="shared" ref="CD356:CD362" si="704">(CD$355=0)*($O$18-$G$430)+(CD$355=$G$444)*$G$435+(CD$355=$G$445)*(AD330+$G$430-$O$18-$G$435)</f>
        <v>0</v>
      </c>
      <c r="CE356" s="428">
        <f t="shared" ref="CE356:CE362" si="705">(CE$355=0)*($O$18-$G$430)+(CE$355=$G$444)*$G$435+(CE$355=$G$445)*(AD330+$G$430-$O$18-$G$435)</f>
        <v>0</v>
      </c>
      <c r="CF356" s="428">
        <f t="shared" ref="CF356:CF362" si="706">(CF$355=0)*($O$18-$G$430)+(CF$355=$G$444)*$G$435+(CF$355=$G$445)*(AD330+$G$430-$O$18-$G$435)</f>
        <v>0</v>
      </c>
      <c r="CG356" s="428">
        <f t="shared" ref="CG356:CH362" si="707">(CG$355=0)*($O$18-$G$430)+(CG$355=$G$444)*$G$435+(CG$355=$G$445)*(AD330+$G$430-$O$18-$G$435)</f>
        <v>7436.0266754691911</v>
      </c>
      <c r="CH356" s="428">
        <f t="shared" si="707"/>
        <v>-2350</v>
      </c>
      <c r="CI356" s="428">
        <f t="shared" ref="CI356:CI362" si="708">(CI$355=0)*($O$18-$G$430)+(CI$355=$G$444)*$G$435+(CI$355=$G$445)*(AE330+$G$430-$O$18-$G$435)</f>
        <v>0</v>
      </c>
      <c r="CJ356" s="428">
        <f t="shared" ref="CJ356:CJ362" si="709">(CJ$355=0)*($O$18-$G$430)+(CJ$355=$G$444)*$G$435+(CJ$355=$G$445)*(AE330+$G$430-$O$18-$G$435)</f>
        <v>0</v>
      </c>
      <c r="CK356" s="428">
        <f t="shared" ref="CK356:CK362" si="710">(CK$355=0)*($O$18-$G$430)+(CK$355=$G$444)*$G$435+(CK$355=$G$445)*(AE330+$G$430-$O$18-$G$435)</f>
        <v>0</v>
      </c>
      <c r="CL356" s="428">
        <f t="shared" ref="CL356:CL362" si="711">(CL$355=0)*($O$18-$G$430)+(CL$355=$G$444)*$G$435+(CL$355=$G$445)*(AE330+$G$430-$O$18-$G$435)</f>
        <v>0</v>
      </c>
      <c r="CM356" s="428">
        <f t="shared" ref="CM356:CN362" si="712">(CM$355=0)*($O$18-$G$430)+(CM$355=$G$444)*$G$435+(CM$355=$G$445)*(AE330+$G$430-$O$18-$G$435)</f>
        <v>7987.7052412901467</v>
      </c>
      <c r="CN356" s="428">
        <f t="shared" si="712"/>
        <v>-2350</v>
      </c>
      <c r="CO356" s="428">
        <f t="shared" ref="CO356:CO362" si="713">(CO$355=0)*($O$18-$G$430)+(CO$355=$G$444)*$G$435+(CO$355=$G$445)*(AF330+$G$430-$O$18-$G$435)</f>
        <v>0</v>
      </c>
      <c r="CP356" s="428">
        <f t="shared" ref="CP356:CP362" si="714">(CP$355=0)*($O$18-$G$430)+(CP$355=$G$444)*$G$435+(CP$355=$G$445)*(AF330+$G$430-$O$18-$G$435)</f>
        <v>0</v>
      </c>
      <c r="CQ356" s="428">
        <f t="shared" ref="CQ356:CQ362" si="715">(CQ$355=0)*($O$18-$G$430)+(CQ$355=$G$444)*$G$435+(CQ$355=$G$445)*(AF330+$G$430-$O$18-$G$435)</f>
        <v>0</v>
      </c>
      <c r="CR356" s="428">
        <f t="shared" ref="CR356:CR362" si="716">(CR$355=0)*($O$18-$G$430)+(CR$355=$G$444)*$G$435+(CR$355=$G$445)*(AF330+$G$430-$O$18-$G$435)</f>
        <v>0</v>
      </c>
      <c r="CS356" s="428">
        <f t="shared" ref="CS356:CT362" si="717">(CS$355=0)*($O$18-$G$430)+(CS$355=$G$444)*$G$435+(CS$355=$G$445)*(AF330+$G$430-$O$18-$G$435)</f>
        <v>8539.383807111104</v>
      </c>
      <c r="CT356" s="428">
        <f t="shared" si="717"/>
        <v>-2350</v>
      </c>
      <c r="CU356" s="428">
        <f t="shared" ref="CU356:CU362" si="718">(CU$355=0)*($O$18-$G$430)+(CU$355=$G$444)*$G$435+(CU$355=$G$445)*(AG330+$G$430-$O$18-$G$435)</f>
        <v>0</v>
      </c>
      <c r="CV356" s="428">
        <f t="shared" ref="CV356:CV362" si="719">(CV$355=0)*($O$18-$G$430)+(CV$355=$G$444)*$G$435+(CV$355=$G$445)*(AG330+$G$430-$O$18-$G$435)</f>
        <v>0</v>
      </c>
      <c r="CW356" s="428">
        <f t="shared" ref="CW356:CW362" si="720">(CW$355=0)*($O$18-$G$430)+(CW$355=$G$444)*$G$435+(CW$355=$G$445)*(AG330+$G$430-$O$18-$G$435)</f>
        <v>0</v>
      </c>
      <c r="CX356" s="428">
        <f t="shared" ref="CX356:CX362" si="721">(CX$355=0)*($O$18-$G$430)+(CX$355=$G$444)*$G$435+(CX$355=$G$445)*(AG330+$G$430-$O$18-$G$435)</f>
        <v>0</v>
      </c>
      <c r="CY356" s="428">
        <f t="shared" ref="CY356:CZ362" si="722">(CY$355=0)*($O$18-$G$430)+(CY$355=$G$444)*$G$435+(CY$355=$G$445)*(AG330+$G$430-$O$18-$G$435)</f>
        <v>9091.0623729320596</v>
      </c>
      <c r="CZ356" s="428">
        <f t="shared" si="722"/>
        <v>-2350</v>
      </c>
      <c r="DA356" s="428">
        <f t="shared" ref="DA356:DA362" si="723">(DA$355=0)*($O$18-$G$430)+(DA$355=$G$444)*$G$435+(DA$355=$G$445)*(AH330+$G$430-$O$18-$G$435)</f>
        <v>0</v>
      </c>
      <c r="DB356" s="428">
        <f t="shared" ref="DB356:DB362" si="724">(DB$355=0)*($O$18-$G$430)+(DB$355=$G$444)*$G$435+(DB$355=$G$445)*(AH330+$G$430-$O$18-$G$435)</f>
        <v>0</v>
      </c>
      <c r="DC356" s="428">
        <f t="shared" ref="DC356:DC362" si="725">(DC$355=0)*($O$18-$G$430)+(DC$355=$G$444)*$G$435+(DC$355=$G$445)*(AH330+$G$430-$O$18-$G$435)</f>
        <v>0</v>
      </c>
      <c r="DD356" s="428">
        <f t="shared" ref="DD356:DD362" si="726">(DD$355=0)*($O$18-$G$430)+(DD$355=$G$444)*$G$435+(DD$355=$G$445)*(AH330+$G$430-$O$18-$G$435)</f>
        <v>0</v>
      </c>
      <c r="DE356" s="428">
        <f t="shared" ref="DE356:DE362" si="727">(DE$355=0)*($O$18-$G$430)+(DE$355=$G$444)*$G$435+(DE$355=$G$445)*(AH330+$G$430-$O$18-$G$435)</f>
        <v>9642.7409387530133</v>
      </c>
    </row>
    <row r="357" spans="1:109" ht="15" customHeight="1">
      <c r="A357" s="417"/>
      <c r="B357" s="821"/>
      <c r="C357" s="780">
        <f>C358-$G$441</f>
        <v>1.5219039595619215</v>
      </c>
      <c r="D357" s="632">
        <f t="shared" si="671"/>
        <v>0.18804079790447337</v>
      </c>
      <c r="E357" s="632">
        <f t="shared" si="672"/>
        <v>0.21072578777420792</v>
      </c>
      <c r="F357" s="632">
        <f t="shared" si="673"/>
        <v>0.23182794690866948</v>
      </c>
      <c r="G357" s="632">
        <f t="shared" si="674"/>
        <v>0.25157598021851557</v>
      </c>
      <c r="H357" s="632">
        <f t="shared" si="675"/>
        <v>0.27015098157094575</v>
      </c>
      <c r="I357" s="632">
        <f t="shared" si="676"/>
        <v>0.28769896021161312</v>
      </c>
      <c r="J357" s="632">
        <f t="shared" si="677"/>
        <v>0.30433947216616386</v>
      </c>
      <c r="K357" s="632">
        <f t="shared" si="678"/>
        <v>0.32017173150650979</v>
      </c>
      <c r="L357" s="632">
        <f t="shared" si="679"/>
        <v>0.33527903994274477</v>
      </c>
      <c r="M357" s="417"/>
      <c r="N357" s="417"/>
      <c r="O357" s="417"/>
      <c r="P357" s="417"/>
      <c r="Q357" s="417"/>
      <c r="AT357" s="805">
        <f t="shared" si="680"/>
        <v>0</v>
      </c>
      <c r="AU357" s="805">
        <f t="shared" si="680"/>
        <v>0</v>
      </c>
      <c r="AV357" s="805">
        <f t="shared" si="680"/>
        <v>0</v>
      </c>
      <c r="AW357" s="805">
        <f t="shared" si="680"/>
        <v>0</v>
      </c>
      <c r="AX357" s="805">
        <f t="shared" si="680"/>
        <v>0</v>
      </c>
      <c r="AY357" s="805">
        <f t="shared" si="680"/>
        <v>2</v>
      </c>
      <c r="AZ357" s="805">
        <f t="shared" si="680"/>
        <v>3</v>
      </c>
      <c r="BA357" s="805">
        <f t="shared" ref="BA357:BB357" si="728">IF(AG371&lt;$G$449,0,MIN($G$446,1+IFERROR(INT((AG371-$G$449)/$G$468),0)))</f>
        <v>5</v>
      </c>
      <c r="BB357" s="805">
        <f t="shared" si="728"/>
        <v>6</v>
      </c>
      <c r="BD357" s="428">
        <f t="shared" si="682"/>
        <v>-2350</v>
      </c>
      <c r="BE357" s="428">
        <f t="shared" si="683"/>
        <v>0</v>
      </c>
      <c r="BF357" s="428">
        <f t="shared" si="684"/>
        <v>0</v>
      </c>
      <c r="BG357" s="428">
        <f t="shared" si="685"/>
        <v>0</v>
      </c>
      <c r="BH357" s="428">
        <f t="shared" si="686"/>
        <v>0</v>
      </c>
      <c r="BI357" s="428">
        <f t="shared" si="687"/>
        <v>5561.9186977834161</v>
      </c>
      <c r="BJ357" s="428">
        <f t="shared" si="687"/>
        <v>-2350</v>
      </c>
      <c r="BK357" s="428">
        <f t="shared" si="688"/>
        <v>0</v>
      </c>
      <c r="BL357" s="428">
        <f t="shared" si="689"/>
        <v>0</v>
      </c>
      <c r="BM357" s="428">
        <f t="shared" si="690"/>
        <v>0</v>
      </c>
      <c r="BN357" s="428">
        <f t="shared" si="691"/>
        <v>0</v>
      </c>
      <c r="BO357" s="428">
        <f t="shared" si="692"/>
        <v>6113.5972636043716</v>
      </c>
      <c r="BP357" s="428">
        <f t="shared" si="692"/>
        <v>-2350</v>
      </c>
      <c r="BQ357" s="428">
        <f t="shared" si="693"/>
        <v>0</v>
      </c>
      <c r="BR357" s="428">
        <f t="shared" si="694"/>
        <v>0</v>
      </c>
      <c r="BS357" s="428">
        <f t="shared" si="695"/>
        <v>0</v>
      </c>
      <c r="BT357" s="428">
        <f t="shared" si="696"/>
        <v>0</v>
      </c>
      <c r="BU357" s="428">
        <f t="shared" si="697"/>
        <v>6665.2758294253272</v>
      </c>
      <c r="BV357" s="428">
        <f t="shared" si="697"/>
        <v>-2350</v>
      </c>
      <c r="BW357" s="428">
        <f t="shared" si="698"/>
        <v>0</v>
      </c>
      <c r="BX357" s="428">
        <f t="shared" si="699"/>
        <v>0</v>
      </c>
      <c r="BY357" s="428">
        <f t="shared" si="700"/>
        <v>0</v>
      </c>
      <c r="BZ357" s="428">
        <f t="shared" si="701"/>
        <v>0</v>
      </c>
      <c r="CA357" s="428">
        <f t="shared" si="702"/>
        <v>7216.9543952462827</v>
      </c>
      <c r="CB357" s="428">
        <f t="shared" si="702"/>
        <v>-2350</v>
      </c>
      <c r="CC357" s="428">
        <f t="shared" si="703"/>
        <v>0</v>
      </c>
      <c r="CD357" s="428">
        <f t="shared" si="704"/>
        <v>0</v>
      </c>
      <c r="CE357" s="428">
        <f t="shared" si="705"/>
        <v>0</v>
      </c>
      <c r="CF357" s="428">
        <f t="shared" si="706"/>
        <v>0</v>
      </c>
      <c r="CG357" s="428">
        <f t="shared" si="707"/>
        <v>7768.6329610672383</v>
      </c>
      <c r="CH357" s="428">
        <f t="shared" si="707"/>
        <v>-2350</v>
      </c>
      <c r="CI357" s="428">
        <f t="shared" si="708"/>
        <v>0</v>
      </c>
      <c r="CJ357" s="428">
        <f t="shared" si="709"/>
        <v>0</v>
      </c>
      <c r="CK357" s="428">
        <f t="shared" si="710"/>
        <v>0</v>
      </c>
      <c r="CL357" s="428">
        <f t="shared" si="711"/>
        <v>0</v>
      </c>
      <c r="CM357" s="428">
        <f t="shared" si="712"/>
        <v>8320.3115268881938</v>
      </c>
      <c r="CN357" s="428">
        <f t="shared" si="712"/>
        <v>-2350</v>
      </c>
      <c r="CO357" s="428">
        <f t="shared" si="713"/>
        <v>0</v>
      </c>
      <c r="CP357" s="428">
        <f t="shared" si="714"/>
        <v>0</v>
      </c>
      <c r="CQ357" s="428">
        <f t="shared" si="715"/>
        <v>0</v>
      </c>
      <c r="CR357" s="428">
        <f t="shared" si="716"/>
        <v>0</v>
      </c>
      <c r="CS357" s="428">
        <f t="shared" si="717"/>
        <v>8871.9900927091512</v>
      </c>
      <c r="CT357" s="428">
        <f t="shared" si="717"/>
        <v>-2350</v>
      </c>
      <c r="CU357" s="428">
        <f t="shared" si="718"/>
        <v>0</v>
      </c>
      <c r="CV357" s="428">
        <f t="shared" si="719"/>
        <v>0</v>
      </c>
      <c r="CW357" s="428">
        <f t="shared" si="720"/>
        <v>0</v>
      </c>
      <c r="CX357" s="428">
        <f t="shared" si="721"/>
        <v>0</v>
      </c>
      <c r="CY357" s="428">
        <f t="shared" si="722"/>
        <v>9423.6686585301068</v>
      </c>
      <c r="CZ357" s="428">
        <f t="shared" si="722"/>
        <v>-2350</v>
      </c>
      <c r="DA357" s="428">
        <f t="shared" si="723"/>
        <v>0</v>
      </c>
      <c r="DB357" s="428">
        <f t="shared" si="724"/>
        <v>0</v>
      </c>
      <c r="DC357" s="428">
        <f t="shared" si="725"/>
        <v>0</v>
      </c>
      <c r="DD357" s="428">
        <f t="shared" si="726"/>
        <v>0</v>
      </c>
      <c r="DE357" s="428">
        <f t="shared" si="727"/>
        <v>9975.3472243510605</v>
      </c>
    </row>
    <row r="358" spans="1:109" ht="15" customHeight="1">
      <c r="A358" s="417"/>
      <c r="B358" s="821"/>
      <c r="C358" s="780">
        <f>C359-$G$441</f>
        <v>1.7719039595619215</v>
      </c>
      <c r="D358" s="632">
        <f t="shared" si="671"/>
        <v>0.20192173851104811</v>
      </c>
      <c r="E358" s="632">
        <f t="shared" si="672"/>
        <v>0.22362186980978649</v>
      </c>
      <c r="F358" s="632">
        <f t="shared" si="673"/>
        <v>0.24388362887975168</v>
      </c>
      <c r="G358" s="632">
        <f t="shared" si="674"/>
        <v>0.26290523526009313</v>
      </c>
      <c r="H358" s="632">
        <f t="shared" si="675"/>
        <v>0.28084541841584909</v>
      </c>
      <c r="I358" s="632">
        <f t="shared" si="676"/>
        <v>0.29783339002504294</v>
      </c>
      <c r="J358" s="632">
        <f t="shared" si="677"/>
        <v>0.31397583238865745</v>
      </c>
      <c r="K358" s="632">
        <f t="shared" si="678"/>
        <v>0.32936191874679355</v>
      </c>
      <c r="L358" s="632">
        <f t="shared" si="679"/>
        <v>0.34406699846377631</v>
      </c>
      <c r="M358" s="417"/>
      <c r="N358" s="417"/>
      <c r="O358" s="417"/>
      <c r="P358" s="417"/>
      <c r="Q358" s="417"/>
      <c r="AT358" s="805">
        <f t="shared" si="680"/>
        <v>0</v>
      </c>
      <c r="AU358" s="805">
        <f t="shared" si="680"/>
        <v>0</v>
      </c>
      <c r="AV358" s="805">
        <f t="shared" si="680"/>
        <v>0</v>
      </c>
      <c r="AW358" s="805">
        <f t="shared" si="680"/>
        <v>0</v>
      </c>
      <c r="AX358" s="805">
        <f t="shared" si="680"/>
        <v>1</v>
      </c>
      <c r="AY358" s="805">
        <f t="shared" si="680"/>
        <v>3</v>
      </c>
      <c r="AZ358" s="805">
        <f t="shared" si="680"/>
        <v>4</v>
      </c>
      <c r="BA358" s="805">
        <f t="shared" ref="BA358:BB358" si="729">IF(AG372&lt;$G$449,0,MIN($G$446,1+IFERROR(INT((AG372-$G$449)/$G$468),0)))</f>
        <v>6</v>
      </c>
      <c r="BB358" s="805">
        <f t="shared" si="729"/>
        <v>7</v>
      </c>
      <c r="BD358" s="428">
        <f t="shared" si="682"/>
        <v>-2350</v>
      </c>
      <c r="BE358" s="428">
        <f t="shared" si="683"/>
        <v>0</v>
      </c>
      <c r="BF358" s="428">
        <f t="shared" si="684"/>
        <v>0</v>
      </c>
      <c r="BG358" s="428">
        <f t="shared" si="685"/>
        <v>0</v>
      </c>
      <c r="BH358" s="428">
        <f t="shared" si="686"/>
        <v>0</v>
      </c>
      <c r="BI358" s="428">
        <f t="shared" si="687"/>
        <v>5894.5249833814632</v>
      </c>
      <c r="BJ358" s="428">
        <f t="shared" si="687"/>
        <v>-2350</v>
      </c>
      <c r="BK358" s="428">
        <f t="shared" si="688"/>
        <v>0</v>
      </c>
      <c r="BL358" s="428">
        <f t="shared" si="689"/>
        <v>0</v>
      </c>
      <c r="BM358" s="428">
        <f t="shared" si="690"/>
        <v>0</v>
      </c>
      <c r="BN358" s="428">
        <f t="shared" si="691"/>
        <v>0</v>
      </c>
      <c r="BO358" s="428">
        <f t="shared" si="692"/>
        <v>6446.2035492024188</v>
      </c>
      <c r="BP358" s="428">
        <f t="shared" si="692"/>
        <v>-2350</v>
      </c>
      <c r="BQ358" s="428">
        <f t="shared" si="693"/>
        <v>0</v>
      </c>
      <c r="BR358" s="428">
        <f t="shared" si="694"/>
        <v>0</v>
      </c>
      <c r="BS358" s="428">
        <f t="shared" si="695"/>
        <v>0</v>
      </c>
      <c r="BT358" s="428">
        <f t="shared" si="696"/>
        <v>0</v>
      </c>
      <c r="BU358" s="428">
        <f t="shared" si="697"/>
        <v>6997.8821150233744</v>
      </c>
      <c r="BV358" s="428">
        <f t="shared" si="697"/>
        <v>-2350</v>
      </c>
      <c r="BW358" s="428">
        <f t="shared" si="698"/>
        <v>0</v>
      </c>
      <c r="BX358" s="428">
        <f t="shared" si="699"/>
        <v>0</v>
      </c>
      <c r="BY358" s="428">
        <f t="shared" si="700"/>
        <v>0</v>
      </c>
      <c r="BZ358" s="428">
        <f t="shared" si="701"/>
        <v>0</v>
      </c>
      <c r="CA358" s="428">
        <f t="shared" si="702"/>
        <v>7549.5606808443299</v>
      </c>
      <c r="CB358" s="428">
        <f t="shared" si="702"/>
        <v>-2350</v>
      </c>
      <c r="CC358" s="428">
        <f t="shared" si="703"/>
        <v>0</v>
      </c>
      <c r="CD358" s="428">
        <f t="shared" si="704"/>
        <v>0</v>
      </c>
      <c r="CE358" s="428">
        <f t="shared" si="705"/>
        <v>0</v>
      </c>
      <c r="CF358" s="428">
        <f t="shared" si="706"/>
        <v>0</v>
      </c>
      <c r="CG358" s="428">
        <f t="shared" si="707"/>
        <v>8101.2392466652855</v>
      </c>
      <c r="CH358" s="428">
        <f t="shared" si="707"/>
        <v>-2350</v>
      </c>
      <c r="CI358" s="428">
        <f t="shared" si="708"/>
        <v>0</v>
      </c>
      <c r="CJ358" s="428">
        <f t="shared" si="709"/>
        <v>0</v>
      </c>
      <c r="CK358" s="428">
        <f t="shared" si="710"/>
        <v>0</v>
      </c>
      <c r="CL358" s="428">
        <f t="shared" si="711"/>
        <v>0</v>
      </c>
      <c r="CM358" s="428">
        <f t="shared" si="712"/>
        <v>8652.917812486241</v>
      </c>
      <c r="CN358" s="428">
        <f t="shared" si="712"/>
        <v>-2350</v>
      </c>
      <c r="CO358" s="428">
        <f t="shared" si="713"/>
        <v>0</v>
      </c>
      <c r="CP358" s="428">
        <f t="shared" si="714"/>
        <v>0</v>
      </c>
      <c r="CQ358" s="428">
        <f t="shared" si="715"/>
        <v>0</v>
      </c>
      <c r="CR358" s="428">
        <f t="shared" si="716"/>
        <v>0</v>
      </c>
      <c r="CS358" s="428">
        <f t="shared" si="717"/>
        <v>9204.5963783071984</v>
      </c>
      <c r="CT358" s="428">
        <f t="shared" si="717"/>
        <v>-2350</v>
      </c>
      <c r="CU358" s="428">
        <f t="shared" si="718"/>
        <v>0</v>
      </c>
      <c r="CV358" s="428">
        <f t="shared" si="719"/>
        <v>0</v>
      </c>
      <c r="CW358" s="428">
        <f t="shared" si="720"/>
        <v>0</v>
      </c>
      <c r="CX358" s="428">
        <f t="shared" si="721"/>
        <v>0</v>
      </c>
      <c r="CY358" s="428">
        <f t="shared" si="722"/>
        <v>9756.2749441281539</v>
      </c>
      <c r="CZ358" s="428">
        <f t="shared" si="722"/>
        <v>-2350</v>
      </c>
      <c r="DA358" s="428">
        <f t="shared" si="723"/>
        <v>0</v>
      </c>
      <c r="DB358" s="428">
        <f t="shared" si="724"/>
        <v>0</v>
      </c>
      <c r="DC358" s="428">
        <f t="shared" si="725"/>
        <v>0</v>
      </c>
      <c r="DD358" s="428">
        <f t="shared" si="726"/>
        <v>0</v>
      </c>
      <c r="DE358" s="428">
        <f t="shared" si="727"/>
        <v>10307.953509949108</v>
      </c>
    </row>
    <row r="359" spans="1:109" ht="15" customHeight="1">
      <c r="A359" s="417"/>
      <c r="B359" s="821"/>
      <c r="C359" s="780">
        <f>$G$440</f>
        <v>2.0219039595619215</v>
      </c>
      <c r="D359" s="632">
        <f t="shared" si="671"/>
        <v>0.21518956551814106</v>
      </c>
      <c r="E359" s="632">
        <f t="shared" si="672"/>
        <v>0.23599614927760082</v>
      </c>
      <c r="F359" s="632">
        <f t="shared" si="673"/>
        <v>0.2554892825493762</v>
      </c>
      <c r="G359" s="632">
        <f t="shared" si="674"/>
        <v>0.2738419695664629</v>
      </c>
      <c r="H359" s="790">
        <f t="shared" si="675"/>
        <v>0.29119416880747639</v>
      </c>
      <c r="I359" s="632">
        <f t="shared" si="676"/>
        <v>0.30766081563496561</v>
      </c>
      <c r="J359" s="632">
        <f t="shared" si="677"/>
        <v>0.32333753157222045</v>
      </c>
      <c r="K359" s="632">
        <f t="shared" si="678"/>
        <v>0.33830478091013427</v>
      </c>
      <c r="L359" s="632">
        <f t="shared" si="679"/>
        <v>0.35263095756566987</v>
      </c>
      <c r="M359" s="417"/>
      <c r="N359" s="417"/>
      <c r="O359" s="417"/>
      <c r="P359" s="417"/>
      <c r="Q359" s="417"/>
      <c r="AT359" s="805">
        <f t="shared" si="680"/>
        <v>0</v>
      </c>
      <c r="AU359" s="805">
        <f t="shared" si="680"/>
        <v>0</v>
      </c>
      <c r="AV359" s="805">
        <f t="shared" si="680"/>
        <v>0</v>
      </c>
      <c r="AW359" s="805">
        <f t="shared" si="680"/>
        <v>1</v>
      </c>
      <c r="AX359" s="805">
        <f t="shared" si="680"/>
        <v>2</v>
      </c>
      <c r="AY359" s="805">
        <f t="shared" si="680"/>
        <v>4</v>
      </c>
      <c r="AZ359" s="805">
        <f t="shared" si="680"/>
        <v>5</v>
      </c>
      <c r="BA359" s="805">
        <f t="shared" ref="BA359:BB359" si="730">IF(AG373&lt;$G$449,0,MIN($G$446,1+IFERROR(INT((AG373-$G$449)/$G$468),0)))</f>
        <v>6</v>
      </c>
      <c r="BB359" s="805">
        <f t="shared" si="730"/>
        <v>8</v>
      </c>
      <c r="BD359" s="428">
        <f t="shared" si="682"/>
        <v>-2350</v>
      </c>
      <c r="BE359" s="428">
        <f t="shared" si="683"/>
        <v>0</v>
      </c>
      <c r="BF359" s="428">
        <f t="shared" si="684"/>
        <v>0</v>
      </c>
      <c r="BG359" s="428">
        <f t="shared" si="685"/>
        <v>0</v>
      </c>
      <c r="BH359" s="428">
        <f t="shared" si="686"/>
        <v>0</v>
      </c>
      <c r="BI359" s="428">
        <f t="shared" si="687"/>
        <v>6227.1312689795104</v>
      </c>
      <c r="BJ359" s="428">
        <f t="shared" si="687"/>
        <v>-2350</v>
      </c>
      <c r="BK359" s="428">
        <f t="shared" si="688"/>
        <v>0</v>
      </c>
      <c r="BL359" s="428">
        <f t="shared" si="689"/>
        <v>0</v>
      </c>
      <c r="BM359" s="428">
        <f t="shared" si="690"/>
        <v>0</v>
      </c>
      <c r="BN359" s="428">
        <f t="shared" si="691"/>
        <v>0</v>
      </c>
      <c r="BO359" s="428">
        <f t="shared" si="692"/>
        <v>6778.809834800466</v>
      </c>
      <c r="BP359" s="428">
        <f t="shared" si="692"/>
        <v>-2350</v>
      </c>
      <c r="BQ359" s="428">
        <f t="shared" si="693"/>
        <v>0</v>
      </c>
      <c r="BR359" s="428">
        <f t="shared" si="694"/>
        <v>0</v>
      </c>
      <c r="BS359" s="428">
        <f t="shared" si="695"/>
        <v>0</v>
      </c>
      <c r="BT359" s="428">
        <f t="shared" si="696"/>
        <v>0</v>
      </c>
      <c r="BU359" s="428">
        <f t="shared" si="697"/>
        <v>7330.4884006214215</v>
      </c>
      <c r="BV359" s="428">
        <f t="shared" si="697"/>
        <v>-2350</v>
      </c>
      <c r="BW359" s="428">
        <f t="shared" si="698"/>
        <v>0</v>
      </c>
      <c r="BX359" s="428">
        <f t="shared" si="699"/>
        <v>0</v>
      </c>
      <c r="BY359" s="428">
        <f t="shared" si="700"/>
        <v>0</v>
      </c>
      <c r="BZ359" s="428">
        <f t="shared" si="701"/>
        <v>0</v>
      </c>
      <c r="CA359" s="428">
        <f t="shared" si="702"/>
        <v>7882.1669664423789</v>
      </c>
      <c r="CB359" s="428">
        <f t="shared" si="702"/>
        <v>-2350</v>
      </c>
      <c r="CC359" s="428">
        <f t="shared" si="703"/>
        <v>0</v>
      </c>
      <c r="CD359" s="428">
        <f t="shared" si="704"/>
        <v>0</v>
      </c>
      <c r="CE359" s="428">
        <f t="shared" si="705"/>
        <v>0</v>
      </c>
      <c r="CF359" s="428">
        <f t="shared" si="706"/>
        <v>0</v>
      </c>
      <c r="CG359" s="428">
        <f t="shared" si="707"/>
        <v>8433.8455322633345</v>
      </c>
      <c r="CH359" s="428">
        <f t="shared" si="707"/>
        <v>-2350</v>
      </c>
      <c r="CI359" s="428">
        <f t="shared" si="708"/>
        <v>0</v>
      </c>
      <c r="CJ359" s="428">
        <f t="shared" si="709"/>
        <v>0</v>
      </c>
      <c r="CK359" s="428">
        <f t="shared" si="710"/>
        <v>0</v>
      </c>
      <c r="CL359" s="428">
        <f t="shared" si="711"/>
        <v>0</v>
      </c>
      <c r="CM359" s="428">
        <f t="shared" si="712"/>
        <v>8985.52409808429</v>
      </c>
      <c r="CN359" s="428">
        <f t="shared" si="712"/>
        <v>-2350</v>
      </c>
      <c r="CO359" s="428">
        <f t="shared" si="713"/>
        <v>0</v>
      </c>
      <c r="CP359" s="428">
        <f t="shared" si="714"/>
        <v>0</v>
      </c>
      <c r="CQ359" s="428">
        <f t="shared" si="715"/>
        <v>0</v>
      </c>
      <c r="CR359" s="428">
        <f t="shared" si="716"/>
        <v>0</v>
      </c>
      <c r="CS359" s="428">
        <f t="shared" si="717"/>
        <v>9537.2026639052456</v>
      </c>
      <c r="CT359" s="428">
        <f t="shared" si="717"/>
        <v>-2350</v>
      </c>
      <c r="CU359" s="428">
        <f t="shared" si="718"/>
        <v>0</v>
      </c>
      <c r="CV359" s="428">
        <f t="shared" si="719"/>
        <v>0</v>
      </c>
      <c r="CW359" s="428">
        <f t="shared" si="720"/>
        <v>0</v>
      </c>
      <c r="CX359" s="428">
        <f t="shared" si="721"/>
        <v>0</v>
      </c>
      <c r="CY359" s="428">
        <f t="shared" si="722"/>
        <v>10088.881229726201</v>
      </c>
      <c r="CZ359" s="428">
        <f t="shared" si="722"/>
        <v>-2350</v>
      </c>
      <c r="DA359" s="428">
        <f t="shared" si="723"/>
        <v>0</v>
      </c>
      <c r="DB359" s="428">
        <f t="shared" si="724"/>
        <v>0</v>
      </c>
      <c r="DC359" s="428">
        <f t="shared" si="725"/>
        <v>0</v>
      </c>
      <c r="DD359" s="428">
        <f t="shared" si="726"/>
        <v>0</v>
      </c>
      <c r="DE359" s="428">
        <f t="shared" si="727"/>
        <v>10640.559795547155</v>
      </c>
    </row>
    <row r="360" spans="1:109" ht="15" customHeight="1">
      <c r="A360" s="417"/>
      <c r="B360" s="821"/>
      <c r="C360" s="780">
        <f>C359+$G$441</f>
        <v>2.2719039595619215</v>
      </c>
      <c r="D360" s="632">
        <f t="shared" si="671"/>
        <v>0.22790203859904667</v>
      </c>
      <c r="E360" s="632">
        <f t="shared" si="672"/>
        <v>0.2478938544121374</v>
      </c>
      <c r="F360" s="632">
        <f t="shared" si="673"/>
        <v>0.26668102814363137</v>
      </c>
      <c r="G360" s="632">
        <f t="shared" si="674"/>
        <v>0.28441551695030309</v>
      </c>
      <c r="H360" s="632">
        <f t="shared" si="675"/>
        <v>0.30122140139452713</v>
      </c>
      <c r="I360" s="632">
        <f t="shared" si="676"/>
        <v>0.31720140155646903</v>
      </c>
      <c r="J360" s="632">
        <f t="shared" si="677"/>
        <v>0.33244157998377233</v>
      </c>
      <c r="K360" s="632">
        <f t="shared" si="678"/>
        <v>0.34701480809115437</v>
      </c>
      <c r="L360" s="632">
        <f t="shared" si="679"/>
        <v>0.36098336836258871</v>
      </c>
      <c r="M360" s="417"/>
      <c r="N360" s="417"/>
      <c r="O360" s="417"/>
      <c r="P360" s="417"/>
      <c r="Q360" s="417"/>
      <c r="AT360" s="805">
        <f t="shared" si="680"/>
        <v>0</v>
      </c>
      <c r="AU360" s="805">
        <f t="shared" si="680"/>
        <v>0</v>
      </c>
      <c r="AV360" s="805">
        <f t="shared" si="680"/>
        <v>0</v>
      </c>
      <c r="AW360" s="805">
        <f t="shared" si="680"/>
        <v>1</v>
      </c>
      <c r="AX360" s="805">
        <f t="shared" si="680"/>
        <v>3</v>
      </c>
      <c r="AY360" s="805">
        <f t="shared" si="680"/>
        <v>4</v>
      </c>
      <c r="AZ360" s="805">
        <f t="shared" si="680"/>
        <v>6</v>
      </c>
      <c r="BA360" s="805">
        <f t="shared" ref="BA360:BB360" si="731">IF(AG374&lt;$G$449,0,MIN($G$446,1+IFERROR(INT((AG374-$G$449)/$G$468),0)))</f>
        <v>7</v>
      </c>
      <c r="BB360" s="805">
        <f t="shared" si="731"/>
        <v>9</v>
      </c>
      <c r="BD360" s="428">
        <f t="shared" si="682"/>
        <v>-2350</v>
      </c>
      <c r="BE360" s="428">
        <f t="shared" si="683"/>
        <v>0</v>
      </c>
      <c r="BF360" s="428">
        <f t="shared" si="684"/>
        <v>0</v>
      </c>
      <c r="BG360" s="428">
        <f t="shared" si="685"/>
        <v>0</v>
      </c>
      <c r="BH360" s="428">
        <f t="shared" si="686"/>
        <v>0</v>
      </c>
      <c r="BI360" s="428">
        <f t="shared" si="687"/>
        <v>6559.7375545775576</v>
      </c>
      <c r="BJ360" s="428">
        <f t="shared" si="687"/>
        <v>-2350</v>
      </c>
      <c r="BK360" s="428">
        <f t="shared" si="688"/>
        <v>0</v>
      </c>
      <c r="BL360" s="428">
        <f t="shared" si="689"/>
        <v>0</v>
      </c>
      <c r="BM360" s="428">
        <f t="shared" si="690"/>
        <v>0</v>
      </c>
      <c r="BN360" s="428">
        <f t="shared" si="691"/>
        <v>0</v>
      </c>
      <c r="BO360" s="428">
        <f t="shared" si="692"/>
        <v>7111.4161203985132</v>
      </c>
      <c r="BP360" s="428">
        <f t="shared" si="692"/>
        <v>-2350</v>
      </c>
      <c r="BQ360" s="428">
        <f t="shared" si="693"/>
        <v>0</v>
      </c>
      <c r="BR360" s="428">
        <f t="shared" si="694"/>
        <v>0</v>
      </c>
      <c r="BS360" s="428">
        <f t="shared" si="695"/>
        <v>0</v>
      </c>
      <c r="BT360" s="428">
        <f t="shared" si="696"/>
        <v>0</v>
      </c>
      <c r="BU360" s="428">
        <f t="shared" si="697"/>
        <v>7663.0946862194687</v>
      </c>
      <c r="BV360" s="428">
        <f t="shared" si="697"/>
        <v>-2350</v>
      </c>
      <c r="BW360" s="428">
        <f t="shared" si="698"/>
        <v>0</v>
      </c>
      <c r="BX360" s="428">
        <f t="shared" si="699"/>
        <v>0</v>
      </c>
      <c r="BY360" s="428">
        <f t="shared" si="700"/>
        <v>0</v>
      </c>
      <c r="BZ360" s="428">
        <f t="shared" si="701"/>
        <v>0</v>
      </c>
      <c r="CA360" s="428">
        <f t="shared" si="702"/>
        <v>8214.7732520404243</v>
      </c>
      <c r="CB360" s="428">
        <f t="shared" si="702"/>
        <v>-2350</v>
      </c>
      <c r="CC360" s="428">
        <f t="shared" si="703"/>
        <v>0</v>
      </c>
      <c r="CD360" s="428">
        <f t="shared" si="704"/>
        <v>0</v>
      </c>
      <c r="CE360" s="428">
        <f t="shared" si="705"/>
        <v>0</v>
      </c>
      <c r="CF360" s="428">
        <f t="shared" si="706"/>
        <v>0</v>
      </c>
      <c r="CG360" s="428">
        <f t="shared" si="707"/>
        <v>8766.4518178613798</v>
      </c>
      <c r="CH360" s="428">
        <f t="shared" si="707"/>
        <v>-2350</v>
      </c>
      <c r="CI360" s="428">
        <f t="shared" si="708"/>
        <v>0</v>
      </c>
      <c r="CJ360" s="428">
        <f t="shared" si="709"/>
        <v>0</v>
      </c>
      <c r="CK360" s="428">
        <f t="shared" si="710"/>
        <v>0</v>
      </c>
      <c r="CL360" s="428">
        <f t="shared" si="711"/>
        <v>0</v>
      </c>
      <c r="CM360" s="428">
        <f t="shared" si="712"/>
        <v>9318.1303836823354</v>
      </c>
      <c r="CN360" s="428">
        <f t="shared" si="712"/>
        <v>-2350</v>
      </c>
      <c r="CO360" s="428">
        <f t="shared" si="713"/>
        <v>0</v>
      </c>
      <c r="CP360" s="428">
        <f t="shared" si="714"/>
        <v>0</v>
      </c>
      <c r="CQ360" s="428">
        <f t="shared" si="715"/>
        <v>0</v>
      </c>
      <c r="CR360" s="428">
        <f t="shared" si="716"/>
        <v>0</v>
      </c>
      <c r="CS360" s="428">
        <f t="shared" si="717"/>
        <v>9869.8089495032909</v>
      </c>
      <c r="CT360" s="428">
        <f t="shared" si="717"/>
        <v>-2350</v>
      </c>
      <c r="CU360" s="428">
        <f t="shared" si="718"/>
        <v>0</v>
      </c>
      <c r="CV360" s="428">
        <f t="shared" si="719"/>
        <v>0</v>
      </c>
      <c r="CW360" s="428">
        <f t="shared" si="720"/>
        <v>0</v>
      </c>
      <c r="CX360" s="428">
        <f t="shared" si="721"/>
        <v>0</v>
      </c>
      <c r="CY360" s="428">
        <f t="shared" si="722"/>
        <v>10421.487515324246</v>
      </c>
      <c r="CZ360" s="428">
        <f t="shared" si="722"/>
        <v>-2350</v>
      </c>
      <c r="DA360" s="428">
        <f t="shared" si="723"/>
        <v>0</v>
      </c>
      <c r="DB360" s="428">
        <f t="shared" si="724"/>
        <v>0</v>
      </c>
      <c r="DC360" s="428">
        <f t="shared" si="725"/>
        <v>0</v>
      </c>
      <c r="DD360" s="428">
        <f t="shared" si="726"/>
        <v>0</v>
      </c>
      <c r="DE360" s="428">
        <f t="shared" si="727"/>
        <v>10973.166081145202</v>
      </c>
    </row>
    <row r="361" spans="1:109" ht="15" customHeight="1">
      <c r="A361" s="417"/>
      <c r="B361" s="821"/>
      <c r="C361" s="780">
        <f>C360+$G$441</f>
        <v>2.5219039595619215</v>
      </c>
      <c r="D361" s="632">
        <f t="shared" si="671"/>
        <v>0.24010887205060749</v>
      </c>
      <c r="E361" s="632">
        <f t="shared" si="672"/>
        <v>0.25935439422310336</v>
      </c>
      <c r="F361" s="632">
        <f t="shared" si="673"/>
        <v>0.27749066791664023</v>
      </c>
      <c r="G361" s="632">
        <f t="shared" si="674"/>
        <v>0.29465193659347189</v>
      </c>
      <c r="H361" s="632">
        <f t="shared" si="675"/>
        <v>0.31094875427053514</v>
      </c>
      <c r="I361" s="632">
        <f t="shared" si="676"/>
        <v>0.32647332437668064</v>
      </c>
      <c r="J361" s="632">
        <f t="shared" si="677"/>
        <v>0.34130340348059951</v>
      </c>
      <c r="K361" s="632">
        <f t="shared" si="678"/>
        <v>0.35550521131979917</v>
      </c>
      <c r="L361" s="632">
        <f t="shared" si="679"/>
        <v>0.3691356375237298</v>
      </c>
      <c r="M361" s="417"/>
      <c r="N361" s="417"/>
      <c r="O361" s="417"/>
      <c r="P361" s="417"/>
      <c r="Q361" s="417"/>
      <c r="AT361" s="805">
        <f t="shared" si="680"/>
        <v>0</v>
      </c>
      <c r="AU361" s="805">
        <f t="shared" si="680"/>
        <v>0</v>
      </c>
      <c r="AV361" s="805">
        <f t="shared" si="680"/>
        <v>1</v>
      </c>
      <c r="AW361" s="805">
        <f t="shared" si="680"/>
        <v>2</v>
      </c>
      <c r="AX361" s="805">
        <f t="shared" si="680"/>
        <v>4</v>
      </c>
      <c r="AY361" s="805">
        <f t="shared" si="680"/>
        <v>5</v>
      </c>
      <c r="AZ361" s="805">
        <f t="shared" si="680"/>
        <v>7</v>
      </c>
      <c r="BA361" s="805">
        <f t="shared" ref="BA361:BB361" si="732">IF(AG375&lt;$G$449,0,MIN($G$446,1+IFERROR(INT((AG375-$G$449)/$G$468),0)))</f>
        <v>8</v>
      </c>
      <c r="BB361" s="805">
        <f t="shared" si="732"/>
        <v>10</v>
      </c>
      <c r="BD361" s="428">
        <f t="shared" si="682"/>
        <v>-2350</v>
      </c>
      <c r="BE361" s="428">
        <f t="shared" si="683"/>
        <v>0</v>
      </c>
      <c r="BF361" s="428">
        <f t="shared" si="684"/>
        <v>0</v>
      </c>
      <c r="BG361" s="428">
        <f t="shared" si="685"/>
        <v>0</v>
      </c>
      <c r="BH361" s="428">
        <f t="shared" si="686"/>
        <v>0</v>
      </c>
      <c r="BI361" s="428">
        <f t="shared" si="687"/>
        <v>6892.3438401756048</v>
      </c>
      <c r="BJ361" s="428">
        <f t="shared" si="687"/>
        <v>-2350</v>
      </c>
      <c r="BK361" s="428">
        <f t="shared" si="688"/>
        <v>0</v>
      </c>
      <c r="BL361" s="428">
        <f t="shared" si="689"/>
        <v>0</v>
      </c>
      <c r="BM361" s="428">
        <f t="shared" si="690"/>
        <v>0</v>
      </c>
      <c r="BN361" s="428">
        <f t="shared" si="691"/>
        <v>0</v>
      </c>
      <c r="BO361" s="428">
        <f t="shared" si="692"/>
        <v>7444.0224059965603</v>
      </c>
      <c r="BP361" s="428">
        <f t="shared" si="692"/>
        <v>-2350</v>
      </c>
      <c r="BQ361" s="428">
        <f t="shared" si="693"/>
        <v>0</v>
      </c>
      <c r="BR361" s="428">
        <f t="shared" si="694"/>
        <v>0</v>
      </c>
      <c r="BS361" s="428">
        <f t="shared" si="695"/>
        <v>0</v>
      </c>
      <c r="BT361" s="428">
        <f t="shared" si="696"/>
        <v>0</v>
      </c>
      <c r="BU361" s="428">
        <f t="shared" si="697"/>
        <v>7995.7009718175159</v>
      </c>
      <c r="BV361" s="428">
        <f t="shared" si="697"/>
        <v>-2350</v>
      </c>
      <c r="BW361" s="428">
        <f t="shared" si="698"/>
        <v>0</v>
      </c>
      <c r="BX361" s="428">
        <f t="shared" si="699"/>
        <v>0</v>
      </c>
      <c r="BY361" s="428">
        <f t="shared" si="700"/>
        <v>0</v>
      </c>
      <c r="BZ361" s="428">
        <f t="shared" si="701"/>
        <v>0</v>
      </c>
      <c r="CA361" s="428">
        <f t="shared" si="702"/>
        <v>8547.3795376384714</v>
      </c>
      <c r="CB361" s="428">
        <f t="shared" si="702"/>
        <v>-2350</v>
      </c>
      <c r="CC361" s="428">
        <f t="shared" si="703"/>
        <v>0</v>
      </c>
      <c r="CD361" s="428">
        <f t="shared" si="704"/>
        <v>0</v>
      </c>
      <c r="CE361" s="428">
        <f t="shared" si="705"/>
        <v>0</v>
      </c>
      <c r="CF361" s="428">
        <f t="shared" si="706"/>
        <v>0</v>
      </c>
      <c r="CG361" s="428">
        <f t="shared" si="707"/>
        <v>9099.0581034594288</v>
      </c>
      <c r="CH361" s="428">
        <f t="shared" si="707"/>
        <v>-2350</v>
      </c>
      <c r="CI361" s="428">
        <f t="shared" si="708"/>
        <v>0</v>
      </c>
      <c r="CJ361" s="428">
        <f t="shared" si="709"/>
        <v>0</v>
      </c>
      <c r="CK361" s="428">
        <f t="shared" si="710"/>
        <v>0</v>
      </c>
      <c r="CL361" s="428">
        <f t="shared" si="711"/>
        <v>0</v>
      </c>
      <c r="CM361" s="428">
        <f t="shared" si="712"/>
        <v>9650.7366692803844</v>
      </c>
      <c r="CN361" s="428">
        <f t="shared" si="712"/>
        <v>-2350</v>
      </c>
      <c r="CO361" s="428">
        <f t="shared" si="713"/>
        <v>0</v>
      </c>
      <c r="CP361" s="428">
        <f t="shared" si="714"/>
        <v>0</v>
      </c>
      <c r="CQ361" s="428">
        <f t="shared" si="715"/>
        <v>0</v>
      </c>
      <c r="CR361" s="428">
        <f t="shared" si="716"/>
        <v>0</v>
      </c>
      <c r="CS361" s="428">
        <f t="shared" si="717"/>
        <v>10202.41523510134</v>
      </c>
      <c r="CT361" s="428">
        <f t="shared" si="717"/>
        <v>-2350</v>
      </c>
      <c r="CU361" s="428">
        <f t="shared" si="718"/>
        <v>0</v>
      </c>
      <c r="CV361" s="428">
        <f t="shared" si="719"/>
        <v>0</v>
      </c>
      <c r="CW361" s="428">
        <f t="shared" si="720"/>
        <v>0</v>
      </c>
      <c r="CX361" s="428">
        <f t="shared" si="721"/>
        <v>0</v>
      </c>
      <c r="CY361" s="428">
        <f t="shared" si="722"/>
        <v>10754.093800922295</v>
      </c>
      <c r="CZ361" s="428">
        <f t="shared" si="722"/>
        <v>-2350</v>
      </c>
      <c r="DA361" s="428">
        <f t="shared" si="723"/>
        <v>0</v>
      </c>
      <c r="DB361" s="428">
        <f t="shared" si="724"/>
        <v>0</v>
      </c>
      <c r="DC361" s="428">
        <f t="shared" si="725"/>
        <v>0</v>
      </c>
      <c r="DD361" s="428">
        <f t="shared" si="726"/>
        <v>0</v>
      </c>
      <c r="DE361" s="428">
        <f t="shared" si="727"/>
        <v>11305.772366743249</v>
      </c>
    </row>
    <row r="362" spans="1:109" ht="15" customHeight="1">
      <c r="A362" s="417"/>
      <c r="B362" s="822"/>
      <c r="C362" s="781">
        <f>C361+$G$441</f>
        <v>2.7719039595619215</v>
      </c>
      <c r="D362" s="791">
        <f t="shared" si="671"/>
        <v>0.25185318392007638</v>
      </c>
      <c r="E362" s="791">
        <f t="shared" si="672"/>
        <v>0.27041233016450272</v>
      </c>
      <c r="F362" s="791">
        <f t="shared" si="673"/>
        <v>0.28794635812108238</v>
      </c>
      <c r="G362" s="791">
        <f t="shared" si="674"/>
        <v>0.30457449022235483</v>
      </c>
      <c r="H362" s="791">
        <f t="shared" si="675"/>
        <v>0.32039568158616216</v>
      </c>
      <c r="I362" s="791">
        <f t="shared" si="676"/>
        <v>0.3354930296852956</v>
      </c>
      <c r="J362" s="791">
        <f t="shared" si="677"/>
        <v>0.34993703736771442</v>
      </c>
      <c r="K362" s="791">
        <f t="shared" si="678"/>
        <v>0.36378807112064937</v>
      </c>
      <c r="L362" s="791">
        <f t="shared" si="679"/>
        <v>0.37709824272639225</v>
      </c>
      <c r="M362" s="417"/>
      <c r="N362" s="417"/>
      <c r="O362" s="417"/>
      <c r="P362" s="417"/>
      <c r="Q362" s="417"/>
      <c r="AT362" s="805">
        <f t="shared" si="680"/>
        <v>0</v>
      </c>
      <c r="AU362" s="805">
        <f t="shared" si="680"/>
        <v>0</v>
      </c>
      <c r="AV362" s="805">
        <f t="shared" si="680"/>
        <v>2</v>
      </c>
      <c r="AW362" s="805">
        <f t="shared" si="680"/>
        <v>3</v>
      </c>
      <c r="AX362" s="805">
        <f t="shared" si="680"/>
        <v>5</v>
      </c>
      <c r="AY362" s="805">
        <f t="shared" si="680"/>
        <v>6</v>
      </c>
      <c r="AZ362" s="805">
        <f t="shared" si="680"/>
        <v>8</v>
      </c>
      <c r="BA362" s="805">
        <f t="shared" ref="BA362:BB362" si="733">IF(AG376&lt;$G$449,0,MIN($G$446,1+IFERROR(INT((AG376-$G$449)/$G$468),0)))</f>
        <v>9</v>
      </c>
      <c r="BB362" s="805">
        <f t="shared" si="733"/>
        <v>10</v>
      </c>
      <c r="BD362" s="428">
        <f t="shared" si="682"/>
        <v>-2350</v>
      </c>
      <c r="BE362" s="428">
        <f t="shared" si="683"/>
        <v>0</v>
      </c>
      <c r="BF362" s="428">
        <f t="shared" si="684"/>
        <v>0</v>
      </c>
      <c r="BG362" s="428">
        <f t="shared" si="685"/>
        <v>0</v>
      </c>
      <c r="BH362" s="428">
        <f t="shared" si="686"/>
        <v>0</v>
      </c>
      <c r="BI362" s="428">
        <f t="shared" si="687"/>
        <v>7224.950125773652</v>
      </c>
      <c r="BJ362" s="428">
        <f t="shared" si="687"/>
        <v>-2350</v>
      </c>
      <c r="BK362" s="428">
        <f t="shared" si="688"/>
        <v>0</v>
      </c>
      <c r="BL362" s="428">
        <f t="shared" si="689"/>
        <v>0</v>
      </c>
      <c r="BM362" s="428">
        <f t="shared" si="690"/>
        <v>0</v>
      </c>
      <c r="BN362" s="428">
        <f t="shared" si="691"/>
        <v>0</v>
      </c>
      <c r="BO362" s="428">
        <f t="shared" si="692"/>
        <v>7776.6286915946075</v>
      </c>
      <c r="BP362" s="428">
        <f t="shared" si="692"/>
        <v>-2350</v>
      </c>
      <c r="BQ362" s="428">
        <f t="shared" si="693"/>
        <v>0</v>
      </c>
      <c r="BR362" s="428">
        <f t="shared" si="694"/>
        <v>0</v>
      </c>
      <c r="BS362" s="428">
        <f t="shared" si="695"/>
        <v>0</v>
      </c>
      <c r="BT362" s="428">
        <f t="shared" si="696"/>
        <v>0</v>
      </c>
      <c r="BU362" s="428">
        <f t="shared" si="697"/>
        <v>8328.3072574155631</v>
      </c>
      <c r="BV362" s="428">
        <f t="shared" si="697"/>
        <v>-2350</v>
      </c>
      <c r="BW362" s="428">
        <f t="shared" si="698"/>
        <v>0</v>
      </c>
      <c r="BX362" s="428">
        <f t="shared" si="699"/>
        <v>0</v>
      </c>
      <c r="BY362" s="428">
        <f t="shared" si="700"/>
        <v>0</v>
      </c>
      <c r="BZ362" s="428">
        <f t="shared" si="701"/>
        <v>0</v>
      </c>
      <c r="CA362" s="428">
        <f t="shared" si="702"/>
        <v>8879.9858232365186</v>
      </c>
      <c r="CB362" s="428">
        <f t="shared" si="702"/>
        <v>-2350</v>
      </c>
      <c r="CC362" s="428">
        <f t="shared" si="703"/>
        <v>0</v>
      </c>
      <c r="CD362" s="428">
        <f t="shared" si="704"/>
        <v>0</v>
      </c>
      <c r="CE362" s="428">
        <f t="shared" si="705"/>
        <v>0</v>
      </c>
      <c r="CF362" s="428">
        <f t="shared" si="706"/>
        <v>0</v>
      </c>
      <c r="CG362" s="428">
        <f t="shared" si="707"/>
        <v>9431.6643890574742</v>
      </c>
      <c r="CH362" s="428">
        <f t="shared" si="707"/>
        <v>-2350</v>
      </c>
      <c r="CI362" s="428">
        <f t="shared" si="708"/>
        <v>0</v>
      </c>
      <c r="CJ362" s="428">
        <f t="shared" si="709"/>
        <v>0</v>
      </c>
      <c r="CK362" s="428">
        <f t="shared" si="710"/>
        <v>0</v>
      </c>
      <c r="CL362" s="428">
        <f t="shared" si="711"/>
        <v>0</v>
      </c>
      <c r="CM362" s="428">
        <f t="shared" si="712"/>
        <v>9983.3429548784297</v>
      </c>
      <c r="CN362" s="428">
        <f t="shared" si="712"/>
        <v>-2350</v>
      </c>
      <c r="CO362" s="428">
        <f t="shared" si="713"/>
        <v>0</v>
      </c>
      <c r="CP362" s="428">
        <f t="shared" si="714"/>
        <v>0</v>
      </c>
      <c r="CQ362" s="428">
        <f t="shared" si="715"/>
        <v>0</v>
      </c>
      <c r="CR362" s="428">
        <f t="shared" si="716"/>
        <v>0</v>
      </c>
      <c r="CS362" s="428">
        <f t="shared" si="717"/>
        <v>10535.021520699385</v>
      </c>
      <c r="CT362" s="428">
        <f t="shared" si="717"/>
        <v>-2350</v>
      </c>
      <c r="CU362" s="428">
        <f t="shared" si="718"/>
        <v>0</v>
      </c>
      <c r="CV362" s="428">
        <f t="shared" si="719"/>
        <v>0</v>
      </c>
      <c r="CW362" s="428">
        <f t="shared" si="720"/>
        <v>0</v>
      </c>
      <c r="CX362" s="428">
        <f t="shared" si="721"/>
        <v>0</v>
      </c>
      <c r="CY362" s="428">
        <f t="shared" si="722"/>
        <v>11086.700086520341</v>
      </c>
      <c r="CZ362" s="428">
        <f t="shared" si="722"/>
        <v>-2350</v>
      </c>
      <c r="DA362" s="428">
        <f t="shared" si="723"/>
        <v>0</v>
      </c>
      <c r="DB362" s="428">
        <f t="shared" si="724"/>
        <v>0</v>
      </c>
      <c r="DC362" s="428">
        <f t="shared" si="725"/>
        <v>0</v>
      </c>
      <c r="DD362" s="428">
        <f t="shared" si="726"/>
        <v>0</v>
      </c>
      <c r="DE362" s="428">
        <f t="shared" si="727"/>
        <v>11638.378652341296</v>
      </c>
    </row>
    <row r="363" spans="1:109" ht="3.95" hidden="1" customHeight="1">
      <c r="A363" s="417"/>
      <c r="B363" s="423" t="str">
        <f>"IRR: Yr 0 = cash at close less Keystone today; earnout Yr "&amp;$G$444&amp;"; Yr 5 = stake value; net client wins held at model (G456); rollover fixed at "&amp;TEXT($G$436,"0%")</f>
        <v>IRR: Yr 0 = cash at close less Keystone today; earnout Yr 3; Yr 5 = stake value; net client wins held at model (G456); rollover fixed at 30%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7"/>
      <c r="O363" s="417"/>
      <c r="P363" s="417"/>
      <c r="Q363" s="417"/>
    </row>
    <row r="364" spans="1:109" ht="3.95" customHeight="1">
      <c r="A364" s="417"/>
      <c r="B364" s="423"/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7"/>
      <c r="O364" s="417"/>
      <c r="P364" s="417"/>
      <c r="Q364" s="417"/>
    </row>
    <row r="365" spans="1:109" ht="15" customHeight="1">
      <c r="A365" s="417"/>
      <c r="B365" s="795" t="str">
        <f>"Ben's Return Profile Based on Partnering — Keystone Multiple × Topkey Growth ("&amp;TEXT($G$436,"0%")&amp;" Rollover) — Less Standalone"</f>
        <v>Ben's Return Profile Based on Partnering — Keystone Multiple × Topkey Growth (30% Rollover) — Less Standalone</v>
      </c>
      <c r="C365" s="795"/>
      <c r="D365" s="795"/>
      <c r="E365" s="795"/>
      <c r="F365" s="795"/>
      <c r="G365" s="795"/>
      <c r="H365" s="795"/>
      <c r="I365" s="795"/>
      <c r="J365" s="795"/>
      <c r="K365" s="795"/>
      <c r="L365" s="795"/>
      <c r="M365" s="417"/>
      <c r="N365" s="417"/>
      <c r="O365" s="417"/>
      <c r="P365" s="417"/>
      <c r="Q365" s="417"/>
    </row>
    <row r="366" spans="1:109" ht="15" customHeight="1">
      <c r="A366" s="417"/>
      <c r="B366" s="148" t="s">
        <v>2769</v>
      </c>
      <c r="C366" s="417"/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7"/>
      <c r="O366" s="417"/>
      <c r="P366" s="417"/>
      <c r="Q366" s="417"/>
    </row>
    <row r="367" spans="1:109" ht="2.1" customHeight="1">
      <c r="A367" s="417"/>
      <c r="B367" s="417"/>
      <c r="C367" s="417"/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7"/>
      <c r="O367" s="417"/>
      <c r="P367" s="417"/>
      <c r="Q367" s="417"/>
    </row>
    <row r="368" spans="1:109" ht="12.75" customHeight="1">
      <c r="A368" s="417"/>
      <c r="B368" s="454"/>
      <c r="C368" s="454"/>
      <c r="D368" s="768" t="s">
        <v>2753</v>
      </c>
      <c r="E368" s="768"/>
      <c r="F368" s="768"/>
      <c r="G368" s="768"/>
      <c r="H368" s="768"/>
      <c r="I368" s="768"/>
      <c r="J368" s="768"/>
      <c r="K368" s="768"/>
      <c r="L368" s="768"/>
      <c r="M368" s="417"/>
      <c r="N368" s="417"/>
      <c r="O368" s="417"/>
      <c r="P368" s="417"/>
      <c r="Q368" s="417"/>
      <c r="Z368" s="787" t="s">
        <v>2756</v>
      </c>
      <c r="AA368" s="747"/>
      <c r="AB368" s="747"/>
      <c r="AC368" s="747"/>
      <c r="AD368" s="747"/>
      <c r="AE368" s="747"/>
      <c r="AF368" s="747"/>
      <c r="AG368" s="747"/>
      <c r="AH368" s="747"/>
    </row>
    <row r="369" spans="1:54" ht="12.75" customHeight="1">
      <c r="A369" s="417"/>
      <c r="B369" s="454"/>
      <c r="C369" s="454"/>
      <c r="D369" s="816">
        <f>E369-$G$466</f>
        <v>1</v>
      </c>
      <c r="E369" s="816">
        <f>F369-$G$466</f>
        <v>1.25</v>
      </c>
      <c r="F369" s="816">
        <f>G369-$G$466</f>
        <v>1.5</v>
      </c>
      <c r="G369" s="816">
        <f>H369-$G$466</f>
        <v>1.75</v>
      </c>
      <c r="H369" s="816">
        <f>$G$465</f>
        <v>2</v>
      </c>
      <c r="I369" s="816">
        <f>H369+$G$466</f>
        <v>2.25</v>
      </c>
      <c r="J369" s="816">
        <f>I369+$G$466</f>
        <v>2.5</v>
      </c>
      <c r="K369" s="816">
        <f>J369+$G$466</f>
        <v>2.75</v>
      </c>
      <c r="L369" s="816">
        <f>K369+$G$466</f>
        <v>3</v>
      </c>
      <c r="M369" s="417"/>
      <c r="N369" s="417"/>
      <c r="O369" s="417"/>
      <c r="P369" s="417"/>
      <c r="Q369" s="417"/>
      <c r="Z369" s="817">
        <f t="shared" ref="Z369:AF369" si="734">D$369</f>
        <v>1</v>
      </c>
      <c r="AA369" s="817">
        <f t="shared" si="734"/>
        <v>1.25</v>
      </c>
      <c r="AB369" s="817">
        <f t="shared" si="734"/>
        <v>1.5</v>
      </c>
      <c r="AC369" s="817">
        <f t="shared" si="734"/>
        <v>1.75</v>
      </c>
      <c r="AD369" s="817">
        <f t="shared" si="734"/>
        <v>2</v>
      </c>
      <c r="AE369" s="817">
        <f t="shared" si="734"/>
        <v>2.25</v>
      </c>
      <c r="AF369" s="817">
        <f t="shared" si="734"/>
        <v>2.5</v>
      </c>
      <c r="AG369" s="817">
        <f t="shared" ref="AG369:AH369" si="735">K$369</f>
        <v>2.75</v>
      </c>
      <c r="AH369" s="817">
        <f t="shared" si="735"/>
        <v>3</v>
      </c>
      <c r="AT369" s="773" t="s">
        <v>2616</v>
      </c>
      <c r="AU369" s="427"/>
      <c r="AV369" s="427"/>
      <c r="AW369" s="427"/>
      <c r="AX369" s="427"/>
      <c r="AY369" s="427"/>
      <c r="AZ369" s="427"/>
      <c r="BA369" s="427"/>
      <c r="BB369" s="427"/>
    </row>
    <row r="370" spans="1:54" ht="15" customHeight="1">
      <c r="A370" s="417"/>
      <c r="B370" s="820" t="s">
        <v>2527</v>
      </c>
      <c r="C370" s="780">
        <f>C371-$G$441</f>
        <v>1.2719039595619215</v>
      </c>
      <c r="D370" s="621">
        <f>ROUND(Z370,$G$452)</f>
        <v>-1600</v>
      </c>
      <c r="E370" s="621">
        <f t="shared" ref="E370:E376" si="736">ROUND(AA370,$G$452)</f>
        <v>-1100</v>
      </c>
      <c r="F370" s="621">
        <f t="shared" ref="F370:F376" si="737">ROUND(AB370,$G$452)</f>
        <v>-500</v>
      </c>
      <c r="G370" s="621">
        <f t="shared" ref="G370:G376" si="738">ROUND(AC370,$G$452)</f>
        <v>0</v>
      </c>
      <c r="H370" s="621">
        <f t="shared" ref="H370:H376" si="739">ROUND(AD370,$G$452)</f>
        <v>600</v>
      </c>
      <c r="I370" s="621">
        <f t="shared" ref="I370:I376" si="740">ROUND(AE370,$G$452)</f>
        <v>1100</v>
      </c>
      <c r="J370" s="621">
        <f t="shared" ref="J370:J376" si="741">ROUND(AF370,$G$452)</f>
        <v>1700</v>
      </c>
      <c r="K370" s="621">
        <f t="shared" ref="K370:K376" si="742">ROUND(AG370,$G$452)</f>
        <v>2300</v>
      </c>
      <c r="L370" s="621">
        <f t="shared" ref="L370:L376" si="743">ROUND(AH370,$G$452)</f>
        <v>2800</v>
      </c>
      <c r="M370" s="417"/>
      <c r="N370" s="417"/>
      <c r="O370" s="417"/>
      <c r="P370" s="417"/>
      <c r="Q370" s="417"/>
      <c r="Z370" s="367">
        <f t="shared" ref="Z370:AF376" si="744">Z330+$G$430-$AL330</f>
        <v>-1610.9452865434432</v>
      </c>
      <c r="AA370" s="367">
        <f t="shared" si="744"/>
        <v>-1059.2667207224877</v>
      </c>
      <c r="AB370" s="367">
        <f t="shared" si="744"/>
        <v>-507.58815490153211</v>
      </c>
      <c r="AC370" s="367">
        <f t="shared" si="744"/>
        <v>44.090410919423448</v>
      </c>
      <c r="AD370" s="367">
        <f t="shared" si="744"/>
        <v>595.768976740379</v>
      </c>
      <c r="AE370" s="367">
        <f t="shared" si="744"/>
        <v>1147.4475425613346</v>
      </c>
      <c r="AF370" s="367">
        <f t="shared" si="744"/>
        <v>1699.1261083822919</v>
      </c>
      <c r="AG370" s="367">
        <f t="shared" ref="AG370:AH370" si="745">AG330+$G$430-$AL330</f>
        <v>2250.8046742032475</v>
      </c>
      <c r="AH370" s="367">
        <f t="shared" si="745"/>
        <v>2802.4832400242012</v>
      </c>
      <c r="AT370" s="805">
        <f t="shared" ref="AT370:AZ376" si="746">IF(Z370&lt;$G$449,0,MIN($G$446,1+IFERROR(INT((Z370-$G$449)/$G$468),0)))</f>
        <v>0</v>
      </c>
      <c r="AU370" s="805">
        <f t="shared" si="746"/>
        <v>0</v>
      </c>
      <c r="AV370" s="805">
        <f t="shared" si="746"/>
        <v>0</v>
      </c>
      <c r="AW370" s="805">
        <f t="shared" si="746"/>
        <v>0</v>
      </c>
      <c r="AX370" s="805">
        <f t="shared" si="746"/>
        <v>0</v>
      </c>
      <c r="AY370" s="805">
        <f t="shared" si="746"/>
        <v>1</v>
      </c>
      <c r="AZ370" s="805">
        <f t="shared" si="746"/>
        <v>2</v>
      </c>
      <c r="BA370" s="805">
        <f t="shared" ref="BA370:BB376" si="747">IF(AG370&lt;$G$449,0,MIN($G$446,1+IFERROR(INT((AG370-$G$449)/$G$468),0)))</f>
        <v>4</v>
      </c>
      <c r="BB370" s="805">
        <f t="shared" si="747"/>
        <v>5</v>
      </c>
    </row>
    <row r="371" spans="1:54" ht="15" customHeight="1">
      <c r="A371" s="417"/>
      <c r="B371" s="821"/>
      <c r="C371" s="780">
        <f>C372-$G$441</f>
        <v>1.5219039595619215</v>
      </c>
      <c r="D371" s="470">
        <f t="shared" ref="D371:D376" si="748">ROUND(Z371,$G$452)</f>
        <v>-1300</v>
      </c>
      <c r="E371" s="470">
        <f t="shared" si="736"/>
        <v>-700</v>
      </c>
      <c r="F371" s="470">
        <f t="shared" si="737"/>
        <v>-200</v>
      </c>
      <c r="G371" s="470">
        <f t="shared" si="738"/>
        <v>400</v>
      </c>
      <c r="H371" s="470">
        <f t="shared" si="739"/>
        <v>900</v>
      </c>
      <c r="I371" s="470">
        <f t="shared" si="740"/>
        <v>1500</v>
      </c>
      <c r="J371" s="470">
        <f t="shared" si="741"/>
        <v>2000</v>
      </c>
      <c r="K371" s="470">
        <f t="shared" si="742"/>
        <v>2600</v>
      </c>
      <c r="L371" s="470">
        <f t="shared" si="743"/>
        <v>3100</v>
      </c>
      <c r="M371" s="417"/>
      <c r="N371" s="417"/>
      <c r="O371" s="417"/>
      <c r="P371" s="417"/>
      <c r="Q371" s="417"/>
      <c r="Z371" s="367">
        <f t="shared" si="744"/>
        <v>-1278.339000945396</v>
      </c>
      <c r="AA371" s="367">
        <f t="shared" si="744"/>
        <v>-726.66043512444048</v>
      </c>
      <c r="AB371" s="367">
        <f t="shared" si="744"/>
        <v>-174.98186930348493</v>
      </c>
      <c r="AC371" s="367">
        <f t="shared" si="744"/>
        <v>376.69669651747063</v>
      </c>
      <c r="AD371" s="367">
        <f t="shared" si="744"/>
        <v>928.37526233842618</v>
      </c>
      <c r="AE371" s="367">
        <f t="shared" si="744"/>
        <v>1480.0538281593817</v>
      </c>
      <c r="AF371" s="367">
        <f t="shared" si="744"/>
        <v>2031.7323939803391</v>
      </c>
      <c r="AG371" s="367">
        <f t="shared" ref="AG371:AH371" si="749">AG331+$G$430-$AL331</f>
        <v>2583.4109598012947</v>
      </c>
      <c r="AH371" s="367">
        <f t="shared" si="749"/>
        <v>3135.0895256222484</v>
      </c>
      <c r="AT371" s="805">
        <f t="shared" si="746"/>
        <v>0</v>
      </c>
      <c r="AU371" s="805">
        <f t="shared" si="746"/>
        <v>0</v>
      </c>
      <c r="AV371" s="805">
        <f t="shared" si="746"/>
        <v>0</v>
      </c>
      <c r="AW371" s="805">
        <f t="shared" si="746"/>
        <v>0</v>
      </c>
      <c r="AX371" s="805">
        <f t="shared" si="746"/>
        <v>0</v>
      </c>
      <c r="AY371" s="805">
        <f t="shared" si="746"/>
        <v>2</v>
      </c>
      <c r="AZ371" s="805">
        <f t="shared" si="746"/>
        <v>3</v>
      </c>
      <c r="BA371" s="805">
        <f t="shared" si="747"/>
        <v>5</v>
      </c>
      <c r="BB371" s="805">
        <f t="shared" si="747"/>
        <v>6</v>
      </c>
    </row>
    <row r="372" spans="1:54" ht="15" customHeight="1">
      <c r="A372" s="417"/>
      <c r="B372" s="821"/>
      <c r="C372" s="780">
        <f>C373-$G$441</f>
        <v>1.7719039595619215</v>
      </c>
      <c r="D372" s="470">
        <f t="shared" si="748"/>
        <v>-900</v>
      </c>
      <c r="E372" s="470">
        <f t="shared" si="736"/>
        <v>-400</v>
      </c>
      <c r="F372" s="470">
        <f t="shared" si="737"/>
        <v>200</v>
      </c>
      <c r="G372" s="470">
        <f t="shared" si="738"/>
        <v>700</v>
      </c>
      <c r="H372" s="470">
        <f t="shared" si="739"/>
        <v>1300</v>
      </c>
      <c r="I372" s="470">
        <f t="shared" si="740"/>
        <v>1800</v>
      </c>
      <c r="J372" s="470">
        <f t="shared" si="741"/>
        <v>2400</v>
      </c>
      <c r="K372" s="470">
        <f t="shared" si="742"/>
        <v>2900</v>
      </c>
      <c r="L372" s="470">
        <f t="shared" si="743"/>
        <v>3500</v>
      </c>
      <c r="M372" s="417"/>
      <c r="N372" s="417"/>
      <c r="O372" s="417"/>
      <c r="P372" s="417"/>
      <c r="Q372" s="417"/>
      <c r="Z372" s="367">
        <f t="shared" si="744"/>
        <v>-945.73271534734886</v>
      </c>
      <c r="AA372" s="367">
        <f t="shared" si="744"/>
        <v>-394.0541495263933</v>
      </c>
      <c r="AB372" s="367">
        <f t="shared" si="744"/>
        <v>157.62441629456225</v>
      </c>
      <c r="AC372" s="367">
        <f t="shared" si="744"/>
        <v>709.30298211551781</v>
      </c>
      <c r="AD372" s="367">
        <f t="shared" si="744"/>
        <v>1260.9815479364734</v>
      </c>
      <c r="AE372" s="367">
        <f t="shared" si="744"/>
        <v>1812.6601137574289</v>
      </c>
      <c r="AF372" s="367">
        <f t="shared" si="744"/>
        <v>2364.3386795783863</v>
      </c>
      <c r="AG372" s="367">
        <f t="shared" ref="AG372:AH372" si="750">AG332+$G$430-$AL332</f>
        <v>2916.0172453993418</v>
      </c>
      <c r="AH372" s="367">
        <f t="shared" si="750"/>
        <v>3467.6958112202956</v>
      </c>
      <c r="AT372" s="805">
        <f t="shared" si="746"/>
        <v>0</v>
      </c>
      <c r="AU372" s="805">
        <f t="shared" si="746"/>
        <v>0</v>
      </c>
      <c r="AV372" s="805">
        <f t="shared" si="746"/>
        <v>0</v>
      </c>
      <c r="AW372" s="805">
        <f t="shared" si="746"/>
        <v>0</v>
      </c>
      <c r="AX372" s="805">
        <f t="shared" si="746"/>
        <v>1</v>
      </c>
      <c r="AY372" s="805">
        <f t="shared" si="746"/>
        <v>3</v>
      </c>
      <c r="AZ372" s="805">
        <f t="shared" si="746"/>
        <v>4</v>
      </c>
      <c r="BA372" s="805">
        <f t="shared" si="747"/>
        <v>6</v>
      </c>
      <c r="BB372" s="805">
        <f t="shared" si="747"/>
        <v>7</v>
      </c>
    </row>
    <row r="373" spans="1:54" ht="15" customHeight="1">
      <c r="A373" s="417"/>
      <c r="B373" s="821"/>
      <c r="C373" s="780">
        <f>$G$440</f>
        <v>2.0219039595619215</v>
      </c>
      <c r="D373" s="470">
        <f t="shared" si="748"/>
        <v>-600</v>
      </c>
      <c r="E373" s="470">
        <f t="shared" si="736"/>
        <v>-100</v>
      </c>
      <c r="F373" s="470">
        <f t="shared" si="737"/>
        <v>500</v>
      </c>
      <c r="G373" s="470">
        <f t="shared" si="738"/>
        <v>1000</v>
      </c>
      <c r="H373" s="782">
        <f t="shared" si="739"/>
        <v>1600</v>
      </c>
      <c r="I373" s="470">
        <f t="shared" si="740"/>
        <v>2100</v>
      </c>
      <c r="J373" s="470">
        <f t="shared" si="741"/>
        <v>2700</v>
      </c>
      <c r="K373" s="470">
        <f t="shared" si="742"/>
        <v>3200</v>
      </c>
      <c r="L373" s="470">
        <f t="shared" si="743"/>
        <v>3800</v>
      </c>
      <c r="M373" s="417"/>
      <c r="N373" s="417"/>
      <c r="O373" s="417"/>
      <c r="P373" s="417"/>
      <c r="Q373" s="417"/>
      <c r="Z373" s="367">
        <f t="shared" si="744"/>
        <v>-613.12642974930168</v>
      </c>
      <c r="AA373" s="367">
        <f t="shared" si="744"/>
        <v>-61.447863928346123</v>
      </c>
      <c r="AB373" s="367">
        <f t="shared" si="744"/>
        <v>490.23070189260943</v>
      </c>
      <c r="AC373" s="367">
        <f t="shared" si="744"/>
        <v>1041.9092677135668</v>
      </c>
      <c r="AD373" s="367">
        <f t="shared" si="744"/>
        <v>1593.5878335345224</v>
      </c>
      <c r="AE373" s="367">
        <f t="shared" si="744"/>
        <v>2145.2663993554779</v>
      </c>
      <c r="AF373" s="367">
        <f t="shared" si="744"/>
        <v>2696.9449651764335</v>
      </c>
      <c r="AG373" s="367">
        <f t="shared" ref="AG373:AH373" si="751">AG333+$G$430-$AL333</f>
        <v>3248.623530997389</v>
      </c>
      <c r="AH373" s="367">
        <f t="shared" si="751"/>
        <v>3800.3020968183428</v>
      </c>
      <c r="AT373" s="805">
        <f t="shared" si="746"/>
        <v>0</v>
      </c>
      <c r="AU373" s="805">
        <f t="shared" si="746"/>
        <v>0</v>
      </c>
      <c r="AV373" s="805">
        <f t="shared" si="746"/>
        <v>0</v>
      </c>
      <c r="AW373" s="805">
        <f t="shared" si="746"/>
        <v>1</v>
      </c>
      <c r="AX373" s="805">
        <f t="shared" si="746"/>
        <v>2</v>
      </c>
      <c r="AY373" s="805">
        <f t="shared" si="746"/>
        <v>4</v>
      </c>
      <c r="AZ373" s="805">
        <f t="shared" si="746"/>
        <v>5</v>
      </c>
      <c r="BA373" s="805">
        <f t="shared" si="747"/>
        <v>6</v>
      </c>
      <c r="BB373" s="805">
        <f t="shared" si="747"/>
        <v>8</v>
      </c>
    </row>
    <row r="374" spans="1:54" ht="15" customHeight="1">
      <c r="A374" s="417"/>
      <c r="B374" s="821"/>
      <c r="C374" s="780">
        <f>C373+$G$441</f>
        <v>2.2719039595619215</v>
      </c>
      <c r="D374" s="470">
        <f t="shared" si="748"/>
        <v>-300</v>
      </c>
      <c r="E374" s="470">
        <f t="shared" si="736"/>
        <v>300</v>
      </c>
      <c r="F374" s="470">
        <f t="shared" si="737"/>
        <v>800</v>
      </c>
      <c r="G374" s="470">
        <f t="shared" si="738"/>
        <v>1400</v>
      </c>
      <c r="H374" s="470">
        <f t="shared" si="739"/>
        <v>1900</v>
      </c>
      <c r="I374" s="470">
        <f t="shared" si="740"/>
        <v>2500</v>
      </c>
      <c r="J374" s="470">
        <f t="shared" si="741"/>
        <v>3000</v>
      </c>
      <c r="K374" s="470">
        <f t="shared" si="742"/>
        <v>3600</v>
      </c>
      <c r="L374" s="470">
        <f t="shared" si="743"/>
        <v>4100</v>
      </c>
      <c r="M374" s="417"/>
      <c r="N374" s="417"/>
      <c r="O374" s="417"/>
      <c r="P374" s="417"/>
      <c r="Q374" s="417"/>
      <c r="Z374" s="367">
        <f t="shared" si="744"/>
        <v>-280.5201441512545</v>
      </c>
      <c r="AA374" s="367">
        <f t="shared" si="744"/>
        <v>271.15842166970106</v>
      </c>
      <c r="AB374" s="367">
        <f t="shared" si="744"/>
        <v>822.83698749065661</v>
      </c>
      <c r="AC374" s="367">
        <f t="shared" si="744"/>
        <v>1374.5155533116122</v>
      </c>
      <c r="AD374" s="367">
        <f t="shared" si="744"/>
        <v>1926.1941191325677</v>
      </c>
      <c r="AE374" s="367">
        <f t="shared" si="744"/>
        <v>2477.8726849535233</v>
      </c>
      <c r="AF374" s="367">
        <f t="shared" si="744"/>
        <v>3029.5512507744788</v>
      </c>
      <c r="AG374" s="367">
        <f t="shared" ref="AG374:AH374" si="752">AG334+$G$430-$AL334</f>
        <v>3581.2298165954344</v>
      </c>
      <c r="AH374" s="367">
        <f t="shared" si="752"/>
        <v>4132.9083824163899</v>
      </c>
      <c r="AT374" s="805">
        <f t="shared" si="746"/>
        <v>0</v>
      </c>
      <c r="AU374" s="805">
        <f t="shared" si="746"/>
        <v>0</v>
      </c>
      <c r="AV374" s="805">
        <f t="shared" si="746"/>
        <v>0</v>
      </c>
      <c r="AW374" s="805">
        <f t="shared" si="746"/>
        <v>1</v>
      </c>
      <c r="AX374" s="805">
        <f t="shared" si="746"/>
        <v>3</v>
      </c>
      <c r="AY374" s="805">
        <f t="shared" si="746"/>
        <v>4</v>
      </c>
      <c r="AZ374" s="805">
        <f t="shared" si="746"/>
        <v>6</v>
      </c>
      <c r="BA374" s="805">
        <f t="shared" si="747"/>
        <v>7</v>
      </c>
      <c r="BB374" s="805">
        <f t="shared" si="747"/>
        <v>9</v>
      </c>
    </row>
    <row r="375" spans="1:54" ht="15" customHeight="1">
      <c r="A375" s="417"/>
      <c r="B375" s="821"/>
      <c r="C375" s="780">
        <f>C374+$G$441</f>
        <v>2.5219039595619215</v>
      </c>
      <c r="D375" s="470">
        <f t="shared" si="748"/>
        <v>100</v>
      </c>
      <c r="E375" s="470">
        <f t="shared" si="736"/>
        <v>600</v>
      </c>
      <c r="F375" s="470">
        <f t="shared" si="737"/>
        <v>1200</v>
      </c>
      <c r="G375" s="470">
        <f t="shared" si="738"/>
        <v>1700</v>
      </c>
      <c r="H375" s="470">
        <f t="shared" si="739"/>
        <v>2300</v>
      </c>
      <c r="I375" s="470">
        <f t="shared" si="740"/>
        <v>2800</v>
      </c>
      <c r="J375" s="470">
        <f t="shared" si="741"/>
        <v>3400</v>
      </c>
      <c r="K375" s="470">
        <f t="shared" si="742"/>
        <v>3900</v>
      </c>
      <c r="L375" s="470">
        <f t="shared" si="743"/>
        <v>4500</v>
      </c>
      <c r="M375" s="417"/>
      <c r="N375" s="417"/>
      <c r="O375" s="417"/>
      <c r="P375" s="417"/>
      <c r="Q375" s="417"/>
      <c r="Z375" s="367">
        <f t="shared" si="744"/>
        <v>52.086141446792681</v>
      </c>
      <c r="AA375" s="367">
        <f t="shared" si="744"/>
        <v>603.76470726774824</v>
      </c>
      <c r="AB375" s="367">
        <f t="shared" si="744"/>
        <v>1155.4432730887038</v>
      </c>
      <c r="AC375" s="367">
        <f t="shared" si="744"/>
        <v>1707.1218389096593</v>
      </c>
      <c r="AD375" s="367">
        <f t="shared" si="744"/>
        <v>2258.8004047306167</v>
      </c>
      <c r="AE375" s="367">
        <f t="shared" si="744"/>
        <v>2810.4789705515723</v>
      </c>
      <c r="AF375" s="367">
        <f t="shared" si="744"/>
        <v>3362.1575363725278</v>
      </c>
      <c r="AG375" s="367">
        <f t="shared" ref="AG375:AH375" si="753">AG335+$G$430-$AL335</f>
        <v>3913.8361021934834</v>
      </c>
      <c r="AH375" s="367">
        <f t="shared" si="753"/>
        <v>4465.5146680144371</v>
      </c>
      <c r="AT375" s="805">
        <f t="shared" si="746"/>
        <v>0</v>
      </c>
      <c r="AU375" s="805">
        <f t="shared" si="746"/>
        <v>0</v>
      </c>
      <c r="AV375" s="805">
        <f t="shared" si="746"/>
        <v>1</v>
      </c>
      <c r="AW375" s="805">
        <f t="shared" si="746"/>
        <v>2</v>
      </c>
      <c r="AX375" s="805">
        <f t="shared" si="746"/>
        <v>4</v>
      </c>
      <c r="AY375" s="805">
        <f t="shared" si="746"/>
        <v>5</v>
      </c>
      <c r="AZ375" s="805">
        <f t="shared" si="746"/>
        <v>7</v>
      </c>
      <c r="BA375" s="805">
        <f t="shared" si="747"/>
        <v>8</v>
      </c>
      <c r="BB375" s="805">
        <f t="shared" si="747"/>
        <v>10</v>
      </c>
    </row>
    <row r="376" spans="1:54" ht="15" customHeight="1">
      <c r="A376" s="417"/>
      <c r="B376" s="822"/>
      <c r="C376" s="781">
        <f>C375+$G$441</f>
        <v>2.7719039595619215</v>
      </c>
      <c r="D376" s="772">
        <f t="shared" si="748"/>
        <v>400</v>
      </c>
      <c r="E376" s="772">
        <f t="shared" si="736"/>
        <v>900</v>
      </c>
      <c r="F376" s="772">
        <f t="shared" si="737"/>
        <v>1500</v>
      </c>
      <c r="G376" s="772">
        <f t="shared" si="738"/>
        <v>2000</v>
      </c>
      <c r="H376" s="772">
        <f t="shared" si="739"/>
        <v>2600</v>
      </c>
      <c r="I376" s="772">
        <f t="shared" si="740"/>
        <v>3100</v>
      </c>
      <c r="J376" s="772">
        <f t="shared" si="741"/>
        <v>3700</v>
      </c>
      <c r="K376" s="772">
        <f t="shared" si="742"/>
        <v>4200</v>
      </c>
      <c r="L376" s="772">
        <f t="shared" si="743"/>
        <v>4800</v>
      </c>
      <c r="M376" s="417"/>
      <c r="N376" s="417"/>
      <c r="O376" s="417"/>
      <c r="P376" s="417"/>
      <c r="Q376" s="417"/>
      <c r="Z376" s="367">
        <f t="shared" si="744"/>
        <v>384.69242704483986</v>
      </c>
      <c r="AA376" s="367">
        <f t="shared" si="744"/>
        <v>936.37099286579542</v>
      </c>
      <c r="AB376" s="367">
        <f t="shared" si="744"/>
        <v>1488.049558686751</v>
      </c>
      <c r="AC376" s="367">
        <f t="shared" si="744"/>
        <v>2039.7281245077065</v>
      </c>
      <c r="AD376" s="367">
        <f t="shared" si="744"/>
        <v>2591.4066903286621</v>
      </c>
      <c r="AE376" s="367">
        <f t="shared" si="744"/>
        <v>3143.0852561496176</v>
      </c>
      <c r="AF376" s="367">
        <f t="shared" si="744"/>
        <v>3694.7638219705732</v>
      </c>
      <c r="AG376" s="367">
        <f t="shared" ref="AG376:AH376" si="754">AG336+$G$430-$AL336</f>
        <v>4246.4423877915287</v>
      </c>
      <c r="AH376" s="367">
        <f t="shared" si="754"/>
        <v>4798.1209536124843</v>
      </c>
      <c r="AT376" s="805">
        <f t="shared" si="746"/>
        <v>0</v>
      </c>
      <c r="AU376" s="805">
        <f t="shared" si="746"/>
        <v>0</v>
      </c>
      <c r="AV376" s="805">
        <f t="shared" si="746"/>
        <v>2</v>
      </c>
      <c r="AW376" s="805">
        <f t="shared" si="746"/>
        <v>3</v>
      </c>
      <c r="AX376" s="805">
        <f t="shared" si="746"/>
        <v>5</v>
      </c>
      <c r="AY376" s="805">
        <f t="shared" si="746"/>
        <v>6</v>
      </c>
      <c r="AZ376" s="805">
        <f t="shared" si="746"/>
        <v>8</v>
      </c>
      <c r="BA376" s="805">
        <f t="shared" si="747"/>
        <v>9</v>
      </c>
      <c r="BB376" s="805">
        <f t="shared" si="747"/>
        <v>10</v>
      </c>
    </row>
    <row r="377" spans="1:54" ht="3.95" hidden="1" customHeight="1">
      <c r="A377" s="417"/>
      <c r="B377" s="423" t="s">
        <v>2772</v>
      </c>
      <c r="C377" s="785"/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7"/>
      <c r="O377" s="417"/>
      <c r="P377" s="417"/>
      <c r="Q377" s="417"/>
    </row>
    <row r="378" spans="1:54" ht="3.95" customHeight="1">
      <c r="A378" s="417"/>
      <c r="B378" s="417"/>
      <c r="C378" s="417"/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7"/>
      <c r="O378" s="417"/>
      <c r="P378" s="417"/>
      <c r="Q378" s="417"/>
    </row>
    <row r="379" spans="1:54" ht="15" customHeight="1">
      <c r="A379" s="417"/>
      <c r="B379" s="148" t="s">
        <v>2770</v>
      </c>
      <c r="C379" s="417"/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7"/>
      <c r="O379" s="417"/>
      <c r="P379" s="417"/>
      <c r="Q379" s="417"/>
    </row>
    <row r="380" spans="1:54" ht="2.1" customHeight="1">
      <c r="A380" s="417"/>
      <c r="B380" s="417"/>
      <c r="C380" s="417"/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7"/>
      <c r="O380" s="417"/>
      <c r="P380" s="417"/>
      <c r="Q380" s="417"/>
    </row>
    <row r="381" spans="1:54" ht="12.75" customHeight="1">
      <c r="A381" s="417"/>
      <c r="B381" s="454"/>
      <c r="C381" s="454"/>
      <c r="D381" s="768" t="s">
        <v>2753</v>
      </c>
      <c r="E381" s="768"/>
      <c r="F381" s="768"/>
      <c r="G381" s="768"/>
      <c r="H381" s="768"/>
      <c r="I381" s="768"/>
      <c r="J381" s="768"/>
      <c r="K381" s="768"/>
      <c r="L381" s="768"/>
      <c r="M381" s="417"/>
      <c r="N381" s="417"/>
      <c r="O381" s="417"/>
      <c r="P381" s="417"/>
      <c r="Q381" s="417"/>
    </row>
    <row r="382" spans="1:54" ht="12.75" customHeight="1">
      <c r="A382" s="417"/>
      <c r="B382" s="454"/>
      <c r="C382" s="454"/>
      <c r="D382" s="816">
        <f>E382-$G$466</f>
        <v>1</v>
      </c>
      <c r="E382" s="816">
        <f>F382-$G$466</f>
        <v>1.25</v>
      </c>
      <c r="F382" s="816">
        <f>G382-$G$466</f>
        <v>1.5</v>
      </c>
      <c r="G382" s="816">
        <f>H382-$G$466</f>
        <v>1.75</v>
      </c>
      <c r="H382" s="816">
        <f>$G$465</f>
        <v>2</v>
      </c>
      <c r="I382" s="816">
        <f>H382+$G$466</f>
        <v>2.25</v>
      </c>
      <c r="J382" s="816">
        <f>I382+$G$466</f>
        <v>2.5</v>
      </c>
      <c r="K382" s="816">
        <f>J382+$G$466</f>
        <v>2.75</v>
      </c>
      <c r="L382" s="816">
        <f>K382+$G$466</f>
        <v>3</v>
      </c>
      <c r="M382" s="417"/>
      <c r="N382" s="417"/>
      <c r="O382" s="417"/>
      <c r="P382" s="417"/>
      <c r="Q382" s="417"/>
      <c r="AT382" s="773" t="s">
        <v>2616</v>
      </c>
      <c r="AU382" s="427"/>
      <c r="AV382" s="427"/>
      <c r="AW382" s="427"/>
      <c r="AX382" s="427"/>
      <c r="AY382" s="427"/>
      <c r="AZ382" s="427"/>
      <c r="BA382" s="427"/>
      <c r="BB382" s="427"/>
    </row>
    <row r="383" spans="1:54" ht="15" customHeight="1">
      <c r="A383" s="417"/>
      <c r="B383" s="820" t="s">
        <v>2527</v>
      </c>
      <c r="C383" s="780">
        <f>C384-$G$441</f>
        <v>1.2719039595619215</v>
      </c>
      <c r="D383" s="490">
        <f>IFERROR(Z370/$AL330,0)</f>
        <v>-0.21507207780272236</v>
      </c>
      <c r="E383" s="490">
        <f t="shared" ref="E383:E389" si="755">IFERROR(AA370/$AL330,0)</f>
        <v>-0.14141926263795412</v>
      </c>
      <c r="F383" s="490">
        <f t="shared" ref="F383:F389" si="756">IFERROR(AB370/$AL330,0)</f>
        <v>-6.7766447473185873E-2</v>
      </c>
      <c r="G383" s="490">
        <f t="shared" ref="G383:G389" si="757">IFERROR(AC370/$AL330,0)</f>
        <v>5.8863676915823773E-3</v>
      </c>
      <c r="H383" s="490">
        <f t="shared" ref="H383:H389" si="758">IFERROR(AD370/$AL330,0)</f>
        <v>7.9539182856350629E-2</v>
      </c>
      <c r="I383" s="490">
        <f t="shared" ref="I383:I389" si="759">IFERROR(AE370/$AL330,0)</f>
        <v>0.15319199802111888</v>
      </c>
      <c r="J383" s="490">
        <f t="shared" ref="J383:J389" si="760">IFERROR(AF370/$AL330,0)</f>
        <v>0.22684481318588737</v>
      </c>
      <c r="K383" s="490">
        <f t="shared" ref="K383:K389" si="761">IFERROR(AG370/$AL330,0)</f>
        <v>0.30049762835065558</v>
      </c>
      <c r="L383" s="490">
        <f t="shared" ref="L383:L389" si="762">IFERROR(AH370/$AL330,0)</f>
        <v>0.37415044351542359</v>
      </c>
      <c r="M383" s="417"/>
      <c r="N383" s="417"/>
      <c r="O383" s="417"/>
      <c r="P383" s="417"/>
      <c r="Q383" s="417"/>
      <c r="AT383" s="805">
        <f t="shared" ref="AT383:AZ389" si="763">IF(Z370&lt;$G$449,0,MIN($G$446,1+IFERROR(INT((Z370-$G$449)/$G$468),0)))</f>
        <v>0</v>
      </c>
      <c r="AU383" s="805">
        <f t="shared" si="763"/>
        <v>0</v>
      </c>
      <c r="AV383" s="805">
        <f t="shared" si="763"/>
        <v>0</v>
      </c>
      <c r="AW383" s="805">
        <f t="shared" si="763"/>
        <v>0</v>
      </c>
      <c r="AX383" s="805">
        <f t="shared" si="763"/>
        <v>0</v>
      </c>
      <c r="AY383" s="805">
        <f t="shared" si="763"/>
        <v>1</v>
      </c>
      <c r="AZ383" s="805">
        <f t="shared" si="763"/>
        <v>2</v>
      </c>
      <c r="BA383" s="805">
        <f t="shared" ref="BA383:BB383" si="764">IF(AG370&lt;$G$449,0,MIN($G$446,1+IFERROR(INT((AG370-$G$449)/$G$468),0)))</f>
        <v>4</v>
      </c>
      <c r="BB383" s="805">
        <f t="shared" si="764"/>
        <v>5</v>
      </c>
    </row>
    <row r="384" spans="1:54" ht="15" customHeight="1">
      <c r="A384" s="417"/>
      <c r="B384" s="821"/>
      <c r="C384" s="780">
        <f>C385-$G$441</f>
        <v>1.5219039595619215</v>
      </c>
      <c r="D384" s="490">
        <f t="shared" ref="D384:D389" si="765">IFERROR(Z371/$AL331,0)</f>
        <v>-0.17066689189643577</v>
      </c>
      <c r="E384" s="490">
        <f t="shared" si="755"/>
        <v>-9.7014076731667537E-2</v>
      </c>
      <c r="F384" s="490">
        <f t="shared" si="756"/>
        <v>-2.3361261566899293E-2</v>
      </c>
      <c r="G384" s="490">
        <f t="shared" si="757"/>
        <v>5.0291553597868952E-2</v>
      </c>
      <c r="H384" s="490">
        <f t="shared" si="758"/>
        <v>0.1239443687626372</v>
      </c>
      <c r="I384" s="490">
        <f t="shared" si="759"/>
        <v>0.19759718392740544</v>
      </c>
      <c r="J384" s="490">
        <f t="shared" si="760"/>
        <v>0.27124999909217395</v>
      </c>
      <c r="K384" s="490">
        <f t="shared" si="761"/>
        <v>0.34490281425694219</v>
      </c>
      <c r="L384" s="490">
        <f t="shared" si="762"/>
        <v>0.41855562942171021</v>
      </c>
      <c r="M384" s="417"/>
      <c r="N384" s="417"/>
      <c r="O384" s="417"/>
      <c r="P384" s="417"/>
      <c r="Q384" s="417"/>
      <c r="AT384" s="805">
        <f t="shared" si="763"/>
        <v>0</v>
      </c>
      <c r="AU384" s="805">
        <f t="shared" si="763"/>
        <v>0</v>
      </c>
      <c r="AV384" s="805">
        <f t="shared" si="763"/>
        <v>0</v>
      </c>
      <c r="AW384" s="805">
        <f t="shared" si="763"/>
        <v>0</v>
      </c>
      <c r="AX384" s="805">
        <f t="shared" si="763"/>
        <v>0</v>
      </c>
      <c r="AY384" s="805">
        <f t="shared" si="763"/>
        <v>2</v>
      </c>
      <c r="AZ384" s="805">
        <f t="shared" si="763"/>
        <v>3</v>
      </c>
      <c r="BA384" s="805">
        <f t="shared" ref="BA384:BB384" si="766">IF(AG371&lt;$G$449,0,MIN($G$446,1+IFERROR(INT((AG371-$G$449)/$G$468),0)))</f>
        <v>5</v>
      </c>
      <c r="BB384" s="805">
        <f t="shared" si="766"/>
        <v>6</v>
      </c>
    </row>
    <row r="385" spans="1:54" ht="15" customHeight="1">
      <c r="A385" s="417"/>
      <c r="B385" s="821"/>
      <c r="C385" s="780">
        <f>C386-$G$441</f>
        <v>1.7719039595619215</v>
      </c>
      <c r="D385" s="490">
        <f t="shared" si="765"/>
        <v>-0.12626170599014921</v>
      </c>
      <c r="E385" s="490">
        <f t="shared" si="755"/>
        <v>-5.2608890825380956E-2</v>
      </c>
      <c r="F385" s="490">
        <f t="shared" si="756"/>
        <v>2.1043924339387288E-2</v>
      </c>
      <c r="G385" s="490">
        <f t="shared" si="757"/>
        <v>9.4696739504155539E-2</v>
      </c>
      <c r="H385" s="490">
        <f t="shared" si="758"/>
        <v>0.16834955466892379</v>
      </c>
      <c r="I385" s="490">
        <f t="shared" si="759"/>
        <v>0.24200236983369203</v>
      </c>
      <c r="J385" s="490">
        <f t="shared" si="760"/>
        <v>0.31565518499846051</v>
      </c>
      <c r="K385" s="490">
        <f t="shared" si="761"/>
        <v>0.38930800016322875</v>
      </c>
      <c r="L385" s="490">
        <f t="shared" si="762"/>
        <v>0.46296081532799677</v>
      </c>
      <c r="M385" s="417"/>
      <c r="N385" s="417"/>
      <c r="O385" s="417"/>
      <c r="P385" s="417"/>
      <c r="Q385" s="417"/>
      <c r="AT385" s="805">
        <f t="shared" si="763"/>
        <v>0</v>
      </c>
      <c r="AU385" s="805">
        <f t="shared" si="763"/>
        <v>0</v>
      </c>
      <c r="AV385" s="805">
        <f t="shared" si="763"/>
        <v>0</v>
      </c>
      <c r="AW385" s="805">
        <f t="shared" si="763"/>
        <v>0</v>
      </c>
      <c r="AX385" s="805">
        <f t="shared" si="763"/>
        <v>1</v>
      </c>
      <c r="AY385" s="805">
        <f t="shared" si="763"/>
        <v>3</v>
      </c>
      <c r="AZ385" s="805">
        <f t="shared" si="763"/>
        <v>4</v>
      </c>
      <c r="BA385" s="805">
        <f t="shared" ref="BA385:BB385" si="767">IF(AG372&lt;$G$449,0,MIN($G$446,1+IFERROR(INT((AG372-$G$449)/$G$468),0)))</f>
        <v>6</v>
      </c>
      <c r="BB385" s="805">
        <f t="shared" si="767"/>
        <v>7</v>
      </c>
    </row>
    <row r="386" spans="1:54" ht="15" customHeight="1">
      <c r="A386" s="417"/>
      <c r="B386" s="821"/>
      <c r="C386" s="780">
        <f>$G$440</f>
        <v>2.0219039595619215</v>
      </c>
      <c r="D386" s="490">
        <f t="shared" si="765"/>
        <v>-8.1856520083862627E-2</v>
      </c>
      <c r="E386" s="490">
        <f t="shared" si="755"/>
        <v>-8.2037049190943831E-3</v>
      </c>
      <c r="F386" s="490">
        <f t="shared" si="756"/>
        <v>6.5449110245673861E-2</v>
      </c>
      <c r="G386" s="490">
        <f t="shared" si="757"/>
        <v>0.13910192541044236</v>
      </c>
      <c r="H386" s="783">
        <f t="shared" si="758"/>
        <v>0.2127547405752106</v>
      </c>
      <c r="I386" s="490">
        <f t="shared" si="759"/>
        <v>0.28640755573997884</v>
      </c>
      <c r="J386" s="490">
        <f t="shared" si="760"/>
        <v>0.36006037090474707</v>
      </c>
      <c r="K386" s="490">
        <f t="shared" si="761"/>
        <v>0.43371318606951531</v>
      </c>
      <c r="L386" s="490">
        <f t="shared" si="762"/>
        <v>0.50736600123428333</v>
      </c>
      <c r="M386" s="417"/>
      <c r="N386" s="417"/>
      <c r="O386" s="417"/>
      <c r="P386" s="417"/>
      <c r="Q386" s="417"/>
      <c r="AT386" s="805">
        <f t="shared" si="763"/>
        <v>0</v>
      </c>
      <c r="AU386" s="805">
        <f t="shared" si="763"/>
        <v>0</v>
      </c>
      <c r="AV386" s="805">
        <f t="shared" si="763"/>
        <v>0</v>
      </c>
      <c r="AW386" s="805">
        <f t="shared" si="763"/>
        <v>1</v>
      </c>
      <c r="AX386" s="805">
        <f t="shared" si="763"/>
        <v>2</v>
      </c>
      <c r="AY386" s="805">
        <f t="shared" si="763"/>
        <v>4</v>
      </c>
      <c r="AZ386" s="805">
        <f t="shared" si="763"/>
        <v>5</v>
      </c>
      <c r="BA386" s="805">
        <f t="shared" ref="BA386:BB386" si="768">IF(AG373&lt;$G$449,0,MIN($G$446,1+IFERROR(INT((AG373-$G$449)/$G$468),0)))</f>
        <v>6</v>
      </c>
      <c r="BB386" s="805">
        <f t="shared" si="768"/>
        <v>8</v>
      </c>
    </row>
    <row r="387" spans="1:54" ht="15" customHeight="1">
      <c r="A387" s="417"/>
      <c r="B387" s="821"/>
      <c r="C387" s="780">
        <f>C386+$G$441</f>
        <v>2.2719039595619215</v>
      </c>
      <c r="D387" s="490">
        <f t="shared" si="765"/>
        <v>-3.7451334177576054E-2</v>
      </c>
      <c r="E387" s="490">
        <f t="shared" si="755"/>
        <v>3.6201480987192197E-2</v>
      </c>
      <c r="F387" s="490">
        <f t="shared" si="756"/>
        <v>0.10985429615196043</v>
      </c>
      <c r="G387" s="490">
        <f t="shared" si="757"/>
        <v>0.1835071113167287</v>
      </c>
      <c r="H387" s="490">
        <f t="shared" si="758"/>
        <v>0.25715992648149694</v>
      </c>
      <c r="I387" s="490">
        <f t="shared" si="759"/>
        <v>0.33081274164626517</v>
      </c>
      <c r="J387" s="490">
        <f t="shared" si="760"/>
        <v>0.40446555681103341</v>
      </c>
      <c r="K387" s="490">
        <f t="shared" si="761"/>
        <v>0.47811837197580165</v>
      </c>
      <c r="L387" s="490">
        <f t="shared" si="762"/>
        <v>0.55177118714056994</v>
      </c>
      <c r="M387" s="417"/>
      <c r="N387" s="417"/>
      <c r="O387" s="417"/>
      <c r="P387" s="417"/>
      <c r="Q387" s="417"/>
      <c r="AT387" s="805">
        <f t="shared" si="763"/>
        <v>0</v>
      </c>
      <c r="AU387" s="805">
        <f t="shared" si="763"/>
        <v>0</v>
      </c>
      <c r="AV387" s="805">
        <f t="shared" si="763"/>
        <v>0</v>
      </c>
      <c r="AW387" s="805">
        <f t="shared" si="763"/>
        <v>1</v>
      </c>
      <c r="AX387" s="805">
        <f t="shared" si="763"/>
        <v>3</v>
      </c>
      <c r="AY387" s="805">
        <f t="shared" si="763"/>
        <v>4</v>
      </c>
      <c r="AZ387" s="805">
        <f t="shared" si="763"/>
        <v>6</v>
      </c>
      <c r="BA387" s="805">
        <f t="shared" ref="BA387:BB387" si="769">IF(AG374&lt;$G$449,0,MIN($G$446,1+IFERROR(INT((AG374-$G$449)/$G$468),0)))</f>
        <v>7</v>
      </c>
      <c r="BB387" s="805">
        <f t="shared" si="769"/>
        <v>9</v>
      </c>
    </row>
    <row r="388" spans="1:54" ht="15" customHeight="1">
      <c r="A388" s="417"/>
      <c r="B388" s="821"/>
      <c r="C388" s="780">
        <f>C387+$G$441</f>
        <v>2.5219039595619215</v>
      </c>
      <c r="D388" s="490">
        <f t="shared" si="765"/>
        <v>6.9538517287105264E-3</v>
      </c>
      <c r="E388" s="490">
        <f t="shared" si="755"/>
        <v>8.0606666893478771E-2</v>
      </c>
      <c r="F388" s="490">
        <f t="shared" si="756"/>
        <v>0.15425948205824702</v>
      </c>
      <c r="G388" s="490">
        <f t="shared" si="757"/>
        <v>0.22791229722301526</v>
      </c>
      <c r="H388" s="490">
        <f t="shared" si="758"/>
        <v>0.30156511238778377</v>
      </c>
      <c r="I388" s="490">
        <f t="shared" si="759"/>
        <v>0.37521792755255201</v>
      </c>
      <c r="J388" s="490">
        <f t="shared" si="760"/>
        <v>0.44887074271732025</v>
      </c>
      <c r="K388" s="490">
        <f t="shared" si="761"/>
        <v>0.52252355788208849</v>
      </c>
      <c r="L388" s="490">
        <f t="shared" si="762"/>
        <v>0.59617637304685644</v>
      </c>
      <c r="M388" s="417"/>
      <c r="N388" s="417"/>
      <c r="O388" s="417"/>
      <c r="P388" s="417"/>
      <c r="Q388" s="417"/>
      <c r="AT388" s="805">
        <f t="shared" si="763"/>
        <v>0</v>
      </c>
      <c r="AU388" s="805">
        <f t="shared" si="763"/>
        <v>0</v>
      </c>
      <c r="AV388" s="805">
        <f t="shared" si="763"/>
        <v>1</v>
      </c>
      <c r="AW388" s="805">
        <f t="shared" si="763"/>
        <v>2</v>
      </c>
      <c r="AX388" s="805">
        <f t="shared" si="763"/>
        <v>4</v>
      </c>
      <c r="AY388" s="805">
        <f t="shared" si="763"/>
        <v>5</v>
      </c>
      <c r="AZ388" s="805">
        <f t="shared" si="763"/>
        <v>7</v>
      </c>
      <c r="BA388" s="805">
        <f t="shared" ref="BA388:BB388" si="770">IF(AG375&lt;$G$449,0,MIN($G$446,1+IFERROR(INT((AG375-$G$449)/$G$468),0)))</f>
        <v>8</v>
      </c>
      <c r="BB388" s="805">
        <f t="shared" si="770"/>
        <v>10</v>
      </c>
    </row>
    <row r="389" spans="1:54" ht="15" customHeight="1">
      <c r="A389" s="417"/>
      <c r="B389" s="822"/>
      <c r="C389" s="781">
        <f>C388+$G$441</f>
        <v>2.7719039595619215</v>
      </c>
      <c r="D389" s="784">
        <f t="shared" si="765"/>
        <v>5.1359037634997107E-2</v>
      </c>
      <c r="E389" s="784">
        <f t="shared" si="755"/>
        <v>0.12501185279976534</v>
      </c>
      <c r="F389" s="784">
        <f t="shared" si="756"/>
        <v>0.19866466796453361</v>
      </c>
      <c r="G389" s="784">
        <f t="shared" si="757"/>
        <v>0.27231748312930182</v>
      </c>
      <c r="H389" s="784">
        <f t="shared" si="758"/>
        <v>0.34597029829407011</v>
      </c>
      <c r="I389" s="784">
        <f t="shared" si="759"/>
        <v>0.41962311345883835</v>
      </c>
      <c r="J389" s="784">
        <f t="shared" si="760"/>
        <v>0.49327592862360659</v>
      </c>
      <c r="K389" s="784">
        <f t="shared" si="761"/>
        <v>0.56692874378837488</v>
      </c>
      <c r="L389" s="784">
        <f t="shared" si="762"/>
        <v>0.64058155895314306</v>
      </c>
      <c r="M389" s="417"/>
      <c r="N389" s="417"/>
      <c r="O389" s="417"/>
      <c r="P389" s="417"/>
      <c r="Q389" s="417"/>
      <c r="AT389" s="805">
        <f t="shared" si="763"/>
        <v>0</v>
      </c>
      <c r="AU389" s="805">
        <f t="shared" si="763"/>
        <v>0</v>
      </c>
      <c r="AV389" s="805">
        <f t="shared" si="763"/>
        <v>2</v>
      </c>
      <c r="AW389" s="805">
        <f t="shared" si="763"/>
        <v>3</v>
      </c>
      <c r="AX389" s="805">
        <f t="shared" si="763"/>
        <v>5</v>
      </c>
      <c r="AY389" s="805">
        <f t="shared" si="763"/>
        <v>6</v>
      </c>
      <c r="AZ389" s="805">
        <f t="shared" si="763"/>
        <v>8</v>
      </c>
      <c r="BA389" s="805">
        <f t="shared" ref="BA389:BB389" si="771">IF(AG376&lt;$G$449,0,MIN($G$446,1+IFERROR(INT((AG376-$G$449)/$G$468),0)))</f>
        <v>9</v>
      </c>
      <c r="BB389" s="805">
        <f t="shared" si="771"/>
        <v>10</v>
      </c>
    </row>
    <row r="390" spans="1:54" ht="3.95" hidden="1" customHeight="1">
      <c r="A390" s="417"/>
      <c r="B390" s="423" t="s">
        <v>2773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7"/>
      <c r="O390" s="417"/>
      <c r="P390" s="417"/>
      <c r="Q390" s="417"/>
    </row>
    <row r="391" spans="1:54" ht="3.95" customHeight="1">
      <c r="A391" s="417"/>
      <c r="M391" s="417"/>
      <c r="N391" s="417"/>
      <c r="O391" s="417"/>
      <c r="P391" s="417"/>
      <c r="Q391" s="417"/>
    </row>
    <row r="392" spans="1:54" ht="15" customHeight="1">
      <c r="A392" s="417"/>
      <c r="B392" s="148" t="s">
        <v>2771</v>
      </c>
      <c r="C392" s="417"/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7"/>
      <c r="O392" s="417"/>
      <c r="P392" s="417"/>
      <c r="Q392" s="417"/>
    </row>
    <row r="393" spans="1:54" ht="2.1" customHeight="1">
      <c r="A393" s="417"/>
      <c r="B393" s="417"/>
      <c r="C393" s="417"/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7"/>
      <c r="O393" s="417"/>
      <c r="P393" s="417"/>
      <c r="Q393" s="417"/>
    </row>
    <row r="394" spans="1:54" ht="12.75" customHeight="1">
      <c r="A394" s="417"/>
      <c r="B394" s="454"/>
      <c r="C394" s="454"/>
      <c r="D394" s="768" t="s">
        <v>2753</v>
      </c>
      <c r="E394" s="768"/>
      <c r="F394" s="768"/>
      <c r="G394" s="768"/>
      <c r="H394" s="768"/>
      <c r="I394" s="768"/>
      <c r="J394" s="768"/>
      <c r="K394" s="768"/>
      <c r="L394" s="768"/>
      <c r="M394" s="417"/>
      <c r="N394" s="417"/>
      <c r="O394" s="417"/>
      <c r="P394" s="417"/>
      <c r="Q394" s="417"/>
    </row>
    <row r="395" spans="1:54" ht="12.75" customHeight="1">
      <c r="A395" s="417"/>
      <c r="B395" s="454"/>
      <c r="C395" s="454"/>
      <c r="D395" s="816">
        <f>E395-$G$466</f>
        <v>1</v>
      </c>
      <c r="E395" s="816">
        <f>F395-$G$466</f>
        <v>1.25</v>
      </c>
      <c r="F395" s="816">
        <f>G395-$G$466</f>
        <v>1.5</v>
      </c>
      <c r="G395" s="816">
        <f>H395-$G$466</f>
        <v>1.75</v>
      </c>
      <c r="H395" s="816">
        <f>$G$465</f>
        <v>2</v>
      </c>
      <c r="I395" s="816">
        <f>H395+$G$466</f>
        <v>2.25</v>
      </c>
      <c r="J395" s="816">
        <f>I395+$G$466</f>
        <v>2.5</v>
      </c>
      <c r="K395" s="816">
        <f>J395+$G$466</f>
        <v>2.75</v>
      </c>
      <c r="L395" s="816">
        <f>K395+$G$466</f>
        <v>3</v>
      </c>
      <c r="M395" s="417"/>
      <c r="N395" s="417"/>
      <c r="O395" s="417"/>
      <c r="P395" s="417"/>
      <c r="Q395" s="417"/>
      <c r="AT395" s="773" t="s">
        <v>2616</v>
      </c>
      <c r="AU395" s="427"/>
      <c r="AV395" s="427"/>
      <c r="AW395" s="427"/>
      <c r="AX395" s="427"/>
      <c r="AY395" s="427"/>
      <c r="AZ395" s="427"/>
      <c r="BA395" s="427"/>
      <c r="BB395" s="427"/>
    </row>
    <row r="396" spans="1:54" ht="15" customHeight="1">
      <c r="A396" s="417"/>
      <c r="B396" s="820" t="s">
        <v>2527</v>
      </c>
      <c r="C396" s="780">
        <f>C397-$G$441</f>
        <v>1.2719039595619215</v>
      </c>
      <c r="D396" s="632">
        <f>D356-$AM330</f>
        <v>-2.7333163407857963E-2</v>
      </c>
      <c r="E396" s="632">
        <f t="shared" ref="E396:J396" si="772">E356-$AM330</f>
        <v>-3.5566017150814311E-3</v>
      </c>
      <c r="F396" s="632">
        <f t="shared" si="772"/>
        <v>1.846873605636179E-2</v>
      </c>
      <c r="G396" s="632">
        <f t="shared" si="772"/>
        <v>3.900878521589024E-2</v>
      </c>
      <c r="H396" s="632">
        <f t="shared" si="772"/>
        <v>5.8271513856421153E-2</v>
      </c>
      <c r="I396" s="632">
        <f t="shared" si="772"/>
        <v>7.6422840620669064E-2</v>
      </c>
      <c r="J396" s="632">
        <f t="shared" si="772"/>
        <v>9.3597400965874877E-2</v>
      </c>
      <c r="K396" s="632">
        <f t="shared" ref="K396:L396" si="773">K356-$AM330</f>
        <v>0.10990604996795272</v>
      </c>
      <c r="L396" s="632">
        <f t="shared" si="773"/>
        <v>0.12544122629472887</v>
      </c>
      <c r="M396" s="417"/>
      <c r="N396" s="417"/>
      <c r="O396" s="417"/>
      <c r="P396" s="417"/>
      <c r="Q396" s="417"/>
      <c r="AT396" s="805">
        <f t="shared" ref="AT396:AZ402" si="774">IF(Z370&lt;$G$449,0,MIN($G$446,1+IFERROR(INT((Z370-$G$449)/$G$468),0)))</f>
        <v>0</v>
      </c>
      <c r="AU396" s="805">
        <f t="shared" si="774"/>
        <v>0</v>
      </c>
      <c r="AV396" s="805">
        <f t="shared" si="774"/>
        <v>0</v>
      </c>
      <c r="AW396" s="805">
        <f t="shared" si="774"/>
        <v>0</v>
      </c>
      <c r="AX396" s="805">
        <f t="shared" si="774"/>
        <v>0</v>
      </c>
      <c r="AY396" s="805">
        <f t="shared" si="774"/>
        <v>1</v>
      </c>
      <c r="AZ396" s="805">
        <f t="shared" si="774"/>
        <v>2</v>
      </c>
      <c r="BA396" s="805">
        <f t="shared" ref="BA396:BB396" si="775">IF(AG370&lt;$G$449,0,MIN($G$446,1+IFERROR(INT((AG370-$G$449)/$G$468),0)))</f>
        <v>4</v>
      </c>
      <c r="BB396" s="805">
        <f t="shared" si="775"/>
        <v>5</v>
      </c>
    </row>
    <row r="397" spans="1:54" ht="15" customHeight="1">
      <c r="A397" s="417"/>
      <c r="B397" s="821"/>
      <c r="C397" s="780">
        <f>C398-$G$441</f>
        <v>1.5219039595619215</v>
      </c>
      <c r="D397" s="632">
        <f t="shared" ref="D397:J397" si="776">D357-$AM331</f>
        <v>-1.2771428052138489E-2</v>
      </c>
      <c r="E397" s="632">
        <f t="shared" si="776"/>
        <v>9.9135618175960616E-3</v>
      </c>
      <c r="F397" s="632">
        <f t="shared" si="776"/>
        <v>3.1015720952057624E-2</v>
      </c>
      <c r="G397" s="632">
        <f t="shared" si="776"/>
        <v>5.0763754261903715E-2</v>
      </c>
      <c r="H397" s="632">
        <f t="shared" si="776"/>
        <v>6.9338755614333891E-2</v>
      </c>
      <c r="I397" s="632">
        <f t="shared" si="776"/>
        <v>8.6886734255001263E-2</v>
      </c>
      <c r="J397" s="632">
        <f t="shared" si="776"/>
        <v>0.103527246209552</v>
      </c>
      <c r="K397" s="632">
        <f t="shared" ref="K397:L397" si="777">K357-$AM331</f>
        <v>0.11935950554989794</v>
      </c>
      <c r="L397" s="632">
        <f t="shared" si="777"/>
        <v>0.13446681398613292</v>
      </c>
      <c r="M397" s="417"/>
      <c r="N397" s="417"/>
      <c r="O397" s="417"/>
      <c r="P397" s="417"/>
      <c r="Q397" s="417"/>
      <c r="AT397" s="805">
        <f t="shared" si="774"/>
        <v>0</v>
      </c>
      <c r="AU397" s="805">
        <f t="shared" si="774"/>
        <v>0</v>
      </c>
      <c r="AV397" s="805">
        <f t="shared" si="774"/>
        <v>0</v>
      </c>
      <c r="AW397" s="805">
        <f t="shared" si="774"/>
        <v>0</v>
      </c>
      <c r="AX397" s="805">
        <f t="shared" si="774"/>
        <v>0</v>
      </c>
      <c r="AY397" s="805">
        <f t="shared" si="774"/>
        <v>2</v>
      </c>
      <c r="AZ397" s="805">
        <f t="shared" si="774"/>
        <v>3</v>
      </c>
      <c r="BA397" s="805">
        <f t="shared" ref="BA397:BB397" si="778">IF(AG371&lt;$G$449,0,MIN($G$446,1+IFERROR(INT((AG371-$G$449)/$G$468),0)))</f>
        <v>5</v>
      </c>
      <c r="BB397" s="805">
        <f t="shared" si="778"/>
        <v>6</v>
      </c>
    </row>
    <row r="398" spans="1:54" ht="15" customHeight="1">
      <c r="A398" s="417"/>
      <c r="B398" s="821"/>
      <c r="C398" s="780">
        <f>C399-$G$441</f>
        <v>1.7719039595619215</v>
      </c>
      <c r="D398" s="632">
        <f t="shared" ref="D398:J398" si="779">D358-$AM332</f>
        <v>1.1095125544362539E-3</v>
      </c>
      <c r="E398" s="632">
        <f t="shared" si="779"/>
        <v>2.2809643853174633E-2</v>
      </c>
      <c r="F398" s="632">
        <f t="shared" si="779"/>
        <v>4.3071402923139823E-2</v>
      </c>
      <c r="G398" s="632">
        <f t="shared" si="779"/>
        <v>6.2093009303481272E-2</v>
      </c>
      <c r="H398" s="632">
        <f t="shared" si="779"/>
        <v>8.0033192459237235E-2</v>
      </c>
      <c r="I398" s="632">
        <f t="shared" si="779"/>
        <v>9.7021164068431087E-2</v>
      </c>
      <c r="J398" s="632">
        <f t="shared" si="779"/>
        <v>0.11316360643204559</v>
      </c>
      <c r="K398" s="632">
        <f t="shared" ref="K398:L398" si="780">K358-$AM332</f>
        <v>0.12854969279018169</v>
      </c>
      <c r="L398" s="632">
        <f t="shared" si="780"/>
        <v>0.14325477250716445</v>
      </c>
      <c r="M398" s="417"/>
      <c r="N398" s="417"/>
      <c r="O398" s="417"/>
      <c r="P398" s="417"/>
      <c r="Q398" s="417"/>
      <c r="AT398" s="805">
        <f t="shared" si="774"/>
        <v>0</v>
      </c>
      <c r="AU398" s="805">
        <f t="shared" si="774"/>
        <v>0</v>
      </c>
      <c r="AV398" s="805">
        <f t="shared" si="774"/>
        <v>0</v>
      </c>
      <c r="AW398" s="805">
        <f t="shared" si="774"/>
        <v>0</v>
      </c>
      <c r="AX398" s="805">
        <f t="shared" si="774"/>
        <v>1</v>
      </c>
      <c r="AY398" s="805">
        <f t="shared" si="774"/>
        <v>3</v>
      </c>
      <c r="AZ398" s="805">
        <f t="shared" si="774"/>
        <v>4</v>
      </c>
      <c r="BA398" s="805">
        <f t="shared" ref="BA398:BB398" si="781">IF(AG372&lt;$G$449,0,MIN($G$446,1+IFERROR(INT((AG372-$G$449)/$G$468),0)))</f>
        <v>6</v>
      </c>
      <c r="BB398" s="805">
        <f t="shared" si="781"/>
        <v>7</v>
      </c>
    </row>
    <row r="399" spans="1:54" ht="15" customHeight="1">
      <c r="A399" s="417"/>
      <c r="B399" s="821"/>
      <c r="C399" s="780">
        <f>$G$440</f>
        <v>2.0219039595619215</v>
      </c>
      <c r="D399" s="632">
        <f t="shared" ref="D399:J399" si="782">D359-$AM333</f>
        <v>1.4377339561529201E-2</v>
      </c>
      <c r="E399" s="632">
        <f t="shared" si="782"/>
        <v>3.5183923320988963E-2</v>
      </c>
      <c r="F399" s="632">
        <f t="shared" si="782"/>
        <v>5.4677056592764339E-2</v>
      </c>
      <c r="G399" s="632">
        <f t="shared" si="782"/>
        <v>7.3029743609851039E-2</v>
      </c>
      <c r="H399" s="790">
        <f t="shared" si="782"/>
        <v>9.0381942850864538E-2</v>
      </c>
      <c r="I399" s="632">
        <f t="shared" si="782"/>
        <v>0.10684858967835376</v>
      </c>
      <c r="J399" s="632">
        <f t="shared" si="782"/>
        <v>0.12252530561560859</v>
      </c>
      <c r="K399" s="632">
        <f t="shared" ref="K399:L399" si="783">K359-$AM333</f>
        <v>0.13749255495352242</v>
      </c>
      <c r="L399" s="632">
        <f t="shared" si="783"/>
        <v>0.15181873160905801</v>
      </c>
      <c r="M399" s="417"/>
      <c r="N399" s="417"/>
      <c r="O399" s="417"/>
      <c r="P399" s="417"/>
      <c r="Q399" s="417"/>
      <c r="AT399" s="805">
        <f t="shared" si="774"/>
        <v>0</v>
      </c>
      <c r="AU399" s="805">
        <f t="shared" si="774"/>
        <v>0</v>
      </c>
      <c r="AV399" s="805">
        <f t="shared" si="774"/>
        <v>0</v>
      </c>
      <c r="AW399" s="805">
        <f t="shared" si="774"/>
        <v>1</v>
      </c>
      <c r="AX399" s="805">
        <f t="shared" si="774"/>
        <v>2</v>
      </c>
      <c r="AY399" s="805">
        <f t="shared" si="774"/>
        <v>4</v>
      </c>
      <c r="AZ399" s="805">
        <f t="shared" si="774"/>
        <v>5</v>
      </c>
      <c r="BA399" s="805">
        <f t="shared" ref="BA399:BB399" si="784">IF(AG373&lt;$G$449,0,MIN($G$446,1+IFERROR(INT((AG373-$G$449)/$G$468),0)))</f>
        <v>6</v>
      </c>
      <c r="BB399" s="805">
        <f t="shared" si="784"/>
        <v>8</v>
      </c>
    </row>
    <row r="400" spans="1:54" ht="15" customHeight="1">
      <c r="A400" s="417"/>
      <c r="B400" s="821"/>
      <c r="C400" s="780">
        <f>C399+$G$441</f>
        <v>2.2719039595619215</v>
      </c>
      <c r="D400" s="632">
        <f t="shared" ref="D400:J400" si="785">D360-$AM334</f>
        <v>2.7089812642434818E-2</v>
      </c>
      <c r="E400" s="632">
        <f t="shared" si="785"/>
        <v>4.7081628455525548E-2</v>
      </c>
      <c r="F400" s="632">
        <f t="shared" si="785"/>
        <v>6.5868802187019515E-2</v>
      </c>
      <c r="G400" s="632">
        <f t="shared" si="785"/>
        <v>8.3603290993691237E-2</v>
      </c>
      <c r="H400" s="632">
        <f t="shared" si="785"/>
        <v>0.10040917543791528</v>
      </c>
      <c r="I400" s="632">
        <f t="shared" si="785"/>
        <v>0.11638917559985718</v>
      </c>
      <c r="J400" s="632">
        <f t="shared" si="785"/>
        <v>0.13162935402716047</v>
      </c>
      <c r="K400" s="632">
        <f t="shared" ref="K400:L400" si="786">K360-$AM334</f>
        <v>0.14620258213454251</v>
      </c>
      <c r="L400" s="632">
        <f t="shared" si="786"/>
        <v>0.16017114240597685</v>
      </c>
      <c r="M400" s="417"/>
      <c r="N400" s="417"/>
      <c r="O400" s="417"/>
      <c r="P400" s="417"/>
      <c r="Q400" s="417"/>
      <c r="AT400" s="805">
        <f t="shared" si="774"/>
        <v>0</v>
      </c>
      <c r="AU400" s="805">
        <f t="shared" si="774"/>
        <v>0</v>
      </c>
      <c r="AV400" s="805">
        <f t="shared" si="774"/>
        <v>0</v>
      </c>
      <c r="AW400" s="805">
        <f t="shared" si="774"/>
        <v>1</v>
      </c>
      <c r="AX400" s="805">
        <f t="shared" si="774"/>
        <v>3</v>
      </c>
      <c r="AY400" s="805">
        <f t="shared" si="774"/>
        <v>4</v>
      </c>
      <c r="AZ400" s="805">
        <f t="shared" si="774"/>
        <v>6</v>
      </c>
      <c r="BA400" s="805">
        <f t="shared" ref="BA400:BB400" si="787">IF(AG374&lt;$G$449,0,MIN($G$446,1+IFERROR(INT((AG374-$G$449)/$G$468),0)))</f>
        <v>7</v>
      </c>
      <c r="BB400" s="805">
        <f t="shared" si="787"/>
        <v>9</v>
      </c>
    </row>
    <row r="401" spans="1:54" ht="15" customHeight="1">
      <c r="A401" s="417"/>
      <c r="B401" s="821"/>
      <c r="C401" s="780">
        <f>C400+$G$441</f>
        <v>2.5219039595619215</v>
      </c>
      <c r="D401" s="632">
        <f t="shared" ref="D401:J401" si="788">D361-$AM335</f>
        <v>3.9296646093995635E-2</v>
      </c>
      <c r="E401" s="632">
        <f t="shared" si="788"/>
        <v>5.8542168266491501E-2</v>
      </c>
      <c r="F401" s="632">
        <f t="shared" si="788"/>
        <v>7.6678441960028376E-2</v>
      </c>
      <c r="G401" s="632">
        <f t="shared" si="788"/>
        <v>9.383971063686003E-2</v>
      </c>
      <c r="H401" s="632">
        <f t="shared" si="788"/>
        <v>0.11013652831392329</v>
      </c>
      <c r="I401" s="632">
        <f t="shared" si="788"/>
        <v>0.12566109842006878</v>
      </c>
      <c r="J401" s="632">
        <f t="shared" si="788"/>
        <v>0.14049117752398765</v>
      </c>
      <c r="K401" s="632">
        <f t="shared" ref="K401:L401" si="789">K361-$AM335</f>
        <v>0.15469298536318732</v>
      </c>
      <c r="L401" s="632">
        <f t="shared" si="789"/>
        <v>0.16832341156711794</v>
      </c>
      <c r="M401" s="417"/>
      <c r="N401" s="417"/>
      <c r="O401" s="417"/>
      <c r="P401" s="417"/>
      <c r="Q401" s="417"/>
      <c r="AT401" s="805">
        <f t="shared" si="774"/>
        <v>0</v>
      </c>
      <c r="AU401" s="805">
        <f t="shared" si="774"/>
        <v>0</v>
      </c>
      <c r="AV401" s="805">
        <f t="shared" si="774"/>
        <v>1</v>
      </c>
      <c r="AW401" s="805">
        <f t="shared" si="774"/>
        <v>2</v>
      </c>
      <c r="AX401" s="805">
        <f t="shared" si="774"/>
        <v>4</v>
      </c>
      <c r="AY401" s="805">
        <f t="shared" si="774"/>
        <v>5</v>
      </c>
      <c r="AZ401" s="805">
        <f t="shared" si="774"/>
        <v>7</v>
      </c>
      <c r="BA401" s="805">
        <f t="shared" ref="BA401:BB401" si="790">IF(AG375&lt;$G$449,0,MIN($G$446,1+IFERROR(INT((AG375-$G$449)/$G$468),0)))</f>
        <v>8</v>
      </c>
      <c r="BB401" s="805">
        <f t="shared" si="790"/>
        <v>10</v>
      </c>
    </row>
    <row r="402" spans="1:54" ht="15" customHeight="1">
      <c r="A402" s="417"/>
      <c r="B402" s="822"/>
      <c r="C402" s="781">
        <f>C401+$G$441</f>
        <v>2.7719039595619215</v>
      </c>
      <c r="D402" s="791">
        <f t="shared" ref="D402:J402" si="791">D362-$AM336</f>
        <v>5.1040957963464528E-2</v>
      </c>
      <c r="E402" s="791">
        <f t="shared" si="791"/>
        <v>6.9600104207890867E-2</v>
      </c>
      <c r="F402" s="791">
        <f t="shared" si="791"/>
        <v>8.7134132164470524E-2</v>
      </c>
      <c r="G402" s="791">
        <f t="shared" si="791"/>
        <v>0.10376226426574298</v>
      </c>
      <c r="H402" s="791">
        <f t="shared" si="791"/>
        <v>0.11958345562955031</v>
      </c>
      <c r="I402" s="791">
        <f t="shared" si="791"/>
        <v>0.13468080372868374</v>
      </c>
      <c r="J402" s="791">
        <f t="shared" si="791"/>
        <v>0.14912481141110256</v>
      </c>
      <c r="K402" s="791">
        <f t="shared" ref="K402:L402" si="792">K362-$AM336</f>
        <v>0.16297584516403751</v>
      </c>
      <c r="L402" s="791">
        <f t="shared" si="792"/>
        <v>0.1762860167697804</v>
      </c>
      <c r="M402" s="417"/>
      <c r="N402" s="417"/>
      <c r="O402" s="417"/>
      <c r="P402" s="417"/>
      <c r="Q402" s="417"/>
      <c r="AT402" s="805">
        <f t="shared" si="774"/>
        <v>0</v>
      </c>
      <c r="AU402" s="805">
        <f t="shared" si="774"/>
        <v>0</v>
      </c>
      <c r="AV402" s="805">
        <f t="shared" si="774"/>
        <v>2</v>
      </c>
      <c r="AW402" s="805">
        <f t="shared" si="774"/>
        <v>3</v>
      </c>
      <c r="AX402" s="805">
        <f t="shared" si="774"/>
        <v>5</v>
      </c>
      <c r="AY402" s="805">
        <f t="shared" si="774"/>
        <v>6</v>
      </c>
      <c r="AZ402" s="805">
        <f t="shared" si="774"/>
        <v>8</v>
      </c>
      <c r="BA402" s="805">
        <f t="shared" ref="BA402:BB402" si="793">IF(AG376&lt;$G$449,0,MIN($G$446,1+IFERROR(INT((AG376-$G$449)/$G$468),0)))</f>
        <v>9</v>
      </c>
      <c r="BB402" s="805">
        <f t="shared" si="793"/>
        <v>10</v>
      </c>
    </row>
    <row r="403" spans="1:54" ht="3.95" hidden="1" customHeight="1">
      <c r="A403" s="417"/>
      <c r="B403" s="423" t="s">
        <v>2774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7"/>
      <c r="O403" s="417"/>
      <c r="P403" s="417"/>
      <c r="Q403" s="417"/>
    </row>
    <row r="404" spans="1:54" ht="3.95" customHeight="1">
      <c r="A404" s="417"/>
      <c r="M404" s="417"/>
    </row>
    <row r="405" spans="1:54" ht="12" customHeight="1">
      <c r="A405" s="417"/>
      <c r="B405" s="374" t="s">
        <v>2503</v>
      </c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417"/>
    </row>
    <row r="406" spans="1:54" ht="12" customHeight="1">
      <c r="A406" s="417"/>
      <c r="B406" s="417" t="s">
        <v>2504</v>
      </c>
      <c r="G406" s="621">
        <f>$O18+$G$435+$N18*$G$431+$R18*($Q18*(1+$G$437)+$G$431*(1-$N18))-$G$430</f>
        <v>6083.8455322633345</v>
      </c>
      <c r="H406" s="417"/>
      <c r="M406" s="417"/>
    </row>
    <row r="407" spans="1:54" ht="12" customHeight="1">
      <c r="A407" s="417"/>
      <c r="B407" s="766" t="s">
        <v>2508</v>
      </c>
      <c r="C407" s="793"/>
      <c r="D407" s="793"/>
      <c r="E407" s="793"/>
      <c r="F407" s="793"/>
      <c r="G407" s="772">
        <f>'Partnership Analysis'!$D$92-'Partnership Analysis'!$C$185</f>
        <v>6083.8455322633326</v>
      </c>
      <c r="H407" s="417"/>
      <c r="M407" s="417"/>
    </row>
    <row r="408" spans="1:54" ht="12" customHeight="1">
      <c r="A408" s="417"/>
      <c r="B408" s="480" t="s">
        <v>304</v>
      </c>
      <c r="G408" s="794">
        <f>G406-G407</f>
        <v>0</v>
      </c>
      <c r="H408" s="417"/>
      <c r="M408" s="417"/>
    </row>
    <row r="409" spans="1:54" ht="12" customHeight="1">
      <c r="A409" s="417"/>
      <c r="B409" s="417" t="s">
        <v>2539</v>
      </c>
      <c r="G409" s="621">
        <f>G406+$G$430-$G$447</f>
        <v>1593.5878335345224</v>
      </c>
      <c r="H409" s="417"/>
      <c r="M409" s="417"/>
    </row>
    <row r="410" spans="1:54" ht="12" customHeight="1">
      <c r="A410" s="417"/>
      <c r="B410" s="766" t="s">
        <v>2540</v>
      </c>
      <c r="C410" s="793"/>
      <c r="D410" s="793"/>
      <c r="E410" s="793"/>
      <c r="F410" s="793"/>
      <c r="G410" s="772">
        <f>'Partnership Analysis'!$D$95</f>
        <v>1593.5878335345205</v>
      </c>
      <c r="H410" s="417"/>
      <c r="M410" s="417"/>
    </row>
    <row r="411" spans="1:54" ht="12" customHeight="1">
      <c r="A411" s="417"/>
      <c r="B411" s="480" t="s">
        <v>2541</v>
      </c>
      <c r="G411" s="794">
        <f>ROUND(G409-G410,6)</f>
        <v>0</v>
      </c>
      <c r="H411" s="417"/>
      <c r="M411" s="417"/>
    </row>
    <row r="412" spans="1:54" ht="12" customHeight="1">
      <c r="A412" s="417"/>
      <c r="B412" s="417" t="s">
        <v>2556</v>
      </c>
      <c r="G412" s="621">
        <f>($G$453+$G$456*$G$445*$G$454)*$G$455</f>
        <v>13980.189077288132</v>
      </c>
      <c r="H412" s="417"/>
      <c r="M412" s="417"/>
    </row>
    <row r="413" spans="1:54" ht="12" customHeight="1">
      <c r="A413" s="417"/>
      <c r="B413" s="766" t="s">
        <v>2557</v>
      </c>
      <c r="C413" s="793"/>
      <c r="D413" s="793"/>
      <c r="E413" s="793"/>
      <c r="F413" s="793"/>
      <c r="G413" s="772">
        <f>$G$431</f>
        <v>13980.189077288132</v>
      </c>
      <c r="H413" s="417"/>
      <c r="M413" s="417"/>
    </row>
    <row r="414" spans="1:54" ht="12" customHeight="1">
      <c r="A414" s="417"/>
      <c r="B414" s="480" t="s">
        <v>2558</v>
      </c>
      <c r="G414" s="794">
        <f>ROUND(G412-G413,6)</f>
        <v>0</v>
      </c>
      <c r="H414" s="417"/>
      <c r="M414" s="417"/>
    </row>
    <row r="415" spans="1:54" ht="12" customHeight="1">
      <c r="A415" s="417"/>
      <c r="B415" s="417" t="s">
        <v>2586</v>
      </c>
      <c r="G415" s="621">
        <f>($G$453+($G$456-$G$459)*$G$445*$G$460)*$G$461*$G$462</f>
        <v>7490.2576987288121</v>
      </c>
      <c r="H415" s="417"/>
      <c r="M415" s="417"/>
    </row>
    <row r="416" spans="1:54" ht="12" customHeight="1">
      <c r="A416" s="417"/>
      <c r="B416" s="766" t="s">
        <v>2587</v>
      </c>
      <c r="C416" s="793"/>
      <c r="D416" s="793"/>
      <c r="E416" s="793"/>
      <c r="F416" s="793"/>
      <c r="G416" s="772">
        <f>$G$447</f>
        <v>7490.2576987288121</v>
      </c>
      <c r="H416" s="417"/>
      <c r="M416" s="417"/>
    </row>
    <row r="417" spans="1:13" ht="12" customHeight="1">
      <c r="A417" s="417"/>
      <c r="B417" s="480" t="s">
        <v>2588</v>
      </c>
      <c r="G417" s="794">
        <f>ROUND(G415-G416,6)</f>
        <v>0</v>
      </c>
      <c r="H417" s="417"/>
      <c r="M417" s="417"/>
    </row>
    <row r="418" spans="1:13" ht="12" customHeight="1">
      <c r="A418" s="417"/>
      <c r="B418" s="417" t="str">
        <f>"Ben's Yr 5 Value Less Keystone Today — Rebuilt at Model Wins &amp; Growth ("&amp;TEXT($G$436,"0%")&amp;" Rollover)"</f>
        <v>Ben's Yr 5 Value Less Keystone Today — Rebuilt at Model Wins &amp; Growth (30% Rollover)</v>
      </c>
      <c r="G418" s="621">
        <f>$O$18+$G$435+$N$18*$G$412+$R$18*($Q$18*(1+$G$437)+$G$412*(1-$N$18))-$G$430</f>
        <v>6083.8455322633345</v>
      </c>
      <c r="H418" s="417"/>
      <c r="M418" s="417"/>
    </row>
    <row r="419" spans="1:13" ht="12" customHeight="1">
      <c r="A419" s="417"/>
      <c r="B419" s="766" t="s">
        <v>2508</v>
      </c>
      <c r="C419" s="793"/>
      <c r="D419" s="793"/>
      <c r="E419" s="793"/>
      <c r="F419" s="793"/>
      <c r="G419" s="772">
        <f>$G$407</f>
        <v>6083.8455322633326</v>
      </c>
      <c r="H419" s="417"/>
      <c r="M419" s="417"/>
    </row>
    <row r="420" spans="1:13" ht="12" customHeight="1">
      <c r="A420" s="417"/>
      <c r="B420" s="480" t="s">
        <v>2607</v>
      </c>
      <c r="G420" s="794">
        <f>ROUND(G418-G419,6)</f>
        <v>0</v>
      </c>
      <c r="H420" s="417"/>
      <c r="M420" s="417"/>
    </row>
    <row r="421" spans="1:13" ht="12" customHeight="1">
      <c r="A421" s="417"/>
      <c r="B421" s="417" t="s">
        <v>2787</v>
      </c>
      <c r="G421" s="621">
        <f>$AD$253</f>
        <v>6083.8455322633345</v>
      </c>
      <c r="H421" s="417" t="s">
        <v>2788</v>
      </c>
      <c r="M421" s="417"/>
    </row>
    <row r="422" spans="1:13" ht="12" customHeight="1">
      <c r="A422" s="417"/>
      <c r="B422" s="766" t="s">
        <v>2508</v>
      </c>
      <c r="C422" s="793"/>
      <c r="D422" s="793"/>
      <c r="E422" s="793"/>
      <c r="F422" s="793"/>
      <c r="G422" s="772">
        <f>$G$407</f>
        <v>6083.8455322633326</v>
      </c>
      <c r="H422" s="417"/>
      <c r="M422" s="417"/>
    </row>
    <row r="423" spans="1:13" ht="12" customHeight="1">
      <c r="A423" s="417"/>
      <c r="B423" s="480" t="s">
        <v>2789</v>
      </c>
      <c r="G423" s="794">
        <f>ROUND(G421-G422,6)</f>
        <v>0</v>
      </c>
      <c r="H423" s="417" t="s">
        <v>2109</v>
      </c>
      <c r="M423" s="417"/>
    </row>
    <row r="424" spans="1:13" ht="12" customHeight="1">
      <c r="A424" s="417"/>
      <c r="B424" s="417" t="s">
        <v>2790</v>
      </c>
      <c r="G424" s="621">
        <f>$O$18+$G$435+$N$18*$AK333*$G$455+$R$18*($Q$18*(1+$G$437)+$AK333*$G$455*(1-$N$18))-$G$430</f>
        <v>6083.8455322633345</v>
      </c>
      <c r="H424" s="417" t="s">
        <v>2791</v>
      </c>
      <c r="M424" s="417"/>
    </row>
    <row r="425" spans="1:13" ht="12" customHeight="1">
      <c r="A425" s="417"/>
      <c r="B425" s="766" t="s">
        <v>2508</v>
      </c>
      <c r="C425" s="793"/>
      <c r="D425" s="793"/>
      <c r="E425" s="793"/>
      <c r="F425" s="793"/>
      <c r="G425" s="772">
        <f>$G$407</f>
        <v>6083.8455322633326</v>
      </c>
      <c r="H425" s="417"/>
      <c r="M425" s="417"/>
    </row>
    <row r="426" spans="1:13" ht="12" customHeight="1">
      <c r="A426" s="417"/>
      <c r="B426" s="480" t="s">
        <v>2792</v>
      </c>
      <c r="G426" s="794">
        <f>ROUND(G424-G425,6)</f>
        <v>0</v>
      </c>
      <c r="H426" s="417" t="s">
        <v>2109</v>
      </c>
      <c r="M426" s="417"/>
    </row>
    <row r="427" spans="1:13" ht="12" customHeight="1">
      <c r="A427" s="417"/>
      <c r="B427" s="480"/>
      <c r="G427" s="794"/>
      <c r="H427" s="417"/>
      <c r="M427" s="417"/>
    </row>
    <row r="428" spans="1:13" ht="12" customHeight="1">
      <c r="A428" s="417"/>
      <c r="B428" s="417"/>
      <c r="G428" s="417"/>
      <c r="H428" s="417"/>
      <c r="M428" s="417"/>
    </row>
    <row r="429" spans="1:13" ht="12" customHeight="1">
      <c r="A429" s="417"/>
      <c r="B429" s="374" t="s">
        <v>2097</v>
      </c>
      <c r="C429" s="374"/>
      <c r="D429" s="374"/>
      <c r="E429" s="374"/>
      <c r="F429" s="374"/>
      <c r="G429" s="792" t="s">
        <v>1197</v>
      </c>
      <c r="H429" s="374" t="s">
        <v>287</v>
      </c>
      <c r="I429" s="374"/>
      <c r="J429" s="374"/>
      <c r="K429" s="374"/>
      <c r="L429" s="374"/>
      <c r="M429" s="417"/>
    </row>
    <row r="430" spans="1:13" ht="12" customHeight="1">
      <c r="B430" s="417" t="s">
        <v>2168</v>
      </c>
      <c r="G430" s="635">
        <f>'Partnership Analysis'!$C$185</f>
        <v>3000</v>
      </c>
      <c r="H430" s="417" t="s">
        <v>2485</v>
      </c>
    </row>
    <row r="431" spans="1:13" ht="12" customHeight="1">
      <c r="B431" s="417" t="s">
        <v>2505</v>
      </c>
      <c r="G431" s="472">
        <f>'Partnership Analysis'!$D$77</f>
        <v>13980.189077288132</v>
      </c>
      <c r="H431" s="417" t="s">
        <v>2486</v>
      </c>
    </row>
    <row r="432" spans="1:13" ht="12" customHeight="1">
      <c r="B432" s="417" t="s">
        <v>2039</v>
      </c>
      <c r="G432" s="472">
        <f>'Partnership Analysis'!$C$191</f>
        <v>60000</v>
      </c>
      <c r="H432" s="417" t="s">
        <v>2736</v>
      </c>
    </row>
    <row r="433" spans="2:8" ht="12" customHeight="1">
      <c r="B433" s="417" t="s">
        <v>2803</v>
      </c>
      <c r="G433" s="472">
        <f>'Partnership Analysis'!$C$189</f>
        <v>650</v>
      </c>
      <c r="H433" s="417" t="s">
        <v>2804</v>
      </c>
    </row>
    <row r="434" spans="2:8" ht="12" customHeight="1">
      <c r="B434" s="417" t="s">
        <v>2506</v>
      </c>
      <c r="G434" s="767">
        <f>'Partnership Analysis'!$C$8</f>
        <v>0.05</v>
      </c>
      <c r="H434" s="417" t="s">
        <v>2487</v>
      </c>
    </row>
    <row r="435" spans="2:8" ht="12" customHeight="1">
      <c r="B435" s="417" t="s">
        <v>2402</v>
      </c>
      <c r="G435" s="472">
        <f>'Partnership Analysis'!$C$58</f>
        <v>0</v>
      </c>
      <c r="H435" s="417" t="s">
        <v>2488</v>
      </c>
    </row>
    <row r="436" spans="2:8" ht="12" customHeight="1">
      <c r="B436" s="417" t="s">
        <v>2489</v>
      </c>
      <c r="G436" s="767">
        <f>'Partnership Analysis'!$C$7</f>
        <v>0.3</v>
      </c>
      <c r="H436" s="417" t="s">
        <v>2490</v>
      </c>
    </row>
    <row r="437" spans="2:8" ht="12" customHeight="1">
      <c r="B437" s="417" t="s">
        <v>2507</v>
      </c>
      <c r="G437" s="767">
        <f>'Partnership Analysis'!$C$19</f>
        <v>2.0219039595619215</v>
      </c>
      <c r="H437" s="417" t="s">
        <v>2491</v>
      </c>
    </row>
    <row r="438" spans="2:8" ht="12" customHeight="1">
      <c r="B438" s="417" t="s">
        <v>2492</v>
      </c>
      <c r="G438" s="636">
        <f>$G$436</f>
        <v>0.3</v>
      </c>
      <c r="H438" s="417" t="s">
        <v>2799</v>
      </c>
    </row>
    <row r="439" spans="2:8" ht="12" customHeight="1">
      <c r="B439" s="417" t="s">
        <v>2493</v>
      </c>
      <c r="G439" s="634">
        <v>0.05</v>
      </c>
      <c r="H439" s="417" t="s">
        <v>2494</v>
      </c>
    </row>
    <row r="440" spans="2:8" ht="12" customHeight="1">
      <c r="B440" s="417" t="s">
        <v>2495</v>
      </c>
      <c r="G440" s="636">
        <f>$G$437</f>
        <v>2.0219039595619215</v>
      </c>
      <c r="H440" s="417" t="s">
        <v>2800</v>
      </c>
    </row>
    <row r="441" spans="2:8" ht="12" customHeight="1">
      <c r="B441" s="417" t="s">
        <v>2496</v>
      </c>
      <c r="G441" s="634">
        <v>0.25</v>
      </c>
      <c r="H441" s="417" t="s">
        <v>2497</v>
      </c>
    </row>
    <row r="442" spans="2:8" ht="12" customHeight="1">
      <c r="B442" s="417" t="s">
        <v>2531</v>
      </c>
      <c r="G442" s="543">
        <f>$G$447-$G$430+$G$449</f>
        <v>5490.2576987288121</v>
      </c>
      <c r="H442" s="417" t="s">
        <v>2783</v>
      </c>
    </row>
    <row r="443" spans="2:8" ht="12" customHeight="1">
      <c r="B443" s="417" t="s">
        <v>2532</v>
      </c>
      <c r="G443" s="617">
        <f>IFERROR(($G$447+$G$449)/$G$430-1,0)</f>
        <v>1.8300858995762708</v>
      </c>
      <c r="H443" s="417" t="s">
        <v>2784</v>
      </c>
    </row>
    <row r="444" spans="2:8" ht="12" customHeight="1">
      <c r="B444" s="417" t="s">
        <v>2256</v>
      </c>
      <c r="G444" s="53">
        <f>'Partnership Analysis'!$C$46</f>
        <v>3</v>
      </c>
      <c r="H444" s="417" t="s">
        <v>2534</v>
      </c>
    </row>
    <row r="445" spans="2:8" ht="12" customHeight="1">
      <c r="B445" s="417" t="s">
        <v>2535</v>
      </c>
      <c r="G445" s="53">
        <f>'Partnership Analysis'!$C$9</f>
        <v>5</v>
      </c>
      <c r="H445" s="417" t="s">
        <v>2536</v>
      </c>
    </row>
    <row r="446" spans="2:8" ht="12" customHeight="1">
      <c r="B446" s="417" t="s">
        <v>2610</v>
      </c>
      <c r="G446" s="82">
        <v>10</v>
      </c>
      <c r="H446" s="417" t="s">
        <v>2611</v>
      </c>
    </row>
    <row r="447" spans="2:8" ht="12" customHeight="1">
      <c r="B447" s="417" t="s">
        <v>2542</v>
      </c>
      <c r="G447" s="53">
        <f>'Partnership Analysis'!$D$74</f>
        <v>7490.2576987288121</v>
      </c>
      <c r="H447" s="417" t="s">
        <v>2543</v>
      </c>
    </row>
    <row r="448" spans="2:8" ht="12" customHeight="1">
      <c r="B448" s="417" t="s">
        <v>2544</v>
      </c>
      <c r="G448" s="798">
        <f>IFERROR((G447/G430)^(1/G445)-1,0)</f>
        <v>0.20081222595661186</v>
      </c>
      <c r="H448" s="417" t="s">
        <v>2785</v>
      </c>
    </row>
    <row r="449" spans="2:8" ht="12" customHeight="1">
      <c r="B449" s="417" t="s">
        <v>2553</v>
      </c>
      <c r="G449" s="46">
        <v>1000</v>
      </c>
      <c r="H449" s="417" t="s">
        <v>2554</v>
      </c>
    </row>
    <row r="450" spans="2:8" ht="12" customHeight="1">
      <c r="B450" s="417" t="s">
        <v>2545</v>
      </c>
      <c r="G450" s="798">
        <f>IFERROR($G$449/$G$447,0)</f>
        <v>0.13350675507061821</v>
      </c>
      <c r="H450" s="417" t="s">
        <v>2555</v>
      </c>
    </row>
    <row r="451" spans="2:8" ht="12" customHeight="1">
      <c r="B451" s="417" t="s">
        <v>2612</v>
      </c>
      <c r="G451" s="543">
        <f>(MAX($Z$50:$AH$56)-$G$449)/$G$446</f>
        <v>228.80347433112257</v>
      </c>
      <c r="H451" s="417" t="s">
        <v>2613</v>
      </c>
    </row>
    <row r="452" spans="2:8" ht="12" customHeight="1">
      <c r="B452" s="417" t="s">
        <v>2549</v>
      </c>
      <c r="G452" s="788">
        <v>-2</v>
      </c>
      <c r="H452" s="417" t="s">
        <v>2550</v>
      </c>
    </row>
    <row r="453" spans="2:8" ht="12" customHeight="1">
      <c r="B453" s="417" t="s">
        <v>2257</v>
      </c>
      <c r="G453" s="53">
        <f>'Partnership Analysis'!$C$184</f>
        <v>2998.5410200000001</v>
      </c>
      <c r="H453" s="417" t="s">
        <v>2559</v>
      </c>
    </row>
    <row r="454" spans="2:8" ht="12" customHeight="1">
      <c r="B454" s="417" t="s">
        <v>2560</v>
      </c>
      <c r="G454" s="385">
        <f>'Partnership Analysis'!$C$36</f>
        <v>16.631472994350275</v>
      </c>
      <c r="H454" s="417" t="s">
        <v>2561</v>
      </c>
    </row>
    <row r="455" spans="2:8" ht="12" customHeight="1">
      <c r="B455" s="417" t="s">
        <v>2079</v>
      </c>
      <c r="G455" s="606">
        <f>'Partnership Analysis'!$C$31</f>
        <v>2</v>
      </c>
      <c r="H455" s="417" t="s">
        <v>2562</v>
      </c>
    </row>
    <row r="456" spans="2:8" ht="12" customHeight="1">
      <c r="B456" s="417" t="s">
        <v>2563</v>
      </c>
      <c r="G456" s="53">
        <f>'Partnership Analysis'!$C$40</f>
        <v>48</v>
      </c>
      <c r="H456" s="417" t="s">
        <v>2786</v>
      </c>
    </row>
    <row r="457" spans="2:8" ht="12" customHeight="1">
      <c r="B457" s="417" t="s">
        <v>2564</v>
      </c>
      <c r="G457" s="83">
        <f>$G$456</f>
        <v>48</v>
      </c>
      <c r="H457" s="417" t="s">
        <v>2801</v>
      </c>
    </row>
    <row r="458" spans="2:8" ht="12" customHeight="1">
      <c r="B458" s="417" t="s">
        <v>2565</v>
      </c>
      <c r="G458" s="82">
        <v>4</v>
      </c>
      <c r="H458" s="417" t="s">
        <v>2566</v>
      </c>
    </row>
    <row r="459" spans="2:8" ht="12" customHeight="1">
      <c r="B459" s="417" t="s">
        <v>2578</v>
      </c>
      <c r="G459" s="53">
        <f>'Partnership Analysis'!$C$39</f>
        <v>12</v>
      </c>
      <c r="H459" s="417" t="s">
        <v>2579</v>
      </c>
    </row>
    <row r="460" spans="2:8" ht="12" customHeight="1">
      <c r="B460" s="417" t="s">
        <v>2580</v>
      </c>
      <c r="G460" s="385">
        <f>'Partnership Analysis'!$C$24</f>
        <v>16.631472994350275</v>
      </c>
      <c r="H460" s="417" t="s">
        <v>2581</v>
      </c>
    </row>
    <row r="461" spans="2:8" ht="12" customHeight="1">
      <c r="B461" s="417" t="s">
        <v>2582</v>
      </c>
      <c r="G461" s="606">
        <f>'Partnership Analysis'!$C$23</f>
        <v>1.25</v>
      </c>
      <c r="H461" s="417" t="s">
        <v>2583</v>
      </c>
    </row>
    <row r="462" spans="2:8" ht="12" customHeight="1">
      <c r="B462" s="417" t="s">
        <v>2584</v>
      </c>
      <c r="G462" s="571">
        <f>'Partnership Analysis'!$C$73</f>
        <v>1</v>
      </c>
      <c r="H462" s="417" t="s">
        <v>2585</v>
      </c>
    </row>
    <row r="463" spans="2:8" ht="12" customHeight="1">
      <c r="B463" s="417" t="s">
        <v>2614</v>
      </c>
      <c r="G463" s="543">
        <f>(MAX($Z$130:$AH$136)-$G$449)/$G$446</f>
        <v>180.66194110493015</v>
      </c>
      <c r="H463" s="417" t="s">
        <v>2613</v>
      </c>
    </row>
    <row r="464" spans="2:8" ht="12" customHeight="1">
      <c r="B464" s="417" t="s">
        <v>2615</v>
      </c>
      <c r="G464" s="543">
        <f>(MAX($Z$210:$AH$216)-$G$449)/$G$446</f>
        <v>254.13234537856843</v>
      </c>
      <c r="H464" s="417" t="s">
        <v>2613</v>
      </c>
    </row>
    <row r="465" spans="2:8">
      <c r="B465" s="417" t="s">
        <v>2749</v>
      </c>
      <c r="G465" s="818">
        <f>$G$455</f>
        <v>2</v>
      </c>
      <c r="H465" s="417" t="s">
        <v>2802</v>
      </c>
    </row>
    <row r="466" spans="2:8">
      <c r="B466" s="417" t="s">
        <v>2750</v>
      </c>
      <c r="G466" s="815">
        <v>0.25</v>
      </c>
      <c r="H466" s="417" t="s">
        <v>2793</v>
      </c>
    </row>
    <row r="467" spans="2:8">
      <c r="B467" s="417" t="s">
        <v>2751</v>
      </c>
      <c r="G467" s="543">
        <f>(MAX($Z$290:$AH$296)-$G$449)/$G$446</f>
        <v>310.25875763186684</v>
      </c>
      <c r="H467" s="417" t="s">
        <v>2613</v>
      </c>
    </row>
    <row r="468" spans="2:8">
      <c r="B468" s="417" t="s">
        <v>2752</v>
      </c>
      <c r="G468" s="543">
        <f>(MAX($Z$370:$AH$376)-$G$449)/$G$446</f>
        <v>379.81209536124845</v>
      </c>
      <c r="H468" s="417" t="s">
        <v>2613</v>
      </c>
    </row>
  </sheetData>
  <mergeCells count="30">
    <mergeCell ref="B210:B216"/>
    <mergeCell ref="B370:B376"/>
    <mergeCell ref="B383:B389"/>
    <mergeCell ref="B396:B402"/>
    <mergeCell ref="B303:B309"/>
    <mergeCell ref="B316:B322"/>
    <mergeCell ref="B330:B336"/>
    <mergeCell ref="B343:B349"/>
    <mergeCell ref="B356:B362"/>
    <mergeCell ref="B250:B256"/>
    <mergeCell ref="B263:B269"/>
    <mergeCell ref="B276:B282"/>
    <mergeCell ref="B290:B296"/>
    <mergeCell ref="B236:B242"/>
    <mergeCell ref="B223:B229"/>
    <mergeCell ref="B10:B16"/>
    <mergeCell ref="B23:B29"/>
    <mergeCell ref="B36:B42"/>
    <mergeCell ref="B50:B56"/>
    <mergeCell ref="B63:B69"/>
    <mergeCell ref="B76:B82"/>
    <mergeCell ref="B90:B96"/>
    <mergeCell ref="B103:B109"/>
    <mergeCell ref="B116:B122"/>
    <mergeCell ref="B130:B136"/>
    <mergeCell ref="B143:B149"/>
    <mergeCell ref="B156:B162"/>
    <mergeCell ref="B170:B176"/>
    <mergeCell ref="B183:B189"/>
    <mergeCell ref="B196:B202"/>
  </mergeCells>
  <conditionalFormatting sqref="D10:L16 B17:L17 D23:L29 B30:L30 D36:L42 B43:L43 D50:L56 B57:L57 D63:L69 B70:L70 D76:L82 B83:L83 D90:L96 B97:L97 D103:L109 B110:L110 D116:L122 B123:L123 D130:L136 B137:L137 D143:L149 B150:L150 D156:L162 B163:L163 D170:L176 B177:L177 D183:L189 B190:L190 D196:L202 B203:L203 D210:L216 B217:L217 D223:L229 B230:L230 D236:L242 B243:L243 D250:L256 B257:L257 D263:L269 B270:L270 D276:L282 B283:L283 D290:L296 B297:L297 D303:L309 B310:L310 D316:L322 B323:L323 D330:L336 B337:L337 D343:L349 B350:L350 D356:L362 B363:L363 D370:L376 B377:L377 D383:L389 B390:L390 D396:L402 B403:L403">
    <cfRule type="expression" dxfId="90" priority="11">
      <formula>$O$3=1</formula>
    </cfRule>
  </conditionalFormatting>
  <conditionalFormatting sqref="D10:L16 D23:L29 D36:L42 D50:L56 D63:L69 D76:L82 D90:L96 D103:L109 D116:L122 D130:L136 D143:L149 D156:L162 D170:L176 D183:L189 D196:L202 D210:L216 D223:L229 D236:L242 D250:L256 D263:L269 D276:L282 D290:L296 D303:L309 D316:L322 D330:L336 D343:L349 D356:L362 D370:L376 D383:L389 D396:L402">
    <cfRule type="expression" dxfId="89" priority="1">
      <formula>AT10=1</formula>
    </cfRule>
    <cfRule type="expression" dxfId="88" priority="2">
      <formula>AT10=2</formula>
    </cfRule>
    <cfRule type="expression" dxfId="87" priority="3">
      <formula>AT10=3</formula>
    </cfRule>
    <cfRule type="expression" dxfId="86" priority="4">
      <formula>AT10=4</formula>
    </cfRule>
    <cfRule type="expression" dxfId="85" priority="5">
      <formula>AT10=5</formula>
    </cfRule>
    <cfRule type="expression" dxfId="84" priority="6">
      <formula>AT10=6</formula>
    </cfRule>
    <cfRule type="expression" dxfId="83" priority="7">
      <formula>AT10=7</formula>
    </cfRule>
    <cfRule type="expression" dxfId="82" priority="8">
      <formula>AT10=8</formula>
    </cfRule>
    <cfRule type="expression" dxfId="81" priority="9">
      <formula>AT10=9</formula>
    </cfRule>
    <cfRule type="expression" dxfId="80" priority="10">
      <formula>AT10=10</formula>
    </cfRule>
  </conditionalFormatting>
  <pageMargins left="0.7" right="0.7" top="0.75" bottom="0.75" header="0.3" footer="0.3"/>
  <pageSetup scale="6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204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701">
        <f>'Offer Comparison'!$D$7</f>
        <v>5</v>
      </c>
      <c r="D7" s="542"/>
      <c r="E7" s="542"/>
      <c r="F7" s="542" t="s">
        <v>2630</v>
      </c>
    </row>
    <row r="8" spans="1:8" s="2" customFormat="1" ht="14.25">
      <c r="A8" s="542"/>
      <c r="B8" s="542" t="s">
        <v>2327</v>
      </c>
      <c r="C8" s="702">
        <f>'Offer Comparison'!$D$8</f>
        <v>0.05</v>
      </c>
      <c r="D8" s="542"/>
      <c r="E8" s="542"/>
      <c r="F8" s="542" t="s">
        <v>2631</v>
      </c>
    </row>
    <row r="9" spans="1:8" s="2" customFormat="1" ht="14.25">
      <c r="A9" s="542"/>
      <c r="B9" s="542" t="s">
        <v>2099</v>
      </c>
      <c r="C9" s="703">
        <f>'Offer Comparison'!$D$18</f>
        <v>261</v>
      </c>
      <c r="D9" s="542"/>
      <c r="E9" s="542"/>
      <c r="F9" s="85" t="s">
        <v>2632</v>
      </c>
    </row>
    <row r="10" spans="1:8" s="2" customFormat="1" ht="14.25">
      <c r="A10" s="542"/>
      <c r="B10" s="542" t="s">
        <v>2090</v>
      </c>
      <c r="C10" s="607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2088</v>
      </c>
      <c r="C11" s="608">
        <f>IFERROR(C176/C10,0)</f>
        <v>19.157088122605366</v>
      </c>
      <c r="D11" s="542"/>
      <c r="E11" s="542"/>
      <c r="F11" s="542" t="s">
        <v>2633</v>
      </c>
    </row>
    <row r="12" spans="1:8" s="2" customFormat="1" ht="14.25">
      <c r="A12" s="542"/>
      <c r="B12" s="542" t="s">
        <v>2089</v>
      </c>
      <c r="C12" s="609">
        <f>C11</f>
        <v>19.157088122605366</v>
      </c>
      <c r="D12" s="542"/>
      <c r="E12" s="542"/>
      <c r="F12" s="542" t="s">
        <v>2634</v>
      </c>
    </row>
    <row r="13" spans="1:8" s="2" customFormat="1" ht="14.25">
      <c r="A13" s="542"/>
      <c r="B13" s="542" t="s">
        <v>2100</v>
      </c>
      <c r="C13" s="53">
        <f>'Offer Comparison'!$D$19</f>
        <v>325</v>
      </c>
      <c r="D13" s="542"/>
      <c r="E13" s="542"/>
      <c r="F13" s="85" t="s">
        <v>2635</v>
      </c>
    </row>
    <row r="14" spans="1:8" s="2" customFormat="1" ht="14.25">
      <c r="A14" s="542"/>
      <c r="B14" s="542" t="s">
        <v>2080</v>
      </c>
      <c r="C14" s="610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2081</v>
      </c>
      <c r="C15" s="53">
        <f>'Offer Comparison'!$D$20</f>
        <v>130</v>
      </c>
      <c r="D15" s="542"/>
      <c r="E15" s="542"/>
      <c r="F15" s="85" t="s">
        <v>2636</v>
      </c>
    </row>
    <row r="16" spans="1:8" s="2" customFormat="1" ht="14.25">
      <c r="A16" s="542"/>
      <c r="B16" s="577" t="s">
        <v>2085</v>
      </c>
      <c r="C16" s="594">
        <f>C15*$C$7</f>
        <v>650</v>
      </c>
      <c r="D16" s="542"/>
      <c r="E16" s="542"/>
      <c r="F16" s="542"/>
    </row>
    <row r="17" spans="1:7" s="2" customFormat="1" ht="14.25">
      <c r="A17" s="542"/>
      <c r="B17" s="588" t="s">
        <v>2087</v>
      </c>
      <c r="C17" s="591">
        <f>C16*C14</f>
        <v>6264</v>
      </c>
      <c r="D17" s="542"/>
      <c r="E17" s="542"/>
      <c r="F17" s="542"/>
    </row>
    <row r="18" spans="1:7" ht="14.25" customHeight="1">
      <c r="A18" s="542"/>
      <c r="B18" s="679" t="str">
        <f>"Check - "&amp;$C$7&amp;" Year Topkey Valuation Growth"</f>
        <v>Check - 5 Year Topkey Valuation Growth</v>
      </c>
      <c r="C18" s="680">
        <f>IFERROR(D75/C75-1,0)</f>
        <v>2.0084033613445382</v>
      </c>
      <c r="D18" s="542"/>
      <c r="E18" s="542"/>
      <c r="F18" s="542" t="s">
        <v>2637</v>
      </c>
      <c r="G18" s="2"/>
    </row>
    <row r="19" spans="1:7" ht="3.95" customHeight="1">
      <c r="A19" s="542"/>
      <c r="B19" s="553"/>
      <c r="C19" s="681"/>
      <c r="D19" s="542"/>
      <c r="E19" s="542"/>
      <c r="F19" s="542"/>
      <c r="G19" s="2"/>
    </row>
    <row r="20" spans="1:7">
      <c r="A20" s="542"/>
      <c r="B20" s="570" t="s">
        <v>2083</v>
      </c>
      <c r="C20" s="570"/>
      <c r="D20" s="542"/>
      <c r="E20" s="542"/>
      <c r="F20" s="542"/>
      <c r="G20" s="2"/>
    </row>
    <row r="21" spans="1:7" ht="15" customHeight="1">
      <c r="A21" s="542"/>
      <c r="B21" s="542" t="s">
        <v>2029</v>
      </c>
      <c r="C21" s="722">
        <f>'Offer Comparison'!$D$13</f>
        <v>1</v>
      </c>
      <c r="D21" s="542"/>
      <c r="E21" s="542"/>
      <c r="F21" s="542" t="s">
        <v>2638</v>
      </c>
      <c r="G21" s="2"/>
    </row>
    <row r="22" spans="1:7" ht="15" customHeight="1">
      <c r="A22" s="542"/>
      <c r="B22" s="542" t="s">
        <v>2111</v>
      </c>
      <c r="C22" s="722">
        <f>'Offer Comparison'!$D$14</f>
        <v>1.25</v>
      </c>
      <c r="D22" s="542"/>
      <c r="E22" s="542"/>
      <c r="F22" s="542" t="s">
        <v>2639</v>
      </c>
      <c r="G22" s="2"/>
    </row>
    <row r="23" spans="1:7">
      <c r="A23" s="542"/>
      <c r="B23" s="542" t="s">
        <v>2075</v>
      </c>
      <c r="C23" s="582">
        <f>'Offer Comparison'!$D$22</f>
        <v>16.631472994350275</v>
      </c>
      <c r="D23" s="2"/>
      <c r="E23" s="542"/>
      <c r="F23" s="542" t="s">
        <v>2640</v>
      </c>
      <c r="G23" s="2"/>
    </row>
    <row r="24" spans="1:7">
      <c r="A24" s="542"/>
      <c r="B24" s="542" t="s">
        <v>2123</v>
      </c>
      <c r="C24" s="385">
        <f>'Offer Comparison'!$D$23</f>
        <v>3</v>
      </c>
      <c r="D24" s="2"/>
      <c r="E24" s="542"/>
      <c r="F24" s="542" t="s">
        <v>2641</v>
      </c>
      <c r="G24" s="2"/>
    </row>
    <row r="25" spans="1:7">
      <c r="A25" s="542"/>
      <c r="B25" s="577" t="s">
        <v>2074</v>
      </c>
      <c r="C25" s="614">
        <f>C24*12</f>
        <v>36</v>
      </c>
      <c r="D25" s="542"/>
      <c r="E25" s="542"/>
      <c r="F25" s="542" t="s">
        <v>2124</v>
      </c>
      <c r="G25" s="2"/>
    </row>
    <row r="26" spans="1:7">
      <c r="A26" s="542"/>
      <c r="B26" s="588" t="s">
        <v>2085</v>
      </c>
      <c r="C26" s="589">
        <f>C25*$C$7</f>
        <v>180</v>
      </c>
      <c r="D26" s="542"/>
      <c r="E26" s="542"/>
      <c r="F26" s="542"/>
      <c r="G26" s="2"/>
    </row>
    <row r="27" spans="1:7">
      <c r="A27" s="542"/>
      <c r="B27" s="587" t="s">
        <v>2087</v>
      </c>
      <c r="C27" s="590">
        <f>C26*C23</f>
        <v>2993.6651389830495</v>
      </c>
      <c r="D27" s="542"/>
      <c r="E27" s="542"/>
      <c r="F27" s="542"/>
      <c r="G27" s="2"/>
    </row>
    <row r="28" spans="1:7" ht="3.95" customHeight="1">
      <c r="A28" s="542"/>
      <c r="B28" s="2"/>
      <c r="C28" s="2"/>
      <c r="D28" s="542"/>
      <c r="E28" s="542"/>
      <c r="F28" s="542"/>
      <c r="G28" s="2"/>
    </row>
    <row r="29" spans="1:7" ht="12.75" customHeight="1">
      <c r="A29" s="542"/>
      <c r="B29" s="570" t="s">
        <v>2084</v>
      </c>
      <c r="C29" s="570"/>
      <c r="D29" s="542"/>
      <c r="E29" s="542"/>
      <c r="F29" s="542"/>
      <c r="G29" s="2"/>
    </row>
    <row r="30" spans="1:7" ht="12.75" customHeight="1">
      <c r="A30" s="542"/>
      <c r="B30" s="542" t="s">
        <v>2079</v>
      </c>
      <c r="C30" s="722">
        <f>'Offer Comparison'!$D$15</f>
        <v>2</v>
      </c>
      <c r="D30" s="542"/>
      <c r="E30" s="542"/>
      <c r="F30" s="542" t="s">
        <v>2642</v>
      </c>
      <c r="G30" s="2"/>
    </row>
    <row r="31" spans="1:7" ht="12.75" customHeight="1">
      <c r="A31" s="542"/>
      <c r="B31" s="542" t="s">
        <v>2101</v>
      </c>
      <c r="C31" s="47">
        <f>'Offer Comparison'!$D$25</f>
        <v>240</v>
      </c>
      <c r="D31" s="542"/>
      <c r="E31" s="542"/>
      <c r="F31" s="542" t="s">
        <v>2643</v>
      </c>
      <c r="G31" s="2"/>
    </row>
    <row r="32" spans="1:7" ht="3.95" customHeight="1">
      <c r="A32" s="542"/>
      <c r="B32" s="542"/>
      <c r="C32" s="583"/>
      <c r="D32" s="542"/>
      <c r="E32" s="542"/>
      <c r="F32" s="542"/>
      <c r="G32" s="2"/>
    </row>
    <row r="33" spans="1:7" s="584" customFormat="1" ht="12.75" customHeight="1">
      <c r="A33" s="542"/>
      <c r="B33" s="613" t="str">
        <f>+B23</f>
        <v>Avg. Revenue Per Client</v>
      </c>
      <c r="C33" s="585">
        <f>+C23</f>
        <v>16.631472994350275</v>
      </c>
      <c r="D33" s="542"/>
      <c r="E33" s="542"/>
      <c r="F33" s="542"/>
      <c r="G33" s="613"/>
    </row>
    <row r="34" spans="1:7" s="584" customFormat="1" ht="12.75" customHeight="1">
      <c r="A34" s="542"/>
      <c r="B34" s="615" t="s">
        <v>2234</v>
      </c>
      <c r="C34" s="582">
        <f>'Offer Comparison'!$D$26</f>
        <v>0</v>
      </c>
      <c r="D34" s="542"/>
      <c r="E34" s="542"/>
      <c r="F34" s="542" t="s">
        <v>2644</v>
      </c>
      <c r="G34" s="613"/>
    </row>
    <row r="35" spans="1:7" s="584" customFormat="1" ht="12.75" customHeight="1">
      <c r="A35" s="542"/>
      <c r="B35" s="60" t="s">
        <v>2077</v>
      </c>
      <c r="C35" s="383">
        <f>+C33+C34</f>
        <v>16.631472994350275</v>
      </c>
      <c r="D35" s="542"/>
      <c r="E35" s="542"/>
      <c r="F35" s="542"/>
      <c r="G35" s="613"/>
    </row>
    <row r="36" spans="1:7" s="584" customFormat="1" ht="3.95" customHeight="1">
      <c r="A36" s="542"/>
      <c r="B36" s="613"/>
      <c r="C36" s="613"/>
      <c r="D36" s="542"/>
      <c r="E36" s="542"/>
      <c r="F36" s="542"/>
      <c r="G36" s="613"/>
    </row>
    <row r="37" spans="1:7" s="584" customFormat="1" ht="12.75" customHeight="1">
      <c r="A37" s="542"/>
      <c r="B37" s="613" t="str">
        <f>+B25</f>
        <v>Annual Net Client Wins</v>
      </c>
      <c r="C37" s="83">
        <f>+C25</f>
        <v>36</v>
      </c>
      <c r="D37" s="542"/>
      <c r="E37" s="542"/>
      <c r="F37" s="542"/>
      <c r="G37" s="613"/>
    </row>
    <row r="38" spans="1:7" s="584" customFormat="1" ht="12.75" customHeight="1">
      <c r="A38" s="542"/>
      <c r="B38" s="615" t="s">
        <v>2076</v>
      </c>
      <c r="C38" s="53">
        <f>'Offer Comparison'!$D$27</f>
        <v>12</v>
      </c>
      <c r="D38" s="542"/>
      <c r="E38" s="542"/>
      <c r="F38" s="85" t="s">
        <v>2645</v>
      </c>
      <c r="G38" s="613"/>
    </row>
    <row r="39" spans="1:7" s="584" customFormat="1" ht="12.75" customHeight="1">
      <c r="A39" s="542"/>
      <c r="B39" s="104" t="s">
        <v>2086</v>
      </c>
      <c r="C39" s="586">
        <f>SUM(C37:C38)</f>
        <v>48</v>
      </c>
      <c r="D39" s="542"/>
      <c r="E39" s="542"/>
      <c r="F39" s="542"/>
      <c r="G39" s="613"/>
    </row>
    <row r="40" spans="1:7">
      <c r="A40" s="542"/>
      <c r="B40" s="588" t="s">
        <v>2085</v>
      </c>
      <c r="C40" s="589">
        <f>C39*$C$7</f>
        <v>240</v>
      </c>
      <c r="D40" s="542"/>
      <c r="E40" s="542"/>
      <c r="F40" s="542"/>
      <c r="G40" s="2"/>
    </row>
    <row r="41" spans="1:7">
      <c r="A41" s="542"/>
      <c r="B41" s="588" t="s">
        <v>2087</v>
      </c>
      <c r="C41" s="591">
        <f>C40*C35</f>
        <v>3991.5535186440661</v>
      </c>
      <c r="D41" s="542"/>
      <c r="E41" s="542"/>
      <c r="F41" s="542"/>
      <c r="G41" s="2"/>
    </row>
    <row r="42" spans="1:7">
      <c r="A42" s="542"/>
      <c r="B42" s="663" t="s">
        <v>2091</v>
      </c>
      <c r="C42" s="664">
        <f>C41-C27</f>
        <v>997.88837966101664</v>
      </c>
      <c r="D42" s="542"/>
      <c r="E42" s="542"/>
      <c r="F42" s="542"/>
      <c r="G42" s="2"/>
    </row>
    <row r="43" spans="1:7" s="584" customFormat="1" ht="3.95" customHeight="1">
      <c r="A43" s="542"/>
      <c r="B43" s="613"/>
      <c r="C43" s="613"/>
      <c r="D43" s="542"/>
      <c r="E43" s="542"/>
      <c r="F43" s="542"/>
      <c r="G43" s="613"/>
    </row>
    <row r="44" spans="1:7" s="584" customFormat="1" ht="15" customHeight="1">
      <c r="A44" s="542"/>
      <c r="B44" s="570" t="s">
        <v>2300</v>
      </c>
      <c r="C44" s="570"/>
      <c r="D44" s="542"/>
      <c r="E44" s="542"/>
      <c r="F44" s="452"/>
      <c r="G44" s="613"/>
    </row>
    <row r="45" spans="1:7" s="584" customFormat="1" ht="15" customHeight="1">
      <c r="A45" s="542"/>
      <c r="B45" s="542" t="s">
        <v>2256</v>
      </c>
      <c r="C45" s="82">
        <v>3</v>
      </c>
      <c r="D45" s="542"/>
      <c r="E45" s="542"/>
      <c r="F45" s="452" t="s">
        <v>2646</v>
      </c>
      <c r="G45" s="613"/>
    </row>
    <row r="46" spans="1:7" s="584" customFormat="1" ht="15" customHeight="1">
      <c r="A46" s="542"/>
      <c r="B46" s="542" t="s">
        <v>2257</v>
      </c>
      <c r="C46" s="86">
        <f>C172</f>
        <v>2998.5410200000001</v>
      </c>
      <c r="D46" s="542"/>
      <c r="E46" s="542"/>
      <c r="F46" s="452" t="s">
        <v>2647</v>
      </c>
      <c r="G46" s="613"/>
    </row>
    <row r="47" spans="1:7" s="584" customFormat="1" ht="15" customHeight="1">
      <c r="A47" s="542"/>
      <c r="B47" s="542" t="s">
        <v>2313</v>
      </c>
      <c r="C47" s="154">
        <f>C46+C41*(C45-(C56-1)/2/12)/C7</f>
        <v>5326.9472392090383</v>
      </c>
      <c r="D47" s="542"/>
      <c r="E47" s="542"/>
      <c r="F47" s="452" t="s">
        <v>2314</v>
      </c>
      <c r="G47" s="613"/>
    </row>
    <row r="48" spans="1:7" s="584" customFormat="1" ht="15" customHeight="1">
      <c r="A48" s="542"/>
      <c r="B48" s="559" t="s">
        <v>2258</v>
      </c>
      <c r="C48" s="619">
        <v>1</v>
      </c>
      <c r="D48" s="542"/>
      <c r="E48" s="542"/>
      <c r="F48" s="452" t="s">
        <v>2264</v>
      </c>
      <c r="G48" s="613"/>
    </row>
    <row r="49" spans="1:7" s="584" customFormat="1" ht="15" customHeight="1">
      <c r="A49" s="542"/>
      <c r="B49" s="665" t="s">
        <v>2315</v>
      </c>
      <c r="C49" s="666">
        <f>C47*C48</f>
        <v>5326.9472392090383</v>
      </c>
      <c r="D49" s="542"/>
      <c r="E49" s="542"/>
      <c r="F49" s="452"/>
      <c r="G49" s="613"/>
    </row>
    <row r="50" spans="1:7" s="584" customFormat="1" ht="15" customHeight="1">
      <c r="A50" s="542"/>
      <c r="B50" s="542" t="s">
        <v>2259</v>
      </c>
      <c r="C50" s="619">
        <v>0.8</v>
      </c>
      <c r="D50" s="542"/>
      <c r="E50" s="542"/>
      <c r="F50" s="452" t="s">
        <v>2306</v>
      </c>
      <c r="G50" s="613"/>
    </row>
    <row r="51" spans="1:7" s="584" customFormat="1" ht="15" customHeight="1">
      <c r="A51" s="542"/>
      <c r="B51" s="542" t="s">
        <v>2301</v>
      </c>
      <c r="C51" s="46">
        <v>500</v>
      </c>
      <c r="D51" s="542"/>
      <c r="E51" s="542"/>
      <c r="F51" s="452" t="s">
        <v>2307</v>
      </c>
      <c r="G51" s="613"/>
    </row>
    <row r="52" spans="1:7" s="584" customFormat="1" ht="15" customHeight="1">
      <c r="A52" s="542"/>
      <c r="B52" s="542" t="s">
        <v>2302</v>
      </c>
      <c r="C52" s="619">
        <v>0.5</v>
      </c>
      <c r="D52" s="542"/>
      <c r="E52" s="542"/>
      <c r="F52" s="452" t="s">
        <v>2308</v>
      </c>
      <c r="G52" s="613"/>
    </row>
    <row r="53" spans="1:7" s="584" customFormat="1" ht="15" customHeight="1">
      <c r="A53" s="542"/>
      <c r="B53" s="542" t="s">
        <v>2303</v>
      </c>
      <c r="C53" s="619">
        <v>1.5</v>
      </c>
      <c r="D53" s="542"/>
      <c r="E53" s="542"/>
      <c r="F53" s="452" t="s">
        <v>2648</v>
      </c>
      <c r="G53" s="613"/>
    </row>
    <row r="54" spans="1:7" s="584" customFormat="1" ht="15" customHeight="1">
      <c r="A54" s="542"/>
      <c r="B54" s="542" t="s">
        <v>2304</v>
      </c>
      <c r="C54" s="617">
        <f>IF(C48&lt;C50,0,MIN(C53,C52+(1-C52)*(C48-C50)/(1-C50)))</f>
        <v>1</v>
      </c>
      <c r="D54" s="542"/>
      <c r="E54" s="542"/>
      <c r="F54" s="452" t="s">
        <v>2309</v>
      </c>
      <c r="G54" s="613"/>
    </row>
    <row r="55" spans="1:7" s="584" customFormat="1" ht="15" customHeight="1">
      <c r="A55" s="542"/>
      <c r="B55" s="542" t="s">
        <v>2305</v>
      </c>
      <c r="C55" s="154">
        <f>C51*C53</f>
        <v>750</v>
      </c>
      <c r="D55" s="542"/>
      <c r="E55" s="542"/>
      <c r="F55" s="452" t="s">
        <v>2310</v>
      </c>
      <c r="G55" s="613"/>
    </row>
    <row r="56" spans="1:7" s="584" customFormat="1" ht="15" customHeight="1">
      <c r="A56" s="542"/>
      <c r="B56" s="542" t="s">
        <v>2311</v>
      </c>
      <c r="C56" s="82">
        <v>3</v>
      </c>
      <c r="D56" s="542"/>
      <c r="E56" s="542"/>
      <c r="F56" s="452" t="s">
        <v>2312</v>
      </c>
      <c r="G56" s="613"/>
    </row>
    <row r="57" spans="1:7" s="584" customFormat="1" ht="15" customHeight="1">
      <c r="A57" s="542"/>
      <c r="B57" s="538" t="s">
        <v>2260</v>
      </c>
      <c r="C57" s="595">
        <f>C51*C54</f>
        <v>500</v>
      </c>
      <c r="D57" s="540"/>
      <c r="E57" s="542"/>
      <c r="F57" s="452" t="s">
        <v>2649</v>
      </c>
      <c r="G57" s="613"/>
    </row>
    <row r="58" spans="1:7" s="584" customFormat="1" ht="15" customHeight="1">
      <c r="A58" s="542"/>
      <c r="B58" s="542" t="s">
        <v>2261</v>
      </c>
      <c r="C58" s="619">
        <v>0.7</v>
      </c>
      <c r="D58" s="542"/>
      <c r="E58" s="542"/>
      <c r="F58" s="452" t="s">
        <v>2265</v>
      </c>
      <c r="G58" s="613"/>
    </row>
    <row r="59" spans="1:7" s="584" customFormat="1" ht="15" customHeight="1">
      <c r="A59" s="542"/>
      <c r="B59" s="542" t="s">
        <v>2262</v>
      </c>
      <c r="C59" s="612">
        <v>0.15</v>
      </c>
      <c r="D59" s="542"/>
      <c r="E59" s="542"/>
      <c r="F59" s="452" t="s">
        <v>2265</v>
      </c>
      <c r="G59" s="613"/>
    </row>
    <row r="60" spans="1:7" s="584" customFormat="1" ht="15" customHeight="1">
      <c r="A60" s="542"/>
      <c r="B60" s="542" t="s">
        <v>2263</v>
      </c>
      <c r="C60" s="543">
        <f>C57*C58/(1+C59)^C45</f>
        <v>230.13068135119593</v>
      </c>
      <c r="D60" s="542"/>
      <c r="E60" s="542"/>
      <c r="F60" s="452" t="s">
        <v>2266</v>
      </c>
      <c r="G60" s="613"/>
    </row>
    <row r="61" spans="1:7" s="584" customFormat="1" ht="3.95" customHeight="1">
      <c r="A61" s="542"/>
      <c r="B61" s="613"/>
      <c r="C61" s="613"/>
      <c r="D61" s="542"/>
      <c r="E61" s="542"/>
      <c r="F61" s="542"/>
      <c r="G61" s="613"/>
    </row>
    <row r="62" spans="1:7" s="584" customFormat="1" ht="15" customHeight="1">
      <c r="A62" s="542"/>
      <c r="B62" s="454" t="s">
        <v>2353</v>
      </c>
      <c r="C62" s="455" t="str">
        <f>C$171</f>
        <v>Today</v>
      </c>
      <c r="D62" s="455" t="s">
        <v>1861</v>
      </c>
      <c r="E62" s="452"/>
      <c r="F62" s="452"/>
      <c r="G62" s="613"/>
    </row>
    <row r="63" spans="1:7" s="584" customFormat="1" ht="15" customHeight="1">
      <c r="A63" s="542"/>
      <c r="B63" s="452" t="s">
        <v>2057</v>
      </c>
      <c r="C63" s="429">
        <f>$C$174</f>
        <v>500</v>
      </c>
      <c r="D63" s="528">
        <f>IFERROR(C63/C$65,0)</f>
        <v>0.16666666666666666</v>
      </c>
      <c r="E63" s="452"/>
      <c r="F63" s="452" t="s">
        <v>2513</v>
      </c>
      <c r="G63" s="613"/>
    </row>
    <row r="64" spans="1:7" s="584" customFormat="1" ht="15" customHeight="1">
      <c r="A64" s="542"/>
      <c r="B64" s="560" t="s">
        <v>2270</v>
      </c>
      <c r="C64" s="433">
        <f>$C$175</f>
        <v>2500</v>
      </c>
      <c r="D64" s="528">
        <f>IFERROR(C64/C$65,0)</f>
        <v>0.83333333333333337</v>
      </c>
      <c r="E64" s="452"/>
      <c r="F64" s="452" t="s">
        <v>2514</v>
      </c>
      <c r="G64" s="613"/>
    </row>
    <row r="65" spans="1:7" s="584" customFormat="1" ht="15" customHeight="1">
      <c r="A65" s="542"/>
      <c r="B65" s="774" t="s">
        <v>2509</v>
      </c>
      <c r="C65" s="441">
        <f>SUM(C63:C64)</f>
        <v>3000</v>
      </c>
      <c r="D65" s="775">
        <f>IFERROR(C65/C$65,0)</f>
        <v>1</v>
      </c>
      <c r="E65" s="452"/>
      <c r="F65" s="452" t="s">
        <v>2515</v>
      </c>
      <c r="G65" s="613"/>
    </row>
    <row r="66" spans="1:7" s="584" customFormat="1" ht="15" customHeight="1">
      <c r="A66" s="542"/>
      <c r="B66" s="560" t="s">
        <v>2510</v>
      </c>
      <c r="C66" s="433">
        <f>$C$57</f>
        <v>500</v>
      </c>
      <c r="D66" s="528">
        <f>IFERROR(C66/C$65,0)</f>
        <v>0.16666666666666666</v>
      </c>
      <c r="E66" s="452"/>
      <c r="F66" s="452" t="s">
        <v>2511</v>
      </c>
      <c r="G66" s="613"/>
    </row>
    <row r="67" spans="1:7" s="584" customFormat="1" ht="15" customHeight="1">
      <c r="A67" s="542"/>
      <c r="B67" s="521" t="s">
        <v>2512</v>
      </c>
      <c r="C67" s="525">
        <f>C65+C66</f>
        <v>3500</v>
      </c>
      <c r="D67" s="779">
        <f>IFERROR(C67/C$65,0)</f>
        <v>1.1666666666666667</v>
      </c>
      <c r="E67" s="452"/>
      <c r="F67" s="452" t="s">
        <v>2650</v>
      </c>
      <c r="G67" s="613"/>
    </row>
    <row r="68" spans="1:7" s="584" customFormat="1" ht="3.95" customHeight="1">
      <c r="A68" s="542"/>
      <c r="B68" s="452"/>
      <c r="C68" s="452"/>
      <c r="D68" s="452"/>
      <c r="E68" s="452"/>
      <c r="F68" s="452"/>
      <c r="G68" s="613"/>
    </row>
    <row r="69" spans="1:7">
      <c r="A69" s="542"/>
      <c r="B69" s="370" t="s">
        <v>2004</v>
      </c>
      <c r="C69" s="371" t="str">
        <f>C$171</f>
        <v>Today</v>
      </c>
      <c r="D69" s="371" t="str">
        <f>"Year "&amp;$C$7</f>
        <v>Year 5</v>
      </c>
      <c r="E69" s="542"/>
      <c r="F69" s="542"/>
      <c r="G69" s="2"/>
    </row>
    <row r="70" spans="1:7">
      <c r="A70" s="542"/>
      <c r="B70" s="542" t="s">
        <v>2006</v>
      </c>
      <c r="C70" s="166">
        <f>ROUND(C172*C21,-1)</f>
        <v>3000</v>
      </c>
      <c r="D70" s="543">
        <f>(C172+C27)*$C$22</f>
        <v>7490.2576987288121</v>
      </c>
      <c r="E70" s="542"/>
      <c r="F70" s="542" t="s">
        <v>2651</v>
      </c>
      <c r="G70" s="2"/>
    </row>
    <row r="71" spans="1:7">
      <c r="A71" s="542"/>
      <c r="B71" s="542" t="s">
        <v>2007</v>
      </c>
      <c r="C71" s="571">
        <f>'Offer Overview'!$C$27</f>
        <v>1</v>
      </c>
      <c r="D71" s="544">
        <f>$C$71</f>
        <v>1</v>
      </c>
      <c r="E71" s="542"/>
      <c r="F71" s="542"/>
      <c r="G71" s="2"/>
    </row>
    <row r="72" spans="1:7">
      <c r="A72" s="542"/>
      <c r="B72" s="538" t="s">
        <v>2060</v>
      </c>
      <c r="C72" s="552">
        <f>C70*C71</f>
        <v>3000</v>
      </c>
      <c r="D72" s="595">
        <f>D70*D71</f>
        <v>7490.2576987288121</v>
      </c>
      <c r="E72" s="542"/>
      <c r="F72" s="542"/>
      <c r="G72" s="2"/>
    </row>
    <row r="73" spans="1:7" ht="3.95" customHeight="1">
      <c r="A73" s="542"/>
      <c r="B73" s="542"/>
      <c r="C73" s="542"/>
      <c r="D73" s="542"/>
      <c r="E73" s="542"/>
      <c r="F73" s="542"/>
      <c r="G73" s="2"/>
    </row>
    <row r="74" spans="1:7">
      <c r="A74" s="542"/>
      <c r="B74" s="370" t="s">
        <v>2011</v>
      </c>
      <c r="C74" s="371" t="str">
        <f>C$171</f>
        <v>Today</v>
      </c>
      <c r="D74" s="371" t="str">
        <f>D$69</f>
        <v>Year 5</v>
      </c>
      <c r="E74" s="542"/>
      <c r="F74" s="542"/>
      <c r="G74" s="2"/>
    </row>
    <row r="75" spans="1:7">
      <c r="A75" s="542"/>
      <c r="B75" s="542" t="s">
        <v>2061</v>
      </c>
      <c r="C75" s="86">
        <f>C179</f>
        <v>59500</v>
      </c>
      <c r="D75" s="543">
        <f>(C10+C17)*C12-C174-$C$57</f>
        <v>179000.00000000003</v>
      </c>
      <c r="E75" s="542"/>
      <c r="F75" s="542"/>
      <c r="G75" s="2"/>
    </row>
    <row r="76" spans="1:7">
      <c r="A76" s="542"/>
      <c r="B76" s="559" t="s">
        <v>2062</v>
      </c>
      <c r="C76" s="83">
        <f>C70</f>
        <v>3000</v>
      </c>
      <c r="D76" s="154">
        <f>(C41+C172)*C30</f>
        <v>13980.189077288132</v>
      </c>
      <c r="E76" s="542"/>
      <c r="F76" s="542" t="s">
        <v>2110</v>
      </c>
      <c r="G76" s="2"/>
    </row>
    <row r="77" spans="1:7">
      <c r="A77" s="542"/>
      <c r="B77" s="537" t="s">
        <v>2063</v>
      </c>
      <c r="C77" s="551">
        <f>C75+C76</f>
        <v>62500</v>
      </c>
      <c r="D77" s="551">
        <f>D75+D76</f>
        <v>192980.18907728817</v>
      </c>
      <c r="E77" s="542"/>
      <c r="F77" s="154"/>
      <c r="G77" s="2"/>
    </row>
    <row r="78" spans="1:7">
      <c r="A78" s="542"/>
      <c r="B78" s="542" t="s">
        <v>2064</v>
      </c>
      <c r="C78" s="154">
        <f>C77*$C$178</f>
        <v>2500</v>
      </c>
      <c r="D78" s="154">
        <f>D77*$D$178</f>
        <v>7333.2471849369504</v>
      </c>
      <c r="E78" s="542"/>
      <c r="F78" s="542"/>
      <c r="G78" s="2"/>
    </row>
    <row r="79" spans="1:7">
      <c r="A79" s="542"/>
      <c r="B79" s="559" t="s">
        <v>2065</v>
      </c>
      <c r="C79" s="83">
        <f>$C$174</f>
        <v>500</v>
      </c>
      <c r="D79" s="83">
        <f>$C$174</f>
        <v>500</v>
      </c>
      <c r="E79" s="542"/>
      <c r="F79" s="542"/>
      <c r="G79" s="2"/>
    </row>
    <row r="80" spans="1:7" ht="15" customHeight="1">
      <c r="A80" s="542"/>
      <c r="B80" s="559" t="s">
        <v>2267</v>
      </c>
      <c r="C80" s="83"/>
      <c r="D80" s="83">
        <f>$C$57</f>
        <v>500</v>
      </c>
      <c r="E80" s="542"/>
      <c r="F80" s="452"/>
      <c r="G80" s="2"/>
    </row>
    <row r="81" spans="1:7">
      <c r="A81" s="542"/>
      <c r="B81" s="538" t="s">
        <v>2066</v>
      </c>
      <c r="C81" s="552">
        <f>C78+C79+C80</f>
        <v>3000</v>
      </c>
      <c r="D81" s="595">
        <f>D78+D79+D80</f>
        <v>8333.2471849369504</v>
      </c>
      <c r="E81" s="542"/>
      <c r="F81" s="452"/>
      <c r="G81" s="2"/>
    </row>
    <row r="82" spans="1:7" ht="3.95" customHeight="1">
      <c r="A82" s="542"/>
      <c r="B82" s="542"/>
      <c r="C82" s="542"/>
      <c r="D82" s="542"/>
      <c r="E82" s="542"/>
      <c r="F82" s="452"/>
      <c r="G82" s="2"/>
    </row>
    <row r="83" spans="1:7">
      <c r="A83" s="542"/>
      <c r="B83" s="370" t="s">
        <v>2072</v>
      </c>
      <c r="C83" s="371" t="str">
        <f>C$171</f>
        <v>Today</v>
      </c>
      <c r="D83" s="371" t="str">
        <f>D$69</f>
        <v>Year 5</v>
      </c>
      <c r="E83" s="542"/>
      <c r="F83" s="452"/>
      <c r="G83" s="2"/>
    </row>
    <row r="84" spans="1:7">
      <c r="A84" s="542"/>
      <c r="B84" s="577" t="s">
        <v>2073</v>
      </c>
      <c r="C84" s="596">
        <f>C81-C72</f>
        <v>0</v>
      </c>
      <c r="D84" s="597">
        <f>D81-D72</f>
        <v>842.98948620813826</v>
      </c>
      <c r="E84" s="542"/>
      <c r="F84" s="452"/>
      <c r="G84" s="2"/>
    </row>
    <row r="85" spans="1:7">
      <c r="A85" s="542"/>
      <c r="B85" s="667" t="s">
        <v>285</v>
      </c>
      <c r="C85" s="611">
        <f>IFERROR(C81/C72-1,0)</f>
        <v>0</v>
      </c>
      <c r="D85" s="668">
        <f>IFERROR(D81/D72-1,0)</f>
        <v>0.1125447908622963</v>
      </c>
      <c r="E85" s="542"/>
      <c r="F85" s="452"/>
      <c r="G85" s="2"/>
    </row>
    <row r="86" spans="1:7" ht="15" customHeight="1">
      <c r="A86" s="542"/>
      <c r="B86" s="588" t="s">
        <v>2316</v>
      </c>
      <c r="C86" s="669"/>
      <c r="D86" s="670">
        <f>IFERROR(D81/C173,0)</f>
        <v>2.7777490616456499</v>
      </c>
      <c r="E86" s="542"/>
      <c r="F86" s="542" t="s">
        <v>2652</v>
      </c>
      <c r="G86" s="2"/>
    </row>
    <row r="87" spans="1:7" ht="15" customHeight="1">
      <c r="A87" s="542"/>
      <c r="B87" s="588" t="s">
        <v>2317</v>
      </c>
      <c r="C87" s="669"/>
      <c r="D87" s="671">
        <f>IFERROR(IRR(D199:D204),0)</f>
        <v>0.26613900142438429</v>
      </c>
      <c r="E87" s="542"/>
      <c r="F87" s="542" t="s">
        <v>2653</v>
      </c>
      <c r="G87" s="2"/>
    </row>
    <row r="88" spans="1:7">
      <c r="A88" s="542"/>
      <c r="B88" s="588" t="s">
        <v>2742</v>
      </c>
      <c r="C88" s="598"/>
      <c r="D88" s="602">
        <f>IFERROR((((D72-$C$174-$C$57)/$D$178-D76+$C$57)/$C$179)^(1/C$7)-1,0)</f>
        <v>0.21465018998633023</v>
      </c>
      <c r="E88" s="542"/>
      <c r="F88" s="452"/>
      <c r="G88" s="2"/>
    </row>
    <row r="89" spans="1:7">
      <c r="A89" s="542"/>
      <c r="B89" s="587" t="s">
        <v>2743</v>
      </c>
      <c r="C89" s="603"/>
      <c r="D89" s="566">
        <f>IFERROR(((D75+$C$57)/$C$179)^(1/$C$7)-1,0)</f>
        <v>0.24712359925968785</v>
      </c>
      <c r="E89" s="542"/>
      <c r="F89" s="452"/>
      <c r="G89" s="2"/>
    </row>
    <row r="90" spans="1:7" ht="3.95" customHeight="1">
      <c r="A90" s="542"/>
      <c r="B90" s="542"/>
      <c r="C90" s="542"/>
      <c r="D90" s="542"/>
      <c r="E90" s="542"/>
      <c r="F90" s="452"/>
      <c r="G90" s="2"/>
    </row>
    <row r="91" spans="1:7" ht="15" customHeight="1">
      <c r="A91" s="542"/>
      <c r="B91" s="370" t="s">
        <v>2284</v>
      </c>
      <c r="C91" s="605" t="s">
        <v>1197</v>
      </c>
      <c r="D91" s="542"/>
      <c r="E91" s="542"/>
      <c r="F91" s="452"/>
      <c r="G91" s="2"/>
    </row>
    <row r="92" spans="1:7" ht="15" customHeight="1">
      <c r="A92" s="542"/>
      <c r="B92" s="542" t="s">
        <v>2269</v>
      </c>
      <c r="C92" s="86">
        <f>C174</f>
        <v>500</v>
      </c>
      <c r="D92" s="542"/>
      <c r="E92" s="542"/>
      <c r="F92" s="452" t="s">
        <v>2654</v>
      </c>
      <c r="G92" s="2"/>
    </row>
    <row r="93" spans="1:7" ht="15" customHeight="1">
      <c r="A93" s="542"/>
      <c r="B93" s="559" t="s">
        <v>2270</v>
      </c>
      <c r="C93" s="83">
        <f>C175</f>
        <v>2500</v>
      </c>
      <c r="D93" s="542"/>
      <c r="E93" s="542"/>
      <c r="F93" s="452" t="s">
        <v>2655</v>
      </c>
      <c r="G93" s="2"/>
    </row>
    <row r="94" spans="1:7" ht="15" customHeight="1">
      <c r="A94" s="542"/>
      <c r="B94" s="559" t="s">
        <v>2267</v>
      </c>
      <c r="C94" s="83">
        <f>C57</f>
        <v>500</v>
      </c>
      <c r="D94" s="542"/>
      <c r="E94" s="542"/>
      <c r="F94" s="452" t="s">
        <v>2656</v>
      </c>
      <c r="G94" s="2"/>
    </row>
    <row r="95" spans="1:7" ht="15" customHeight="1">
      <c r="A95" s="542"/>
      <c r="B95" s="537" t="s">
        <v>2271</v>
      </c>
      <c r="C95" s="551">
        <f>SUM(C92:C94)</f>
        <v>3500</v>
      </c>
      <c r="D95" s="540"/>
      <c r="E95" s="542"/>
      <c r="F95" s="452" t="s">
        <v>2287</v>
      </c>
      <c r="G95" s="2"/>
    </row>
    <row r="96" spans="1:7" ht="15" customHeight="1">
      <c r="A96" s="542"/>
      <c r="B96" s="559" t="s">
        <v>2272</v>
      </c>
      <c r="C96" s="617">
        <f>1-'Offer Comparison'!$D$17</f>
        <v>1</v>
      </c>
      <c r="D96" s="542"/>
      <c r="E96" s="542"/>
      <c r="F96" s="452" t="s">
        <v>2657</v>
      </c>
      <c r="G96" s="2"/>
    </row>
    <row r="97" spans="1:7" ht="15" customHeight="1">
      <c r="A97" s="542"/>
      <c r="B97" s="542" t="s">
        <v>2273</v>
      </c>
      <c r="C97" s="86">
        <f>D76</f>
        <v>13980.189077288132</v>
      </c>
      <c r="D97" s="542"/>
      <c r="E97" s="542"/>
      <c r="F97" s="452" t="s">
        <v>2658</v>
      </c>
      <c r="G97" s="2"/>
    </row>
    <row r="98" spans="1:7" ht="15" customHeight="1">
      <c r="A98" s="542"/>
      <c r="B98" s="577" t="s">
        <v>2274</v>
      </c>
      <c r="C98" s="597">
        <f>C96*C97</f>
        <v>13980.189077288132</v>
      </c>
      <c r="D98" s="540"/>
      <c r="E98" s="542"/>
      <c r="F98" s="452" t="s">
        <v>2285</v>
      </c>
      <c r="G98" s="2"/>
    </row>
    <row r="99" spans="1:7" ht="15" customHeight="1">
      <c r="A99" s="542"/>
      <c r="B99" s="588" t="s">
        <v>2275</v>
      </c>
      <c r="C99" s="672">
        <f>IFERROR(C98/C95,0)</f>
        <v>3.9943397363680377</v>
      </c>
      <c r="D99" s="540"/>
      <c r="E99" s="542"/>
      <c r="F99" s="452" t="s">
        <v>2280</v>
      </c>
      <c r="G99" s="2"/>
    </row>
    <row r="100" spans="1:7" ht="15" customHeight="1">
      <c r="A100" s="542"/>
      <c r="B100" s="587" t="s">
        <v>2278</v>
      </c>
      <c r="C100" s="673">
        <f>IFERROR(IRR(D191:D196),0)</f>
        <v>0.34242961148605366</v>
      </c>
      <c r="D100" s="540"/>
      <c r="E100" s="542"/>
      <c r="F100" s="452" t="s">
        <v>2659</v>
      </c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>
      <c r="A102" s="542"/>
      <c r="B102" s="536" t="s">
        <v>2114</v>
      </c>
      <c r="C102" s="535" t="str">
        <f>D$69</f>
        <v>Year 5</v>
      </c>
      <c r="D102" s="2"/>
      <c r="E102" s="542"/>
      <c r="F102" s="452"/>
      <c r="G102" s="2"/>
    </row>
    <row r="103" spans="1:7">
      <c r="A103" s="542"/>
      <c r="B103" s="613" t="s">
        <v>2112</v>
      </c>
      <c r="C103" s="543">
        <f>+C27+C172</f>
        <v>5992.20615898305</v>
      </c>
      <c r="D103" s="542"/>
      <c r="E103" s="542"/>
      <c r="F103" s="452"/>
      <c r="G103" s="2"/>
    </row>
    <row r="104" spans="1:7" s="584" customFormat="1" ht="12">
      <c r="A104" s="542"/>
      <c r="B104" s="615" t="s">
        <v>2094</v>
      </c>
      <c r="C104" s="612">
        <v>0.15</v>
      </c>
      <c r="D104" s="599"/>
      <c r="E104" s="542"/>
      <c r="F104" s="452" t="s">
        <v>2107</v>
      </c>
      <c r="G104" s="613"/>
    </row>
    <row r="105" spans="1:7" s="584" customFormat="1" ht="12">
      <c r="A105" s="542"/>
      <c r="B105" s="600" t="s">
        <v>2095</v>
      </c>
      <c r="C105" s="125">
        <f>C104*C103</f>
        <v>898.83092384745748</v>
      </c>
      <c r="D105" s="542"/>
      <c r="E105" s="542"/>
      <c r="F105" s="452"/>
      <c r="G105" s="613"/>
    </row>
    <row r="106" spans="1:7">
      <c r="A106" s="542"/>
      <c r="B106" s="613" t="s">
        <v>2093</v>
      </c>
      <c r="C106" s="83">
        <f>+D72</f>
        <v>7490.2576987288121</v>
      </c>
      <c r="D106" s="542"/>
      <c r="E106" s="542"/>
      <c r="F106" s="452"/>
      <c r="G106" s="2"/>
    </row>
    <row r="107" spans="1:7">
      <c r="A107" s="542"/>
      <c r="B107" s="60" t="s">
        <v>2096</v>
      </c>
      <c r="C107" s="601">
        <f>C106/C105</f>
        <v>8.3333333333333339</v>
      </c>
      <c r="D107" s="542"/>
      <c r="E107" s="542"/>
      <c r="F107" s="452"/>
      <c r="G107" s="2"/>
    </row>
    <row r="108" spans="1:7" ht="3.95" customHeight="1">
      <c r="A108" s="542"/>
      <c r="B108" s="214"/>
      <c r="C108" s="616"/>
      <c r="D108" s="542"/>
      <c r="E108" s="542"/>
      <c r="F108" s="452"/>
      <c r="G108" s="2"/>
    </row>
    <row r="109" spans="1:7">
      <c r="A109" s="542"/>
      <c r="B109" s="536" t="s">
        <v>2115</v>
      </c>
      <c r="C109" s="535" t="str">
        <f>D$69</f>
        <v>Year 5</v>
      </c>
      <c r="D109" s="2"/>
      <c r="E109" s="542"/>
      <c r="F109" s="452"/>
      <c r="G109" s="2"/>
    </row>
    <row r="110" spans="1:7">
      <c r="A110" s="542"/>
      <c r="B110" s="613" t="s">
        <v>2092</v>
      </c>
      <c r="C110" s="543">
        <f>+C41+C172</f>
        <v>6990.0945386440662</v>
      </c>
      <c r="D110" s="542"/>
      <c r="E110" s="542"/>
      <c r="F110" s="452"/>
      <c r="G110" s="2"/>
    </row>
    <row r="111" spans="1:7" s="584" customFormat="1" ht="12">
      <c r="A111" s="542"/>
      <c r="B111" s="615" t="s">
        <v>2094</v>
      </c>
      <c r="C111" s="612">
        <v>0.2</v>
      </c>
      <c r="D111" s="542"/>
      <c r="E111" s="542"/>
      <c r="F111" s="452" t="s">
        <v>2113</v>
      </c>
      <c r="G111" s="613"/>
    </row>
    <row r="112" spans="1:7" s="584" customFormat="1" ht="12">
      <c r="A112" s="542"/>
      <c r="B112" s="600" t="s">
        <v>2095</v>
      </c>
      <c r="C112" s="125">
        <f>C111*C110</f>
        <v>1398.0189077288132</v>
      </c>
      <c r="D112" s="542"/>
      <c r="E112" s="542"/>
      <c r="F112" s="452"/>
      <c r="G112" s="613"/>
    </row>
    <row r="113" spans="1:7">
      <c r="A113" s="542"/>
      <c r="B113" s="613" t="s">
        <v>2093</v>
      </c>
      <c r="C113" s="83">
        <f>D76</f>
        <v>13980.189077288132</v>
      </c>
      <c r="D113" s="542"/>
      <c r="E113" s="542"/>
      <c r="F113" s="452"/>
      <c r="G113" s="2"/>
    </row>
    <row r="114" spans="1:7">
      <c r="A114" s="542"/>
      <c r="B114" s="60" t="s">
        <v>2096</v>
      </c>
      <c r="C114" s="601">
        <f>C113/C112</f>
        <v>10</v>
      </c>
      <c r="D114" s="542"/>
      <c r="E114" s="542"/>
      <c r="F114" s="452"/>
      <c r="G114" s="2"/>
    </row>
    <row r="115" spans="1:7" ht="3.95" customHeight="1">
      <c r="A115" s="542"/>
      <c r="B115" s="214"/>
      <c r="C115" s="616"/>
      <c r="D115" s="542"/>
      <c r="E115" s="542"/>
      <c r="F115" s="452"/>
      <c r="G115" s="2"/>
    </row>
    <row r="116" spans="1:7">
      <c r="A116" s="542"/>
      <c r="B116" s="370" t="s">
        <v>2163</v>
      </c>
      <c r="C116" s="618" t="str">
        <f>"Year "&amp;$C$7</f>
        <v>Year 5</v>
      </c>
      <c r="D116" s="618" t="s">
        <v>1861</v>
      </c>
      <c r="E116" s="542"/>
      <c r="F116" s="452"/>
      <c r="G116" s="2"/>
    </row>
    <row r="117" spans="1:7" ht="15" customHeight="1">
      <c r="A117" s="542"/>
      <c r="B117" s="542" t="s">
        <v>2125</v>
      </c>
      <c r="C117" s="543">
        <f>D75*$D$178</f>
        <v>6802.0000000000009</v>
      </c>
      <c r="D117" s="617">
        <f>IFERROR(C117/C$121,0)</f>
        <v>0.81624843821928039</v>
      </c>
      <c r="E117" s="542"/>
      <c r="F117" s="452" t="s">
        <v>2660</v>
      </c>
      <c r="G117" s="2"/>
    </row>
    <row r="118" spans="1:7" ht="15" customHeight="1">
      <c r="A118" s="542"/>
      <c r="B118" s="559" t="s">
        <v>2126</v>
      </c>
      <c r="C118" s="154">
        <f>D76*$D$178</f>
        <v>531.247184936949</v>
      </c>
      <c r="D118" s="617">
        <f>IFERROR(C118/C$121,0)</f>
        <v>6.3750321230987034E-2</v>
      </c>
      <c r="E118" s="542"/>
      <c r="F118" s="452" t="s">
        <v>2661</v>
      </c>
      <c r="G118" s="2"/>
    </row>
    <row r="119" spans="1:7" ht="15" customHeight="1">
      <c r="A119" s="542"/>
      <c r="B119" s="559" t="s">
        <v>2065</v>
      </c>
      <c r="C119" s="83">
        <f>D79</f>
        <v>500</v>
      </c>
      <c r="D119" s="617">
        <f>IFERROR(C119/C$121,0)</f>
        <v>6.0000620274866238E-2</v>
      </c>
      <c r="E119" s="542"/>
      <c r="F119" s="452" t="s">
        <v>2662</v>
      </c>
      <c r="G119" s="2"/>
    </row>
    <row r="120" spans="1:7" ht="15" customHeight="1">
      <c r="A120" s="542"/>
      <c r="B120" s="559" t="s">
        <v>2267</v>
      </c>
      <c r="C120" s="83">
        <f>D80</f>
        <v>500</v>
      </c>
      <c r="D120" s="617">
        <f>IFERROR(C120/C$121,0)</f>
        <v>6.0000620274866238E-2</v>
      </c>
      <c r="E120" s="542"/>
      <c r="F120" s="452" t="s">
        <v>2663</v>
      </c>
      <c r="G120" s="2"/>
    </row>
    <row r="121" spans="1:7" ht="15" customHeight="1">
      <c r="A121" s="542"/>
      <c r="B121" s="537" t="s">
        <v>2066</v>
      </c>
      <c r="C121" s="551">
        <f>SUM(C117:C120)</f>
        <v>8333.2471849369504</v>
      </c>
      <c r="D121" s="674">
        <f>SUM(D117:D120)</f>
        <v>0.99999999999999978</v>
      </c>
      <c r="E121" s="542"/>
      <c r="F121" s="452" t="s">
        <v>2664</v>
      </c>
      <c r="G121" s="2"/>
    </row>
    <row r="122" spans="1:7" ht="15" customHeight="1">
      <c r="A122" s="542"/>
      <c r="B122" s="542" t="s">
        <v>2127</v>
      </c>
      <c r="C122" s="543">
        <f>(C41+C172)*$D$178</f>
        <v>265.6235924684745</v>
      </c>
      <c r="D122" s="542"/>
      <c r="E122" s="542"/>
      <c r="F122" s="452" t="s">
        <v>2665</v>
      </c>
      <c r="G122" s="2"/>
    </row>
    <row r="123" spans="1:7" ht="3.95" customHeight="1">
      <c r="A123" s="542"/>
      <c r="B123" s="542"/>
      <c r="C123" s="542"/>
      <c r="D123" s="542"/>
      <c r="E123" s="542"/>
      <c r="F123" s="452"/>
      <c r="G123" s="2"/>
    </row>
    <row r="124" spans="1:7">
      <c r="A124" s="542"/>
      <c r="B124" s="370" t="s">
        <v>2164</v>
      </c>
      <c r="C124" s="618" t="str">
        <f>C$171</f>
        <v>Today</v>
      </c>
      <c r="D124" s="542"/>
      <c r="E124" s="542"/>
      <c r="F124" s="452"/>
      <c r="G124" s="2"/>
    </row>
    <row r="125" spans="1:7">
      <c r="A125" s="542"/>
      <c r="B125" s="542" t="s">
        <v>2128</v>
      </c>
      <c r="C125" s="608">
        <f>IFERROR(C173/C172,0)</f>
        <v>1.0004865632953721</v>
      </c>
      <c r="D125" s="542"/>
      <c r="E125" s="542"/>
      <c r="F125" s="452" t="s">
        <v>2150</v>
      </c>
      <c r="G125" s="2"/>
    </row>
    <row r="126" spans="1:7" ht="15" customHeight="1">
      <c r="A126" s="542"/>
      <c r="B126" s="542" t="s">
        <v>2288</v>
      </c>
      <c r="C126" s="608">
        <f>IFERROR((C173+C57)/C172,0)</f>
        <v>1.1672343238446008</v>
      </c>
      <c r="D126" s="542"/>
      <c r="E126" s="542"/>
      <c r="F126" s="452" t="s">
        <v>2289</v>
      </c>
      <c r="G126" s="2"/>
    </row>
    <row r="127" spans="1:7">
      <c r="A127" s="542"/>
      <c r="B127" s="542" t="s">
        <v>2129</v>
      </c>
      <c r="C127" s="609">
        <f>C11</f>
        <v>19.157088122605366</v>
      </c>
      <c r="D127" s="542"/>
      <c r="E127" s="542"/>
      <c r="F127" s="452" t="s">
        <v>2151</v>
      </c>
      <c r="G127" s="2"/>
    </row>
    <row r="128" spans="1:7">
      <c r="A128" s="542"/>
      <c r="B128" s="538" t="s">
        <v>2162</v>
      </c>
      <c r="C128" s="601">
        <f>IFERROR(C127/C125,0)</f>
        <v>19.147771519795661</v>
      </c>
      <c r="D128" s="540"/>
      <c r="E128" s="542"/>
      <c r="F128" s="452" t="s">
        <v>2152</v>
      </c>
      <c r="G128" s="2"/>
    </row>
    <row r="129" spans="1:8">
      <c r="A129" s="542"/>
      <c r="B129" s="542" t="s">
        <v>2130</v>
      </c>
      <c r="C129" s="86">
        <f>C172</f>
        <v>2998.5410200000001</v>
      </c>
      <c r="D129" s="542"/>
      <c r="E129" s="542"/>
      <c r="F129" s="452"/>
      <c r="G129" s="2"/>
    </row>
    <row r="130" spans="1:8">
      <c r="A130" s="542"/>
      <c r="B130" s="542" t="s">
        <v>2131</v>
      </c>
      <c r="C130" s="543">
        <f>(C10+C172)*$C$178</f>
        <v>245.22164080000002</v>
      </c>
      <c r="D130" s="542"/>
      <c r="E130" s="542"/>
      <c r="F130" s="452" t="s">
        <v>2666</v>
      </c>
      <c r="G130" s="2"/>
    </row>
    <row r="131" spans="1:8" ht="3.95" customHeight="1">
      <c r="A131" s="542"/>
      <c r="B131" s="542"/>
      <c r="C131" s="542"/>
      <c r="D131" s="542"/>
      <c r="E131" s="542"/>
      <c r="F131" s="452"/>
      <c r="G131" s="2"/>
    </row>
    <row r="132" spans="1:8">
      <c r="A132" s="542"/>
      <c r="B132" s="370" t="s">
        <v>2165</v>
      </c>
      <c r="C132" s="618" t="s">
        <v>2132</v>
      </c>
      <c r="D132" s="618" t="s">
        <v>2133</v>
      </c>
      <c r="E132" s="542"/>
      <c r="F132" s="452"/>
      <c r="G132" s="2"/>
    </row>
    <row r="133" spans="1:8">
      <c r="A133" s="542"/>
      <c r="B133" s="542" t="s">
        <v>2134</v>
      </c>
      <c r="C133" s="543">
        <f>(D72-D79-D80)/$D$178-D76</f>
        <v>156816.06615241745</v>
      </c>
      <c r="D133" s="86">
        <f>D75</f>
        <v>179000.00000000003</v>
      </c>
      <c r="E133" s="542"/>
      <c r="F133" s="452" t="s">
        <v>2153</v>
      </c>
      <c r="G133" s="2"/>
    </row>
    <row r="134" spans="1:8">
      <c r="A134" s="542"/>
      <c r="B134" s="542" t="s">
        <v>2135</v>
      </c>
      <c r="C134" s="608">
        <f>IFERROR((C133+$C$174+$C$57)/(C10+C17),0)</f>
        <v>16.796090480248772</v>
      </c>
      <c r="D134" s="609">
        <f>C12</f>
        <v>19.157088122605366</v>
      </c>
      <c r="E134" s="542"/>
      <c r="F134" s="452" t="s">
        <v>2667</v>
      </c>
      <c r="G134" s="2"/>
    </row>
    <row r="135" spans="1:8">
      <c r="A135" s="542"/>
      <c r="B135" s="542" t="s">
        <v>2136</v>
      </c>
      <c r="C135" s="154">
        <f>IFERROR(((C133+$C$174+$C$57)/C12-C10)/C14/C7,0)</f>
        <v>105.96740499845221</v>
      </c>
      <c r="D135" s="83">
        <f>C15</f>
        <v>130</v>
      </c>
      <c r="E135" s="542"/>
      <c r="F135" s="452" t="s">
        <v>2154</v>
      </c>
      <c r="G135" s="2"/>
    </row>
    <row r="136" spans="1:8">
      <c r="A136" s="542"/>
      <c r="B136" s="542" t="s">
        <v>2329</v>
      </c>
      <c r="C136" s="617">
        <f>IFERROR(1-(D72-D79-D80)/(D77*$C$178),0)</f>
        <v>0.15920673907497873</v>
      </c>
      <c r="D136" s="617">
        <f>$C$8</f>
        <v>0.05</v>
      </c>
      <c r="E136" s="542"/>
      <c r="F136" s="452" t="s">
        <v>2342</v>
      </c>
      <c r="G136" s="2"/>
    </row>
    <row r="137" spans="1:8">
      <c r="A137" s="542"/>
      <c r="B137" s="542" t="s">
        <v>2740</v>
      </c>
      <c r="C137" s="388">
        <f>D88</f>
        <v>0.21465018998633023</v>
      </c>
      <c r="D137" s="388">
        <f>D89</f>
        <v>0.24712359925968785</v>
      </c>
      <c r="E137" s="542"/>
      <c r="F137" s="452" t="s">
        <v>2744</v>
      </c>
      <c r="G137" s="2"/>
    </row>
    <row r="138" spans="1:8" ht="3.95" customHeight="1">
      <c r="A138" s="542"/>
      <c r="B138" s="542"/>
      <c r="C138" s="542"/>
      <c r="D138" s="542"/>
      <c r="E138" s="542"/>
      <c r="F138" s="452"/>
      <c r="G138" s="2"/>
    </row>
    <row r="139" spans="1:8" ht="14.25" customHeight="1">
      <c r="A139" s="682"/>
      <c r="B139" s="370" t="str">
        <f>"Topkey Dilution Impact — Ben (Year "&amp;$C$7&amp;")"</f>
        <v>Topkey Dilution Impact — Ben (Year 5)</v>
      </c>
      <c r="C139" s="605" t="s">
        <v>2333</v>
      </c>
      <c r="D139" s="605" t="s">
        <v>2334</v>
      </c>
      <c r="E139" s="682"/>
      <c r="F139" s="682"/>
      <c r="G139" s="682"/>
      <c r="H139" s="682"/>
    </row>
    <row r="140" spans="1:8" ht="14.25" customHeight="1">
      <c r="A140" s="682"/>
      <c r="B140" s="682" t="s">
        <v>2058</v>
      </c>
      <c r="C140" s="388">
        <f>$C$178</f>
        <v>0.04</v>
      </c>
      <c r="D140" s="388">
        <f>$D$178</f>
        <v>3.7999999999999999E-2</v>
      </c>
      <c r="E140" s="682"/>
      <c r="F140" s="682"/>
      <c r="G140" s="682"/>
      <c r="H140" s="682"/>
    </row>
    <row r="141" spans="1:8" ht="14.25" customHeight="1">
      <c r="A141" s="682"/>
      <c r="B141" s="682" t="s">
        <v>2064</v>
      </c>
      <c r="C141" s="683">
        <f>$D$77*C140</f>
        <v>7719.2075630915269</v>
      </c>
      <c r="D141" s="683">
        <f>$D$77*D140</f>
        <v>7333.2471849369504</v>
      </c>
      <c r="E141" s="682"/>
      <c r="F141" s="682" t="s">
        <v>2516</v>
      </c>
      <c r="G141" s="682"/>
      <c r="H141" s="682"/>
    </row>
    <row r="142" spans="1:8" ht="14.25" customHeight="1">
      <c r="A142" s="682"/>
      <c r="B142" s="720" t="s">
        <v>2281</v>
      </c>
      <c r="C142" s="684">
        <f>$D$79+$D$80</f>
        <v>1000</v>
      </c>
      <c r="D142" s="684">
        <f>$D$79+$D$80</f>
        <v>1000</v>
      </c>
      <c r="E142" s="682"/>
      <c r="F142" s="682" t="s">
        <v>2517</v>
      </c>
      <c r="G142" s="682"/>
      <c r="H142" s="682"/>
    </row>
    <row r="143" spans="1:8" ht="14.25" customHeight="1">
      <c r="A143" s="682"/>
      <c r="B143" s="688" t="s">
        <v>2066</v>
      </c>
      <c r="C143" s="687">
        <f>C141+C142</f>
        <v>8719.2075630915278</v>
      </c>
      <c r="D143" s="689">
        <f>D141+D142</f>
        <v>8333.2471849369504</v>
      </c>
      <c r="E143" s="682"/>
      <c r="F143" s="682"/>
      <c r="G143" s="682"/>
      <c r="H143" s="682"/>
    </row>
    <row r="144" spans="1:8" ht="14.25" customHeight="1">
      <c r="A144" s="682"/>
      <c r="B144" s="720" t="s">
        <v>2336</v>
      </c>
      <c r="C144" s="83">
        <f>$D$72</f>
        <v>7490.2576987288121</v>
      </c>
      <c r="D144" s="83">
        <f>$D$72</f>
        <v>7490.2576987288121</v>
      </c>
      <c r="E144" s="682"/>
      <c r="F144" s="682"/>
      <c r="G144" s="682"/>
      <c r="H144" s="682"/>
    </row>
    <row r="145" spans="1:8" ht="14.25" customHeight="1">
      <c r="A145" s="682"/>
      <c r="B145" s="690" t="s">
        <v>2337</v>
      </c>
      <c r="C145" s="691">
        <f>C143-C144</f>
        <v>1228.9498643627157</v>
      </c>
      <c r="D145" s="691">
        <f>D143-D144</f>
        <v>842.98948620813826</v>
      </c>
      <c r="E145" s="682"/>
      <c r="F145" s="682"/>
      <c r="G145" s="682"/>
      <c r="H145" s="682"/>
    </row>
    <row r="146" spans="1:8" ht="14.25" customHeight="1">
      <c r="A146" s="682"/>
      <c r="B146" s="682" t="s">
        <v>2338</v>
      </c>
      <c r="C146" s="682"/>
      <c r="D146" s="683">
        <f>D143-C143</f>
        <v>-385.96037815457748</v>
      </c>
      <c r="E146" s="682"/>
      <c r="F146" s="682" t="s">
        <v>2341</v>
      </c>
      <c r="G146" s="682"/>
      <c r="H146" s="682"/>
    </row>
    <row r="147" spans="1:8" ht="14.25" customHeight="1">
      <c r="A147" s="682"/>
      <c r="B147" s="682" t="s">
        <v>2339</v>
      </c>
      <c r="C147" s="682"/>
      <c r="D147" s="685">
        <f>$C$136-$D$136</f>
        <v>0.10920673907497873</v>
      </c>
      <c r="E147" s="682"/>
      <c r="F147" s="682" t="s">
        <v>2518</v>
      </c>
      <c r="G147" s="682"/>
      <c r="H147" s="682"/>
    </row>
    <row r="148" spans="1:8" ht="14.25" customHeight="1">
      <c r="B148" s="682" t="s">
        <v>2340</v>
      </c>
      <c r="D148" s="686">
        <f>D143-$D$81</f>
        <v>0</v>
      </c>
      <c r="F148" s="682" t="s">
        <v>2109</v>
      </c>
    </row>
    <row r="149" spans="1:8" ht="3.95" customHeight="1">
      <c r="A149" s="682"/>
      <c r="B149" s="682"/>
      <c r="C149" s="682"/>
      <c r="D149" s="682"/>
      <c r="E149" s="682"/>
      <c r="F149" s="682"/>
      <c r="G149" s="682"/>
      <c r="H149" s="682"/>
    </row>
    <row r="150" spans="1:8">
      <c r="A150" s="542"/>
      <c r="B150" s="370" t="s">
        <v>2166</v>
      </c>
      <c r="C150" s="618" t="s">
        <v>2137</v>
      </c>
      <c r="D150" s="618" t="str">
        <f>"Year "&amp;$C$7&amp;" Delta"</f>
        <v>Year 5 Delta</v>
      </c>
      <c r="E150" s="542"/>
      <c r="F150" s="452"/>
      <c r="G150" s="2"/>
    </row>
    <row r="151" spans="1:8">
      <c r="A151" s="542"/>
      <c r="B151" s="542" t="s">
        <v>2138</v>
      </c>
      <c r="C151" s="583">
        <v>12</v>
      </c>
      <c r="D151" s="543">
        <f>((C10+C17)*C151-$C$174-$C$57+D76)*$D$178+D79+D80-D72</f>
        <v>-1712.4345137918635</v>
      </c>
      <c r="E151" s="542"/>
      <c r="F151" s="452" t="s">
        <v>2155</v>
      </c>
      <c r="G151" s="2"/>
    </row>
    <row r="152" spans="1:8">
      <c r="A152" s="542"/>
      <c r="B152" s="542" t="s">
        <v>2139</v>
      </c>
      <c r="C152" s="82">
        <v>90</v>
      </c>
      <c r="D152" s="154">
        <f>((C10+C152*C7*C14)*C12-$C$174-$C$57+D76)*$D$178+D79+D80-D72</f>
        <v>-560.08743686878552</v>
      </c>
      <c r="E152" s="542"/>
      <c r="F152" s="452" t="s">
        <v>2156</v>
      </c>
      <c r="G152" s="2"/>
    </row>
    <row r="153" spans="1:8">
      <c r="A153" s="542"/>
      <c r="B153" s="542" t="s">
        <v>2330</v>
      </c>
      <c r="C153" s="619">
        <v>0.15</v>
      </c>
      <c r="D153" s="154">
        <f>D77*$C$178*(1-C153)+D79+D80-D72</f>
        <v>71.068729898986021</v>
      </c>
      <c r="E153" s="542"/>
      <c r="F153" s="452" t="s">
        <v>2157</v>
      </c>
      <c r="G153" s="2"/>
    </row>
    <row r="154" spans="1:8" ht="15" customHeight="1">
      <c r="A154" s="542"/>
      <c r="B154" s="542" t="s">
        <v>2290</v>
      </c>
      <c r="C154" s="617"/>
      <c r="D154" s="154">
        <f>D84-$C$57*(1-$D$178)</f>
        <v>361.98948620813826</v>
      </c>
      <c r="E154" s="542"/>
      <c r="F154" s="452" t="s">
        <v>2668</v>
      </c>
      <c r="G154" s="2"/>
    </row>
    <row r="155" spans="1:8">
      <c r="A155" s="542"/>
      <c r="B155" s="538" t="s">
        <v>2291</v>
      </c>
      <c r="C155" s="620"/>
      <c r="D155" s="595">
        <f>((C10+C152*C7*C14)*C151-$C$174+D76)*$C$178*(1-C153)+D79-D72</f>
        <v>-3484.7361931779383</v>
      </c>
      <c r="E155" s="542"/>
      <c r="F155" s="452" t="s">
        <v>2292</v>
      </c>
      <c r="G155" s="2"/>
    </row>
    <row r="156" spans="1:8" ht="3.95" customHeight="1">
      <c r="A156" s="542"/>
      <c r="B156" s="542"/>
      <c r="C156" s="542"/>
      <c r="D156" s="542"/>
      <c r="E156" s="542"/>
      <c r="F156" s="452"/>
      <c r="G156" s="2"/>
    </row>
    <row r="157" spans="1:8">
      <c r="A157" s="542"/>
      <c r="B157" s="370" t="s">
        <v>2199</v>
      </c>
      <c r="C157" s="618" t="str">
        <f>C$171</f>
        <v>Today</v>
      </c>
      <c r="D157" s="535" t="str">
        <f>D$69</f>
        <v>Year 5</v>
      </c>
      <c r="E157" s="542"/>
      <c r="F157" s="452"/>
      <c r="G157" s="2"/>
    </row>
    <row r="158" spans="1:8">
      <c r="A158" s="542"/>
      <c r="B158" s="542" t="s">
        <v>2293</v>
      </c>
      <c r="C158" s="86">
        <f>C174</f>
        <v>500</v>
      </c>
      <c r="D158" s="154">
        <f>C174+C57</f>
        <v>1000</v>
      </c>
      <c r="E158" s="542"/>
      <c r="F158" s="452" t="s">
        <v>2283</v>
      </c>
      <c r="G158" s="2"/>
    </row>
    <row r="159" spans="1:8">
      <c r="A159" s="542"/>
      <c r="B159" s="542" t="s">
        <v>2140</v>
      </c>
      <c r="C159" s="617">
        <f>IFERROR(C174/C173,0)</f>
        <v>0.16666666666666666</v>
      </c>
      <c r="D159" s="617">
        <f>IFERROR((C174+C57)/(C173+C57),0)</f>
        <v>0.2857142857142857</v>
      </c>
      <c r="E159" s="542"/>
      <c r="F159" s="452" t="s">
        <v>2294</v>
      </c>
      <c r="G159" s="2"/>
    </row>
    <row r="160" spans="1:8">
      <c r="A160" s="542"/>
      <c r="B160" s="542" t="s">
        <v>2141</v>
      </c>
      <c r="C160" s="617">
        <f>IFERROR(C175/C173,0)</f>
        <v>0.83333333333333337</v>
      </c>
      <c r="D160" s="617">
        <f>IFERROR(C175/(C173+C57),0)</f>
        <v>0.7142857142857143</v>
      </c>
      <c r="E160" s="542"/>
      <c r="F160" s="452"/>
      <c r="G160" s="2"/>
    </row>
    <row r="161" spans="1:7">
      <c r="A161" s="542"/>
      <c r="B161" s="542" t="s">
        <v>2058</v>
      </c>
      <c r="C161" s="388">
        <f>C178</f>
        <v>0.04</v>
      </c>
      <c r="D161" s="388">
        <f>D178</f>
        <v>3.7999999999999999E-2</v>
      </c>
      <c r="E161" s="542"/>
      <c r="F161" s="452"/>
      <c r="G161" s="2"/>
    </row>
    <row r="162" spans="1:7">
      <c r="A162" s="542"/>
      <c r="B162" s="542" t="s">
        <v>2142</v>
      </c>
      <c r="C162" s="617">
        <f>IFERROR(C78/C81,0)</f>
        <v>0.83333333333333337</v>
      </c>
      <c r="D162" s="617">
        <f>IFERROR(D78/D81,0)</f>
        <v>0.87999875945026751</v>
      </c>
      <c r="E162" s="542"/>
      <c r="F162" s="452" t="s">
        <v>2158</v>
      </c>
      <c r="G162" s="2"/>
    </row>
    <row r="163" spans="1:7" ht="3.95" customHeight="1">
      <c r="A163" s="542"/>
      <c r="B163" s="542"/>
      <c r="C163" s="542"/>
      <c r="D163" s="542"/>
      <c r="E163" s="542"/>
      <c r="F163" s="452"/>
      <c r="G163" s="2"/>
    </row>
    <row r="164" spans="1:7">
      <c r="A164" s="542"/>
      <c r="B164" s="370" t="s">
        <v>2204</v>
      </c>
      <c r="C164" s="618" t="s">
        <v>2143</v>
      </c>
      <c r="D164" s="535" t="s">
        <v>2144</v>
      </c>
      <c r="E164" s="542"/>
      <c r="F164" s="452"/>
      <c r="G164" s="2"/>
    </row>
    <row r="165" spans="1:7">
      <c r="A165" s="542"/>
      <c r="B165" s="542" t="s">
        <v>2146</v>
      </c>
      <c r="C165" s="542"/>
      <c r="D165" s="542"/>
      <c r="E165" s="542"/>
      <c r="F165" s="452" t="s">
        <v>2159</v>
      </c>
      <c r="G165" s="2"/>
    </row>
    <row r="166" spans="1:7">
      <c r="A166" s="542"/>
      <c r="B166" s="542" t="s">
        <v>2147</v>
      </c>
      <c r="C166" s="542"/>
      <c r="D166" s="542"/>
      <c r="E166" s="542"/>
      <c r="F166" s="452" t="s">
        <v>2215</v>
      </c>
      <c r="G166" s="2"/>
    </row>
    <row r="167" spans="1:7">
      <c r="A167" s="542"/>
      <c r="B167" s="542" t="s">
        <v>2148</v>
      </c>
      <c r="C167" s="542"/>
      <c r="D167" s="542"/>
      <c r="E167" s="542"/>
      <c r="F167" s="452" t="s">
        <v>2160</v>
      </c>
      <c r="G167" s="2"/>
    </row>
    <row r="168" spans="1:7">
      <c r="A168" s="542"/>
      <c r="B168" s="542" t="s">
        <v>2149</v>
      </c>
      <c r="C168" s="542"/>
      <c r="D168" s="542"/>
      <c r="E168" s="542"/>
      <c r="F168" s="452" t="s">
        <v>2161</v>
      </c>
      <c r="G168" s="2"/>
    </row>
    <row r="169" spans="1:7" ht="15" customHeight="1">
      <c r="A169" s="542"/>
      <c r="B169" s="542" t="s">
        <v>2295</v>
      </c>
      <c r="C169" s="86">
        <f>C57</f>
        <v>500</v>
      </c>
      <c r="D169" s="542"/>
      <c r="E169" s="542"/>
      <c r="F169" s="452" t="s">
        <v>2296</v>
      </c>
      <c r="G169" s="2"/>
    </row>
    <row r="170" spans="1:7">
      <c r="A170" s="542"/>
      <c r="B170" s="2"/>
      <c r="C170" s="2"/>
      <c r="D170" s="542"/>
      <c r="E170" s="542"/>
      <c r="F170" s="452"/>
      <c r="G170" s="2"/>
    </row>
    <row r="171" spans="1:7">
      <c r="B171" s="536" t="s">
        <v>2319</v>
      </c>
      <c r="C171" s="535" t="s">
        <v>2025</v>
      </c>
      <c r="D171" s="535" t="str">
        <f>"Year "&amp;$C$7</f>
        <v>Year 5</v>
      </c>
      <c r="E171" s="2"/>
      <c r="F171" s="452"/>
      <c r="G171" s="2"/>
    </row>
    <row r="172" spans="1:7">
      <c r="B172" s="613" t="s">
        <v>2102</v>
      </c>
      <c r="C172" s="47">
        <f>'P&amp;L Overview'!K16</f>
        <v>2998.5410200000001</v>
      </c>
      <c r="D172" s="2"/>
      <c r="E172" s="2"/>
      <c r="F172" s="452" t="s">
        <v>2108</v>
      </c>
      <c r="G172" s="2"/>
    </row>
    <row r="173" spans="1:7">
      <c r="B173" s="542" t="s">
        <v>2056</v>
      </c>
      <c r="C173" s="83">
        <f>C70</f>
        <v>3000</v>
      </c>
      <c r="D173" s="2"/>
      <c r="E173" s="2"/>
      <c r="F173" s="452" t="s">
        <v>2794</v>
      </c>
      <c r="G173" s="2"/>
    </row>
    <row r="174" spans="1:7">
      <c r="B174" s="542" t="s">
        <v>2057</v>
      </c>
      <c r="C174" s="435">
        <v>500</v>
      </c>
      <c r="D174" s="2"/>
      <c r="E174" s="2"/>
      <c r="F174" s="452" t="s">
        <v>2669</v>
      </c>
      <c r="G174" s="2"/>
    </row>
    <row r="175" spans="1:7">
      <c r="B175" s="542" t="s">
        <v>2024</v>
      </c>
      <c r="C175" s="430">
        <f>C173-C174</f>
        <v>2500</v>
      </c>
      <c r="D175" s="2"/>
      <c r="E175" s="2"/>
      <c r="F175" s="452" t="s">
        <v>2320</v>
      </c>
      <c r="G175" s="2"/>
    </row>
    <row r="176" spans="1:7">
      <c r="B176" s="542" t="s">
        <v>2039</v>
      </c>
      <c r="C176" s="53">
        <f>'Offer Comparison'!$D$9</f>
        <v>60000</v>
      </c>
      <c r="D176" s="2"/>
      <c r="E176" s="2"/>
      <c r="F176" s="452" t="s">
        <v>2670</v>
      </c>
      <c r="G176" s="2"/>
    </row>
    <row r="177" spans="2:8">
      <c r="B177" s="542" t="s">
        <v>2001</v>
      </c>
      <c r="C177" s="430">
        <f>C176+C173-C174</f>
        <v>62500</v>
      </c>
      <c r="D177" s="2"/>
      <c r="E177" s="2"/>
      <c r="F177" s="452" t="s">
        <v>2321</v>
      </c>
      <c r="G177" s="2"/>
    </row>
    <row r="178" spans="2:8">
      <c r="B178" s="542" t="s">
        <v>2058</v>
      </c>
      <c r="C178" s="528">
        <f>IFERROR(C175/C177,0)</f>
        <v>0.04</v>
      </c>
      <c r="D178" s="528">
        <f>C178*(1-$C$8)</f>
        <v>3.7999999999999999E-2</v>
      </c>
      <c r="E178" s="2"/>
      <c r="F178" s="542" t="s">
        <v>2331</v>
      </c>
      <c r="G178" s="2"/>
    </row>
    <row r="179" spans="2:8">
      <c r="B179" s="542" t="s">
        <v>2047</v>
      </c>
      <c r="C179" s="430">
        <f>C176-C174</f>
        <v>59500</v>
      </c>
      <c r="D179" s="2"/>
      <c r="E179" s="2"/>
      <c r="F179" s="452" t="s">
        <v>2177</v>
      </c>
      <c r="G179" s="2"/>
    </row>
    <row r="180" spans="2:8">
      <c r="B180" s="542" t="s">
        <v>2103</v>
      </c>
      <c r="C180" s="154">
        <f>C77-C177</f>
        <v>0</v>
      </c>
      <c r="D180" s="2"/>
      <c r="E180" s="2"/>
      <c r="F180" s="452" t="s">
        <v>2109</v>
      </c>
      <c r="G180" s="2"/>
    </row>
    <row r="181" spans="2:8">
      <c r="B181" s="542" t="s">
        <v>2104</v>
      </c>
      <c r="C181" s="154">
        <f>C78-C175</f>
        <v>0</v>
      </c>
      <c r="D181" s="2"/>
      <c r="E181" s="2"/>
      <c r="F181" s="452" t="s">
        <v>2109</v>
      </c>
      <c r="G181" s="2"/>
    </row>
    <row r="182" spans="2:8">
      <c r="B182" s="2"/>
      <c r="C182" s="2"/>
      <c r="D182" s="2"/>
      <c r="E182" s="2"/>
      <c r="F182" s="452"/>
      <c r="G182" s="2"/>
    </row>
    <row r="183" spans="2:8">
      <c r="B183" s="370" t="s">
        <v>2116</v>
      </c>
      <c r="C183" s="370" t="s">
        <v>1197</v>
      </c>
      <c r="D183" s="2"/>
      <c r="E183" s="2"/>
      <c r="F183" s="452"/>
      <c r="G183" s="2"/>
    </row>
    <row r="184" spans="2:8">
      <c r="B184" s="613" t="s">
        <v>2117</v>
      </c>
      <c r="C184" s="53">
        <f>'Client Retention'!H22</f>
        <v>151</v>
      </c>
      <c r="D184" s="2"/>
      <c r="E184" s="2"/>
      <c r="F184" s="452" t="s">
        <v>2120</v>
      </c>
      <c r="G184" s="2"/>
    </row>
    <row r="185" spans="2:8">
      <c r="B185" s="615" t="s">
        <v>1314</v>
      </c>
      <c r="C185" s="53">
        <f>'Client Retention'!H23</f>
        <v>83</v>
      </c>
      <c r="D185" s="2"/>
      <c r="E185" s="2"/>
      <c r="F185" s="452"/>
      <c r="G185" s="2"/>
    </row>
    <row r="186" spans="2:8">
      <c r="B186" s="615" t="s">
        <v>1532</v>
      </c>
      <c r="C186" s="53">
        <f>'Client Retention'!H27</f>
        <v>-57</v>
      </c>
      <c r="D186" s="2"/>
      <c r="E186" s="2"/>
      <c r="F186" s="452"/>
      <c r="G186" s="2"/>
    </row>
    <row r="187" spans="2:8">
      <c r="B187" s="613" t="s">
        <v>2118</v>
      </c>
      <c r="C187" s="154">
        <f>SUM(C184:C186)</f>
        <v>177</v>
      </c>
      <c r="D187" s="2"/>
      <c r="E187" s="2"/>
      <c r="F187" s="417" t="s">
        <v>2121</v>
      </c>
      <c r="G187" s="2"/>
      <c r="H187" s="542"/>
    </row>
    <row r="188" spans="2:8">
      <c r="B188" s="58" t="s">
        <v>2119</v>
      </c>
      <c r="C188" s="573">
        <f>C187-C184</f>
        <v>26</v>
      </c>
      <c r="D188" s="2"/>
      <c r="E188" s="2"/>
      <c r="F188" s="417" t="s">
        <v>2122</v>
      </c>
      <c r="G188" s="2"/>
      <c r="H188" s="542"/>
    </row>
    <row r="189" spans="2:8">
      <c r="F189" s="417"/>
    </row>
    <row r="190" spans="2:8" ht="15" customHeight="1">
      <c r="B190" s="454" t="s">
        <v>2286</v>
      </c>
      <c r="C190" s="623" t="s">
        <v>1242</v>
      </c>
      <c r="D190" s="623" t="s">
        <v>2277</v>
      </c>
      <c r="F190" s="417"/>
    </row>
    <row r="191" spans="2:8" ht="15" customHeight="1">
      <c r="B191" s="452" t="str">
        <f t="shared" ref="B191:B196" si="0">"Year "&amp;C191</f>
        <v>Year 0</v>
      </c>
      <c r="C191" s="655">
        <v>0</v>
      </c>
      <c r="D191" s="431">
        <f t="shared" ref="D191:D196" si="1">-IF(C191=0,$C$92+$C$93,0)-IF(C191=$C$45,$C$94,0)+IF(C191=$C$7,$C$98,0)</f>
        <v>-3000</v>
      </c>
      <c r="F191" s="417" t="s">
        <v>2671</v>
      </c>
    </row>
    <row r="192" spans="2:8" ht="15" customHeight="1">
      <c r="B192" s="452" t="str">
        <f t="shared" si="0"/>
        <v>Year 1</v>
      </c>
      <c r="C192" s="654">
        <f>C191+1</f>
        <v>1</v>
      </c>
      <c r="D192" s="430">
        <f t="shared" si="1"/>
        <v>0</v>
      </c>
      <c r="F192" s="417"/>
    </row>
    <row r="193" spans="2:6" ht="15" customHeight="1">
      <c r="B193" s="452" t="str">
        <f t="shared" si="0"/>
        <v>Year 2</v>
      </c>
      <c r="C193" s="654">
        <f>C192+1</f>
        <v>2</v>
      </c>
      <c r="D193" s="430">
        <f t="shared" si="1"/>
        <v>0</v>
      </c>
      <c r="F193" s="417"/>
    </row>
    <row r="194" spans="2:6" ht="15" customHeight="1">
      <c r="B194" s="452" t="str">
        <f t="shared" si="0"/>
        <v>Year 3</v>
      </c>
      <c r="C194" s="654">
        <f>C193+1</f>
        <v>3</v>
      </c>
      <c r="D194" s="430">
        <f t="shared" si="1"/>
        <v>-500</v>
      </c>
      <c r="F194" s="417"/>
    </row>
    <row r="195" spans="2:6" ht="15" customHeight="1">
      <c r="B195" s="452" t="str">
        <f t="shared" si="0"/>
        <v>Year 4</v>
      </c>
      <c r="C195" s="654">
        <f>C194+1</f>
        <v>4</v>
      </c>
      <c r="D195" s="430">
        <f t="shared" si="1"/>
        <v>0</v>
      </c>
      <c r="F195" s="417"/>
    </row>
    <row r="196" spans="2:6" ht="15" customHeight="1">
      <c r="B196" s="452" t="str">
        <f t="shared" si="0"/>
        <v>Year 5</v>
      </c>
      <c r="C196" s="654">
        <f>C195+1</f>
        <v>5</v>
      </c>
      <c r="D196" s="430">
        <f t="shared" si="1"/>
        <v>13980.189077288132</v>
      </c>
      <c r="F196" s="417"/>
    </row>
    <row r="198" spans="2:6" ht="15" customHeight="1">
      <c r="B198" s="454" t="s">
        <v>2297</v>
      </c>
      <c r="C198" s="623" t="s">
        <v>1242</v>
      </c>
      <c r="D198" s="623" t="s">
        <v>2277</v>
      </c>
    </row>
    <row r="199" spans="2:6" ht="15" customHeight="1">
      <c r="B199" s="452" t="str">
        <f t="shared" ref="B199:B204" si="2">"Year "&amp;C199</f>
        <v>Year 0</v>
      </c>
      <c r="C199" s="655">
        <v>0</v>
      </c>
      <c r="D199" s="431">
        <f t="shared" ref="D199:D204" si="3">IF(C199=0,$C$174-$C$173,0)+IF(C199=$C$45,$C$57,0)+IF(C199=$C$7,$D$78,0)</f>
        <v>-2500</v>
      </c>
      <c r="F199" s="613" t="s">
        <v>2672</v>
      </c>
    </row>
    <row r="200" spans="2:6" ht="15" customHeight="1">
      <c r="B200" s="452" t="str">
        <f t="shared" si="2"/>
        <v>Year 1</v>
      </c>
      <c r="C200" s="654">
        <f>C199+1</f>
        <v>1</v>
      </c>
      <c r="D200" s="430">
        <f t="shared" si="3"/>
        <v>0</v>
      </c>
    </row>
    <row r="201" spans="2:6" ht="15" customHeight="1">
      <c r="B201" s="452" t="str">
        <f t="shared" si="2"/>
        <v>Year 2</v>
      </c>
      <c r="C201" s="654">
        <f>C200+1</f>
        <v>2</v>
      </c>
      <c r="D201" s="430">
        <f t="shared" si="3"/>
        <v>0</v>
      </c>
    </row>
    <row r="202" spans="2:6" ht="15" customHeight="1">
      <c r="B202" s="452" t="str">
        <f t="shared" si="2"/>
        <v>Year 3</v>
      </c>
      <c r="C202" s="654">
        <f>C201+1</f>
        <v>3</v>
      </c>
      <c r="D202" s="430">
        <f t="shared" si="3"/>
        <v>500</v>
      </c>
    </row>
    <row r="203" spans="2:6" ht="15" customHeight="1">
      <c r="B203" s="452" t="str">
        <f t="shared" si="2"/>
        <v>Year 4</v>
      </c>
      <c r="C203" s="654">
        <f>C202+1</f>
        <v>4</v>
      </c>
      <c r="D203" s="430">
        <f t="shared" si="3"/>
        <v>0</v>
      </c>
    </row>
    <row r="204" spans="2:6" ht="15" customHeight="1">
      <c r="B204" s="452" t="str">
        <f t="shared" si="2"/>
        <v>Year 5</v>
      </c>
      <c r="C204" s="654">
        <f>C203+1</f>
        <v>5</v>
      </c>
      <c r="D204" s="430">
        <f t="shared" si="3"/>
        <v>7333.2471849369504</v>
      </c>
    </row>
  </sheetData>
  <conditionalFormatting sqref="B6:D61 B63:D68 B70:D73 B75:D82 B84:D90 B92:D101 B103:D108 B110:D115 B117:D123 B125:D131 B133:D138 B140:D149 B151:D156 B158:D163 B165:D170">
    <cfRule type="expression" dxfId="79" priority="3">
      <formula>$H$3=1</formula>
    </cfRule>
  </conditionalFormatting>
  <conditionalFormatting sqref="D91">
    <cfRule type="expression" dxfId="78" priority="2">
      <formula>$H$3=1</formula>
    </cfRule>
  </conditionalFormatting>
  <conditionalFormatting sqref="D124">
    <cfRule type="expression" dxfId="77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2" min="1" max="3" man="1"/>
    <brk id="115" min="1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59"/>
  <sheetViews>
    <sheetView showGridLines="0" view="pageBreakPreview" zoomScaleNormal="100" zoomScaleSheetLayoutView="100" workbookViewId="0">
      <selection activeCell="L47" sqref="L47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2181</v>
      </c>
      <c r="C3" s="569"/>
      <c r="D3" s="569"/>
      <c r="E3" s="542"/>
      <c r="G3" s="542" t="s">
        <v>276</v>
      </c>
      <c r="H3" s="604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2082</v>
      </c>
      <c r="C5" s="371" t="s">
        <v>1197</v>
      </c>
      <c r="D5" s="542"/>
      <c r="E5" s="542"/>
      <c r="F5" s="370" t="s">
        <v>2105</v>
      </c>
      <c r="G5" s="2"/>
    </row>
    <row r="6" spans="1:8">
      <c r="A6" s="542"/>
      <c r="B6" s="570" t="s">
        <v>2078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2169</v>
      </c>
      <c r="C7" s="702">
        <f>'Offer Comparison'!$C$17</f>
        <v>0.3</v>
      </c>
      <c r="D7" s="542"/>
      <c r="E7" s="542"/>
      <c r="F7" s="542" t="s">
        <v>2673</v>
      </c>
    </row>
    <row r="8" spans="1:8" s="2" customFormat="1" ht="14.25">
      <c r="A8" s="542"/>
      <c r="B8" s="542" t="s">
        <v>2327</v>
      </c>
      <c r="C8" s="702">
        <f>'Offer Comparison'!$C$8</f>
        <v>0.05</v>
      </c>
      <c r="D8" s="542"/>
      <c r="E8" s="542"/>
      <c r="F8" s="542" t="s">
        <v>2674</v>
      </c>
    </row>
    <row r="9" spans="1:8" s="2" customFormat="1" ht="14.25">
      <c r="A9" s="542"/>
      <c r="B9" s="542" t="s">
        <v>2059</v>
      </c>
      <c r="C9" s="701">
        <f>'Offer Comparison'!$C$7</f>
        <v>5</v>
      </c>
      <c r="D9" s="542"/>
      <c r="E9" s="542"/>
      <c r="F9" s="542" t="s">
        <v>2675</v>
      </c>
    </row>
    <row r="10" spans="1:8" s="2" customFormat="1" ht="14.25">
      <c r="A10" s="542"/>
      <c r="B10" s="542" t="s">
        <v>2099</v>
      </c>
      <c r="C10" s="703">
        <f>'Offer Comparison'!$C$18</f>
        <v>261</v>
      </c>
      <c r="D10" s="542"/>
      <c r="E10" s="542"/>
      <c r="F10" s="85" t="s">
        <v>2676</v>
      </c>
    </row>
    <row r="11" spans="1:8" s="2" customFormat="1" ht="14.25">
      <c r="A11" s="542"/>
      <c r="B11" s="542" t="s">
        <v>2090</v>
      </c>
      <c r="C11" s="607">
        <f>C10*12</f>
        <v>3132</v>
      </c>
      <c r="D11" s="542"/>
      <c r="E11" s="542"/>
      <c r="F11" s="85"/>
    </row>
    <row r="12" spans="1:8" s="2" customFormat="1" ht="14.25">
      <c r="A12" s="542"/>
      <c r="B12" s="542" t="s">
        <v>2088</v>
      </c>
      <c r="C12" s="608">
        <f>IFERROR(C191/C11,0)</f>
        <v>19.157088122605366</v>
      </c>
      <c r="D12" s="542"/>
      <c r="E12" s="542"/>
      <c r="F12" s="542" t="s">
        <v>2677</v>
      </c>
    </row>
    <row r="13" spans="1:8" s="2" customFormat="1" ht="14.25">
      <c r="A13" s="542"/>
      <c r="B13" s="542" t="s">
        <v>2089</v>
      </c>
      <c r="C13" s="609">
        <f>C12</f>
        <v>19.157088122605366</v>
      </c>
      <c r="D13" s="542"/>
      <c r="E13" s="542"/>
      <c r="F13" s="542" t="s">
        <v>2634</v>
      </c>
    </row>
    <row r="14" spans="1:8" s="2" customFormat="1" ht="14.25">
      <c r="A14" s="542"/>
      <c r="B14" s="542" t="s">
        <v>2100</v>
      </c>
      <c r="C14" s="53">
        <f>'Offer Comparison'!$C$19</f>
        <v>325</v>
      </c>
      <c r="D14" s="542"/>
      <c r="E14" s="542"/>
      <c r="F14" s="85" t="s">
        <v>2678</v>
      </c>
    </row>
    <row r="15" spans="1:8" s="2" customFormat="1" ht="14.25">
      <c r="A15" s="542"/>
      <c r="B15" s="542" t="s">
        <v>2080</v>
      </c>
      <c r="C15" s="610">
        <f>C11/C14</f>
        <v>9.6369230769230771</v>
      </c>
      <c r="D15" s="542"/>
      <c r="E15" s="542"/>
      <c r="F15" s="542"/>
    </row>
    <row r="16" spans="1:8" s="2" customFormat="1" ht="14.25">
      <c r="A16" s="542"/>
      <c r="B16" s="542" t="s">
        <v>2081</v>
      </c>
      <c r="C16" s="53">
        <f>'Offer Comparison'!$C$20</f>
        <v>130</v>
      </c>
      <c r="D16" s="542"/>
      <c r="E16" s="542"/>
      <c r="F16" s="85" t="s">
        <v>2679</v>
      </c>
    </row>
    <row r="17" spans="1:7" s="2" customFormat="1" ht="14.25">
      <c r="A17" s="542"/>
      <c r="B17" s="577" t="s">
        <v>2085</v>
      </c>
      <c r="C17" s="594">
        <f>C16*$C$9</f>
        <v>650</v>
      </c>
      <c r="D17" s="542"/>
      <c r="E17" s="542"/>
      <c r="F17" s="542"/>
    </row>
    <row r="18" spans="1:7" s="2" customFormat="1" ht="14.25">
      <c r="A18" s="542"/>
      <c r="B18" s="588" t="s">
        <v>2087</v>
      </c>
      <c r="C18" s="591">
        <f>C17*C15</f>
        <v>6264</v>
      </c>
      <c r="D18" s="542"/>
      <c r="E18" s="542"/>
      <c r="F18" s="542"/>
    </row>
    <row r="19" spans="1:7" s="2" customFormat="1" ht="14.25">
      <c r="A19" s="542"/>
      <c r="B19" s="592" t="str">
        <f>"Check - "&amp;$C$9&amp;" Year Topkey Valuation Growth"</f>
        <v>Check - 5 Year Topkey Valuation Growth</v>
      </c>
      <c r="C19" s="677">
        <f>IFERROR(D81/C81-1,0)</f>
        <v>2.0219039595619215</v>
      </c>
      <c r="D19" s="542"/>
      <c r="E19" s="542"/>
      <c r="F19" s="542" t="s">
        <v>2680</v>
      </c>
    </row>
    <row r="20" spans="1:7" ht="3.95" customHeight="1">
      <c r="A20" s="542"/>
      <c r="B20" s="542"/>
      <c r="C20" s="576"/>
      <c r="D20" s="542"/>
      <c r="E20" s="542"/>
      <c r="F20" s="542"/>
      <c r="G20" s="2"/>
    </row>
    <row r="21" spans="1:7">
      <c r="A21" s="542"/>
      <c r="B21" s="570" t="s">
        <v>2083</v>
      </c>
      <c r="C21" s="570"/>
      <c r="D21" s="542"/>
      <c r="E21" s="542"/>
      <c r="F21" s="542"/>
      <c r="G21" s="2"/>
    </row>
    <row r="22" spans="1:7" ht="15" customHeight="1">
      <c r="A22" s="542"/>
      <c r="B22" s="542" t="s">
        <v>2029</v>
      </c>
      <c r="C22" s="722">
        <f>'Offer Comparison'!$C$13</f>
        <v>1</v>
      </c>
      <c r="D22" s="542"/>
      <c r="E22" s="542"/>
      <c r="F22" s="542" t="s">
        <v>2681</v>
      </c>
      <c r="G22" s="2"/>
    </row>
    <row r="23" spans="1:7" ht="15" customHeight="1">
      <c r="A23" s="542"/>
      <c r="B23" s="542" t="s">
        <v>2111</v>
      </c>
      <c r="C23" s="722">
        <f>'Offer Comparison'!$C$14</f>
        <v>1.25</v>
      </c>
      <c r="D23" s="542"/>
      <c r="E23" s="542"/>
      <c r="F23" s="542" t="s">
        <v>2682</v>
      </c>
      <c r="G23" s="2"/>
    </row>
    <row r="24" spans="1:7">
      <c r="A24" s="542"/>
      <c r="B24" s="542" t="s">
        <v>2075</v>
      </c>
      <c r="C24" s="582">
        <f>'Offer Comparison'!$C$22</f>
        <v>16.631472994350275</v>
      </c>
      <c r="D24" s="2"/>
      <c r="E24" s="542"/>
      <c r="F24" s="542" t="s">
        <v>2683</v>
      </c>
      <c r="G24" s="2"/>
    </row>
    <row r="25" spans="1:7">
      <c r="A25" s="542"/>
      <c r="B25" s="542" t="s">
        <v>2123</v>
      </c>
      <c r="C25" s="385">
        <f>'Offer Comparison'!$C$23</f>
        <v>3</v>
      </c>
      <c r="D25" s="2"/>
      <c r="E25" s="542"/>
      <c r="F25" s="542" t="s">
        <v>2684</v>
      </c>
      <c r="G25" s="2"/>
    </row>
    <row r="26" spans="1:7">
      <c r="A26" s="542"/>
      <c r="B26" s="577" t="s">
        <v>2074</v>
      </c>
      <c r="C26" s="614">
        <f>C25*12</f>
        <v>36</v>
      </c>
      <c r="D26" s="542"/>
      <c r="E26" s="542"/>
      <c r="F26" s="542" t="s">
        <v>2124</v>
      </c>
      <c r="G26" s="2"/>
    </row>
    <row r="27" spans="1:7">
      <c r="A27" s="542"/>
      <c r="B27" s="588" t="s">
        <v>2085</v>
      </c>
      <c r="C27" s="589">
        <f>C26*$C$9</f>
        <v>180</v>
      </c>
      <c r="D27" s="542"/>
      <c r="E27" s="542"/>
      <c r="F27" s="542"/>
      <c r="G27" s="2"/>
    </row>
    <row r="28" spans="1:7">
      <c r="A28" s="542"/>
      <c r="B28" s="587" t="s">
        <v>2087</v>
      </c>
      <c r="C28" s="590">
        <f>C27*C24</f>
        <v>2993.6651389830495</v>
      </c>
      <c r="D28" s="542"/>
      <c r="E28" s="542"/>
      <c r="F28" s="542"/>
      <c r="G28" s="2"/>
    </row>
    <row r="29" spans="1:7" ht="3.95" customHeight="1">
      <c r="A29" s="542"/>
      <c r="B29" s="2"/>
      <c r="C29" s="2"/>
      <c r="D29" s="542"/>
      <c r="E29" s="542"/>
      <c r="F29" s="542"/>
      <c r="G29" s="2"/>
    </row>
    <row r="30" spans="1:7" ht="12.75" customHeight="1">
      <c r="A30" s="542"/>
      <c r="B30" s="570" t="s">
        <v>2084</v>
      </c>
      <c r="C30" s="570"/>
      <c r="D30" s="542"/>
      <c r="E30" s="542"/>
      <c r="F30" s="542"/>
      <c r="G30" s="2"/>
    </row>
    <row r="31" spans="1:7" ht="12.75" customHeight="1">
      <c r="A31" s="542"/>
      <c r="B31" s="542" t="s">
        <v>2079</v>
      </c>
      <c r="C31" s="722">
        <f>'Offer Comparison'!$C$15</f>
        <v>2</v>
      </c>
      <c r="D31" s="542"/>
      <c r="E31" s="542"/>
      <c r="F31" s="542" t="s">
        <v>2685</v>
      </c>
      <c r="G31" s="2"/>
    </row>
    <row r="32" spans="1:7" ht="12.75" customHeight="1">
      <c r="A32" s="542"/>
      <c r="B32" s="542" t="s">
        <v>2101</v>
      </c>
      <c r="C32" s="47">
        <f>'Offer Comparison'!$C$25</f>
        <v>240</v>
      </c>
      <c r="D32" s="542"/>
      <c r="E32" s="542"/>
      <c r="F32" s="542" t="s">
        <v>2686</v>
      </c>
      <c r="G32" s="2"/>
    </row>
    <row r="33" spans="1:7" ht="3.95" customHeight="1">
      <c r="A33" s="542"/>
      <c r="B33" s="542"/>
      <c r="C33" s="583"/>
      <c r="D33" s="542"/>
      <c r="E33" s="542"/>
      <c r="F33" s="542"/>
      <c r="G33" s="2"/>
    </row>
    <row r="34" spans="1:7" s="584" customFormat="1" ht="12.75" customHeight="1">
      <c r="A34" s="542"/>
      <c r="B34" s="613" t="str">
        <f>+B24</f>
        <v>Avg. Revenue Per Client</v>
      </c>
      <c r="C34" s="585">
        <f>+C24</f>
        <v>16.631472994350275</v>
      </c>
      <c r="D34" s="542"/>
      <c r="E34" s="542"/>
      <c r="F34" s="542"/>
      <c r="G34" s="613"/>
    </row>
    <row r="35" spans="1:7" s="584" customFormat="1" ht="12.75" customHeight="1">
      <c r="A35" s="542"/>
      <c r="B35" s="615" t="s">
        <v>2234</v>
      </c>
      <c r="C35" s="582">
        <f>'Offer Comparison'!$C$26</f>
        <v>0</v>
      </c>
      <c r="D35" s="542"/>
      <c r="E35" s="542"/>
      <c r="F35" s="542" t="s">
        <v>2687</v>
      </c>
      <c r="G35" s="613"/>
    </row>
    <row r="36" spans="1:7" s="584" customFormat="1" ht="12.75" customHeight="1">
      <c r="A36" s="542"/>
      <c r="B36" s="60" t="s">
        <v>2077</v>
      </c>
      <c r="C36" s="383">
        <f>+C34+C35</f>
        <v>16.631472994350275</v>
      </c>
      <c r="D36" s="542"/>
      <c r="E36" s="542"/>
      <c r="F36" s="542"/>
      <c r="G36" s="613"/>
    </row>
    <row r="37" spans="1:7" s="584" customFormat="1" ht="3.95" customHeight="1">
      <c r="A37" s="542"/>
      <c r="B37" s="613"/>
      <c r="C37" s="613"/>
      <c r="D37" s="542"/>
      <c r="E37" s="542"/>
      <c r="F37" s="542"/>
      <c r="G37" s="613"/>
    </row>
    <row r="38" spans="1:7" s="584" customFormat="1" ht="12.75" customHeight="1">
      <c r="A38" s="542"/>
      <c r="B38" s="613" t="str">
        <f>+B26</f>
        <v>Annual Net Client Wins</v>
      </c>
      <c r="C38" s="83">
        <f>+C26</f>
        <v>36</v>
      </c>
      <c r="D38" s="542"/>
      <c r="E38" s="542"/>
      <c r="F38" s="542"/>
      <c r="G38" s="613"/>
    </row>
    <row r="39" spans="1:7" s="584" customFormat="1" ht="12.75" customHeight="1">
      <c r="A39" s="542"/>
      <c r="B39" s="615" t="s">
        <v>2076</v>
      </c>
      <c r="C39" s="53">
        <f>'Offer Comparison'!$C$27</f>
        <v>12</v>
      </c>
      <c r="D39" s="542"/>
      <c r="E39" s="542"/>
      <c r="F39" s="85" t="s">
        <v>2688</v>
      </c>
      <c r="G39" s="613"/>
    </row>
    <row r="40" spans="1:7" s="584" customFormat="1" ht="12.75" customHeight="1">
      <c r="A40" s="542"/>
      <c r="B40" s="104" t="s">
        <v>2086</v>
      </c>
      <c r="C40" s="586">
        <f>SUM(C38:C39)</f>
        <v>48</v>
      </c>
      <c r="D40" s="542"/>
      <c r="E40" s="542"/>
      <c r="F40" s="542"/>
      <c r="G40" s="613"/>
    </row>
    <row r="41" spans="1:7">
      <c r="A41" s="542"/>
      <c r="B41" s="588" t="s">
        <v>2085</v>
      </c>
      <c r="C41" s="589">
        <f>C40*$C$9</f>
        <v>240</v>
      </c>
      <c r="D41" s="542"/>
      <c r="E41" s="542"/>
      <c r="F41" s="542"/>
      <c r="G41" s="2"/>
    </row>
    <row r="42" spans="1:7">
      <c r="A42" s="542"/>
      <c r="B42" s="588" t="s">
        <v>2087</v>
      </c>
      <c r="C42" s="591">
        <f>C41*C36</f>
        <v>3991.5535186440661</v>
      </c>
      <c r="D42" s="542"/>
      <c r="E42" s="542"/>
      <c r="F42" s="542"/>
      <c r="G42" s="2"/>
    </row>
    <row r="43" spans="1:7">
      <c r="A43" s="542"/>
      <c r="B43" s="592" t="s">
        <v>2091</v>
      </c>
      <c r="C43" s="593">
        <f>C42-C28</f>
        <v>997.88837966101664</v>
      </c>
      <c r="D43" s="542"/>
      <c r="E43" s="542"/>
      <c r="F43" s="542"/>
      <c r="G43" s="2"/>
    </row>
    <row r="44" spans="1:7" ht="3.95" customHeight="1">
      <c r="A44" s="542"/>
      <c r="B44" s="452"/>
      <c r="C44" s="430"/>
      <c r="D44" s="452"/>
      <c r="E44" s="542"/>
      <c r="F44" s="452"/>
      <c r="G44" s="2"/>
    </row>
    <row r="45" spans="1:7" ht="15" customHeight="1">
      <c r="A45" s="542"/>
      <c r="B45" s="570" t="s">
        <v>2300</v>
      </c>
      <c r="C45" s="570"/>
      <c r="D45" s="542"/>
      <c r="F45" s="452"/>
      <c r="G45" s="2"/>
    </row>
    <row r="46" spans="1:7" ht="15" customHeight="1">
      <c r="A46" s="542"/>
      <c r="B46" s="452" t="s">
        <v>2256</v>
      </c>
      <c r="C46" s="435">
        <v>3</v>
      </c>
      <c r="D46" s="452"/>
      <c r="F46" s="452" t="s">
        <v>2689</v>
      </c>
      <c r="G46" s="2"/>
    </row>
    <row r="47" spans="1:7" ht="15" customHeight="1">
      <c r="A47" s="542"/>
      <c r="B47" s="452" t="s">
        <v>2257</v>
      </c>
      <c r="C47" s="429">
        <f>C184</f>
        <v>2998.5410200000001</v>
      </c>
      <c r="D47" s="452"/>
      <c r="F47" s="452" t="s">
        <v>2690</v>
      </c>
      <c r="G47" s="2"/>
    </row>
    <row r="48" spans="1:7" ht="15" customHeight="1">
      <c r="A48" s="542"/>
      <c r="B48" s="452" t="s">
        <v>2313</v>
      </c>
      <c r="C48" s="430">
        <f>C47+C42*(C46-(C57-1)/2/12)/C9</f>
        <v>5326.9472392090383</v>
      </c>
      <c r="D48" s="452"/>
      <c r="F48" s="452" t="s">
        <v>2314</v>
      </c>
      <c r="G48" s="2"/>
    </row>
    <row r="49" spans="1:7" ht="15" customHeight="1">
      <c r="A49" s="542"/>
      <c r="B49" s="560" t="s">
        <v>2258</v>
      </c>
      <c r="C49" s="634">
        <v>1</v>
      </c>
      <c r="D49" s="452"/>
      <c r="F49" s="452" t="s">
        <v>2264</v>
      </c>
      <c r="G49" s="2"/>
    </row>
    <row r="50" spans="1:7" ht="15" customHeight="1">
      <c r="A50" s="542"/>
      <c r="B50" s="658" t="s">
        <v>2315</v>
      </c>
      <c r="C50" s="662">
        <f>C48*C49</f>
        <v>5326.9472392090383</v>
      </c>
      <c r="D50" s="452"/>
      <c r="F50" s="452"/>
      <c r="G50" s="2"/>
    </row>
    <row r="51" spans="1:7" ht="15" customHeight="1">
      <c r="A51" s="542"/>
      <c r="B51" s="452" t="s">
        <v>2259</v>
      </c>
      <c r="C51" s="634">
        <v>0.8</v>
      </c>
      <c r="D51" s="452"/>
      <c r="F51" s="452" t="s">
        <v>2306</v>
      </c>
      <c r="G51" s="2"/>
    </row>
    <row r="52" spans="1:7" ht="15" customHeight="1">
      <c r="A52" s="542"/>
      <c r="B52" s="452" t="s">
        <v>2301</v>
      </c>
      <c r="C52" s="46">
        <v>0</v>
      </c>
      <c r="D52" s="452"/>
      <c r="F52" s="452" t="s">
        <v>2318</v>
      </c>
      <c r="G52" s="2"/>
    </row>
    <row r="53" spans="1:7" ht="15" customHeight="1">
      <c r="A53" s="542"/>
      <c r="B53" s="452" t="s">
        <v>2302</v>
      </c>
      <c r="C53" s="619">
        <v>0.5</v>
      </c>
      <c r="D53" s="452"/>
      <c r="F53" s="452" t="s">
        <v>2308</v>
      </c>
      <c r="G53" s="2"/>
    </row>
    <row r="54" spans="1:7" ht="15" customHeight="1">
      <c r="A54" s="542"/>
      <c r="B54" s="452" t="s">
        <v>2303</v>
      </c>
      <c r="C54" s="619">
        <v>1.5</v>
      </c>
      <c r="D54" s="452"/>
      <c r="F54" s="452" t="s">
        <v>2648</v>
      </c>
      <c r="G54" s="2"/>
    </row>
    <row r="55" spans="1:7" ht="15" customHeight="1">
      <c r="A55" s="542"/>
      <c r="B55" s="452" t="s">
        <v>2304</v>
      </c>
      <c r="C55" s="617">
        <f>IF(C49&lt;C51,0,MIN(C54,C53+(1-C53)*(C49-C51)/(1-C51)))</f>
        <v>1</v>
      </c>
      <c r="D55" s="452"/>
      <c r="F55" s="452" t="s">
        <v>2309</v>
      </c>
      <c r="G55" s="2"/>
    </row>
    <row r="56" spans="1:7" ht="15" customHeight="1">
      <c r="A56" s="542"/>
      <c r="B56" s="452" t="s">
        <v>2305</v>
      </c>
      <c r="C56" s="154">
        <f>C52*C54</f>
        <v>0</v>
      </c>
      <c r="D56" s="452"/>
      <c r="F56" s="452" t="s">
        <v>2310</v>
      </c>
      <c r="G56" s="2"/>
    </row>
    <row r="57" spans="1:7" ht="15" customHeight="1">
      <c r="A57" s="542"/>
      <c r="B57" s="542" t="s">
        <v>2311</v>
      </c>
      <c r="C57" s="82">
        <v>3</v>
      </c>
      <c r="D57" s="452"/>
      <c r="F57" s="452" t="s">
        <v>2312</v>
      </c>
      <c r="G57" s="2"/>
    </row>
    <row r="58" spans="1:7" ht="15" customHeight="1">
      <c r="A58" s="542"/>
      <c r="B58" s="521" t="s">
        <v>2260</v>
      </c>
      <c r="C58" s="527">
        <f>C52*C55</f>
        <v>0</v>
      </c>
      <c r="D58" s="453"/>
      <c r="F58" s="452" t="s">
        <v>2691</v>
      </c>
      <c r="G58" s="2"/>
    </row>
    <row r="59" spans="1:7" ht="15" customHeight="1">
      <c r="A59" s="542"/>
      <c r="B59" s="452" t="s">
        <v>2261</v>
      </c>
      <c r="C59" s="634">
        <v>0.7</v>
      </c>
      <c r="D59" s="452"/>
      <c r="F59" s="452" t="s">
        <v>2265</v>
      </c>
      <c r="G59" s="2"/>
    </row>
    <row r="60" spans="1:7" ht="15" customHeight="1">
      <c r="A60" s="542"/>
      <c r="B60" s="452" t="s">
        <v>2262</v>
      </c>
      <c r="C60" s="529">
        <v>0.15</v>
      </c>
      <c r="D60" s="452"/>
      <c r="F60" s="452" t="s">
        <v>2265</v>
      </c>
      <c r="G60" s="2"/>
    </row>
    <row r="61" spans="1:7" ht="15" customHeight="1">
      <c r="A61" s="542"/>
      <c r="B61" s="415" t="s">
        <v>2263</v>
      </c>
      <c r="C61" s="653">
        <f>C58*C59/(1+C60)^C46</f>
        <v>0</v>
      </c>
      <c r="D61" s="415"/>
      <c r="F61" s="452" t="s">
        <v>2266</v>
      </c>
      <c r="G61" s="2"/>
    </row>
    <row r="62" spans="1:7" s="584" customFormat="1" ht="3.95" customHeight="1">
      <c r="A62" s="542"/>
      <c r="B62" s="613"/>
      <c r="C62" s="613"/>
      <c r="D62" s="542"/>
      <c r="E62" s="542"/>
      <c r="F62" s="452"/>
      <c r="G62" s="613"/>
    </row>
    <row r="63" spans="1:7" s="584" customFormat="1" ht="15" customHeight="1">
      <c r="A63" s="542"/>
      <c r="B63" s="454" t="s">
        <v>2353</v>
      </c>
      <c r="C63" s="455" t="str">
        <f>C$183</f>
        <v>Today</v>
      </c>
      <c r="D63" s="455" t="s">
        <v>1861</v>
      </c>
      <c r="E63" s="452"/>
      <c r="F63" s="452"/>
      <c r="G63" s="613"/>
    </row>
    <row r="64" spans="1:7" s="584" customFormat="1" ht="15" customHeight="1">
      <c r="A64" s="542"/>
      <c r="B64" s="452" t="s">
        <v>2057</v>
      </c>
      <c r="C64" s="429">
        <f>$C$189</f>
        <v>650</v>
      </c>
      <c r="D64" s="528">
        <f t="shared" ref="D64:D69" si="0">IFERROR(C64/C$67,0)</f>
        <v>0.21666666666666667</v>
      </c>
      <c r="E64" s="452"/>
      <c r="F64" s="452" t="s">
        <v>2519</v>
      </c>
      <c r="G64" s="613"/>
    </row>
    <row r="65" spans="1:7" s="584" customFormat="1" ht="15" customHeight="1">
      <c r="A65" s="542"/>
      <c r="B65" s="560" t="s">
        <v>2270</v>
      </c>
      <c r="C65" s="433">
        <f>$C$190</f>
        <v>1450</v>
      </c>
      <c r="D65" s="528">
        <f t="shared" si="0"/>
        <v>0.48333333333333334</v>
      </c>
      <c r="E65" s="452"/>
      <c r="F65" s="452" t="s">
        <v>2520</v>
      </c>
      <c r="G65" s="613"/>
    </row>
    <row r="66" spans="1:7" s="584" customFormat="1" ht="15" customHeight="1">
      <c r="A66" s="542"/>
      <c r="B66" s="560" t="s">
        <v>2521</v>
      </c>
      <c r="C66" s="430">
        <f>$C$185*$C$186</f>
        <v>900</v>
      </c>
      <c r="D66" s="528">
        <f t="shared" si="0"/>
        <v>0.3</v>
      </c>
      <c r="E66" s="452"/>
      <c r="F66" s="452" t="s">
        <v>2522</v>
      </c>
      <c r="G66" s="613"/>
    </row>
    <row r="67" spans="1:7" s="584" customFormat="1" ht="15" customHeight="1">
      <c r="A67" s="542"/>
      <c r="B67" s="774" t="s">
        <v>2509</v>
      </c>
      <c r="C67" s="441">
        <f>SUM(C64:C66)</f>
        <v>3000</v>
      </c>
      <c r="D67" s="775">
        <f t="shared" si="0"/>
        <v>1</v>
      </c>
      <c r="E67" s="452"/>
      <c r="F67" s="452" t="s">
        <v>2523</v>
      </c>
      <c r="G67" s="613"/>
    </row>
    <row r="68" spans="1:7" s="584" customFormat="1" ht="15" customHeight="1">
      <c r="A68" s="542"/>
      <c r="B68" s="560" t="s">
        <v>2510</v>
      </c>
      <c r="C68" s="433">
        <f>$C$58</f>
        <v>0</v>
      </c>
      <c r="D68" s="528">
        <f t="shared" si="0"/>
        <v>0</v>
      </c>
      <c r="E68" s="452"/>
      <c r="F68" s="452" t="s">
        <v>2524</v>
      </c>
      <c r="G68" s="613"/>
    </row>
    <row r="69" spans="1:7" s="584" customFormat="1" ht="15" customHeight="1">
      <c r="A69" s="542"/>
      <c r="B69" s="776" t="s">
        <v>2512</v>
      </c>
      <c r="C69" s="777">
        <f>C67+C68</f>
        <v>3000</v>
      </c>
      <c r="D69" s="778">
        <f t="shared" si="0"/>
        <v>1</v>
      </c>
      <c r="E69" s="452"/>
      <c r="F69" s="452"/>
      <c r="G69" s="613"/>
    </row>
    <row r="70" spans="1:7" s="584" customFormat="1" ht="3.95" customHeight="1">
      <c r="A70" s="542"/>
      <c r="B70" s="452"/>
      <c r="C70" s="452"/>
      <c r="D70" s="452"/>
      <c r="E70" s="452"/>
      <c r="F70" s="452"/>
      <c r="G70" s="613"/>
    </row>
    <row r="71" spans="1:7">
      <c r="A71" s="542"/>
      <c r="B71" s="370" t="s">
        <v>2004</v>
      </c>
      <c r="C71" s="371" t="str">
        <f>C$183</f>
        <v>Today</v>
      </c>
      <c r="D71" s="371" t="str">
        <f>"Year "&amp;$C$9</f>
        <v>Year 5</v>
      </c>
      <c r="E71" s="542"/>
      <c r="F71" s="452"/>
      <c r="G71" s="2"/>
    </row>
    <row r="72" spans="1:7">
      <c r="A72" s="542"/>
      <c r="B72" s="542" t="s">
        <v>2006</v>
      </c>
      <c r="C72" s="166">
        <f>ROUND(C184*C22,-1)</f>
        <v>3000</v>
      </c>
      <c r="D72" s="543">
        <f>(C184+C28)*$C$23</f>
        <v>7490.2576987288121</v>
      </c>
      <c r="E72" s="542"/>
      <c r="F72" s="452" t="s">
        <v>2651</v>
      </c>
      <c r="G72" s="2"/>
    </row>
    <row r="73" spans="1:7">
      <c r="A73" s="542"/>
      <c r="B73" s="542" t="s">
        <v>2007</v>
      </c>
      <c r="C73" s="571">
        <f>'Offer Overview'!$C$27</f>
        <v>1</v>
      </c>
      <c r="D73" s="544">
        <f>$C$73</f>
        <v>1</v>
      </c>
      <c r="E73" s="542"/>
      <c r="F73" s="452"/>
      <c r="G73" s="2"/>
    </row>
    <row r="74" spans="1:7">
      <c r="A74" s="542"/>
      <c r="B74" s="538" t="s">
        <v>2060</v>
      </c>
      <c r="C74" s="552">
        <f>C72*C73</f>
        <v>3000</v>
      </c>
      <c r="D74" s="595">
        <f>D72*D73</f>
        <v>7490.2576987288121</v>
      </c>
      <c r="E74" s="542"/>
      <c r="F74" s="452"/>
      <c r="G74" s="2"/>
    </row>
    <row r="75" spans="1:7" ht="3.95" customHeight="1">
      <c r="A75" s="542"/>
      <c r="B75" s="542"/>
      <c r="C75" s="542"/>
      <c r="D75" s="542"/>
      <c r="E75" s="542"/>
      <c r="F75" s="452"/>
      <c r="G75" s="2"/>
    </row>
    <row r="76" spans="1:7">
      <c r="A76" s="542"/>
      <c r="B76" s="370" t="str">
        <f>"Scenario 2 — Ben Rolls "&amp;TEXT($C$186,"0%")&amp;" of Keystone Equity"</f>
        <v>Scenario 2 — Ben Rolls 30% of Keystone Equity</v>
      </c>
      <c r="C76" s="605" t="str">
        <f>C$183</f>
        <v>Today</v>
      </c>
      <c r="D76" s="605" t="str">
        <f>D$71</f>
        <v>Year 5</v>
      </c>
      <c r="E76" s="542"/>
      <c r="F76" s="452"/>
      <c r="G76" s="2"/>
    </row>
    <row r="77" spans="1:7">
      <c r="A77" s="542"/>
      <c r="B77" s="452" t="s">
        <v>2182</v>
      </c>
      <c r="C77" s="429">
        <f>C185</f>
        <v>3000</v>
      </c>
      <c r="D77" s="431">
        <f>(C42+C184)*C31</f>
        <v>13980.189077288132</v>
      </c>
      <c r="E77" s="542"/>
      <c r="F77" s="452" t="s">
        <v>2692</v>
      </c>
      <c r="G77" s="2"/>
    </row>
    <row r="78" spans="1:7">
      <c r="A78" s="542"/>
      <c r="B78" s="560" t="s">
        <v>2183</v>
      </c>
      <c r="C78" s="636">
        <f>$C$186</f>
        <v>0.3</v>
      </c>
      <c r="D78" s="636">
        <f>$C$186</f>
        <v>0.3</v>
      </c>
      <c r="E78" s="542"/>
      <c r="F78" s="452"/>
      <c r="G78" s="2"/>
    </row>
    <row r="79" spans="1:7">
      <c r="A79" s="542"/>
      <c r="B79" s="521" t="s">
        <v>2008</v>
      </c>
      <c r="C79" s="525">
        <f>C77*C78</f>
        <v>900</v>
      </c>
      <c r="D79" s="527">
        <f>D77*D78</f>
        <v>4194.0567231864397</v>
      </c>
      <c r="E79" s="542"/>
      <c r="F79" s="430" t="s">
        <v>2693</v>
      </c>
      <c r="G79" s="2"/>
    </row>
    <row r="80" spans="1:7" ht="3.95" customHeight="1">
      <c r="A80" s="542"/>
      <c r="B80" s="452"/>
      <c r="C80" s="431"/>
      <c r="D80" s="431"/>
      <c r="E80" s="542"/>
      <c r="F80" s="430"/>
      <c r="G80" s="2"/>
    </row>
    <row r="81" spans="1:7">
      <c r="A81" s="542"/>
      <c r="B81" s="452" t="s">
        <v>2061</v>
      </c>
      <c r="C81" s="433">
        <f>C194</f>
        <v>59350</v>
      </c>
      <c r="D81" s="430">
        <f>(C11+C18)*C13-$C$189-$C$58</f>
        <v>179350.00000000003</v>
      </c>
      <c r="E81" s="542"/>
      <c r="F81" s="452"/>
      <c r="G81" s="2"/>
    </row>
    <row r="82" spans="1:7">
      <c r="A82" s="542"/>
      <c r="B82" s="560" t="s">
        <v>2185</v>
      </c>
      <c r="C82" s="430">
        <f>C77*$C$187</f>
        <v>2100</v>
      </c>
      <c r="D82" s="430">
        <f>D77*$C$187</f>
        <v>9786.1323541016918</v>
      </c>
      <c r="E82" s="542"/>
      <c r="F82" s="452" t="s">
        <v>2220</v>
      </c>
      <c r="G82" s="2"/>
    </row>
    <row r="83" spans="1:7">
      <c r="A83" s="542"/>
      <c r="B83" s="524" t="s">
        <v>2186</v>
      </c>
      <c r="C83" s="526">
        <f>C81+C82</f>
        <v>61450</v>
      </c>
      <c r="D83" s="526">
        <f>D81+D82</f>
        <v>189136.13235410172</v>
      </c>
      <c r="E83" s="542"/>
      <c r="F83" s="452"/>
      <c r="G83" s="2"/>
    </row>
    <row r="84" spans="1:7">
      <c r="A84" s="542"/>
      <c r="B84" s="560" t="s">
        <v>2187</v>
      </c>
      <c r="C84" s="530">
        <f>$C$193</f>
        <v>2.3596419853539462E-2</v>
      </c>
      <c r="D84" s="530">
        <f>$D$193</f>
        <v>2.2416598860862488E-2</v>
      </c>
      <c r="E84" s="542"/>
      <c r="F84" s="452"/>
      <c r="G84" s="2"/>
    </row>
    <row r="85" spans="1:7">
      <c r="A85" s="542"/>
      <c r="B85" s="521" t="s">
        <v>2064</v>
      </c>
      <c r="C85" s="525">
        <f>C83*C84</f>
        <v>1450</v>
      </c>
      <c r="D85" s="527">
        <f>D83*D84</f>
        <v>4239.7888090768938</v>
      </c>
      <c r="E85" s="542"/>
      <c r="F85" s="452" t="s">
        <v>2694</v>
      </c>
      <c r="G85" s="2"/>
    </row>
    <row r="86" spans="1:7" ht="15" customHeight="1">
      <c r="A86" s="542"/>
      <c r="B86" s="639" t="s">
        <v>2216</v>
      </c>
      <c r="C86" s="431"/>
      <c r="D86" s="431"/>
      <c r="E86" s="542"/>
      <c r="F86" s="452"/>
      <c r="G86" s="2"/>
    </row>
    <row r="87" spans="1:7" ht="15" customHeight="1">
      <c r="A87" s="542"/>
      <c r="B87" s="452" t="s">
        <v>2217</v>
      </c>
      <c r="C87" s="429">
        <f>C79</f>
        <v>900</v>
      </c>
      <c r="D87" s="429">
        <f>D79</f>
        <v>4194.0567231864397</v>
      </c>
      <c r="E87" s="542"/>
      <c r="F87" s="452" t="s">
        <v>2221</v>
      </c>
      <c r="G87" s="2"/>
    </row>
    <row r="88" spans="1:7" ht="15" customHeight="1">
      <c r="A88" s="542"/>
      <c r="B88" s="560" t="s">
        <v>2218</v>
      </c>
      <c r="C88" s="430">
        <f>C82*C84</f>
        <v>49.55248169243287</v>
      </c>
      <c r="D88" s="430">
        <f>D82*D84</f>
        <v>219.37180338120552</v>
      </c>
      <c r="E88" s="542"/>
      <c r="F88" s="452" t="s">
        <v>2192</v>
      </c>
      <c r="G88" s="2"/>
    </row>
    <row r="89" spans="1:7" ht="15" customHeight="1">
      <c r="A89" s="542"/>
      <c r="B89" s="560" t="s">
        <v>2219</v>
      </c>
      <c r="C89" s="430">
        <f>C81*C84</f>
        <v>1400.447518307567</v>
      </c>
      <c r="D89" s="430">
        <f>D81*D84</f>
        <v>4020.4170056956877</v>
      </c>
      <c r="E89" s="542"/>
      <c r="F89" s="452" t="s">
        <v>2222</v>
      </c>
      <c r="G89" s="2"/>
    </row>
    <row r="90" spans="1:7">
      <c r="A90" s="542"/>
      <c r="B90" s="560" t="s">
        <v>2065</v>
      </c>
      <c r="C90" s="433">
        <f>$C$189</f>
        <v>650</v>
      </c>
      <c r="D90" s="433">
        <f>$C$189</f>
        <v>650</v>
      </c>
      <c r="E90" s="542"/>
      <c r="F90" s="452"/>
      <c r="G90" s="2"/>
    </row>
    <row r="91" spans="1:7" ht="15" customHeight="1">
      <c r="A91" s="542"/>
      <c r="B91" s="560" t="s">
        <v>2267</v>
      </c>
      <c r="C91" s="430"/>
      <c r="D91" s="433">
        <f>$C$58</f>
        <v>0</v>
      </c>
      <c r="E91" s="542"/>
      <c r="F91" s="452"/>
      <c r="G91" s="2"/>
    </row>
    <row r="92" spans="1:7">
      <c r="A92" s="542"/>
      <c r="B92" s="521" t="s">
        <v>2066</v>
      </c>
      <c r="C92" s="525">
        <f>SUM(C87:C91)</f>
        <v>3000</v>
      </c>
      <c r="D92" s="527">
        <f>SUM(D87:D91)</f>
        <v>9083.8455322633326</v>
      </c>
      <c r="E92" s="542"/>
      <c r="F92" s="452" t="s">
        <v>2223</v>
      </c>
      <c r="G92" s="2"/>
    </row>
    <row r="93" spans="1:7" ht="3.95" customHeight="1">
      <c r="A93" s="542"/>
      <c r="B93" s="452"/>
      <c r="C93" s="452"/>
      <c r="D93" s="452"/>
      <c r="E93" s="542"/>
      <c r="F93" s="452"/>
      <c r="G93" s="2"/>
    </row>
    <row r="94" spans="1:7">
      <c r="A94" s="542"/>
      <c r="B94" s="370" t="s">
        <v>2072</v>
      </c>
      <c r="C94" s="605" t="str">
        <f>C$183</f>
        <v>Today</v>
      </c>
      <c r="D94" s="605" t="str">
        <f>D$71</f>
        <v>Year 5</v>
      </c>
      <c r="E94" s="542"/>
      <c r="F94" s="452"/>
      <c r="G94" s="2"/>
    </row>
    <row r="95" spans="1:7">
      <c r="A95" s="542"/>
      <c r="B95" s="625" t="s">
        <v>2073</v>
      </c>
      <c r="C95" s="631">
        <f>C92-C74</f>
        <v>0</v>
      </c>
      <c r="D95" s="626">
        <f>D92-D74</f>
        <v>1593.5878335345205</v>
      </c>
      <c r="E95" s="542"/>
      <c r="F95" s="452"/>
      <c r="G95" s="2"/>
    </row>
    <row r="96" spans="1:7">
      <c r="A96" s="542"/>
      <c r="B96" s="627" t="s">
        <v>285</v>
      </c>
      <c r="C96" s="640">
        <v>0</v>
      </c>
      <c r="D96" s="628">
        <f>IFERROR(D92/D74-1,0)</f>
        <v>0.21275474057521038</v>
      </c>
      <c r="E96" s="542"/>
      <c r="F96" s="452"/>
      <c r="G96" s="2"/>
    </row>
    <row r="97" spans="1:7" ht="15" customHeight="1">
      <c r="A97" s="542"/>
      <c r="B97" s="588" t="s">
        <v>2298</v>
      </c>
      <c r="C97" s="640"/>
      <c r="D97" s="642">
        <f>IFERROR(D92/C185,0)</f>
        <v>3.0279485107544444</v>
      </c>
      <c r="E97" s="542"/>
      <c r="F97" s="542" t="s">
        <v>2695</v>
      </c>
      <c r="G97" s="2"/>
    </row>
    <row r="98" spans="1:7" ht="15" customHeight="1">
      <c r="A98" s="542"/>
      <c r="B98" s="588" t="s">
        <v>2299</v>
      </c>
      <c r="C98" s="640"/>
      <c r="D98" s="660">
        <f>IFERROR(IRR(D227:D232),0)</f>
        <v>0.29119416880747639</v>
      </c>
      <c r="E98" s="542"/>
      <c r="F98" s="542" t="s">
        <v>2696</v>
      </c>
      <c r="G98" s="2"/>
    </row>
    <row r="99" spans="1:7">
      <c r="A99" s="542"/>
      <c r="B99" s="641" t="s">
        <v>2742</v>
      </c>
      <c r="C99" s="640">
        <v>0</v>
      </c>
      <c r="D99" s="661">
        <f>MAX(0,IFERROR(((C137+$C$58)/$C$194)^(1/$C$9)-1,0))</f>
        <v>0.12774199395700969</v>
      </c>
      <c r="E99" s="542"/>
      <c r="F99" s="452" t="s">
        <v>2746</v>
      </c>
      <c r="G99" s="2"/>
    </row>
    <row r="100" spans="1:7">
      <c r="A100" s="542"/>
      <c r="B100" s="643" t="s">
        <v>2743</v>
      </c>
      <c r="C100" s="644">
        <v>0</v>
      </c>
      <c r="D100" s="645">
        <f>IFERROR(((D81+$C$58)/$C$194)^(1/$C$9)-1,0)</f>
        <v>0.24754474605885002</v>
      </c>
      <c r="E100" s="542"/>
      <c r="F100" s="452"/>
      <c r="G100" s="2"/>
    </row>
    <row r="101" spans="1:7" ht="3.95" customHeight="1">
      <c r="A101" s="542"/>
      <c r="B101" s="542"/>
      <c r="C101" s="542"/>
      <c r="D101" s="542"/>
      <c r="E101" s="542"/>
      <c r="F101" s="452"/>
      <c r="G101" s="2"/>
    </row>
    <row r="102" spans="1:7" ht="15" customHeight="1">
      <c r="A102" s="542"/>
      <c r="B102" s="370" t="s">
        <v>2268</v>
      </c>
      <c r="C102" s="605" t="s">
        <v>1197</v>
      </c>
      <c r="D102" s="605"/>
      <c r="E102" s="542"/>
      <c r="F102" s="452"/>
      <c r="G102" s="2"/>
    </row>
    <row r="103" spans="1:7" ht="15" customHeight="1">
      <c r="A103" s="542"/>
      <c r="B103" s="452" t="s">
        <v>2269</v>
      </c>
      <c r="C103" s="429">
        <f>C189</f>
        <v>650</v>
      </c>
      <c r="D103" s="452"/>
      <c r="E103" s="542"/>
      <c r="F103" s="452" t="s">
        <v>2697</v>
      </c>
      <c r="G103" s="2"/>
    </row>
    <row r="104" spans="1:7" ht="15" customHeight="1">
      <c r="A104" s="542"/>
      <c r="B104" s="560" t="s">
        <v>2270</v>
      </c>
      <c r="C104" s="433">
        <f>C190</f>
        <v>1450</v>
      </c>
      <c r="D104" s="452"/>
      <c r="E104" s="542"/>
      <c r="F104" s="452" t="s">
        <v>2698</v>
      </c>
      <c r="G104" s="2"/>
    </row>
    <row r="105" spans="1:7" ht="15" customHeight="1">
      <c r="A105" s="542"/>
      <c r="B105" s="560" t="s">
        <v>2267</v>
      </c>
      <c r="C105" s="433">
        <f>C58</f>
        <v>0</v>
      </c>
      <c r="D105" s="452"/>
      <c r="E105" s="542"/>
      <c r="F105" s="452" t="s">
        <v>2699</v>
      </c>
      <c r="G105" s="2"/>
    </row>
    <row r="106" spans="1:7" ht="15" customHeight="1">
      <c r="A106" s="542"/>
      <c r="B106" s="524" t="s">
        <v>2271</v>
      </c>
      <c r="C106" s="526">
        <f>SUM(C103:C105)</f>
        <v>2100</v>
      </c>
      <c r="D106" s="453"/>
      <c r="E106" s="542"/>
      <c r="F106" s="452" t="s">
        <v>2279</v>
      </c>
      <c r="G106" s="2"/>
    </row>
    <row r="107" spans="1:7" ht="15" customHeight="1">
      <c r="A107" s="542"/>
      <c r="B107" s="560" t="s">
        <v>2272</v>
      </c>
      <c r="C107" s="636">
        <f>C187</f>
        <v>0.7</v>
      </c>
      <c r="D107" s="452"/>
      <c r="E107" s="542"/>
      <c r="F107" s="452" t="s">
        <v>2700</v>
      </c>
      <c r="G107" s="2"/>
    </row>
    <row r="108" spans="1:7" ht="15" customHeight="1">
      <c r="A108" s="542"/>
      <c r="B108" s="452" t="s">
        <v>2273</v>
      </c>
      <c r="C108" s="429">
        <f>D77</f>
        <v>13980.189077288132</v>
      </c>
      <c r="D108" s="452"/>
      <c r="E108" s="542"/>
      <c r="F108" s="452" t="s">
        <v>2701</v>
      </c>
      <c r="G108" s="2"/>
    </row>
    <row r="109" spans="1:7" ht="15" customHeight="1">
      <c r="A109" s="542"/>
      <c r="B109" s="625" t="s">
        <v>2274</v>
      </c>
      <c r="C109" s="626">
        <f>C107*C108</f>
        <v>9786.1323541016918</v>
      </c>
      <c r="D109" s="453"/>
      <c r="E109" s="542"/>
      <c r="F109" s="452" t="s">
        <v>2702</v>
      </c>
      <c r="G109" s="2"/>
    </row>
    <row r="110" spans="1:7" ht="15" customHeight="1">
      <c r="A110" s="542"/>
      <c r="B110" s="641" t="s">
        <v>2275</v>
      </c>
      <c r="C110" s="657">
        <f>IFERROR(C109/C106,0)</f>
        <v>4.6600630257627103</v>
      </c>
      <c r="D110" s="453"/>
      <c r="E110" s="542"/>
      <c r="F110" s="452" t="s">
        <v>2280</v>
      </c>
      <c r="G110" s="2"/>
    </row>
    <row r="111" spans="1:7" ht="15" customHeight="1">
      <c r="A111" s="542"/>
      <c r="B111" s="643" t="s">
        <v>2278</v>
      </c>
      <c r="C111" s="645">
        <f>IFERROR(IRR(D219:D224),0)</f>
        <v>0.36043675908506367</v>
      </c>
      <c r="D111" s="656"/>
      <c r="E111" s="542"/>
      <c r="F111" s="452" t="s">
        <v>2703</v>
      </c>
      <c r="G111" s="2"/>
    </row>
    <row r="112" spans="1:7" ht="3.95" customHeight="1">
      <c r="A112" s="542"/>
      <c r="B112" s="542"/>
      <c r="C112" s="542"/>
      <c r="D112" s="542"/>
      <c r="E112" s="542"/>
      <c r="F112" s="452"/>
      <c r="G112" s="2"/>
    </row>
    <row r="113" spans="1:7">
      <c r="A113" s="542"/>
      <c r="B113" s="536" t="s">
        <v>2114</v>
      </c>
      <c r="C113" s="535" t="str">
        <f>D$71</f>
        <v>Year 5</v>
      </c>
      <c r="D113" s="2"/>
      <c r="E113" s="542"/>
      <c r="F113" s="452"/>
      <c r="G113" s="2"/>
    </row>
    <row r="114" spans="1:7">
      <c r="A114" s="542"/>
      <c r="B114" s="613" t="s">
        <v>2112</v>
      </c>
      <c r="C114" s="543">
        <f>+C28+C184</f>
        <v>5992.20615898305</v>
      </c>
      <c r="D114" s="542"/>
      <c r="E114" s="542"/>
      <c r="F114" s="452"/>
      <c r="G114" s="2"/>
    </row>
    <row r="115" spans="1:7" s="584" customFormat="1" ht="12">
      <c r="A115" s="542"/>
      <c r="B115" s="615" t="s">
        <v>2094</v>
      </c>
      <c r="C115" s="612">
        <v>0.15</v>
      </c>
      <c r="D115" s="599"/>
      <c r="E115" s="542"/>
      <c r="F115" s="452" t="s">
        <v>2107</v>
      </c>
      <c r="G115" s="613"/>
    </row>
    <row r="116" spans="1:7" s="584" customFormat="1" ht="12">
      <c r="A116" s="542"/>
      <c r="B116" s="600" t="s">
        <v>2095</v>
      </c>
      <c r="C116" s="125">
        <f>C115*C114</f>
        <v>898.83092384745748</v>
      </c>
      <c r="D116" s="542"/>
      <c r="E116" s="542"/>
      <c r="F116" s="452"/>
      <c r="G116" s="613"/>
    </row>
    <row r="117" spans="1:7">
      <c r="A117" s="542"/>
      <c r="B117" s="613" t="s">
        <v>2093</v>
      </c>
      <c r="C117" s="83">
        <f>+D74</f>
        <v>7490.2576987288121</v>
      </c>
      <c r="D117" s="542"/>
      <c r="E117" s="542"/>
      <c r="F117" s="452"/>
      <c r="G117" s="2"/>
    </row>
    <row r="118" spans="1:7">
      <c r="A118" s="542"/>
      <c r="B118" s="60" t="s">
        <v>2096</v>
      </c>
      <c r="C118" s="601">
        <f>C117/C116</f>
        <v>8.3333333333333339</v>
      </c>
      <c r="D118" s="542"/>
      <c r="E118" s="542"/>
      <c r="F118" s="452"/>
      <c r="G118" s="2"/>
    </row>
    <row r="119" spans="1:7" ht="3.95" customHeight="1">
      <c r="A119" s="542"/>
      <c r="B119" s="214"/>
      <c r="C119" s="616"/>
      <c r="D119" s="542"/>
      <c r="E119" s="542"/>
      <c r="F119" s="452"/>
      <c r="G119" s="2"/>
    </row>
    <row r="120" spans="1:7">
      <c r="A120" s="542"/>
      <c r="B120" s="536" t="s">
        <v>2115</v>
      </c>
      <c r="C120" s="535" t="str">
        <f>D$71</f>
        <v>Year 5</v>
      </c>
      <c r="D120" s="2"/>
      <c r="E120" s="542"/>
      <c r="F120" s="452"/>
      <c r="G120" s="2"/>
    </row>
    <row r="121" spans="1:7">
      <c r="A121" s="542"/>
      <c r="B121" s="613" t="s">
        <v>2092</v>
      </c>
      <c r="C121" s="543">
        <f>+C42+C184</f>
        <v>6990.0945386440662</v>
      </c>
      <c r="D121" s="542"/>
      <c r="E121" s="542"/>
      <c r="F121" s="452"/>
      <c r="G121" s="2"/>
    </row>
    <row r="122" spans="1:7" s="584" customFormat="1" ht="15" customHeight="1">
      <c r="A122" s="542"/>
      <c r="B122" s="560" t="s">
        <v>2094</v>
      </c>
      <c r="C122" s="529">
        <v>0.2</v>
      </c>
      <c r="D122" s="452"/>
      <c r="E122" s="542"/>
      <c r="F122" s="452" t="s">
        <v>2255</v>
      </c>
      <c r="G122" s="613"/>
    </row>
    <row r="123" spans="1:7" s="584" customFormat="1" ht="15" customHeight="1">
      <c r="A123" s="542"/>
      <c r="B123" s="651" t="s">
        <v>2095</v>
      </c>
      <c r="C123" s="526">
        <f>C122*C121</f>
        <v>1398.0189077288132</v>
      </c>
      <c r="D123" s="453"/>
      <c r="E123" s="542"/>
      <c r="F123" s="452"/>
      <c r="G123" s="613"/>
    </row>
    <row r="124" spans="1:7" ht="15" customHeight="1">
      <c r="A124" s="542"/>
      <c r="B124" s="452" t="s">
        <v>2093</v>
      </c>
      <c r="C124" s="433">
        <f>D77</f>
        <v>13980.189077288132</v>
      </c>
      <c r="D124" s="452"/>
      <c r="E124" s="542"/>
      <c r="F124" s="452"/>
      <c r="G124" s="2"/>
    </row>
    <row r="125" spans="1:7" ht="15" customHeight="1">
      <c r="A125" s="542"/>
      <c r="B125" s="521" t="s">
        <v>2096</v>
      </c>
      <c r="C125" s="652">
        <f>IFERROR(C124/C123,0)</f>
        <v>10</v>
      </c>
      <c r="D125" s="453"/>
      <c r="E125" s="542"/>
      <c r="F125" s="452"/>
      <c r="G125" s="2"/>
    </row>
    <row r="126" spans="1:7" ht="3.95" customHeight="1">
      <c r="A126" s="542"/>
      <c r="B126" s="214"/>
      <c r="C126" s="616"/>
      <c r="D126" s="542"/>
      <c r="E126" s="542"/>
      <c r="F126" s="452"/>
      <c r="G126" s="2"/>
    </row>
    <row r="127" spans="1:7">
      <c r="A127" s="542"/>
      <c r="B127" s="454" t="s">
        <v>2163</v>
      </c>
      <c r="C127" s="623" t="str">
        <f>"Year "&amp;$C$9</f>
        <v>Year 5</v>
      </c>
      <c r="D127" s="623" t="s">
        <v>1861</v>
      </c>
      <c r="E127" s="417"/>
      <c r="F127" s="452" t="s">
        <v>2188</v>
      </c>
      <c r="G127" s="417"/>
    </row>
    <row r="128" spans="1:7">
      <c r="A128" s="542"/>
      <c r="B128" s="417" t="s">
        <v>2184</v>
      </c>
      <c r="C128" s="429">
        <f>D79</f>
        <v>4194.0567231864397</v>
      </c>
      <c r="D128" s="490">
        <f>IFERROR(C128/C$132,0)</f>
        <v>0.46170498037315788</v>
      </c>
      <c r="E128" s="417"/>
      <c r="F128" s="452" t="s">
        <v>2704</v>
      </c>
      <c r="G128" s="417"/>
    </row>
    <row r="129" spans="1:7">
      <c r="A129" s="542"/>
      <c r="B129" s="471" t="s">
        <v>2189</v>
      </c>
      <c r="C129" s="470">
        <f>D81*$D$193</f>
        <v>4020.4170056956877</v>
      </c>
      <c r="D129" s="490">
        <f>IFERROR(C129/C$132,0)</f>
        <v>0.44258975908565013</v>
      </c>
      <c r="E129" s="417"/>
      <c r="F129" s="452" t="s">
        <v>2190</v>
      </c>
      <c r="G129" s="417"/>
    </row>
    <row r="130" spans="1:7">
      <c r="A130" s="542"/>
      <c r="B130" s="471" t="s">
        <v>2191</v>
      </c>
      <c r="C130" s="470">
        <f>D82*$D$193</f>
        <v>219.37180338120552</v>
      </c>
      <c r="D130" s="490">
        <f>IFERROR(C130/C$132,0)</f>
        <v>2.4149662453204091E-2</v>
      </c>
      <c r="E130" s="417"/>
      <c r="F130" s="452" t="s">
        <v>2192</v>
      </c>
      <c r="G130" s="417"/>
    </row>
    <row r="131" spans="1:7">
      <c r="A131" s="542"/>
      <c r="B131" s="471" t="s">
        <v>2281</v>
      </c>
      <c r="C131" s="433">
        <f>D90+D91</f>
        <v>650</v>
      </c>
      <c r="D131" s="490">
        <f>IFERROR(C131/C$132,0)</f>
        <v>7.1555598087987948E-2</v>
      </c>
      <c r="E131" s="417"/>
      <c r="F131" s="452" t="s">
        <v>2705</v>
      </c>
      <c r="G131" s="417"/>
    </row>
    <row r="132" spans="1:7" ht="15" customHeight="1">
      <c r="A132" s="542"/>
      <c r="B132" s="629" t="s">
        <v>2066</v>
      </c>
      <c r="C132" s="630">
        <f>SUM(C128:C131)</f>
        <v>9083.8455322633326</v>
      </c>
      <c r="D132" s="659">
        <f>SUM(D128:D131)</f>
        <v>1</v>
      </c>
      <c r="E132" s="417"/>
      <c r="F132" s="452" t="s">
        <v>2706</v>
      </c>
      <c r="G132" s="417"/>
    </row>
    <row r="133" spans="1:7">
      <c r="A133" s="542"/>
      <c r="B133" s="417" t="s">
        <v>2127</v>
      </c>
      <c r="C133" s="621">
        <f>(C42+C184)*($C$186+$C$187*$D$193)</f>
        <v>2206.7142632838227</v>
      </c>
      <c r="D133" s="417"/>
      <c r="E133" s="417"/>
      <c r="F133" s="452" t="s">
        <v>2193</v>
      </c>
      <c r="G133" s="417"/>
    </row>
    <row r="134" spans="1:7" ht="3.95" customHeight="1">
      <c r="A134" s="542"/>
      <c r="B134" s="417"/>
      <c r="C134" s="417"/>
      <c r="D134" s="417"/>
      <c r="E134" s="417"/>
      <c r="F134" s="452"/>
      <c r="G134" s="417"/>
    </row>
    <row r="135" spans="1:7">
      <c r="A135" s="542"/>
      <c r="B135" s="454" t="s">
        <v>2165</v>
      </c>
      <c r="C135" s="623" t="s">
        <v>2132</v>
      </c>
      <c r="D135" s="623" t="s">
        <v>2133</v>
      </c>
      <c r="E135" s="417"/>
      <c r="F135" s="452"/>
      <c r="G135" s="417"/>
    </row>
    <row r="136" spans="1:7">
      <c r="A136" s="542"/>
      <c r="B136" s="417" t="s">
        <v>2098</v>
      </c>
      <c r="C136" s="622">
        <f>IFERROR((D74-D90-D91-D81*$D$193)/(($C$186+$C$187*$D$193)*(C42+C184)),0)</f>
        <v>1.2778458633955196</v>
      </c>
      <c r="D136" s="637">
        <f>C31</f>
        <v>2</v>
      </c>
      <c r="E136" s="417"/>
      <c r="F136" s="452" t="s">
        <v>2194</v>
      </c>
      <c r="G136" s="417"/>
    </row>
    <row r="137" spans="1:7">
      <c r="A137" s="542"/>
      <c r="B137" s="417" t="s">
        <v>2134</v>
      </c>
      <c r="C137" s="621">
        <f>MAX(0,(D74-D90-D91-D79)/$D$193-D82)</f>
        <v>108260.36488515696</v>
      </c>
      <c r="D137" s="429">
        <f>D81</f>
        <v>179350.00000000003</v>
      </c>
      <c r="E137" s="417"/>
      <c r="F137" s="452" t="s">
        <v>2195</v>
      </c>
      <c r="G137" s="417"/>
    </row>
    <row r="138" spans="1:7">
      <c r="A138" s="542"/>
      <c r="B138" s="417" t="s">
        <v>2135</v>
      </c>
      <c r="C138" s="693">
        <f>IFERROR((C137+$C$189+$C$58)/(C11+C18),0)</f>
        <v>11.591141430944759</v>
      </c>
      <c r="D138" s="692">
        <f>C13</f>
        <v>19.157088122605366</v>
      </c>
      <c r="E138" s="417"/>
      <c r="F138" s="452" t="s">
        <v>2343</v>
      </c>
      <c r="G138" s="417"/>
    </row>
    <row r="139" spans="1:7">
      <c r="A139" s="542"/>
      <c r="B139" s="417" t="s">
        <v>2136</v>
      </c>
      <c r="C139" s="154">
        <f>IFERROR(((C137+$C$189+$C$58)/C13-C11)/C15/C9,0)</f>
        <v>52.986228625586691</v>
      </c>
      <c r="D139" s="83">
        <f>C16</f>
        <v>130</v>
      </c>
      <c r="E139" s="417"/>
      <c r="F139" s="452" t="s">
        <v>2154</v>
      </c>
      <c r="G139" s="417"/>
    </row>
    <row r="140" spans="1:7">
      <c r="A140" s="542"/>
      <c r="B140" s="417" t="s">
        <v>2740</v>
      </c>
      <c r="C140" s="388">
        <f>D99</f>
        <v>0.12774199395700969</v>
      </c>
      <c r="D140" s="388">
        <f>D100</f>
        <v>0.24754474605885002</v>
      </c>
      <c r="E140" s="417"/>
      <c r="F140" s="452" t="s">
        <v>2745</v>
      </c>
      <c r="G140" s="417"/>
    </row>
    <row r="141" spans="1:7">
      <c r="A141" s="542"/>
      <c r="B141" s="417" t="s">
        <v>2329</v>
      </c>
      <c r="C141" s="490">
        <f>MIN(1,IFERROR(1-(D74-D90-D91-D79)/(D83*$C$193),0))</f>
        <v>0.40707166324338928</v>
      </c>
      <c r="D141" s="490">
        <f>$C$8</f>
        <v>0.05</v>
      </c>
      <c r="E141" s="417"/>
      <c r="F141" s="452" t="s">
        <v>2342</v>
      </c>
      <c r="G141" s="417"/>
    </row>
    <row r="142" spans="1:7" ht="15" customHeight="1">
      <c r="A142" s="542"/>
      <c r="B142" s="417" t="s">
        <v>2282</v>
      </c>
      <c r="C142" s="621">
        <f>D79+D90+D91-D74</f>
        <v>-2646.2009755423724</v>
      </c>
      <c r="D142" s="417"/>
      <c r="E142" s="417"/>
      <c r="F142" s="452" t="s">
        <v>2196</v>
      </c>
      <c r="G142" s="417"/>
    </row>
    <row r="143" spans="1:7">
      <c r="A143" s="542"/>
      <c r="B143" s="417" t="s">
        <v>2224</v>
      </c>
      <c r="C143" s="439">
        <f>IFERROR(1-C137/D137,0)</f>
        <v>0.39637376701891869</v>
      </c>
      <c r="D143" s="530"/>
      <c r="E143" s="417"/>
      <c r="F143" s="452" t="s">
        <v>2707</v>
      </c>
      <c r="G143" s="417"/>
    </row>
    <row r="144" spans="1:7" ht="3.95" customHeight="1">
      <c r="A144" s="542"/>
      <c r="B144" s="417"/>
      <c r="C144" s="417"/>
      <c r="D144" s="417"/>
      <c r="E144" s="417"/>
      <c r="F144" s="452"/>
      <c r="G144" s="417"/>
    </row>
    <row r="145" spans="1:8" ht="14.25" customHeight="1">
      <c r="A145" s="682"/>
      <c r="B145" s="370" t="str">
        <f>"Topkey Dilution Impact — Ben (Year "&amp;$C$9&amp;")"</f>
        <v>Topkey Dilution Impact — Ben (Year 5)</v>
      </c>
      <c r="C145" s="605" t="s">
        <v>2333</v>
      </c>
      <c r="D145" s="605" t="s">
        <v>2334</v>
      </c>
      <c r="E145" s="682"/>
      <c r="F145" s="682"/>
      <c r="G145" s="682"/>
      <c r="H145" s="682"/>
    </row>
    <row r="146" spans="1:8" ht="14.25" customHeight="1">
      <c r="A146" s="682"/>
      <c r="B146" s="682" t="s">
        <v>2058</v>
      </c>
      <c r="C146" s="388">
        <f>$C$193</f>
        <v>2.3596419853539462E-2</v>
      </c>
      <c r="D146" s="388">
        <f>$D$193</f>
        <v>2.2416598860862488E-2</v>
      </c>
      <c r="E146" s="682"/>
      <c r="F146" s="682"/>
      <c r="G146" s="682"/>
      <c r="H146" s="682"/>
    </row>
    <row r="147" spans="1:8" ht="14.25" customHeight="1">
      <c r="A147" s="682"/>
      <c r="B147" s="682" t="s">
        <v>2064</v>
      </c>
      <c r="C147" s="683">
        <f>$D$83*C146</f>
        <v>4462.9355885019932</v>
      </c>
      <c r="D147" s="683">
        <f>$D$83*D146</f>
        <v>4239.7888090768938</v>
      </c>
      <c r="E147" s="682"/>
      <c r="F147" s="682" t="s">
        <v>2525</v>
      </c>
      <c r="G147" s="682"/>
      <c r="H147" s="682"/>
    </row>
    <row r="148" spans="1:8" ht="14.25" customHeight="1">
      <c r="A148" s="682"/>
      <c r="B148" s="720" t="s">
        <v>2335</v>
      </c>
      <c r="C148" s="684">
        <f>$D$79+$D$90+$D$91</f>
        <v>4844.0567231864397</v>
      </c>
      <c r="D148" s="684">
        <f>$D$79+$D$90+$D$91</f>
        <v>4844.0567231864397</v>
      </c>
      <c r="E148" s="682"/>
      <c r="F148" s="682" t="s">
        <v>2526</v>
      </c>
      <c r="G148" s="682"/>
      <c r="H148" s="682"/>
    </row>
    <row r="149" spans="1:8" ht="14.25" customHeight="1">
      <c r="A149" s="682"/>
      <c r="B149" s="688" t="s">
        <v>2066</v>
      </c>
      <c r="C149" s="687">
        <f>C147+C148</f>
        <v>9306.9923116884329</v>
      </c>
      <c r="D149" s="689">
        <f>D147+D148</f>
        <v>9083.8455322633345</v>
      </c>
      <c r="E149" s="682"/>
      <c r="F149" s="682"/>
      <c r="G149" s="682"/>
      <c r="H149" s="682"/>
    </row>
    <row r="150" spans="1:8" ht="14.25" customHeight="1">
      <c r="A150" s="682"/>
      <c r="B150" s="720" t="s">
        <v>2336</v>
      </c>
      <c r="C150" s="83">
        <f>$D$74</f>
        <v>7490.2576987288121</v>
      </c>
      <c r="D150" s="83">
        <f>$D$74</f>
        <v>7490.2576987288121</v>
      </c>
      <c r="E150" s="682"/>
      <c r="F150" s="682"/>
      <c r="G150" s="682"/>
      <c r="H150" s="682"/>
    </row>
    <row r="151" spans="1:8" ht="14.25" customHeight="1">
      <c r="A151" s="682"/>
      <c r="B151" s="690" t="s">
        <v>2337</v>
      </c>
      <c r="C151" s="691">
        <f>C149-C150</f>
        <v>1816.7346129596208</v>
      </c>
      <c r="D151" s="691">
        <f>D149-D150</f>
        <v>1593.5878335345224</v>
      </c>
      <c r="E151" s="682"/>
      <c r="F151" s="682"/>
      <c r="G151" s="682"/>
      <c r="H151" s="682"/>
    </row>
    <row r="152" spans="1:8" ht="14.25" customHeight="1">
      <c r="A152" s="682"/>
      <c r="B152" s="682" t="s">
        <v>2338</v>
      </c>
      <c r="C152" s="682"/>
      <c r="D152" s="683">
        <f>D149-C149</f>
        <v>-223.14677942509843</v>
      </c>
      <c r="E152" s="682"/>
      <c r="F152" s="682" t="s">
        <v>2341</v>
      </c>
      <c r="G152" s="682"/>
      <c r="H152" s="682"/>
    </row>
    <row r="153" spans="1:8" ht="14.25" customHeight="1">
      <c r="A153" s="682"/>
      <c r="B153" s="682" t="s">
        <v>2339</v>
      </c>
      <c r="C153" s="682"/>
      <c r="D153" s="685">
        <f>$C$141-$D$141</f>
        <v>0.35707166324338929</v>
      </c>
      <c r="E153" s="682"/>
      <c r="F153" s="682" t="s">
        <v>2708</v>
      </c>
      <c r="G153" s="682"/>
      <c r="H153" s="682"/>
    </row>
    <row r="154" spans="1:8" ht="14.25" customHeight="1">
      <c r="B154" s="682" t="s">
        <v>2340</v>
      </c>
      <c r="D154" s="686">
        <f>D149-$D$92</f>
        <v>0</v>
      </c>
      <c r="F154" s="682" t="s">
        <v>2109</v>
      </c>
    </row>
    <row r="155" spans="1:8" ht="3.95" customHeight="1">
      <c r="A155" s="682"/>
      <c r="B155" s="682"/>
      <c r="C155" s="682"/>
      <c r="D155" s="682"/>
      <c r="E155" s="682"/>
      <c r="F155" s="682"/>
      <c r="G155" s="682"/>
      <c r="H155" s="682"/>
    </row>
    <row r="156" spans="1:8">
      <c r="A156" s="542"/>
      <c r="B156" s="454" t="s">
        <v>2225</v>
      </c>
      <c r="C156" s="623" t="s">
        <v>2137</v>
      </c>
      <c r="D156" s="623" t="str">
        <f>"Year "&amp;$C$9</f>
        <v>Year 5</v>
      </c>
      <c r="E156" s="417"/>
      <c r="F156" s="452"/>
      <c r="G156" s="417"/>
    </row>
    <row r="157" spans="1:8" ht="15" customHeight="1">
      <c r="A157" s="542"/>
      <c r="B157" s="452" t="s">
        <v>2004</v>
      </c>
      <c r="C157" s="646"/>
      <c r="D157" s="429">
        <f>D74</f>
        <v>7490.2576987288121</v>
      </c>
      <c r="E157" s="417"/>
      <c r="F157" s="452" t="s">
        <v>2709</v>
      </c>
      <c r="G157" s="417"/>
    </row>
    <row r="158" spans="1:8" ht="15" customHeight="1">
      <c r="A158" s="542"/>
      <c r="B158" s="452" t="s">
        <v>2226</v>
      </c>
      <c r="C158" s="646"/>
      <c r="D158" s="433">
        <f>D92</f>
        <v>9083.8455322633326</v>
      </c>
      <c r="E158" s="417"/>
      <c r="F158" s="452" t="s">
        <v>2710</v>
      </c>
      <c r="G158" s="417"/>
    </row>
    <row r="159" spans="1:8" ht="15" customHeight="1">
      <c r="A159" s="542"/>
      <c r="B159" s="452" t="s">
        <v>2197</v>
      </c>
      <c r="C159" s="647">
        <v>1.5</v>
      </c>
      <c r="D159" s="430">
        <f>($C$186+$C$187*$D$193)*(C42+C184)*C159+D81*$D$193+D90+D91</f>
        <v>7980.4884006214215</v>
      </c>
      <c r="E159" s="417"/>
      <c r="F159" s="452" t="s">
        <v>2228</v>
      </c>
      <c r="G159" s="417"/>
    </row>
    <row r="160" spans="1:8" ht="15" customHeight="1">
      <c r="A160" s="542"/>
      <c r="B160" s="452" t="s">
        <v>2138</v>
      </c>
      <c r="C160" s="647">
        <v>12</v>
      </c>
      <c r="D160" s="430">
        <f>D79+((C11+C18)*C160-$C$189-$C$58+D82)*$D$193+D90+D91</f>
        <v>7576.3740920680521</v>
      </c>
      <c r="E160" s="417"/>
      <c r="F160" s="452" t="s">
        <v>2229</v>
      </c>
      <c r="G160" s="417"/>
    </row>
    <row r="161" spans="1:7" ht="15" customHeight="1">
      <c r="A161" s="542"/>
      <c r="B161" s="452" t="s">
        <v>2139</v>
      </c>
      <c r="C161" s="435">
        <v>90</v>
      </c>
      <c r="D161" s="430">
        <f>D79+((C11+C161*C9*C15)*C13-$C$189-$C$58+D82)*$D$193+D90+D91</f>
        <v>8256.1557281699497</v>
      </c>
      <c r="E161" s="417"/>
      <c r="F161" s="452" t="s">
        <v>2230</v>
      </c>
      <c r="G161" s="417"/>
    </row>
    <row r="162" spans="1:7" ht="15" customHeight="1">
      <c r="A162" s="542"/>
      <c r="B162" s="452" t="s">
        <v>2330</v>
      </c>
      <c r="C162" s="634">
        <v>0.15</v>
      </c>
      <c r="D162" s="430">
        <f>D79+D83*$C$193*(1-C162)+D90+D91</f>
        <v>8637.551973413134</v>
      </c>
      <c r="E162" s="417"/>
      <c r="F162" s="452" t="s">
        <v>2231</v>
      </c>
      <c r="G162" s="417"/>
    </row>
    <row r="163" spans="1:7" ht="15" customHeight="1">
      <c r="A163" s="542"/>
      <c r="B163" s="524" t="s">
        <v>2198</v>
      </c>
      <c r="C163" s="524"/>
      <c r="D163" s="526">
        <f>$C$186*(C42+C184)*C159+((C11+C161*C9*C15)*C160-$C$189-$C$58+$C$187*(C42+C184)*C159)*$C$193*(1-C162)+D90+D91</f>
        <v>5727.2879066418118</v>
      </c>
      <c r="E163" s="417"/>
      <c r="F163" s="452" t="s">
        <v>2232</v>
      </c>
      <c r="G163" s="417"/>
    </row>
    <row r="164" spans="1:7" ht="15" customHeight="1">
      <c r="A164" s="542"/>
      <c r="B164" s="521" t="s">
        <v>2227</v>
      </c>
      <c r="C164" s="624"/>
      <c r="D164" s="527">
        <f>D163-D157</f>
        <v>-1762.9697920870003</v>
      </c>
      <c r="E164" s="417"/>
      <c r="F164" s="452" t="s">
        <v>2233</v>
      </c>
      <c r="G164" s="417"/>
    </row>
    <row r="165" spans="1:7" ht="3.95" customHeight="1">
      <c r="A165" s="542"/>
      <c r="B165" s="417"/>
      <c r="C165" s="417"/>
      <c r="D165" s="417"/>
      <c r="E165" s="417"/>
      <c r="F165" s="452"/>
      <c r="G165" s="417"/>
    </row>
    <row r="166" spans="1:7">
      <c r="A166" s="542"/>
      <c r="B166" s="454" t="s">
        <v>2199</v>
      </c>
      <c r="C166" s="623" t="str">
        <f>C$183</f>
        <v>Today</v>
      </c>
      <c r="D166" s="623" t="str">
        <f>D$71</f>
        <v>Year 5</v>
      </c>
      <c r="E166" s="417"/>
      <c r="F166" s="452"/>
      <c r="G166" s="417"/>
    </row>
    <row r="167" spans="1:7">
      <c r="A167" s="542"/>
      <c r="B167" s="417" t="s">
        <v>2057</v>
      </c>
      <c r="C167" s="429">
        <f>C189</f>
        <v>650</v>
      </c>
      <c r="D167" s="470">
        <f>C189+C58</f>
        <v>650</v>
      </c>
      <c r="E167" s="417"/>
      <c r="F167" s="452" t="s">
        <v>2283</v>
      </c>
      <c r="G167" s="417"/>
    </row>
    <row r="168" spans="1:7">
      <c r="A168" s="542"/>
      <c r="B168" s="417" t="s">
        <v>2200</v>
      </c>
      <c r="C168" s="490">
        <f>IFERROR(C189/C188,0)</f>
        <v>0.30952380952380953</v>
      </c>
      <c r="D168" s="417"/>
      <c r="E168" s="417"/>
      <c r="F168" s="452"/>
      <c r="G168" s="417"/>
    </row>
    <row r="169" spans="1:7" ht="15" customHeight="1">
      <c r="A169" s="542"/>
      <c r="B169" s="417" t="s">
        <v>2201</v>
      </c>
      <c r="C169" s="636">
        <f>C186</f>
        <v>0.3</v>
      </c>
      <c r="D169" s="417"/>
      <c r="E169" s="417"/>
      <c r="F169" s="452" t="s">
        <v>2202</v>
      </c>
      <c r="G169" s="417"/>
    </row>
    <row r="170" spans="1:7">
      <c r="A170" s="542"/>
      <c r="B170" s="417" t="s">
        <v>2058</v>
      </c>
      <c r="C170" s="530">
        <f>C193</f>
        <v>2.3596419853539462E-2</v>
      </c>
      <c r="D170" s="530">
        <f>D193</f>
        <v>2.2416598860862488E-2</v>
      </c>
      <c r="E170" s="417"/>
      <c r="F170" s="452"/>
      <c r="G170" s="417"/>
    </row>
    <row r="171" spans="1:7">
      <c r="A171" s="542"/>
      <c r="B171" s="417" t="s">
        <v>2142</v>
      </c>
      <c r="C171" s="490">
        <f>IFERROR((C79+C85)/C92,0)</f>
        <v>0.78333333333333333</v>
      </c>
      <c r="D171" s="490">
        <f>IFERROR((D79+D85)/D92,0)</f>
        <v>0.92844440191201227</v>
      </c>
      <c r="E171" s="417"/>
      <c r="F171" s="452" t="s">
        <v>2203</v>
      </c>
      <c r="G171" s="417"/>
    </row>
    <row r="172" spans="1:7" ht="3.95" customHeight="1">
      <c r="A172" s="542"/>
      <c r="B172" s="417"/>
      <c r="C172" s="417"/>
      <c r="D172" s="417"/>
      <c r="E172" s="417"/>
      <c r="F172" s="452"/>
      <c r="G172" s="417"/>
    </row>
    <row r="173" spans="1:7">
      <c r="A173" s="542"/>
      <c r="B173" s="454" t="s">
        <v>2204</v>
      </c>
      <c r="C173" s="623" t="s">
        <v>2143</v>
      </c>
      <c r="D173" s="623" t="s">
        <v>2144</v>
      </c>
      <c r="E173" s="417"/>
      <c r="F173" s="452"/>
      <c r="G173" s="417"/>
    </row>
    <row r="174" spans="1:7">
      <c r="A174" s="542"/>
      <c r="B174" s="417" t="s">
        <v>2205</v>
      </c>
      <c r="C174" s="634">
        <v>0.45</v>
      </c>
      <c r="D174" s="417"/>
      <c r="E174" s="417"/>
      <c r="F174" s="452" t="s">
        <v>2206</v>
      </c>
      <c r="G174" s="417"/>
    </row>
    <row r="175" spans="1:7">
      <c r="A175" s="542"/>
      <c r="B175" s="417" t="s">
        <v>2145</v>
      </c>
      <c r="C175" s="621">
        <f>C188*C174</f>
        <v>945</v>
      </c>
      <c r="D175" s="621">
        <f>C175-C189</f>
        <v>295</v>
      </c>
      <c r="E175" s="417"/>
      <c r="F175" s="452" t="s">
        <v>2207</v>
      </c>
      <c r="G175" s="417"/>
    </row>
    <row r="176" spans="1:7">
      <c r="B176" s="417" t="s">
        <v>2208</v>
      </c>
      <c r="C176" s="417"/>
      <c r="D176" s="417"/>
      <c r="E176" s="417"/>
      <c r="F176" s="452" t="s">
        <v>2209</v>
      </c>
      <c r="G176" s="417"/>
    </row>
    <row r="177" spans="2:7">
      <c r="B177" s="417" t="s">
        <v>2210</v>
      </c>
      <c r="C177" s="417"/>
      <c r="D177" s="417"/>
      <c r="E177" s="417"/>
      <c r="F177" s="452" t="s">
        <v>2211</v>
      </c>
      <c r="G177" s="417"/>
    </row>
    <row r="178" spans="2:7">
      <c r="B178" s="417" t="s">
        <v>2212</v>
      </c>
      <c r="C178" s="417"/>
      <c r="D178" s="417"/>
      <c r="E178" s="417"/>
      <c r="F178" s="452" t="s">
        <v>2213</v>
      </c>
      <c r="G178" s="417"/>
    </row>
    <row r="179" spans="2:7">
      <c r="B179" s="417" t="s">
        <v>2214</v>
      </c>
      <c r="C179" s="417"/>
      <c r="D179" s="417"/>
      <c r="E179" s="417"/>
      <c r="F179" s="452" t="s">
        <v>2215</v>
      </c>
      <c r="G179" s="417"/>
    </row>
    <row r="180" spans="2:7">
      <c r="B180" s="417" t="s">
        <v>2149</v>
      </c>
      <c r="C180" s="417"/>
      <c r="D180" s="417"/>
      <c r="E180" s="417"/>
      <c r="F180" s="452" t="s">
        <v>2161</v>
      </c>
      <c r="G180" s="417"/>
    </row>
    <row r="181" spans="2:7" ht="15" customHeight="1">
      <c r="B181" s="417" t="s">
        <v>2252</v>
      </c>
      <c r="C181" s="417"/>
      <c r="D181" s="417"/>
      <c r="E181" s="417"/>
      <c r="F181" s="452" t="s">
        <v>2253</v>
      </c>
      <c r="G181" s="417"/>
    </row>
    <row r="182" spans="2:7">
      <c r="B182" s="417"/>
      <c r="C182" s="417"/>
      <c r="D182" s="417"/>
      <c r="E182" s="417"/>
      <c r="F182" s="452"/>
      <c r="G182" s="417"/>
    </row>
    <row r="183" spans="2:7">
      <c r="B183" s="454" t="s">
        <v>2167</v>
      </c>
      <c r="C183" s="623" t="s">
        <v>2025</v>
      </c>
      <c r="D183" s="623" t="str">
        <f>"Year "&amp;$C$9</f>
        <v>Year 5</v>
      </c>
      <c r="E183" s="417"/>
      <c r="F183" s="452"/>
      <c r="G183" s="417"/>
    </row>
    <row r="184" spans="2:7">
      <c r="B184" s="417" t="s">
        <v>2102</v>
      </c>
      <c r="C184" s="635">
        <f>'P&amp;L Overview'!K16</f>
        <v>2998.5410200000001</v>
      </c>
      <c r="D184" s="417"/>
      <c r="E184" s="417"/>
      <c r="F184" s="452" t="s">
        <v>2108</v>
      </c>
      <c r="G184" s="417"/>
    </row>
    <row r="185" spans="2:7">
      <c r="B185" s="417" t="s">
        <v>2168</v>
      </c>
      <c r="C185" s="429">
        <f>C72</f>
        <v>3000</v>
      </c>
      <c r="D185" s="417"/>
      <c r="E185" s="417"/>
      <c r="F185" s="452" t="s">
        <v>2795</v>
      </c>
      <c r="G185" s="417"/>
    </row>
    <row r="186" spans="2:7">
      <c r="B186" s="417" t="s">
        <v>2169</v>
      </c>
      <c r="C186" s="636">
        <f>C7</f>
        <v>0.3</v>
      </c>
      <c r="D186" s="417"/>
      <c r="E186" s="417"/>
      <c r="F186" s="452" t="s">
        <v>2711</v>
      </c>
      <c r="G186" s="417"/>
    </row>
    <row r="187" spans="2:7">
      <c r="B187" s="417" t="s">
        <v>2170</v>
      </c>
      <c r="C187" s="490">
        <f>1-C186</f>
        <v>0.7</v>
      </c>
      <c r="D187" s="417"/>
      <c r="E187" s="417"/>
      <c r="F187" s="452"/>
      <c r="G187" s="417"/>
    </row>
    <row r="188" spans="2:7">
      <c r="B188" s="417" t="s">
        <v>2171</v>
      </c>
      <c r="C188" s="621">
        <f>C185*C187</f>
        <v>2100</v>
      </c>
      <c r="D188" s="417"/>
      <c r="E188" s="417"/>
      <c r="F188" s="452" t="s">
        <v>2172</v>
      </c>
      <c r="G188" s="417"/>
    </row>
    <row r="189" spans="2:7">
      <c r="B189" s="471" t="s">
        <v>2000</v>
      </c>
      <c r="C189" s="472">
        <f>'Offer Overview'!$C$9</f>
        <v>650</v>
      </c>
      <c r="D189" s="417"/>
      <c r="E189" s="417"/>
      <c r="F189" s="452" t="s">
        <v>2173</v>
      </c>
      <c r="G189" s="417"/>
    </row>
    <row r="190" spans="2:7">
      <c r="B190" s="417" t="s">
        <v>2174</v>
      </c>
      <c r="C190" s="470">
        <f>C188-C189</f>
        <v>1450</v>
      </c>
      <c r="D190" s="417"/>
      <c r="E190" s="417"/>
      <c r="F190" s="452" t="s">
        <v>2175</v>
      </c>
      <c r="G190" s="417"/>
    </row>
    <row r="191" spans="2:7">
      <c r="B191" s="417" t="s">
        <v>2039</v>
      </c>
      <c r="C191" s="53">
        <f>'Offer Comparison'!$C$9</f>
        <v>60000</v>
      </c>
      <c r="D191" s="417"/>
      <c r="E191" s="417"/>
      <c r="F191" s="452" t="s">
        <v>2712</v>
      </c>
      <c r="G191" s="417"/>
    </row>
    <row r="192" spans="2:7">
      <c r="B192" s="417" t="s">
        <v>2001</v>
      </c>
      <c r="C192" s="470">
        <f>C191+C188-C189</f>
        <v>61450</v>
      </c>
      <c r="D192" s="417"/>
      <c r="E192" s="417"/>
      <c r="F192" s="452" t="s">
        <v>2176</v>
      </c>
      <c r="G192" s="417"/>
    </row>
    <row r="193" spans="2:8">
      <c r="B193" s="417" t="s">
        <v>2058</v>
      </c>
      <c r="C193" s="632">
        <f>IFERROR(C190/C192,0)</f>
        <v>2.3596419853539462E-2</v>
      </c>
      <c r="D193" s="632">
        <f>C193*(1-$C$8)</f>
        <v>2.2416598860862488E-2</v>
      </c>
      <c r="E193" s="417"/>
      <c r="F193" s="542" t="s">
        <v>2328</v>
      </c>
      <c r="G193" s="417"/>
      <c r="H193" s="542"/>
    </row>
    <row r="194" spans="2:8">
      <c r="B194" s="417" t="s">
        <v>2047</v>
      </c>
      <c r="C194" s="470">
        <f>C191-C189</f>
        <v>59350</v>
      </c>
      <c r="D194" s="417"/>
      <c r="E194" s="417"/>
      <c r="F194" s="452" t="s">
        <v>2177</v>
      </c>
      <c r="G194" s="417"/>
      <c r="H194" s="542"/>
    </row>
    <row r="195" spans="2:8">
      <c r="B195" s="417" t="s">
        <v>2178</v>
      </c>
      <c r="C195" s="470">
        <f>C83-C192</f>
        <v>0</v>
      </c>
      <c r="D195" s="417"/>
      <c r="E195" s="417"/>
      <c r="F195" s="452" t="s">
        <v>2109</v>
      </c>
      <c r="G195" s="417"/>
    </row>
    <row r="196" spans="2:8">
      <c r="B196" s="417" t="s">
        <v>2179</v>
      </c>
      <c r="C196" s="470">
        <f>C85-C190</f>
        <v>0</v>
      </c>
      <c r="D196" s="417"/>
      <c r="E196" s="417"/>
      <c r="F196" s="452" t="s">
        <v>2109</v>
      </c>
      <c r="G196" s="417"/>
    </row>
    <row r="197" spans="2:8">
      <c r="B197" s="417" t="s">
        <v>2180</v>
      </c>
      <c r="C197" s="470">
        <f>C92-C185</f>
        <v>0</v>
      </c>
      <c r="D197" s="417"/>
      <c r="E197" s="417"/>
      <c r="F197" s="452" t="s">
        <v>2109</v>
      </c>
      <c r="G197" s="417"/>
    </row>
    <row r="198" spans="2:8">
      <c r="B198" s="417"/>
      <c r="C198" s="417"/>
      <c r="D198" s="417"/>
      <c r="E198" s="417"/>
      <c r="F198" s="452"/>
      <c r="G198" s="417"/>
    </row>
    <row r="199" spans="2:8">
      <c r="B199" s="454" t="s">
        <v>2116</v>
      </c>
      <c r="C199" s="623" t="s">
        <v>1197</v>
      </c>
      <c r="D199" s="623"/>
      <c r="E199" s="417"/>
      <c r="F199" s="452"/>
      <c r="G199" s="417"/>
    </row>
    <row r="200" spans="2:8">
      <c r="B200" s="417" t="s">
        <v>2117</v>
      </c>
      <c r="C200" s="472">
        <f>'Client Retention'!H22</f>
        <v>151</v>
      </c>
      <c r="D200" s="417"/>
      <c r="E200" s="417"/>
      <c r="F200" s="452" t="s">
        <v>2120</v>
      </c>
      <c r="G200" s="417"/>
    </row>
    <row r="201" spans="2:8">
      <c r="B201" s="471" t="s">
        <v>1314</v>
      </c>
      <c r="C201" s="472">
        <f>'Client Retention'!H23</f>
        <v>83</v>
      </c>
      <c r="D201" s="417"/>
      <c r="E201" s="417"/>
      <c r="F201" s="452"/>
      <c r="G201" s="417"/>
    </row>
    <row r="202" spans="2:8">
      <c r="B202" s="471" t="s">
        <v>1532</v>
      </c>
      <c r="C202" s="472">
        <f>'Client Retention'!H27</f>
        <v>-57</v>
      </c>
      <c r="D202" s="417"/>
      <c r="E202" s="417"/>
      <c r="F202" s="452"/>
      <c r="G202" s="417"/>
    </row>
    <row r="203" spans="2:8">
      <c r="B203" s="675" t="s">
        <v>2118</v>
      </c>
      <c r="C203" s="676">
        <f>SUM(C200:C202)</f>
        <v>177</v>
      </c>
      <c r="D203" s="480"/>
      <c r="E203" s="417"/>
      <c r="F203" s="452" t="s">
        <v>2121</v>
      </c>
      <c r="G203" s="417"/>
    </row>
    <row r="204" spans="2:8">
      <c r="B204" s="629" t="s">
        <v>2119</v>
      </c>
      <c r="C204" s="633">
        <f>C203-C200</f>
        <v>26</v>
      </c>
      <c r="D204" s="480"/>
      <c r="E204" s="417"/>
      <c r="F204" s="452" t="s">
        <v>2122</v>
      </c>
      <c r="G204" s="417"/>
    </row>
    <row r="205" spans="2:8">
      <c r="B205" s="417"/>
      <c r="C205" s="417"/>
      <c r="D205" s="417"/>
      <c r="E205" s="417"/>
      <c r="F205" s="417"/>
      <c r="G205" s="417"/>
    </row>
    <row r="206" spans="2:8">
      <c r="B206" s="570" t="s">
        <v>2235</v>
      </c>
      <c r="C206" s="570"/>
      <c r="D206" s="542"/>
      <c r="E206" s="542"/>
      <c r="F206" s="452"/>
      <c r="G206" s="417"/>
    </row>
    <row r="207" spans="2:8">
      <c r="B207" s="452" t="s">
        <v>2236</v>
      </c>
      <c r="C207" s="648">
        <f>C32/'Client Retention'!H30</f>
        <v>1.4634146341463414</v>
      </c>
      <c r="D207" s="452"/>
      <c r="E207" s="542"/>
      <c r="F207" s="452" t="s">
        <v>2106</v>
      </c>
      <c r="G207" s="417"/>
    </row>
    <row r="208" spans="2:8">
      <c r="B208" s="560" t="s">
        <v>2237</v>
      </c>
      <c r="C208" s="634">
        <v>0.5</v>
      </c>
      <c r="D208" s="452"/>
      <c r="E208" s="542"/>
      <c r="F208" s="452" t="s">
        <v>2246</v>
      </c>
      <c r="G208" s="417"/>
    </row>
    <row r="209" spans="2:7">
      <c r="B209" s="452" t="s">
        <v>2238</v>
      </c>
      <c r="C209" s="650">
        <v>0</v>
      </c>
      <c r="D209" s="452"/>
      <c r="E209" s="542"/>
      <c r="F209" s="452" t="s">
        <v>2247</v>
      </c>
      <c r="G209" s="417"/>
    </row>
    <row r="210" spans="2:7">
      <c r="B210" s="452" t="s">
        <v>2239</v>
      </c>
      <c r="C210" s="649">
        <f>MAX(C207*C208,C209)</f>
        <v>0.73170731707317072</v>
      </c>
      <c r="D210" s="452"/>
      <c r="E210" s="542"/>
      <c r="F210" s="452" t="s">
        <v>2248</v>
      </c>
      <c r="G210" s="417"/>
    </row>
    <row r="211" spans="2:7">
      <c r="B211" s="452" t="s">
        <v>2240</v>
      </c>
      <c r="C211" s="649">
        <f>C207-C210</f>
        <v>0.73170731707317072</v>
      </c>
      <c r="D211" s="452"/>
      <c r="E211" s="542"/>
      <c r="F211" s="452" t="s">
        <v>2249</v>
      </c>
      <c r="G211" s="417"/>
    </row>
    <row r="212" spans="2:7">
      <c r="B212" s="452" t="s">
        <v>2241</v>
      </c>
      <c r="C212" s="430">
        <f>C203+C41</f>
        <v>417</v>
      </c>
      <c r="D212" s="452"/>
      <c r="E212" s="542"/>
      <c r="F212" s="452" t="s">
        <v>2713</v>
      </c>
      <c r="G212" s="417"/>
    </row>
    <row r="213" spans="2:7">
      <c r="B213" s="452" t="s">
        <v>2242</v>
      </c>
      <c r="C213" s="430">
        <f>C210*C212</f>
        <v>305.1219512195122</v>
      </c>
      <c r="D213" s="452"/>
      <c r="E213" s="542"/>
      <c r="F213" s="452" t="s">
        <v>2250</v>
      </c>
      <c r="G213" s="417"/>
    </row>
    <row r="214" spans="2:7">
      <c r="B214" s="524" t="s">
        <v>2243</v>
      </c>
      <c r="C214" s="526">
        <f>C211*C212</f>
        <v>305.1219512195122</v>
      </c>
      <c r="D214" s="453"/>
      <c r="E214" s="542"/>
      <c r="F214" s="452" t="s">
        <v>2254</v>
      </c>
      <c r="G214" s="417"/>
    </row>
    <row r="215" spans="2:7">
      <c r="B215" s="452" t="s">
        <v>2244</v>
      </c>
      <c r="C215" s="528">
        <f>IFERROR(C214/C121,0)</f>
        <v>4.3650618676567936E-2</v>
      </c>
      <c r="D215" s="452"/>
      <c r="E215" s="542"/>
      <c r="F215" s="452" t="s">
        <v>2714</v>
      </c>
      <c r="G215" s="417"/>
    </row>
    <row r="216" spans="2:7">
      <c r="B216" s="521" t="s">
        <v>2245</v>
      </c>
      <c r="C216" s="527">
        <f>C214*($C$186+$C$187*$D$193)</f>
        <v>96.324442834745682</v>
      </c>
      <c r="D216" s="453"/>
      <c r="E216" s="542"/>
      <c r="F216" s="452" t="s">
        <v>2251</v>
      </c>
      <c r="G216" s="417"/>
    </row>
    <row r="217" spans="2:7" ht="15" customHeight="1">
      <c r="B217" s="417"/>
      <c r="C217" s="417"/>
      <c r="D217" s="417"/>
      <c r="E217" s="417"/>
      <c r="F217" s="417"/>
      <c r="G217" s="417"/>
    </row>
    <row r="218" spans="2:7" ht="15" customHeight="1">
      <c r="B218" s="454" t="s">
        <v>2276</v>
      </c>
      <c r="C218" s="623" t="s">
        <v>1242</v>
      </c>
      <c r="D218" s="623" t="s">
        <v>2277</v>
      </c>
      <c r="E218" s="542"/>
      <c r="F218" s="452"/>
      <c r="G218" s="417"/>
    </row>
    <row r="219" spans="2:7" ht="15" customHeight="1">
      <c r="B219" s="452" t="str">
        <f t="shared" ref="B219:B224" si="1">"Year "&amp;C219</f>
        <v>Year 0</v>
      </c>
      <c r="C219" s="655">
        <v>0</v>
      </c>
      <c r="D219" s="431">
        <f t="shared" ref="D219:D224" si="2">-IF(C219=0,$C$103+$C$104,0)-IF(C219=$C$46,$C$105,0)+IF(C219=$C$9,$C$109,0)</f>
        <v>-2100</v>
      </c>
      <c r="E219" s="542"/>
      <c r="F219" s="452" t="s">
        <v>2715</v>
      </c>
      <c r="G219" s="417"/>
    </row>
    <row r="220" spans="2:7" ht="15" customHeight="1">
      <c r="B220" s="452" t="str">
        <f t="shared" si="1"/>
        <v>Year 1</v>
      </c>
      <c r="C220" s="654">
        <f>C219+1</f>
        <v>1</v>
      </c>
      <c r="D220" s="430">
        <f t="shared" si="2"/>
        <v>0</v>
      </c>
      <c r="E220" s="542"/>
      <c r="F220" s="452"/>
      <c r="G220" s="417"/>
    </row>
    <row r="221" spans="2:7" ht="15" customHeight="1">
      <c r="B221" s="452" t="str">
        <f t="shared" si="1"/>
        <v>Year 2</v>
      </c>
      <c r="C221" s="654">
        <f>C220+1</f>
        <v>2</v>
      </c>
      <c r="D221" s="430">
        <f t="shared" si="2"/>
        <v>0</v>
      </c>
      <c r="E221" s="542"/>
      <c r="F221" s="452"/>
      <c r="G221" s="417"/>
    </row>
    <row r="222" spans="2:7" ht="15" customHeight="1">
      <c r="B222" s="452" t="str">
        <f t="shared" si="1"/>
        <v>Year 3</v>
      </c>
      <c r="C222" s="654">
        <f>C221+1</f>
        <v>3</v>
      </c>
      <c r="D222" s="430">
        <f t="shared" si="2"/>
        <v>0</v>
      </c>
      <c r="E222" s="542"/>
      <c r="F222" s="452"/>
      <c r="G222" s="417"/>
    </row>
    <row r="223" spans="2:7" ht="15" customHeight="1">
      <c r="B223" s="452" t="str">
        <f t="shared" si="1"/>
        <v>Year 4</v>
      </c>
      <c r="C223" s="654">
        <f>C222+1</f>
        <v>4</v>
      </c>
      <c r="D223" s="430">
        <f t="shared" si="2"/>
        <v>0</v>
      </c>
      <c r="E223" s="542"/>
      <c r="F223" s="452"/>
      <c r="G223" s="417"/>
    </row>
    <row r="224" spans="2:7" ht="15" customHeight="1">
      <c r="B224" s="452" t="str">
        <f t="shared" si="1"/>
        <v>Year 5</v>
      </c>
      <c r="C224" s="654">
        <f>C223+1</f>
        <v>5</v>
      </c>
      <c r="D224" s="430">
        <f t="shared" si="2"/>
        <v>9786.1323541016918</v>
      </c>
      <c r="E224" s="542"/>
      <c r="F224" s="452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 ht="15" customHeight="1">
      <c r="B226" s="454" t="s">
        <v>2297</v>
      </c>
      <c r="C226" s="623" t="s">
        <v>1242</v>
      </c>
      <c r="D226" s="623" t="s">
        <v>2277</v>
      </c>
      <c r="E226" s="417"/>
      <c r="F226" s="417"/>
      <c r="G226" s="417"/>
    </row>
    <row r="227" spans="2:7" ht="15" customHeight="1">
      <c r="B227" s="452" t="str">
        <f t="shared" ref="B227:B232" si="3">"Year "&amp;C227</f>
        <v>Year 0</v>
      </c>
      <c r="C227" s="655">
        <v>0</v>
      </c>
      <c r="D227" s="431">
        <f t="shared" ref="D227:D232" si="4">IF(C227=0,$C$189-$C$185,0)+IF(C227=$C$46,$C$58,0)+IF(C227=$C$9,$D$79+$D$85,0)</f>
        <v>-2350</v>
      </c>
      <c r="E227" s="417"/>
      <c r="F227" s="613" t="s">
        <v>2716</v>
      </c>
      <c r="G227" s="417"/>
    </row>
    <row r="228" spans="2:7" ht="15" customHeight="1">
      <c r="B228" s="452" t="str">
        <f t="shared" si="3"/>
        <v>Year 1</v>
      </c>
      <c r="C228" s="654">
        <f>C227+1</f>
        <v>1</v>
      </c>
      <c r="D228" s="430">
        <f t="shared" si="4"/>
        <v>0</v>
      </c>
      <c r="E228" s="417"/>
      <c r="F228" s="417"/>
      <c r="G228" s="417"/>
    </row>
    <row r="229" spans="2:7" ht="15" customHeight="1">
      <c r="B229" s="452" t="str">
        <f t="shared" si="3"/>
        <v>Year 2</v>
      </c>
      <c r="C229" s="654">
        <f>C228+1</f>
        <v>2</v>
      </c>
      <c r="D229" s="430">
        <f t="shared" si="4"/>
        <v>0</v>
      </c>
      <c r="E229" s="417"/>
      <c r="F229" s="417"/>
      <c r="G229" s="417"/>
    </row>
    <row r="230" spans="2:7" ht="15" customHeight="1">
      <c r="B230" s="452" t="str">
        <f t="shared" si="3"/>
        <v>Year 3</v>
      </c>
      <c r="C230" s="654">
        <f>C229+1</f>
        <v>3</v>
      </c>
      <c r="D230" s="430">
        <f t="shared" si="4"/>
        <v>0</v>
      </c>
      <c r="E230" s="417"/>
      <c r="F230" s="417"/>
      <c r="G230" s="417"/>
    </row>
    <row r="231" spans="2:7" ht="15" customHeight="1">
      <c r="B231" s="452" t="str">
        <f t="shared" si="3"/>
        <v>Year 4</v>
      </c>
      <c r="C231" s="654">
        <f>C230+1</f>
        <v>4</v>
      </c>
      <c r="D231" s="430">
        <f t="shared" si="4"/>
        <v>0</v>
      </c>
      <c r="E231" s="417"/>
      <c r="F231" s="417"/>
      <c r="G231" s="417"/>
    </row>
    <row r="232" spans="2:7" ht="15" customHeight="1">
      <c r="B232" s="452" t="str">
        <f t="shared" si="3"/>
        <v>Year 5</v>
      </c>
      <c r="C232" s="654">
        <f>C231+1</f>
        <v>5</v>
      </c>
      <c r="D232" s="430">
        <f t="shared" si="4"/>
        <v>8433.8455322633345</v>
      </c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  <row r="236" spans="2:7">
      <c r="B236" s="417"/>
      <c r="C236" s="417"/>
      <c r="D236" s="417"/>
      <c r="E236" s="417"/>
      <c r="F236" s="417"/>
      <c r="G236" s="417"/>
    </row>
    <row r="237" spans="2:7">
      <c r="B237" s="417"/>
      <c r="C237" s="417"/>
      <c r="D237" s="417"/>
      <c r="E237" s="417"/>
      <c r="F237" s="417"/>
      <c r="G237" s="417"/>
    </row>
    <row r="238" spans="2:7">
      <c r="B238" s="417"/>
      <c r="C238" s="417"/>
      <c r="D238" s="417"/>
      <c r="E238" s="417"/>
      <c r="F238" s="417"/>
      <c r="G238" s="417"/>
    </row>
    <row r="239" spans="2:7">
      <c r="B239" s="417"/>
      <c r="C239" s="417"/>
      <c r="D239" s="417"/>
      <c r="E239" s="417"/>
      <c r="F239" s="417"/>
      <c r="G239" s="417"/>
    </row>
    <row r="240" spans="2:7">
      <c r="B240" s="417"/>
      <c r="C240" s="417"/>
      <c r="D240" s="417"/>
      <c r="E240" s="417"/>
      <c r="F240" s="417"/>
      <c r="G240" s="417"/>
    </row>
    <row r="241" spans="2:7">
      <c r="B241" s="417"/>
      <c r="C241" s="417"/>
      <c r="D241" s="417"/>
      <c r="E241" s="417"/>
      <c r="F241" s="417"/>
      <c r="G241" s="417"/>
    </row>
    <row r="242" spans="2:7">
      <c r="B242" s="417"/>
      <c r="C242" s="417"/>
      <c r="D242" s="417"/>
      <c r="E242" s="417"/>
      <c r="F242" s="417"/>
      <c r="G242" s="417"/>
    </row>
    <row r="243" spans="2:7">
      <c r="B243" s="417"/>
      <c r="C243" s="417"/>
      <c r="D243" s="417"/>
      <c r="E243" s="417"/>
      <c r="F243" s="417"/>
      <c r="G243" s="417"/>
    </row>
    <row r="244" spans="2:7">
      <c r="B244" s="417"/>
      <c r="C244" s="417"/>
      <c r="D244" s="417"/>
      <c r="E244" s="417"/>
      <c r="F244" s="417"/>
      <c r="G244" s="417"/>
    </row>
    <row r="245" spans="2:7">
      <c r="B245" s="417"/>
      <c r="C245" s="417"/>
      <c r="D245" s="417"/>
      <c r="E245" s="417"/>
      <c r="F245" s="417"/>
      <c r="G245" s="417"/>
    </row>
    <row r="246" spans="2:7">
      <c r="B246" s="417"/>
      <c r="C246" s="417"/>
      <c r="D246" s="417"/>
      <c r="E246" s="417"/>
      <c r="F246" s="417"/>
      <c r="G246" s="417"/>
    </row>
    <row r="247" spans="2:7">
      <c r="B247" s="417"/>
      <c r="C247" s="417"/>
      <c r="D247" s="417"/>
      <c r="E247" s="417"/>
      <c r="F247" s="417"/>
      <c r="G247" s="417"/>
    </row>
    <row r="248" spans="2:7">
      <c r="B248" s="417"/>
      <c r="C248" s="417"/>
      <c r="D248" s="417"/>
      <c r="E248" s="417"/>
      <c r="F248" s="417"/>
      <c r="G248" s="417"/>
    </row>
    <row r="249" spans="2:7">
      <c r="B249" s="417"/>
      <c r="C249" s="417"/>
      <c r="D249" s="417"/>
      <c r="E249" s="417"/>
      <c r="F249" s="417"/>
      <c r="G249" s="417"/>
    </row>
    <row r="250" spans="2:7">
      <c r="B250" s="417"/>
      <c r="C250" s="417"/>
      <c r="D250" s="417"/>
      <c r="E250" s="417"/>
      <c r="F250" s="417"/>
      <c r="G250" s="417"/>
    </row>
    <row r="251" spans="2:7">
      <c r="B251" s="417"/>
      <c r="C251" s="417"/>
      <c r="D251" s="417"/>
      <c r="E251" s="417"/>
      <c r="F251" s="417"/>
      <c r="G251" s="417"/>
    </row>
    <row r="252" spans="2:7">
      <c r="B252" s="417"/>
      <c r="C252" s="417"/>
      <c r="D252" s="417"/>
      <c r="E252" s="417"/>
      <c r="F252" s="417"/>
      <c r="G252" s="417"/>
    </row>
    <row r="253" spans="2:7">
      <c r="B253" s="417"/>
      <c r="C253" s="417"/>
      <c r="D253" s="417"/>
      <c r="E253" s="417"/>
      <c r="F253" s="417"/>
      <c r="G253" s="417"/>
    </row>
    <row r="254" spans="2:7">
      <c r="B254" s="417"/>
      <c r="C254" s="417"/>
      <c r="D254" s="417"/>
      <c r="E254" s="417"/>
      <c r="F254" s="417"/>
      <c r="G254" s="417"/>
    </row>
    <row r="255" spans="2:7">
      <c r="B255" s="417"/>
      <c r="C255" s="417"/>
      <c r="D255" s="417"/>
      <c r="E255" s="417"/>
      <c r="F255" s="417"/>
      <c r="G255" s="417"/>
    </row>
    <row r="256" spans="2:7">
      <c r="B256" s="417"/>
      <c r="C256" s="417"/>
      <c r="D256" s="417"/>
      <c r="E256" s="417"/>
      <c r="F256" s="417"/>
      <c r="G256" s="417"/>
    </row>
    <row r="257" spans="2:7">
      <c r="B257" s="417"/>
      <c r="C257" s="417"/>
      <c r="D257" s="417"/>
      <c r="E257" s="417"/>
      <c r="F257" s="417"/>
      <c r="G257" s="417"/>
    </row>
    <row r="258" spans="2:7">
      <c r="B258" s="417"/>
      <c r="C258" s="417"/>
      <c r="D258" s="417"/>
      <c r="E258" s="417"/>
      <c r="F258" s="417"/>
      <c r="G258" s="417"/>
    </row>
    <row r="259" spans="2:7">
      <c r="B259" s="417"/>
      <c r="C259" s="417"/>
      <c r="D259" s="417"/>
      <c r="E259" s="417"/>
      <c r="F259" s="417"/>
      <c r="G259" s="417"/>
    </row>
  </sheetData>
  <conditionalFormatting sqref="B6:D62 B64:D70 B72:D75 B77:D93 B95:D101 B103:D112 B114:D119 B121:D126 B128:D134 B136:D144 B146:D155 B157:D165 B167:D172 B174:D181">
    <cfRule type="expression" dxfId="76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2" manualBreakCount="2">
    <brk id="70" max="16383" man="1"/>
    <brk id="155" min="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tabSelected="1" view="pageBreakPreview" zoomScaleNormal="100" zoomScaleSheetLayoutView="100" workbookViewId="0">
      <selection activeCell="AB28" sqref="AB28"/>
    </sheetView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 t="shared" ref="N8:N18" si="1"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 t="shared" si="1"/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si="1"/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 t="shared" si="1"/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>K15-J15</f>
        <v>-28.502519999999549</v>
      </c>
      <c r="N15" s="66">
        <f t="shared" si="1"/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 t="shared" si="1"/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 t="shared" si="1"/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2">K22-J22</f>
        <v>55.926110000000051</v>
      </c>
      <c r="N22" s="66">
        <f t="shared" ref="N22:N29" si="3">IFERROR(K22/J22-1,0)</f>
        <v>0.12807294248804313</v>
      </c>
      <c r="P22" s="149">
        <f t="shared" ref="P22:P29" si="4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2"/>
        <v>39.192819999999926</v>
      </c>
      <c r="N23" s="66">
        <f t="shared" si="3"/>
        <v>0.11079815577738694</v>
      </c>
      <c r="P23" s="149">
        <f t="shared" si="4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2"/>
        <v>7.6493499999999699</v>
      </c>
      <c r="N24" s="66">
        <f t="shared" si="3"/>
        <v>4.0365943889525191E-2</v>
      </c>
      <c r="P24" s="149">
        <f t="shared" si="4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2"/>
        <v>0</v>
      </c>
      <c r="N25" s="66">
        <f t="shared" si="3"/>
        <v>0</v>
      </c>
      <c r="P25" s="149">
        <f t="shared" si="4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2"/>
        <v>30.35763</v>
      </c>
      <c r="N26" s="66">
        <f t="shared" si="3"/>
        <v>0.44649161240619972</v>
      </c>
      <c r="P26" s="149">
        <f t="shared" si="4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2"/>
        <v>0.82665000000000788</v>
      </c>
      <c r="N27" s="66">
        <f t="shared" si="3"/>
        <v>1.4408257492372512E-2</v>
      </c>
      <c r="P27" s="149">
        <f t="shared" si="4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2"/>
        <v>25.086240000000004</v>
      </c>
      <c r="N28" s="66">
        <f t="shared" si="3"/>
        <v>3.1377410881801131</v>
      </c>
      <c r="P28" s="149">
        <f t="shared" si="4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2"/>
        <v>4.6050600000000017</v>
      </c>
      <c r="N29" s="66">
        <f t="shared" si="3"/>
        <v>0.16701156553622543</v>
      </c>
      <c r="P29" s="149">
        <f t="shared" si="4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>K32-J32</f>
        <v>110.90047000000001</v>
      </c>
      <c r="N32" s="66">
        <f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>K33-J33</f>
        <v>-1.4724999999999966</v>
      </c>
      <c r="N33" s="66">
        <f>IFERROR(K33/J33-1,0)</f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>K34-J34</f>
        <v>24.871000000000002</v>
      </c>
      <c r="N34" s="66">
        <f>IFERROR(K34/J34-1,0)</f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>K35-J35</f>
        <v>9.2162399999999991</v>
      </c>
      <c r="N35" s="66">
        <f>IFERROR(K35/J35-1,0)</f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5">K39-J39</f>
        <v>0</v>
      </c>
      <c r="N39" s="66">
        <f t="shared" ref="N39:N46" si="6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5"/>
        <v>0</v>
      </c>
      <c r="N40" s="66">
        <f t="shared" si="6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5"/>
        <v>0</v>
      </c>
      <c r="N41" s="66">
        <f t="shared" si="6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5"/>
        <v>0</v>
      </c>
      <c r="N42" s="66">
        <f t="shared" si="6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5"/>
        <v>0</v>
      </c>
      <c r="N43" s="66">
        <f t="shared" si="6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5"/>
        <v>6.6584999999999965</v>
      </c>
      <c r="N44" s="66">
        <f t="shared" si="6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5"/>
        <v>0</v>
      </c>
      <c r="N45" s="66">
        <f t="shared" si="6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5"/>
        <v>5.7342700000000093</v>
      </c>
      <c r="N46" s="66">
        <f t="shared" si="6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7">K53-J53</f>
        <v>96.800000000000011</v>
      </c>
      <c r="N53" s="66">
        <f t="shared" ref="N53:N59" si="8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7"/>
        <v>0</v>
      </c>
      <c r="N54" s="66">
        <f t="shared" si="8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7"/>
        <v>50.703312800560958</v>
      </c>
      <c r="N55" s="66">
        <f t="shared" si="8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7"/>
        <v>0</v>
      </c>
      <c r="N56" s="66">
        <f t="shared" si="8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7"/>
        <v>0</v>
      </c>
      <c r="N57" s="66">
        <f t="shared" si="8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7"/>
        <v>-116.25</v>
      </c>
      <c r="N58" s="66">
        <f t="shared" si="8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7"/>
        <v>0</v>
      </c>
      <c r="N59" s="66">
        <f t="shared" si="8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9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9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9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9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9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9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5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827" t="s">
        <v>1899</v>
      </c>
      <c r="D5" s="827"/>
      <c r="E5" s="827"/>
      <c r="F5" s="382"/>
      <c r="G5" s="827" t="s">
        <v>1900</v>
      </c>
      <c r="H5" s="827"/>
      <c r="I5" s="827"/>
      <c r="J5" s="382"/>
      <c r="K5" s="827" t="s">
        <v>134</v>
      </c>
      <c r="L5" s="827"/>
      <c r="M5" s="827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828" t="s">
        <v>1934</v>
      </c>
      <c r="D14" s="828"/>
      <c r="E14" s="828"/>
      <c r="F14" s="828"/>
      <c r="G14" s="828"/>
      <c r="H14" s="828"/>
      <c r="I14" s="828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828" t="s">
        <v>1934</v>
      </c>
      <c r="D23" s="828"/>
      <c r="E23" s="828"/>
      <c r="F23" s="828"/>
      <c r="G23" s="828"/>
      <c r="H23" s="828"/>
      <c r="I23" s="828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>K30-J30</f>
        <v>110.90047000000001</v>
      </c>
      <c r="N30" s="66">
        <f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>K31-J31</f>
        <v>-1.4724999999999966</v>
      </c>
      <c r="N31" s="66">
        <f>IFERROR(K31/J31-1,0)</f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>K32-J32</f>
        <v>24.871000000000002</v>
      </c>
      <c r="N32" s="66">
        <f>IFERROR(K32/J32-1,0)</f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>K33-J33</f>
        <v>9.2162399999999991</v>
      </c>
      <c r="N33" s="66">
        <f>IFERROR(K33/J33-1,0)</f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4">K37-J37</f>
        <v>0</v>
      </c>
      <c r="N37" s="66">
        <f t="shared" ref="N37:N44" si="5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4"/>
        <v>0</v>
      </c>
      <c r="N38" s="66">
        <f t="shared" si="5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4"/>
        <v>0</v>
      </c>
      <c r="N39" s="66">
        <f t="shared" si="5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4"/>
        <v>0</v>
      </c>
      <c r="N40" s="66">
        <f t="shared" si="5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4"/>
        <v>0</v>
      </c>
      <c r="N41" s="66">
        <f t="shared" si="5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4"/>
        <v>6.6584999999999965</v>
      </c>
      <c r="N42" s="66">
        <f t="shared" si="5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4"/>
        <v>0</v>
      </c>
      <c r="N43" s="66">
        <f t="shared" si="5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4"/>
        <v>5.7342700000000093</v>
      </c>
      <c r="N44" s="66">
        <f t="shared" si="5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 t="shared" ref="N17:N22" si="10"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si="10"/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>SUM(F17:F21)</f>
        <v>38.982199999999999</v>
      </c>
      <c r="G22" s="59">
        <f>SUM(G17:G21)</f>
        <v>70.953709999999987</v>
      </c>
      <c r="I22" s="59">
        <f>SUM(I17:I21)</f>
        <v>48.871600000000001</v>
      </c>
      <c r="J22" s="59">
        <f>SUM(J17:J21)</f>
        <v>83.505239999999986</v>
      </c>
      <c r="K22" s="59">
        <f>SUM(K17:K21)</f>
        <v>55.597719999999995</v>
      </c>
      <c r="L22" s="71"/>
      <c r="M22" s="59">
        <f>SUM(M17:M21)</f>
        <v>-27.907520000000002</v>
      </c>
      <c r="N22" s="89">
        <f t="shared" si="10"/>
        <v>-0.33420082380458993</v>
      </c>
      <c r="P22" s="59">
        <f t="shared" ref="P22:AT22" si="11">SUM(P17:P21)</f>
        <v>7.5636000000000001</v>
      </c>
      <c r="Q22" s="59">
        <f t="shared" si="11"/>
        <v>6.5111999999999997</v>
      </c>
      <c r="R22" s="59">
        <f t="shared" si="11"/>
        <v>0.1162</v>
      </c>
      <c r="S22" s="59">
        <f t="shared" si="11"/>
        <v>0.1406</v>
      </c>
      <c r="T22" s="59">
        <f t="shared" si="11"/>
        <v>3.5920000000000001</v>
      </c>
      <c r="U22" s="59">
        <f t="shared" si="11"/>
        <v>1.3717999999999999</v>
      </c>
      <c r="V22" s="59">
        <f t="shared" si="11"/>
        <v>11.465299999999999</v>
      </c>
      <c r="W22" s="59">
        <f t="shared" si="11"/>
        <v>7.3414000000000001</v>
      </c>
      <c r="X22" s="59">
        <f t="shared" si="11"/>
        <v>1.8808</v>
      </c>
      <c r="Y22" s="59">
        <f t="shared" si="11"/>
        <v>-0.10460000000000003</v>
      </c>
      <c r="Z22" s="59">
        <f t="shared" si="11"/>
        <v>0.52500000000000002</v>
      </c>
      <c r="AA22" s="59">
        <f t="shared" si="11"/>
        <v>0.24680000000000002</v>
      </c>
      <c r="AB22" s="59">
        <f t="shared" si="11"/>
        <v>20.968399999999999</v>
      </c>
      <c r="AC22" s="59">
        <f t="shared" si="11"/>
        <v>11.607949999999999</v>
      </c>
      <c r="AD22" s="59">
        <f t="shared" si="11"/>
        <v>1.1283300000000001</v>
      </c>
      <c r="AE22" s="59">
        <f t="shared" si="11"/>
        <v>1.1956</v>
      </c>
      <c r="AF22" s="59">
        <f t="shared" si="11"/>
        <v>1.0338699999999998</v>
      </c>
      <c r="AG22" s="59">
        <f t="shared" si="11"/>
        <v>1.7112700000000001</v>
      </c>
      <c r="AH22" s="59">
        <f t="shared" si="11"/>
        <v>1.3367799999999999</v>
      </c>
      <c r="AI22" s="59">
        <f t="shared" si="11"/>
        <v>2.3805699999999996</v>
      </c>
      <c r="AJ22" s="59">
        <f t="shared" si="11"/>
        <v>2.04121</v>
      </c>
      <c r="AK22" s="59">
        <f t="shared" si="11"/>
        <v>3.6642399999999999</v>
      </c>
      <c r="AL22" s="59">
        <f t="shared" si="11"/>
        <v>1.29758</v>
      </c>
      <c r="AM22" s="59">
        <f t="shared" si="11"/>
        <v>3.1679299999999997</v>
      </c>
      <c r="AN22" s="59">
        <f t="shared" si="11"/>
        <v>8.9426800000000011</v>
      </c>
      <c r="AO22" s="59">
        <f t="shared" si="11"/>
        <v>33.510510000000004</v>
      </c>
      <c r="AP22" s="59">
        <f t="shared" si="11"/>
        <v>15.752599999999999</v>
      </c>
      <c r="AQ22" s="59">
        <f t="shared" si="11"/>
        <v>8.2833600000000001</v>
      </c>
      <c r="AR22" s="59">
        <f t="shared" si="11"/>
        <v>0.66824000000000006</v>
      </c>
      <c r="AS22" s="59">
        <f t="shared" si="11"/>
        <v>3.7091200000000004</v>
      </c>
      <c r="AT22" s="59">
        <f t="shared" si="11"/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12">+P22+P15</f>
        <v>80.9131</v>
      </c>
      <c r="Q24" s="61">
        <f t="shared" si="12"/>
        <v>81.255700000000004</v>
      </c>
      <c r="R24" s="61">
        <f t="shared" si="12"/>
        <v>78.112200000000001</v>
      </c>
      <c r="S24" s="61">
        <f t="shared" si="12"/>
        <v>83.35329999999999</v>
      </c>
      <c r="T24" s="61">
        <f t="shared" si="12"/>
        <v>90.196150000000017</v>
      </c>
      <c r="U24" s="61">
        <f t="shared" si="12"/>
        <v>89.915800000000004</v>
      </c>
      <c r="V24" s="61">
        <f t="shared" si="12"/>
        <v>104.68205</v>
      </c>
      <c r="W24" s="61">
        <f t="shared" si="12"/>
        <v>104.11675</v>
      </c>
      <c r="X24" s="61">
        <f t="shared" si="12"/>
        <v>98.372749999999996</v>
      </c>
      <c r="Y24" s="61">
        <f t="shared" si="12"/>
        <v>99.05889999999998</v>
      </c>
      <c r="Z24" s="61">
        <f t="shared" si="12"/>
        <v>109.2373</v>
      </c>
      <c r="AA24" s="61">
        <f t="shared" si="12"/>
        <v>115.75185000000002</v>
      </c>
      <c r="AB24" s="61">
        <f t="shared" si="12"/>
        <v>138.66254999999998</v>
      </c>
      <c r="AC24" s="61">
        <f t="shared" si="12"/>
        <v>127.8026</v>
      </c>
      <c r="AD24" s="61">
        <f t="shared" si="12"/>
        <v>134.67543000000001</v>
      </c>
      <c r="AE24" s="61">
        <f t="shared" si="12"/>
        <v>135.97560000000001</v>
      </c>
      <c r="AF24" s="61">
        <f t="shared" si="12"/>
        <v>152.05112</v>
      </c>
      <c r="AG24" s="61">
        <f t="shared" si="12"/>
        <v>153.32501999999999</v>
      </c>
      <c r="AH24" s="61">
        <f t="shared" si="12"/>
        <v>155.38077999999999</v>
      </c>
      <c r="AI24" s="61">
        <f t="shared" si="12"/>
        <v>159.87331999999998</v>
      </c>
      <c r="AJ24" s="61">
        <f t="shared" si="12"/>
        <v>163.99921000000001</v>
      </c>
      <c r="AK24" s="61">
        <f t="shared" si="12"/>
        <v>179.24424000000002</v>
      </c>
      <c r="AL24" s="61">
        <f t="shared" si="12"/>
        <v>181.69058000000004</v>
      </c>
      <c r="AM24" s="61">
        <f t="shared" si="12"/>
        <v>196.70267999999999</v>
      </c>
      <c r="AN24" s="61">
        <f t="shared" si="12"/>
        <v>212.18599999999995</v>
      </c>
      <c r="AO24" s="61">
        <f t="shared" si="12"/>
        <v>241.89637999999999</v>
      </c>
      <c r="AP24" s="61">
        <f t="shared" si="12"/>
        <v>231.49535</v>
      </c>
      <c r="AQ24" s="61">
        <f t="shared" si="12"/>
        <v>240.31947</v>
      </c>
      <c r="AR24" s="61">
        <f t="shared" si="12"/>
        <v>246.19884999999996</v>
      </c>
      <c r="AS24" s="61">
        <f t="shared" si="12"/>
        <v>247.49930000000001</v>
      </c>
      <c r="AT24" s="62">
        <f t="shared" si="12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>+F26+F24</f>
        <v>997.87309999999991</v>
      </c>
      <c r="G28" s="62">
        <f>+G26+G24</f>
        <v>1671.0211999999999</v>
      </c>
      <c r="I28" s="63">
        <f>+I26+I24</f>
        <v>1524.41065</v>
      </c>
      <c r="J28" s="61">
        <f>+J26+J24</f>
        <v>2552.5312300000001</v>
      </c>
      <c r="K28" s="62">
        <f>+K26+K24</f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13">+P26+P19</f>
        <v>0</v>
      </c>
      <c r="Q28" s="61">
        <f t="shared" si="13"/>
        <v>0</v>
      </c>
      <c r="R28" s="61">
        <f t="shared" si="13"/>
        <v>0</v>
      </c>
      <c r="S28" s="61">
        <f t="shared" si="13"/>
        <v>0</v>
      </c>
      <c r="T28" s="61">
        <f t="shared" si="13"/>
        <v>0</v>
      </c>
      <c r="U28" s="61">
        <f t="shared" si="13"/>
        <v>0</v>
      </c>
      <c r="V28" s="61">
        <f t="shared" si="13"/>
        <v>0</v>
      </c>
      <c r="W28" s="61">
        <f t="shared" si="13"/>
        <v>0</v>
      </c>
      <c r="X28" s="61">
        <f t="shared" si="13"/>
        <v>0</v>
      </c>
      <c r="Y28" s="61">
        <f t="shared" si="13"/>
        <v>0</v>
      </c>
      <c r="Z28" s="61">
        <f t="shared" si="13"/>
        <v>0</v>
      </c>
      <c r="AA28" s="61">
        <f t="shared" si="13"/>
        <v>0</v>
      </c>
      <c r="AB28" s="61">
        <f t="shared" si="13"/>
        <v>0</v>
      </c>
      <c r="AC28" s="61">
        <f t="shared" si="13"/>
        <v>0</v>
      </c>
      <c r="AD28" s="61">
        <f t="shared" si="13"/>
        <v>0</v>
      </c>
      <c r="AE28" s="61">
        <f t="shared" si="13"/>
        <v>0</v>
      </c>
      <c r="AF28" s="61">
        <f t="shared" si="13"/>
        <v>0</v>
      </c>
      <c r="AG28" s="61">
        <f t="shared" si="13"/>
        <v>0</v>
      </c>
      <c r="AH28" s="61">
        <f t="shared" si="13"/>
        <v>0</v>
      </c>
      <c r="AI28" s="61">
        <f t="shared" si="13"/>
        <v>0</v>
      </c>
      <c r="AJ28" s="61">
        <f t="shared" si="13"/>
        <v>0.875</v>
      </c>
      <c r="AK28" s="61">
        <f t="shared" si="13"/>
        <v>1.65</v>
      </c>
      <c r="AL28" s="61">
        <f t="shared" si="13"/>
        <v>0</v>
      </c>
      <c r="AM28" s="61">
        <f t="shared" si="13"/>
        <v>0.875</v>
      </c>
      <c r="AN28" s="61">
        <f t="shared" si="13"/>
        <v>0</v>
      </c>
      <c r="AO28" s="61">
        <f t="shared" si="13"/>
        <v>0</v>
      </c>
      <c r="AP28" s="61">
        <f t="shared" si="13"/>
        <v>14.19</v>
      </c>
      <c r="AQ28" s="61">
        <f t="shared" si="13"/>
        <v>6.625</v>
      </c>
      <c r="AR28" s="61">
        <f t="shared" si="13"/>
        <v>0</v>
      </c>
      <c r="AS28" s="61">
        <f t="shared" si="13"/>
        <v>3.1</v>
      </c>
      <c r="AT28" s="62">
        <f t="shared" si="13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14">SUMIFS($P31:$AT31,$P$5:$AT$5,"&gt;"&amp;C$199,$P$5:$AT$5,"&lt;"&amp;C$200)</f>
        <v>101.37520000000001</v>
      </c>
      <c r="D31" s="23">
        <f t="shared" si="14"/>
        <v>281.24054000000001</v>
      </c>
      <c r="E31" s="23"/>
      <c r="F31" s="23">
        <f t="shared" ref="F31:G39" si="15">SUMIFS($P31:$AT31,$P$5:$AT$5,"&gt;"&amp;F$199,$P$5:$AT$5,"&lt;"&amp;F$200)</f>
        <v>136.29648</v>
      </c>
      <c r="G31" s="23">
        <f t="shared" si="15"/>
        <v>357.27472</v>
      </c>
      <c r="H31" s="23"/>
      <c r="I31" s="23">
        <f t="shared" ref="I31:J39" si="16">SUMIFS($P31:$AT31,$P$5:$AT$5,"&gt;"&amp;I$199,$P$5:$AT$5,"&lt;"&amp;I$200)</f>
        <v>202.41598000000002</v>
      </c>
      <c r="J31" s="23">
        <f t="shared" si="16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17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14"/>
        <v>183.36902999999998</v>
      </c>
      <c r="D32" s="23">
        <f t="shared" si="14"/>
        <v>316.18462</v>
      </c>
      <c r="E32" s="23"/>
      <c r="F32" s="23">
        <f t="shared" si="15"/>
        <v>147.26813000000001</v>
      </c>
      <c r="G32" s="23">
        <f t="shared" si="15"/>
        <v>267.75739999999996</v>
      </c>
      <c r="H32" s="23"/>
      <c r="I32" s="23">
        <f t="shared" si="16"/>
        <v>240.18097999999998</v>
      </c>
      <c r="J32" s="23">
        <f t="shared" si="16"/>
        <v>436.67388999999997</v>
      </c>
      <c r="K32" s="65">
        <f>+C130</f>
        <v>492.6</v>
      </c>
      <c r="L32" s="65"/>
      <c r="M32" s="23">
        <f t="shared" ref="M32:M39" si="18">K32-J32</f>
        <v>55.926110000000051</v>
      </c>
      <c r="N32" s="66">
        <f t="shared" si="17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14"/>
        <v>286.16129000000001</v>
      </c>
      <c r="D33" s="23">
        <f t="shared" si="14"/>
        <v>352.95844</v>
      </c>
      <c r="E33" s="23"/>
      <c r="F33" s="23">
        <f t="shared" si="15"/>
        <v>201.27983</v>
      </c>
      <c r="G33" s="23">
        <f t="shared" si="15"/>
        <v>202.05309</v>
      </c>
      <c r="H33" s="23"/>
      <c r="I33" s="23">
        <f t="shared" si="16"/>
        <v>353.12842999999998</v>
      </c>
      <c r="J33" s="23">
        <f t="shared" si="16"/>
        <v>353.7317000000001</v>
      </c>
      <c r="K33" s="65">
        <f>+C132</f>
        <v>392.92452000000003</v>
      </c>
      <c r="L33" s="65"/>
      <c r="M33" s="23">
        <f t="shared" si="18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14"/>
        <v>122.81254999999999</v>
      </c>
      <c r="D34" s="23">
        <f t="shared" si="14"/>
        <v>152.16972000000001</v>
      </c>
      <c r="E34" s="23"/>
      <c r="F34" s="23">
        <f t="shared" si="15"/>
        <v>73.949619999999996</v>
      </c>
      <c r="G34" s="23">
        <f t="shared" si="15"/>
        <v>111.27999</v>
      </c>
      <c r="H34" s="23"/>
      <c r="I34" s="23">
        <f t="shared" si="16"/>
        <v>121.30735</v>
      </c>
      <c r="J34" s="23">
        <f t="shared" si="16"/>
        <v>189.50009</v>
      </c>
      <c r="K34" s="65">
        <f>+C136</f>
        <v>197.14943999999997</v>
      </c>
      <c r="L34" s="65"/>
      <c r="M34" s="23">
        <f t="shared" si="18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14"/>
        <v>0</v>
      </c>
      <c r="D35" s="23">
        <f t="shared" si="14"/>
        <v>90.66704</v>
      </c>
      <c r="E35" s="23"/>
      <c r="F35" s="23">
        <f t="shared" si="15"/>
        <v>45.466120000000004</v>
      </c>
      <c r="G35" s="23">
        <f t="shared" si="15"/>
        <v>63.143019999999993</v>
      </c>
      <c r="H35" s="23"/>
      <c r="I35" s="23">
        <f t="shared" si="16"/>
        <v>45.466120000000004</v>
      </c>
      <c r="J35" s="23">
        <f t="shared" si="16"/>
        <v>108.34394</v>
      </c>
      <c r="K35" s="65">
        <f>+C131</f>
        <v>108.34394</v>
      </c>
      <c r="L35" s="65"/>
      <c r="M35" s="23">
        <f t="shared" si="18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14"/>
        <v>0</v>
      </c>
      <c r="D36" s="23">
        <f t="shared" si="14"/>
        <v>19.149630000000002</v>
      </c>
      <c r="E36" s="23"/>
      <c r="F36" s="23">
        <f t="shared" si="15"/>
        <v>3.09945</v>
      </c>
      <c r="G36" s="23">
        <f t="shared" si="15"/>
        <v>51.941310000000001</v>
      </c>
      <c r="H36" s="23"/>
      <c r="I36" s="23">
        <f t="shared" si="16"/>
        <v>3.09945</v>
      </c>
      <c r="J36" s="23">
        <f t="shared" si="16"/>
        <v>67.991489999999999</v>
      </c>
      <c r="K36" s="65">
        <f>+C133</f>
        <v>98.349119999999999</v>
      </c>
      <c r="L36" s="65"/>
      <c r="M36" s="23">
        <f t="shared" si="18"/>
        <v>30.35763</v>
      </c>
      <c r="N36" s="66">
        <f t="shared" si="17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14"/>
        <v>1.1133499999999998</v>
      </c>
      <c r="D37" s="23">
        <f t="shared" si="14"/>
        <v>29.564150000000001</v>
      </c>
      <c r="E37" s="23"/>
      <c r="F37" s="23">
        <f t="shared" si="15"/>
        <v>14.275850000000002</v>
      </c>
      <c r="G37" s="23">
        <f t="shared" si="15"/>
        <v>42.085049999999995</v>
      </c>
      <c r="H37" s="23"/>
      <c r="I37" s="23">
        <f t="shared" si="16"/>
        <v>15.389199999999999</v>
      </c>
      <c r="J37" s="23">
        <f t="shared" si="16"/>
        <v>57.373349999999995</v>
      </c>
      <c r="K37" s="65">
        <f>+C134</f>
        <v>58.2</v>
      </c>
      <c r="L37" s="65"/>
      <c r="M37" s="23">
        <f t="shared" si="18"/>
        <v>0.82665000000000788</v>
      </c>
      <c r="N37" s="66">
        <f t="shared" si="17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14"/>
        <v>0</v>
      </c>
      <c r="D38" s="23">
        <f t="shared" si="14"/>
        <v>0</v>
      </c>
      <c r="E38" s="23"/>
      <c r="F38" s="23">
        <f t="shared" si="15"/>
        <v>0</v>
      </c>
      <c r="G38" s="23">
        <f t="shared" si="15"/>
        <v>7.9949999999999992</v>
      </c>
      <c r="H38" s="23"/>
      <c r="I38" s="23">
        <f t="shared" si="16"/>
        <v>0</v>
      </c>
      <c r="J38" s="23">
        <f t="shared" si="16"/>
        <v>7.9949999999999992</v>
      </c>
      <c r="K38" s="65">
        <f>+C135</f>
        <v>33.081240000000001</v>
      </c>
      <c r="L38" s="65"/>
      <c r="M38" s="23">
        <f t="shared" si="18"/>
        <v>25.086240000000004</v>
      </c>
      <c r="N38" s="66">
        <f t="shared" si="17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14"/>
        <v>5.3740499999999995</v>
      </c>
      <c r="D39" s="23">
        <f t="shared" si="14"/>
        <v>19.23245</v>
      </c>
      <c r="E39" s="23"/>
      <c r="F39" s="23">
        <f t="shared" si="15"/>
        <v>9.0216600000000007</v>
      </c>
      <c r="G39" s="23">
        <f t="shared" si="15"/>
        <v>17.36251</v>
      </c>
      <c r="H39" s="23"/>
      <c r="I39" s="23">
        <f t="shared" si="16"/>
        <v>12.16686</v>
      </c>
      <c r="J39" s="23">
        <f t="shared" si="16"/>
        <v>27.573299999999996</v>
      </c>
      <c r="K39" s="65">
        <f>+C137</f>
        <v>32.178359999999998</v>
      </c>
      <c r="L39" s="65"/>
      <c r="M39" s="23">
        <f t="shared" si="18"/>
        <v>4.6050600000000017</v>
      </c>
      <c r="N39" s="66">
        <f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17"/>
        <v>0.1956861817079365</v>
      </c>
      <c r="P40" s="59">
        <f t="shared" ref="P40:AT40" si="19">SUM(P31:P39)</f>
        <v>31.74682</v>
      </c>
      <c r="Q40" s="59">
        <f t="shared" si="19"/>
        <v>37.626089999999998</v>
      </c>
      <c r="R40" s="59">
        <f t="shared" si="19"/>
        <v>37.778649999999999</v>
      </c>
      <c r="S40" s="59">
        <f t="shared" si="19"/>
        <v>50.818180000000005</v>
      </c>
      <c r="T40" s="59">
        <f t="shared" si="19"/>
        <v>70.644099999999995</v>
      </c>
      <c r="U40" s="59">
        <f t="shared" si="19"/>
        <v>52.940650000000005</v>
      </c>
      <c r="V40" s="59">
        <f t="shared" si="19"/>
        <v>56.153749999999995</v>
      </c>
      <c r="W40" s="59">
        <f t="shared" si="19"/>
        <v>52.541019999999996</v>
      </c>
      <c r="X40" s="59">
        <f t="shared" si="19"/>
        <v>58.642799999999994</v>
      </c>
      <c r="Y40" s="59">
        <f t="shared" si="19"/>
        <v>62.41675</v>
      </c>
      <c r="Z40" s="59">
        <f t="shared" si="19"/>
        <v>95.206890000000001</v>
      </c>
      <c r="AA40" s="59">
        <f t="shared" si="19"/>
        <v>93.689769999999996</v>
      </c>
      <c r="AB40" s="59">
        <f t="shared" si="19"/>
        <v>86.697400000000016</v>
      </c>
      <c r="AC40" s="59">
        <f t="shared" si="19"/>
        <v>70.622489999999999</v>
      </c>
      <c r="AD40" s="59">
        <f t="shared" si="19"/>
        <v>79.527290000000008</v>
      </c>
      <c r="AE40" s="59">
        <f t="shared" si="19"/>
        <v>92.874989999999997</v>
      </c>
      <c r="AF40" s="59">
        <f t="shared" si="19"/>
        <v>96.682289999999995</v>
      </c>
      <c r="AG40" s="59">
        <f t="shared" si="19"/>
        <v>95.893410000000017</v>
      </c>
      <c r="AH40" s="59">
        <f t="shared" si="19"/>
        <v>108.35927</v>
      </c>
      <c r="AI40" s="59">
        <f t="shared" si="19"/>
        <v>103.32645000000001</v>
      </c>
      <c r="AJ40" s="59">
        <f t="shared" si="19"/>
        <v>120.57245999999999</v>
      </c>
      <c r="AK40" s="59">
        <f t="shared" si="19"/>
        <v>138.08331000000001</v>
      </c>
      <c r="AL40" s="59">
        <f t="shared" si="19"/>
        <v>122.83484</v>
      </c>
      <c r="AM40" s="59">
        <f t="shared" si="19"/>
        <v>145.69238999999999</v>
      </c>
      <c r="AN40" s="59">
        <f t="shared" si="19"/>
        <v>135.50082</v>
      </c>
      <c r="AO40" s="59">
        <f t="shared" si="19"/>
        <v>117.71538000000001</v>
      </c>
      <c r="AP40" s="59">
        <f t="shared" si="19"/>
        <v>169.54907000000003</v>
      </c>
      <c r="AQ40" s="59">
        <f t="shared" si="19"/>
        <v>171.55422000000002</v>
      </c>
      <c r="AR40" s="59">
        <f t="shared" si="19"/>
        <v>168.43431999999996</v>
      </c>
      <c r="AS40" s="59">
        <f t="shared" si="19"/>
        <v>177.74943999999994</v>
      </c>
      <c r="AT40" s="59">
        <f t="shared" si="19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20">SUMIFS($P42:$AT42,$P$5:$AT$5,"&gt;"&amp;C$199,$P$5:$AT$5,"&lt;"&amp;C$200)</f>
        <v>114.42268999999999</v>
      </c>
      <c r="D42" s="23">
        <f t="shared" si="20"/>
        <v>157.49471000000003</v>
      </c>
      <c r="E42" s="23"/>
      <c r="F42" s="23">
        <f t="shared" ref="F42:G45" si="21">SUMIFS($P42:$AT42,$P$5:$AT$5,"&gt;"&amp;F$199,$P$5:$AT$5,"&lt;"&amp;F$200)</f>
        <v>84.968590000000006</v>
      </c>
      <c r="G42" s="23">
        <f t="shared" si="21"/>
        <v>152.28157000000002</v>
      </c>
      <c r="H42" s="23"/>
      <c r="I42" s="23">
        <f t="shared" ref="I42:J45" si="22">SUMIFS($P42:$AT42,$P$5:$AT$5,"&gt;"&amp;I$199,$P$5:$AT$5,"&lt;"&amp;I$200)</f>
        <v>142.28344999999999</v>
      </c>
      <c r="J42" s="23">
        <f t="shared" si="22"/>
        <v>224.80769000000001</v>
      </c>
      <c r="K42" s="65">
        <f>+C141</f>
        <v>335.70816000000002</v>
      </c>
      <c r="L42" s="65"/>
      <c r="M42" s="23">
        <f>K42-J42</f>
        <v>110.90047000000001</v>
      </c>
      <c r="N42" s="66">
        <f t="shared" ref="N42:N48" si="23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20"/>
        <v>60.915939999999999</v>
      </c>
      <c r="D43" s="23">
        <f t="shared" si="20"/>
        <v>117.05866</v>
      </c>
      <c r="E43" s="23"/>
      <c r="F43" s="23">
        <f t="shared" si="21"/>
        <v>56.811500000000009</v>
      </c>
      <c r="G43" s="23">
        <f t="shared" si="21"/>
        <v>97.04798000000001</v>
      </c>
      <c r="H43" s="23"/>
      <c r="I43" s="23">
        <f t="shared" si="22"/>
        <v>86.514889999999994</v>
      </c>
      <c r="J43" s="23">
        <f t="shared" si="22"/>
        <v>157.29514</v>
      </c>
      <c r="K43" s="65">
        <f>+C142</f>
        <v>155.82264000000001</v>
      </c>
      <c r="L43" s="65"/>
      <c r="M43" s="23">
        <f>K43-J43</f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20"/>
        <v>0</v>
      </c>
      <c r="D44" s="23">
        <f t="shared" si="20"/>
        <v>7.1412499999999994</v>
      </c>
      <c r="E44" s="23"/>
      <c r="F44" s="23">
        <f t="shared" si="21"/>
        <v>0</v>
      </c>
      <c r="G44" s="23">
        <f t="shared" si="21"/>
        <v>28.827750000000002</v>
      </c>
      <c r="H44" s="23"/>
      <c r="I44" s="23">
        <f t="shared" si="22"/>
        <v>0</v>
      </c>
      <c r="J44" s="23">
        <f t="shared" si="22"/>
        <v>35.969000000000001</v>
      </c>
      <c r="K44" s="65">
        <f>+C143</f>
        <v>60.84</v>
      </c>
      <c r="L44" s="65"/>
      <c r="M44" s="23">
        <f>K44-J44</f>
        <v>24.871000000000002</v>
      </c>
      <c r="N44" s="66">
        <f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20"/>
        <v>0</v>
      </c>
      <c r="D45" s="23">
        <f t="shared" si="20"/>
        <v>0</v>
      </c>
      <c r="E45" s="23"/>
      <c r="F45" s="23">
        <f t="shared" si="21"/>
        <v>0</v>
      </c>
      <c r="G45" s="23">
        <f t="shared" si="21"/>
        <v>6.52752</v>
      </c>
      <c r="H45" s="23"/>
      <c r="I45" s="23">
        <f t="shared" si="22"/>
        <v>0</v>
      </c>
      <c r="J45" s="23">
        <f t="shared" si="22"/>
        <v>6.52752</v>
      </c>
      <c r="K45" s="65">
        <f>+C144</f>
        <v>15.743759999999998</v>
      </c>
      <c r="L45" s="65"/>
      <c r="M45" s="23">
        <f>K45-J45</f>
        <v>9.2162399999999991</v>
      </c>
      <c r="N45" s="66">
        <f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>SUM(F42:F45)</f>
        <v>141.78009000000003</v>
      </c>
      <c r="G46" s="59">
        <f>SUM(G42:G45)</f>
        <v>284.68482</v>
      </c>
      <c r="I46" s="59">
        <f>SUM(I42:I45)</f>
        <v>228.79834</v>
      </c>
      <c r="J46" s="59">
        <f>SUM(J42:J45)</f>
        <v>424.59935000000002</v>
      </c>
      <c r="K46" s="59">
        <f>SUM(K42:K45)</f>
        <v>568.11455999999998</v>
      </c>
      <c r="L46" s="71"/>
      <c r="M46" s="59">
        <f>SUM(M42:M45)</f>
        <v>143.51521000000002</v>
      </c>
      <c r="N46" s="89">
        <f t="shared" si="23"/>
        <v>0.33800148304513411</v>
      </c>
      <c r="P46" s="59">
        <f t="shared" ref="P46:AT46" si="24">SUM(P42:P45)</f>
        <v>10.52585</v>
      </c>
      <c r="Q46" s="59">
        <f t="shared" si="24"/>
        <v>10.63571</v>
      </c>
      <c r="R46" s="59">
        <f t="shared" si="24"/>
        <v>11.751950000000001</v>
      </c>
      <c r="S46" s="59">
        <f t="shared" si="24"/>
        <v>11.98489</v>
      </c>
      <c r="T46" s="59">
        <f t="shared" si="24"/>
        <v>12.81546</v>
      </c>
      <c r="U46" s="59">
        <f t="shared" si="24"/>
        <v>14.24615</v>
      </c>
      <c r="V46" s="59">
        <f t="shared" si="24"/>
        <v>16.36037</v>
      </c>
      <c r="W46" s="59">
        <f t="shared" si="24"/>
        <v>16.36683</v>
      </c>
      <c r="X46" s="59">
        <f t="shared" si="24"/>
        <v>16.550719999999998</v>
      </c>
      <c r="Y46" s="59">
        <f t="shared" si="24"/>
        <v>17.8567</v>
      </c>
      <c r="Z46" s="59">
        <f t="shared" si="24"/>
        <v>17.59788</v>
      </c>
      <c r="AA46" s="59">
        <f t="shared" si="24"/>
        <v>18.64612</v>
      </c>
      <c r="AB46" s="59">
        <f t="shared" si="24"/>
        <v>18.594989999999999</v>
      </c>
      <c r="AC46" s="59">
        <f t="shared" si="24"/>
        <v>20.10492</v>
      </c>
      <c r="AD46" s="59">
        <f t="shared" si="24"/>
        <v>19.462519999999998</v>
      </c>
      <c r="AE46" s="59">
        <f t="shared" si="24"/>
        <v>19.645500000000002</v>
      </c>
      <c r="AF46" s="59">
        <f t="shared" si="24"/>
        <v>20.642859999999999</v>
      </c>
      <c r="AG46" s="59">
        <f t="shared" si="24"/>
        <v>21.20917</v>
      </c>
      <c r="AH46" s="59">
        <f t="shared" si="24"/>
        <v>22.120130000000003</v>
      </c>
      <c r="AI46" s="59">
        <f t="shared" si="24"/>
        <v>24.11375</v>
      </c>
      <c r="AJ46" s="59">
        <f t="shared" si="24"/>
        <v>25.266280000000002</v>
      </c>
      <c r="AK46" s="59">
        <f t="shared" si="24"/>
        <v>25.829260000000001</v>
      </c>
      <c r="AL46" s="59">
        <f t="shared" si="24"/>
        <v>30.724890000000002</v>
      </c>
      <c r="AM46" s="59">
        <f t="shared" si="24"/>
        <v>33.980350000000001</v>
      </c>
      <c r="AN46" s="59">
        <f t="shared" si="24"/>
        <v>34.801209999999998</v>
      </c>
      <c r="AO46" s="59">
        <f t="shared" si="24"/>
        <v>36.180370000000003</v>
      </c>
      <c r="AP46" s="59">
        <f t="shared" si="24"/>
        <v>37.779439999999994</v>
      </c>
      <c r="AQ46" s="59">
        <f t="shared" si="24"/>
        <v>42.557700000000004</v>
      </c>
      <c r="AR46" s="59">
        <f t="shared" si="24"/>
        <v>41.873910000000002</v>
      </c>
      <c r="AS46" s="59">
        <f t="shared" si="24"/>
        <v>44.14931</v>
      </c>
      <c r="AT46" s="59">
        <f t="shared" si="24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25">SUMIFS($P48:$AT48,$P$5:$AT$5,"&gt;"&amp;C$199,$P$5:$AT$5,"&lt;"&amp;C$200)</f>
        <v>18.234249999999999</v>
      </c>
      <c r="D48" s="23">
        <f t="shared" si="25"/>
        <v>27.040950000000002</v>
      </c>
      <c r="E48" s="23"/>
      <c r="F48" s="23">
        <f t="shared" ref="F48:G65" si="26">SUMIFS($P48:$AT48,$P$5:$AT$5,"&gt;"&amp;F$199,$P$5:$AT$5,"&lt;"&amp;F$200)</f>
        <v>12.014000000000001</v>
      </c>
      <c r="G48" s="23">
        <f t="shared" si="26"/>
        <v>57.55</v>
      </c>
      <c r="H48" s="23"/>
      <c r="I48" s="23">
        <f t="shared" ref="I48:J65" si="27">SUMIFS($P48:$AT48,$P$5:$AT$5,"&gt;"&amp;I$199,$P$5:$AT$5,"&lt;"&amp;I$200)</f>
        <v>21.74858</v>
      </c>
      <c r="J48" s="23">
        <f t="shared" si="27"/>
        <v>72.576949999999997</v>
      </c>
      <c r="K48" s="65">
        <f t="shared" ref="K48:K53" si="28">+C148</f>
        <v>72.576949999999997</v>
      </c>
      <c r="L48" s="65"/>
      <c r="M48" s="23">
        <f t="shared" ref="M48:M65" si="29">K48-J48</f>
        <v>0</v>
      </c>
      <c r="N48" s="66">
        <f t="shared" si="23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25"/>
        <v>24.819999999999997</v>
      </c>
      <c r="D49" s="23">
        <f t="shared" si="25"/>
        <v>27.153739999999999</v>
      </c>
      <c r="E49" s="23"/>
      <c r="F49" s="23">
        <f t="shared" si="26"/>
        <v>17.089500000000001</v>
      </c>
      <c r="G49" s="23">
        <f t="shared" si="26"/>
        <v>20.62969</v>
      </c>
      <c r="H49" s="23"/>
      <c r="I49" s="23">
        <f t="shared" si="27"/>
        <v>26.209499999999998</v>
      </c>
      <c r="J49" s="23">
        <f t="shared" si="27"/>
        <v>30.693929999999998</v>
      </c>
      <c r="K49" s="65">
        <f t="shared" si="28"/>
        <v>30.693929999999998</v>
      </c>
      <c r="L49" s="65"/>
      <c r="M49" s="23">
        <f t="shared" si="29"/>
        <v>0</v>
      </c>
      <c r="N49" s="66">
        <f t="shared" ref="N49:N66" si="30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25"/>
        <v>0</v>
      </c>
      <c r="D50" s="23">
        <f t="shared" si="25"/>
        <v>29.761219999999998</v>
      </c>
      <c r="E50" s="23"/>
      <c r="F50" s="23">
        <f t="shared" si="26"/>
        <v>22.295579999999998</v>
      </c>
      <c r="G50" s="23">
        <f t="shared" si="26"/>
        <v>20.685420000000001</v>
      </c>
      <c r="H50" s="23"/>
      <c r="I50" s="23">
        <f t="shared" si="27"/>
        <v>22.295579999999998</v>
      </c>
      <c r="J50" s="23">
        <f t="shared" si="27"/>
        <v>28.151060000000001</v>
      </c>
      <c r="K50" s="65">
        <f t="shared" si="28"/>
        <v>28.151060000000001</v>
      </c>
      <c r="L50" s="65"/>
      <c r="M50" s="23">
        <f t="shared" si="29"/>
        <v>0</v>
      </c>
      <c r="N50" s="66">
        <f t="shared" si="30"/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25"/>
        <v>8.670989999999998</v>
      </c>
      <c r="D51" s="23">
        <f t="shared" si="25"/>
        <v>13.35153</v>
      </c>
      <c r="E51" s="23"/>
      <c r="F51" s="23">
        <f t="shared" si="26"/>
        <v>6.8044500000000001</v>
      </c>
      <c r="G51" s="23">
        <f t="shared" si="26"/>
        <v>9.02684</v>
      </c>
      <c r="H51" s="23"/>
      <c r="I51" s="23">
        <f t="shared" si="27"/>
        <v>10.54373</v>
      </c>
      <c r="J51" s="23">
        <f t="shared" si="27"/>
        <v>15.573919999999999</v>
      </c>
      <c r="K51" s="65">
        <f t="shared" si="28"/>
        <v>15.573919999999999</v>
      </c>
      <c r="L51" s="65"/>
      <c r="M51" s="23">
        <f t="shared" si="29"/>
        <v>0</v>
      </c>
      <c r="N51" s="66">
        <f t="shared" si="30"/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25"/>
        <v>5.4433199999999999</v>
      </c>
      <c r="D52" s="23">
        <f t="shared" si="25"/>
        <v>11.22296</v>
      </c>
      <c r="E52" s="23"/>
      <c r="F52" s="23">
        <f t="shared" si="26"/>
        <v>6.1909999999999989</v>
      </c>
      <c r="G52" s="23">
        <f t="shared" si="26"/>
        <v>6.5788099999999998</v>
      </c>
      <c r="H52" s="23"/>
      <c r="I52" s="23">
        <f t="shared" si="27"/>
        <v>9.5326799999999974</v>
      </c>
      <c r="J52" s="23">
        <f t="shared" si="27"/>
        <v>11.61077</v>
      </c>
      <c r="K52" s="65">
        <f t="shared" si="28"/>
        <v>11.61077</v>
      </c>
      <c r="L52" s="65"/>
      <c r="M52" s="23">
        <f t="shared" si="29"/>
        <v>0</v>
      </c>
      <c r="N52" s="66">
        <f t="shared" si="30"/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25"/>
        <v>0</v>
      </c>
      <c r="D53" s="23">
        <f t="shared" si="25"/>
        <v>11.4983</v>
      </c>
      <c r="E53" s="23"/>
      <c r="F53" s="23">
        <f t="shared" si="26"/>
        <v>0</v>
      </c>
      <c r="G53" s="23">
        <f t="shared" si="26"/>
        <v>11.84548</v>
      </c>
      <c r="H53" s="23"/>
      <c r="I53" s="23">
        <f t="shared" si="27"/>
        <v>0</v>
      </c>
      <c r="J53" s="23">
        <f t="shared" si="27"/>
        <v>23.343780000000002</v>
      </c>
      <c r="K53" s="65">
        <f t="shared" si="28"/>
        <v>23.343780000000002</v>
      </c>
      <c r="L53" s="65"/>
      <c r="M53" s="23">
        <f t="shared" si="29"/>
        <v>0</v>
      </c>
      <c r="N53" s="66">
        <f t="shared" si="30"/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25"/>
        <v>0</v>
      </c>
      <c r="D54" s="23">
        <f t="shared" si="25"/>
        <v>1.5874999999999999</v>
      </c>
      <c r="E54" s="23"/>
      <c r="F54" s="23">
        <f t="shared" si="26"/>
        <v>0</v>
      </c>
      <c r="G54" s="23">
        <f t="shared" si="26"/>
        <v>30.515499999999999</v>
      </c>
      <c r="H54" s="23"/>
      <c r="I54" s="23">
        <f t="shared" si="27"/>
        <v>0</v>
      </c>
      <c r="J54" s="23">
        <f t="shared" si="27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 t="shared" si="30"/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25"/>
        <v>14.902050000000003</v>
      </c>
      <c r="D55" s="23">
        <f t="shared" si="25"/>
        <v>31.604100000000003</v>
      </c>
      <c r="E55" s="23"/>
      <c r="F55" s="23">
        <f t="shared" si="26"/>
        <v>28.299939999999999</v>
      </c>
      <c r="G55" s="23">
        <f t="shared" si="26"/>
        <v>5.5646000000000004</v>
      </c>
      <c r="H55" s="23"/>
      <c r="I55" s="23">
        <f t="shared" si="27"/>
        <v>35.346060000000008</v>
      </c>
      <c r="J55" s="23">
        <f t="shared" si="27"/>
        <v>8.86876</v>
      </c>
      <c r="K55" s="65">
        <f>+C155</f>
        <v>8.86876</v>
      </c>
      <c r="L55" s="65"/>
      <c r="M55" s="23">
        <f t="shared" si="29"/>
        <v>0</v>
      </c>
      <c r="N55" s="66">
        <f t="shared" si="30"/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25"/>
        <v>6.673</v>
      </c>
      <c r="D56" s="23">
        <f t="shared" si="25"/>
        <v>6.673</v>
      </c>
      <c r="E56" s="23"/>
      <c r="F56" s="23">
        <f t="shared" si="26"/>
        <v>0</v>
      </c>
      <c r="G56" s="23">
        <f t="shared" si="26"/>
        <v>0</v>
      </c>
      <c r="H56" s="23"/>
      <c r="I56" s="23">
        <f t="shared" si="27"/>
        <v>6.673</v>
      </c>
      <c r="J56" s="23">
        <f t="shared" si="27"/>
        <v>6.673</v>
      </c>
      <c r="K56" s="65">
        <f t="shared" ref="K56:K61" si="31">+C156</f>
        <v>6.673</v>
      </c>
      <c r="L56" s="65"/>
      <c r="M56" s="23">
        <f t="shared" si="29"/>
        <v>0</v>
      </c>
      <c r="N56" s="66">
        <f t="shared" si="30"/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25"/>
        <v>7.2617299999999982</v>
      </c>
      <c r="D57" s="23">
        <f t="shared" si="25"/>
        <v>4.91967</v>
      </c>
      <c r="E57" s="23"/>
      <c r="F57" s="23">
        <f t="shared" si="26"/>
        <v>2.9246699999999999</v>
      </c>
      <c r="G57" s="23">
        <f t="shared" si="26"/>
        <v>2.9085700000000001</v>
      </c>
      <c r="H57" s="23"/>
      <c r="I57" s="23">
        <f t="shared" si="27"/>
        <v>5.7418700000000005</v>
      </c>
      <c r="J57" s="23">
        <f t="shared" si="27"/>
        <v>4.9035700000000002</v>
      </c>
      <c r="K57" s="65">
        <f t="shared" si="31"/>
        <v>4.9035700000000002</v>
      </c>
      <c r="L57" s="65"/>
      <c r="M57" s="23">
        <f t="shared" si="29"/>
        <v>0</v>
      </c>
      <c r="N57" s="66">
        <f t="shared" si="30"/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25"/>
        <v>7.4969999999999999</v>
      </c>
      <c r="D58" s="23">
        <f t="shared" si="25"/>
        <v>9.984</v>
      </c>
      <c r="E58" s="23"/>
      <c r="F58" s="23">
        <f t="shared" si="26"/>
        <v>5.8940000000000001</v>
      </c>
      <c r="G58" s="23">
        <f t="shared" si="26"/>
        <v>1.1719999999999997</v>
      </c>
      <c r="H58" s="23"/>
      <c r="I58" s="23">
        <f t="shared" si="27"/>
        <v>4.673</v>
      </c>
      <c r="J58" s="23">
        <f t="shared" si="27"/>
        <v>5.2619999999999996</v>
      </c>
      <c r="K58" s="65">
        <f t="shared" si="31"/>
        <v>5.2619999999999996</v>
      </c>
      <c r="L58" s="65"/>
      <c r="M58" s="23">
        <f t="shared" si="29"/>
        <v>0</v>
      </c>
      <c r="N58" s="66">
        <f t="shared" si="30"/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25"/>
        <v>2.0899399999999999</v>
      </c>
      <c r="D59" s="23">
        <f t="shared" si="25"/>
        <v>2.6198199999999998</v>
      </c>
      <c r="E59" s="23"/>
      <c r="F59" s="23">
        <f t="shared" si="26"/>
        <v>1.44049</v>
      </c>
      <c r="G59" s="23">
        <f t="shared" si="26"/>
        <v>3.7097100000000003</v>
      </c>
      <c r="H59" s="23"/>
      <c r="I59" s="23">
        <f t="shared" si="27"/>
        <v>2.33371</v>
      </c>
      <c r="J59" s="23">
        <f t="shared" si="27"/>
        <v>4.8890399999999996</v>
      </c>
      <c r="K59" s="65">
        <f t="shared" si="31"/>
        <v>4.8890399999999996</v>
      </c>
      <c r="L59" s="65"/>
      <c r="M59" s="23">
        <f t="shared" si="29"/>
        <v>0</v>
      </c>
      <c r="N59" s="66">
        <f t="shared" si="30"/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25"/>
        <v>0</v>
      </c>
      <c r="D60" s="23">
        <f t="shared" si="25"/>
        <v>1.7559100000000001</v>
      </c>
      <c r="E60" s="23"/>
      <c r="F60" s="23">
        <f t="shared" si="26"/>
        <v>0.53894999999999993</v>
      </c>
      <c r="G60" s="23">
        <f t="shared" si="26"/>
        <v>1.5394899999999998</v>
      </c>
      <c r="H60" s="23"/>
      <c r="I60" s="23">
        <f t="shared" si="27"/>
        <v>0.53894999999999993</v>
      </c>
      <c r="J60" s="23">
        <f t="shared" si="27"/>
        <v>2.7564499999999996</v>
      </c>
      <c r="K60" s="65">
        <f t="shared" si="31"/>
        <v>8.4907199999999996</v>
      </c>
      <c r="L60" s="65"/>
      <c r="M60" s="23">
        <f t="shared" si="29"/>
        <v>5.7342700000000004</v>
      </c>
      <c r="N60" s="66">
        <f t="shared" si="30"/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25"/>
        <v>1.0598299999999998</v>
      </c>
      <c r="D61" s="23">
        <f t="shared" si="25"/>
        <v>3.2913300000000008</v>
      </c>
      <c r="E61" s="23"/>
      <c r="F61" s="23">
        <f t="shared" si="26"/>
        <v>2.0263300000000002</v>
      </c>
      <c r="G61" s="23">
        <f t="shared" si="26"/>
        <v>1.9429999999999996</v>
      </c>
      <c r="H61" s="23"/>
      <c r="I61" s="23">
        <f t="shared" si="27"/>
        <v>2.4513300000000005</v>
      </c>
      <c r="J61" s="23">
        <f t="shared" si="27"/>
        <v>3.2080000000000002</v>
      </c>
      <c r="K61" s="65">
        <f t="shared" si="31"/>
        <v>3.2080000000000002</v>
      </c>
      <c r="L61" s="65"/>
      <c r="M61" s="23">
        <f t="shared" si="29"/>
        <v>0</v>
      </c>
      <c r="N61" s="66">
        <f t="shared" si="30"/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25"/>
        <v>7.9639999999999989E-2</v>
      </c>
      <c r="D62" s="23">
        <f t="shared" si="25"/>
        <v>1.4224800000000002</v>
      </c>
      <c r="E62" s="23"/>
      <c r="F62" s="23">
        <f t="shared" si="26"/>
        <v>1.07704</v>
      </c>
      <c r="G62" s="23">
        <f t="shared" si="26"/>
        <v>0.81103000000000003</v>
      </c>
      <c r="H62" s="23"/>
      <c r="I62" s="23">
        <f t="shared" si="27"/>
        <v>1.1566799999999999</v>
      </c>
      <c r="J62" s="23">
        <f t="shared" si="27"/>
        <v>1.1564699999999999</v>
      </c>
      <c r="K62" s="65">
        <f>+C163</f>
        <v>1.1564699999999999</v>
      </c>
      <c r="L62" s="65"/>
      <c r="M62" s="23">
        <f t="shared" si="29"/>
        <v>0</v>
      </c>
      <c r="N62" s="66">
        <f t="shared" si="30"/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25"/>
        <v>1.3459299999999998</v>
      </c>
      <c r="D63" s="23">
        <f t="shared" si="25"/>
        <v>2.4943299999999997</v>
      </c>
      <c r="E63" s="23"/>
      <c r="F63" s="23">
        <f t="shared" si="26"/>
        <v>2.3808799999999999</v>
      </c>
      <c r="G63" s="23">
        <f t="shared" si="26"/>
        <v>3.2046100000000002</v>
      </c>
      <c r="H63" s="23"/>
      <c r="I63" s="23">
        <f t="shared" si="27"/>
        <v>2.3828199999999997</v>
      </c>
      <c r="J63" s="23">
        <f t="shared" si="27"/>
        <v>3.31806</v>
      </c>
      <c r="K63" s="65">
        <f>+C162</f>
        <v>3.31806</v>
      </c>
      <c r="L63" s="65"/>
      <c r="M63" s="23">
        <f t="shared" si="29"/>
        <v>0</v>
      </c>
      <c r="N63" s="66">
        <f t="shared" si="30"/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25"/>
        <v>-2.7359999999999999E-2</v>
      </c>
      <c r="D64" s="23">
        <f t="shared" si="25"/>
        <v>-0.21722</v>
      </c>
      <c r="E64" s="23"/>
      <c r="F64" s="23">
        <f t="shared" si="26"/>
        <v>-0.11732999999999999</v>
      </c>
      <c r="G64" s="23">
        <f t="shared" si="26"/>
        <v>-0.15586999999999998</v>
      </c>
      <c r="H64" s="23"/>
      <c r="I64" s="23">
        <f t="shared" si="27"/>
        <v>-0.14468999999999999</v>
      </c>
      <c r="J64" s="23">
        <f t="shared" si="27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 t="shared" si="30"/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25"/>
        <v>15.899579999999998</v>
      </c>
      <c r="D65" s="23">
        <f t="shared" si="25"/>
        <v>19.378</v>
      </c>
      <c r="E65" s="23"/>
      <c r="F65" s="23">
        <f t="shared" si="26"/>
        <v>12.74039</v>
      </c>
      <c r="G65" s="23">
        <f t="shared" si="26"/>
        <v>11.77191</v>
      </c>
      <c r="H65" s="23"/>
      <c r="I65" s="23">
        <f t="shared" si="27"/>
        <v>15.96214</v>
      </c>
      <c r="J65" s="23">
        <f t="shared" si="27"/>
        <v>18.409520000000001</v>
      </c>
      <c r="K65" s="65">
        <f>+C165</f>
        <v>18.409520000000001</v>
      </c>
      <c r="L65" s="65"/>
      <c r="M65" s="23">
        <f t="shared" si="29"/>
        <v>0</v>
      </c>
      <c r="N65" s="66">
        <f t="shared" si="30"/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si="30"/>
        <v>4.5354471185524048E-2</v>
      </c>
      <c r="P66" s="59">
        <f t="shared" ref="P66:AT66" si="32">SUM(P48:P65)</f>
        <v>6.3498899999999994</v>
      </c>
      <c r="Q66" s="59">
        <f t="shared" si="32"/>
        <v>9.3383300000000009</v>
      </c>
      <c r="R66" s="59">
        <f t="shared" si="32"/>
        <v>10.572559999999999</v>
      </c>
      <c r="S66" s="59">
        <f t="shared" si="32"/>
        <v>17.246530000000003</v>
      </c>
      <c r="T66" s="59">
        <f t="shared" si="32"/>
        <v>5.7650100000000002</v>
      </c>
      <c r="U66" s="59">
        <f t="shared" si="32"/>
        <v>12.701700000000001</v>
      </c>
      <c r="V66" s="59">
        <f t="shared" si="32"/>
        <v>6.1308299999999996</v>
      </c>
      <c r="W66" s="59">
        <f t="shared" si="32"/>
        <v>6.3450800000000012</v>
      </c>
      <c r="X66" s="59">
        <f t="shared" si="32"/>
        <v>12.34346</v>
      </c>
      <c r="Y66" s="59">
        <f t="shared" si="32"/>
        <v>6.8983999999999996</v>
      </c>
      <c r="Z66" s="59">
        <f t="shared" si="32"/>
        <v>7.9963599999999984</v>
      </c>
      <c r="AA66" s="59">
        <f t="shared" si="32"/>
        <v>12.261750000000001</v>
      </c>
      <c r="AB66" s="59">
        <f t="shared" si="32"/>
        <v>12.998240000000001</v>
      </c>
      <c r="AC66" s="59">
        <f t="shared" si="32"/>
        <v>29.570220000000003</v>
      </c>
      <c r="AD66" s="59">
        <f t="shared" si="32"/>
        <v>15.127749999999995</v>
      </c>
      <c r="AE66" s="59">
        <f t="shared" si="32"/>
        <v>26.672890000000002</v>
      </c>
      <c r="AF66" s="59">
        <f t="shared" si="32"/>
        <v>16.811419999999995</v>
      </c>
      <c r="AG66" s="59">
        <f t="shared" si="32"/>
        <v>11.19876</v>
      </c>
      <c r="AH66" s="59">
        <f t="shared" si="32"/>
        <v>9.2206100000000024</v>
      </c>
      <c r="AI66" s="59">
        <f t="shared" si="32"/>
        <v>14.376060000000001</v>
      </c>
      <c r="AJ66" s="59">
        <f t="shared" si="32"/>
        <v>15.38611</v>
      </c>
      <c r="AK66" s="59">
        <f t="shared" si="32"/>
        <v>12.742199999999999</v>
      </c>
      <c r="AL66" s="59">
        <f t="shared" si="32"/>
        <v>14.61088</v>
      </c>
      <c r="AM66" s="59">
        <f t="shared" si="32"/>
        <v>26.826480000000007</v>
      </c>
      <c r="AN66" s="59">
        <f t="shared" si="32"/>
        <v>10.238199999999999</v>
      </c>
      <c r="AO66" s="59">
        <f t="shared" si="32"/>
        <v>17.660680000000003</v>
      </c>
      <c r="AP66" s="59">
        <f t="shared" si="32"/>
        <v>37.953969999999998</v>
      </c>
      <c r="AQ66" s="59">
        <f t="shared" si="32"/>
        <v>30.732039999999998</v>
      </c>
      <c r="AR66" s="59">
        <f t="shared" si="32"/>
        <v>36.065340000000006</v>
      </c>
      <c r="AS66" s="59">
        <f t="shared" si="32"/>
        <v>16.763590000000001</v>
      </c>
      <c r="AT66" s="59">
        <f t="shared" si="32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>IFERROR(K68/J68-1,0)</f>
        <v>-0.50948185371711641</v>
      </c>
      <c r="P68" s="110">
        <f t="shared" ref="P68:AT68" si="33">+P24-P40-P46-P66</f>
        <v>32.29054</v>
      </c>
      <c r="Q68" s="105">
        <f t="shared" si="33"/>
        <v>23.655570000000012</v>
      </c>
      <c r="R68" s="105">
        <f t="shared" si="33"/>
        <v>18.009040000000002</v>
      </c>
      <c r="S68" s="105">
        <f t="shared" si="33"/>
        <v>3.3036999999999814</v>
      </c>
      <c r="T68" s="105">
        <f t="shared" si="33"/>
        <v>0.97158000000002254</v>
      </c>
      <c r="U68" s="105">
        <f t="shared" si="33"/>
        <v>10.027299999999999</v>
      </c>
      <c r="V68" s="105">
        <f t="shared" si="33"/>
        <v>26.037100000000013</v>
      </c>
      <c r="W68" s="105">
        <f t="shared" si="33"/>
        <v>28.863819999999997</v>
      </c>
      <c r="X68" s="105">
        <f t="shared" si="33"/>
        <v>10.835770000000004</v>
      </c>
      <c r="Y68" s="105">
        <f t="shared" si="33"/>
        <v>11.887049999999981</v>
      </c>
      <c r="Z68" s="105">
        <f t="shared" si="33"/>
        <v>-11.563829999999996</v>
      </c>
      <c r="AA68" s="105">
        <f t="shared" si="33"/>
        <v>-8.8457899999999778</v>
      </c>
      <c r="AB68" s="105">
        <f t="shared" si="33"/>
        <v>20.371919999999967</v>
      </c>
      <c r="AC68" s="105">
        <f t="shared" si="33"/>
        <v>7.5049699999999966</v>
      </c>
      <c r="AD68" s="105">
        <f t="shared" si="33"/>
        <v>20.557870000000005</v>
      </c>
      <c r="AE68" s="105">
        <f t="shared" si="33"/>
        <v>-3.217779999999987</v>
      </c>
      <c r="AF68" s="105">
        <f t="shared" si="33"/>
        <v>17.914550000000009</v>
      </c>
      <c r="AG68" s="105">
        <f t="shared" si="33"/>
        <v>25.023679999999977</v>
      </c>
      <c r="AH68" s="105">
        <f t="shared" si="33"/>
        <v>15.680769999999987</v>
      </c>
      <c r="AI68" s="105">
        <f t="shared" si="33"/>
        <v>18.057059999999971</v>
      </c>
      <c r="AJ68" s="105">
        <f t="shared" si="33"/>
        <v>2.7743600000000104</v>
      </c>
      <c r="AK68" s="105">
        <f t="shared" si="33"/>
        <v>2.5894700000000075</v>
      </c>
      <c r="AL68" s="105">
        <f t="shared" si="33"/>
        <v>13.519970000000038</v>
      </c>
      <c r="AM68" s="105">
        <f t="shared" si="33"/>
        <v>-9.7965400000000109</v>
      </c>
      <c r="AN68" s="105">
        <f t="shared" si="33"/>
        <v>31.645769999999949</v>
      </c>
      <c r="AO68" s="105">
        <f t="shared" si="33"/>
        <v>70.339949999999973</v>
      </c>
      <c r="AP68" s="105">
        <f t="shared" si="33"/>
        <v>-13.787130000000019</v>
      </c>
      <c r="AQ68" s="105">
        <f t="shared" si="33"/>
        <v>-4.5244900000000214</v>
      </c>
      <c r="AR68" s="105">
        <f t="shared" si="33"/>
        <v>-0.17472000000000065</v>
      </c>
      <c r="AS68" s="105">
        <f t="shared" si="33"/>
        <v>8.8369600000000688</v>
      </c>
      <c r="AT68" s="106">
        <f t="shared" si="33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34">P68/P$24</f>
        <v>0.39907678731874074</v>
      </c>
      <c r="Q69" s="108">
        <f t="shared" si="34"/>
        <v>0.29112505338087064</v>
      </c>
      <c r="R69" s="108">
        <f t="shared" si="34"/>
        <v>0.23055348588312713</v>
      </c>
      <c r="S69" s="108">
        <f t="shared" si="34"/>
        <v>3.9634903477126664E-2</v>
      </c>
      <c r="T69" s="108">
        <f t="shared" si="34"/>
        <v>1.0771856670157455E-2</v>
      </c>
      <c r="U69" s="108">
        <f t="shared" si="34"/>
        <v>0.11151877645530595</v>
      </c>
      <c r="V69" s="108">
        <f t="shared" si="34"/>
        <v>0.24872554559258261</v>
      </c>
      <c r="W69" s="108">
        <f t="shared" si="34"/>
        <v>0.27722551846845006</v>
      </c>
      <c r="X69" s="108">
        <f t="shared" si="34"/>
        <v>0.11015011779176656</v>
      </c>
      <c r="Y69" s="108">
        <f t="shared" si="34"/>
        <v>0.11999981828992633</v>
      </c>
      <c r="Z69" s="108">
        <f t="shared" si="34"/>
        <v>-0.10585972007729956</v>
      </c>
      <c r="AA69" s="108">
        <f t="shared" si="34"/>
        <v>-7.6420290474838865E-2</v>
      </c>
      <c r="AB69" s="108">
        <f t="shared" si="34"/>
        <v>0.14691724622113159</v>
      </c>
      <c r="AC69" s="108">
        <f t="shared" si="34"/>
        <v>5.8723140217804622E-2</v>
      </c>
      <c r="AD69" s="108">
        <f t="shared" si="34"/>
        <v>0.15264751707122823</v>
      </c>
      <c r="AE69" s="108">
        <f t="shared" si="34"/>
        <v>-2.3664392729283685E-2</v>
      </c>
      <c r="AF69" s="108">
        <f t="shared" si="34"/>
        <v>0.11781925710247981</v>
      </c>
      <c r="AG69" s="108">
        <f t="shared" si="34"/>
        <v>0.16320676168834009</v>
      </c>
      <c r="AH69" s="108">
        <f t="shared" si="34"/>
        <v>0.10091833751896462</v>
      </c>
      <c r="AI69" s="108">
        <f t="shared" si="34"/>
        <v>0.11294605003511514</v>
      </c>
      <c r="AJ69" s="108">
        <f t="shared" si="34"/>
        <v>1.6916910758289692E-2</v>
      </c>
      <c r="AK69" s="108">
        <f t="shared" si="34"/>
        <v>1.4446600906115629E-2</v>
      </c>
      <c r="AL69" s="108">
        <f t="shared" si="34"/>
        <v>7.4412058126513955E-2</v>
      </c>
      <c r="AM69" s="108">
        <f t="shared" si="34"/>
        <v>-4.9803795250781595E-2</v>
      </c>
      <c r="AN69" s="108">
        <f t="shared" si="34"/>
        <v>0.14914164930768267</v>
      </c>
      <c r="AO69" s="108">
        <f t="shared" si="34"/>
        <v>0.29078545945995543</v>
      </c>
      <c r="AP69" s="108">
        <f t="shared" si="34"/>
        <v>-5.9556833430995562E-2</v>
      </c>
      <c r="AQ69" s="108">
        <f t="shared" si="34"/>
        <v>-1.8826980602112769E-2</v>
      </c>
      <c r="AR69" s="108">
        <f t="shared" si="34"/>
        <v>-7.0967025231840307E-4</v>
      </c>
      <c r="AS69" s="108">
        <f t="shared" si="34"/>
        <v>3.5704989872698906E-2</v>
      </c>
      <c r="AT69" s="109">
        <f t="shared" si="34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>IFERROR(K74/J74-1,0)</f>
        <v>-0.50948185371711641</v>
      </c>
      <c r="P74" s="65">
        <f t="shared" ref="P74:AT74" si="35">+P68</f>
        <v>32.29054</v>
      </c>
      <c r="Q74" s="65">
        <f t="shared" si="35"/>
        <v>23.655570000000012</v>
      </c>
      <c r="R74" s="65">
        <f t="shared" si="35"/>
        <v>18.009040000000002</v>
      </c>
      <c r="S74" s="65">
        <f t="shared" si="35"/>
        <v>3.3036999999999814</v>
      </c>
      <c r="T74" s="65">
        <f t="shared" si="35"/>
        <v>0.97158000000002254</v>
      </c>
      <c r="U74" s="65">
        <f t="shared" si="35"/>
        <v>10.027299999999999</v>
      </c>
      <c r="V74" s="65">
        <f t="shared" si="35"/>
        <v>26.037100000000013</v>
      </c>
      <c r="W74" s="65">
        <f t="shared" si="35"/>
        <v>28.863819999999997</v>
      </c>
      <c r="X74" s="65">
        <f t="shared" si="35"/>
        <v>10.835770000000004</v>
      </c>
      <c r="Y74" s="65">
        <f t="shared" si="35"/>
        <v>11.887049999999981</v>
      </c>
      <c r="Z74" s="65">
        <f t="shared" si="35"/>
        <v>-11.563829999999996</v>
      </c>
      <c r="AA74" s="65">
        <f t="shared" si="35"/>
        <v>-8.8457899999999778</v>
      </c>
      <c r="AB74" s="65">
        <f t="shared" si="35"/>
        <v>20.371919999999967</v>
      </c>
      <c r="AC74" s="65">
        <f t="shared" si="35"/>
        <v>7.5049699999999966</v>
      </c>
      <c r="AD74" s="65">
        <f t="shared" si="35"/>
        <v>20.557870000000005</v>
      </c>
      <c r="AE74" s="65">
        <f t="shared" si="35"/>
        <v>-3.217779999999987</v>
      </c>
      <c r="AF74" s="65">
        <f t="shared" si="35"/>
        <v>17.914550000000009</v>
      </c>
      <c r="AG74" s="65">
        <f t="shared" si="35"/>
        <v>25.023679999999977</v>
      </c>
      <c r="AH74" s="65">
        <f t="shared" si="35"/>
        <v>15.680769999999987</v>
      </c>
      <c r="AI74" s="65">
        <f t="shared" si="35"/>
        <v>18.057059999999971</v>
      </c>
      <c r="AJ74" s="65">
        <f t="shared" si="35"/>
        <v>2.7743600000000104</v>
      </c>
      <c r="AK74" s="65">
        <f t="shared" si="35"/>
        <v>2.5894700000000075</v>
      </c>
      <c r="AL74" s="65">
        <f t="shared" si="35"/>
        <v>13.519970000000038</v>
      </c>
      <c r="AM74" s="65">
        <f t="shared" si="35"/>
        <v>-9.7965400000000109</v>
      </c>
      <c r="AN74" s="65">
        <f t="shared" si="35"/>
        <v>31.645769999999949</v>
      </c>
      <c r="AO74" s="65">
        <f t="shared" si="35"/>
        <v>70.339949999999973</v>
      </c>
      <c r="AP74" s="65">
        <f t="shared" si="35"/>
        <v>-13.787130000000019</v>
      </c>
      <c r="AQ74" s="65">
        <f t="shared" si="35"/>
        <v>-4.5244900000000214</v>
      </c>
      <c r="AR74" s="65">
        <f t="shared" si="35"/>
        <v>-0.17472000000000065</v>
      </c>
      <c r="AS74" s="65">
        <f t="shared" si="35"/>
        <v>8.8369600000000688</v>
      </c>
      <c r="AT74" s="65">
        <f t="shared" si="3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>K75-J75</f>
        <v>0</v>
      </c>
      <c r="N75" s="66">
        <f>IFERROR(K75/J75-1,0)</f>
        <v>0</v>
      </c>
      <c r="O75" s="52"/>
      <c r="P75" s="65">
        <f t="shared" ref="P75:AT75" si="36">+P56</f>
        <v>0</v>
      </c>
      <c r="Q75" s="65">
        <f t="shared" si="36"/>
        <v>0</v>
      </c>
      <c r="R75" s="65">
        <f t="shared" si="36"/>
        <v>0</v>
      </c>
      <c r="S75" s="65">
        <f t="shared" si="36"/>
        <v>0</v>
      </c>
      <c r="T75" s="65">
        <f t="shared" si="36"/>
        <v>0</v>
      </c>
      <c r="U75" s="65">
        <f t="shared" si="36"/>
        <v>0</v>
      </c>
      <c r="V75" s="65">
        <f t="shared" si="36"/>
        <v>0</v>
      </c>
      <c r="W75" s="65">
        <f t="shared" si="36"/>
        <v>0</v>
      </c>
      <c r="X75" s="65">
        <f t="shared" si="36"/>
        <v>0</v>
      </c>
      <c r="Y75" s="65">
        <f t="shared" si="36"/>
        <v>0</v>
      </c>
      <c r="Z75" s="65">
        <f t="shared" si="36"/>
        <v>0</v>
      </c>
      <c r="AA75" s="65">
        <f t="shared" si="36"/>
        <v>6.673</v>
      </c>
      <c r="AB75" s="65">
        <f t="shared" si="36"/>
        <v>0</v>
      </c>
      <c r="AC75" s="65">
        <f t="shared" si="36"/>
        <v>0</v>
      </c>
      <c r="AD75" s="65">
        <f t="shared" si="36"/>
        <v>0</v>
      </c>
      <c r="AE75" s="65">
        <f t="shared" si="36"/>
        <v>0</v>
      </c>
      <c r="AF75" s="65">
        <f t="shared" si="36"/>
        <v>0</v>
      </c>
      <c r="AG75" s="65">
        <f t="shared" si="36"/>
        <v>0</v>
      </c>
      <c r="AH75" s="65">
        <f t="shared" si="36"/>
        <v>0</v>
      </c>
      <c r="AI75" s="65">
        <f t="shared" si="36"/>
        <v>0</v>
      </c>
      <c r="AJ75" s="65">
        <f t="shared" si="36"/>
        <v>0</v>
      </c>
      <c r="AK75" s="65">
        <f t="shared" si="36"/>
        <v>0</v>
      </c>
      <c r="AL75" s="65">
        <f t="shared" si="36"/>
        <v>0</v>
      </c>
      <c r="AM75" s="65">
        <f t="shared" si="36"/>
        <v>6.673</v>
      </c>
      <c r="AN75" s="65">
        <f t="shared" si="36"/>
        <v>0</v>
      </c>
      <c r="AO75" s="65">
        <f t="shared" si="36"/>
        <v>0</v>
      </c>
      <c r="AP75" s="65">
        <f t="shared" si="36"/>
        <v>0</v>
      </c>
      <c r="AQ75" s="65">
        <f t="shared" si="36"/>
        <v>0</v>
      </c>
      <c r="AR75" s="65">
        <f t="shared" si="36"/>
        <v>0</v>
      </c>
      <c r="AS75" s="65">
        <f t="shared" si="36"/>
        <v>0</v>
      </c>
      <c r="AT75" s="65">
        <f t="shared" si="36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>K76-J76</f>
        <v>0</v>
      </c>
      <c r="N76" s="66">
        <f>IFERROR(K76/J76-1,0)</f>
        <v>0</v>
      </c>
      <c r="O76" s="52"/>
      <c r="P76" s="65">
        <f t="shared" ref="P76:AT76" si="37">+P58</f>
        <v>0</v>
      </c>
      <c r="Q76" s="65">
        <f t="shared" si="37"/>
        <v>0</v>
      </c>
      <c r="R76" s="65">
        <f t="shared" si="37"/>
        <v>0</v>
      </c>
      <c r="S76" s="65">
        <f t="shared" si="37"/>
        <v>6.2460000000000004</v>
      </c>
      <c r="T76" s="65">
        <f t="shared" si="37"/>
        <v>0</v>
      </c>
      <c r="U76" s="65">
        <f t="shared" si="37"/>
        <v>2.472</v>
      </c>
      <c r="V76" s="65">
        <f t="shared" si="37"/>
        <v>0</v>
      </c>
      <c r="W76" s="65">
        <f t="shared" si="37"/>
        <v>0</v>
      </c>
      <c r="X76" s="65">
        <f t="shared" si="37"/>
        <v>2.472</v>
      </c>
      <c r="Y76" s="65">
        <f t="shared" si="37"/>
        <v>0</v>
      </c>
      <c r="Z76" s="65">
        <f t="shared" si="37"/>
        <v>0</v>
      </c>
      <c r="AA76" s="65">
        <f t="shared" si="37"/>
        <v>-3.6930000000000001</v>
      </c>
      <c r="AB76" s="65">
        <f t="shared" si="37"/>
        <v>2.472</v>
      </c>
      <c r="AC76" s="65">
        <f t="shared" si="37"/>
        <v>0</v>
      </c>
      <c r="AD76" s="65">
        <f t="shared" si="37"/>
        <v>0</v>
      </c>
      <c r="AE76" s="65">
        <f t="shared" si="37"/>
        <v>3.649</v>
      </c>
      <c r="AF76" s="65">
        <f t="shared" si="37"/>
        <v>-2.2719999999999998</v>
      </c>
      <c r="AG76" s="65">
        <f t="shared" si="37"/>
        <v>2.0449999999999999</v>
      </c>
      <c r="AH76" s="65">
        <f t="shared" si="37"/>
        <v>0</v>
      </c>
      <c r="AI76" s="65">
        <f t="shared" si="37"/>
        <v>0</v>
      </c>
      <c r="AJ76" s="65">
        <f t="shared" si="37"/>
        <v>2.0449999999999999</v>
      </c>
      <c r="AK76" s="65">
        <f t="shared" si="37"/>
        <v>0</v>
      </c>
      <c r="AL76" s="65">
        <f t="shared" si="37"/>
        <v>0</v>
      </c>
      <c r="AM76" s="65">
        <f t="shared" si="37"/>
        <v>2.0449999999999999</v>
      </c>
      <c r="AN76" s="65">
        <f t="shared" si="37"/>
        <v>0</v>
      </c>
      <c r="AO76" s="65">
        <f t="shared" si="37"/>
        <v>0</v>
      </c>
      <c r="AP76" s="65">
        <f t="shared" si="37"/>
        <v>5.0359999999999996</v>
      </c>
      <c r="AQ76" s="65">
        <f t="shared" si="37"/>
        <v>-4.8639999999999999</v>
      </c>
      <c r="AR76" s="65">
        <f t="shared" si="37"/>
        <v>0</v>
      </c>
      <c r="AS76" s="65">
        <f t="shared" si="37"/>
        <v>1</v>
      </c>
      <c r="AT76" s="65">
        <f t="shared" si="37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>K77-J77</f>
        <v>0</v>
      </c>
      <c r="N77" s="66">
        <f>IFERROR(K77/J77-1,0)</f>
        <v>0</v>
      </c>
      <c r="O77" s="52"/>
      <c r="P77" s="65">
        <f t="shared" ref="P77:AT77" si="38">+P62</f>
        <v>0</v>
      </c>
      <c r="Q77" s="65">
        <f t="shared" si="38"/>
        <v>0</v>
      </c>
      <c r="R77" s="65">
        <f t="shared" si="38"/>
        <v>0</v>
      </c>
      <c r="S77" s="65">
        <f t="shared" si="38"/>
        <v>0</v>
      </c>
      <c r="T77" s="65">
        <f t="shared" si="38"/>
        <v>0</v>
      </c>
      <c r="U77" s="65">
        <f t="shared" si="38"/>
        <v>0</v>
      </c>
      <c r="V77" s="65">
        <f t="shared" si="38"/>
        <v>0</v>
      </c>
      <c r="W77" s="65">
        <f t="shared" si="38"/>
        <v>0</v>
      </c>
      <c r="X77" s="65">
        <f t="shared" si="38"/>
        <v>0</v>
      </c>
      <c r="Y77" s="65">
        <f t="shared" si="38"/>
        <v>0</v>
      </c>
      <c r="Z77" s="65">
        <f t="shared" si="38"/>
        <v>7.1499999999999994E-2</v>
      </c>
      <c r="AA77" s="65">
        <f t="shared" si="38"/>
        <v>8.1400000000000014E-3</v>
      </c>
      <c r="AB77" s="65">
        <f t="shared" si="38"/>
        <v>0.11752</v>
      </c>
      <c r="AC77" s="65">
        <f t="shared" si="38"/>
        <v>0.20646</v>
      </c>
      <c r="AD77" s="65">
        <f t="shared" si="38"/>
        <v>1.174E-2</v>
      </c>
      <c r="AE77" s="65">
        <f t="shared" si="38"/>
        <v>3.6600000000000001E-2</v>
      </c>
      <c r="AF77" s="65">
        <f t="shared" si="38"/>
        <v>0.11484</v>
      </c>
      <c r="AG77" s="65">
        <f t="shared" si="38"/>
        <v>0.24787999999999999</v>
      </c>
      <c r="AH77" s="65">
        <f t="shared" si="38"/>
        <v>0.34200000000000003</v>
      </c>
      <c r="AI77" s="65">
        <f t="shared" si="38"/>
        <v>0.25108999999999998</v>
      </c>
      <c r="AJ77" s="65">
        <f t="shared" si="38"/>
        <v>6.5290000000000001E-2</v>
      </c>
      <c r="AK77" s="65">
        <f t="shared" si="38"/>
        <v>1.916E-2</v>
      </c>
      <c r="AL77" s="65">
        <f t="shared" si="38"/>
        <v>9.9000000000000008E-3</v>
      </c>
      <c r="AM77" s="65">
        <f t="shared" si="38"/>
        <v>0</v>
      </c>
      <c r="AN77" s="65">
        <f t="shared" si="38"/>
        <v>0.28870000000000001</v>
      </c>
      <c r="AO77" s="65">
        <f t="shared" si="38"/>
        <v>0.14452999999999999</v>
      </c>
      <c r="AP77" s="65">
        <f t="shared" si="38"/>
        <v>0</v>
      </c>
      <c r="AQ77" s="65">
        <f t="shared" si="38"/>
        <v>0.15</v>
      </c>
      <c r="AR77" s="65">
        <f t="shared" si="38"/>
        <v>0.11769</v>
      </c>
      <c r="AS77" s="65">
        <f t="shared" si="38"/>
        <v>0.11011</v>
      </c>
      <c r="AT77" s="65">
        <f t="shared" si="38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>IFERROR(K78/J78-1,0)</f>
        <v>-0.45217039904608325</v>
      </c>
      <c r="P78" s="59">
        <f t="shared" ref="P78:AT78" si="39">SUM(P74:P77)</f>
        <v>32.29054</v>
      </c>
      <c r="Q78" s="59">
        <f t="shared" si="39"/>
        <v>23.655570000000012</v>
      </c>
      <c r="R78" s="59">
        <f t="shared" si="39"/>
        <v>18.009040000000002</v>
      </c>
      <c r="S78" s="59">
        <f t="shared" si="39"/>
        <v>9.5496999999999819</v>
      </c>
      <c r="T78" s="59">
        <f t="shared" si="39"/>
        <v>0.97158000000002254</v>
      </c>
      <c r="U78" s="59">
        <f t="shared" si="39"/>
        <v>12.499299999999998</v>
      </c>
      <c r="V78" s="59">
        <f t="shared" si="39"/>
        <v>26.037100000000013</v>
      </c>
      <c r="W78" s="59">
        <f t="shared" si="39"/>
        <v>28.863819999999997</v>
      </c>
      <c r="X78" s="59">
        <f t="shared" si="39"/>
        <v>13.307770000000003</v>
      </c>
      <c r="Y78" s="59">
        <f t="shared" si="39"/>
        <v>11.887049999999981</v>
      </c>
      <c r="Z78" s="59">
        <f t="shared" si="39"/>
        <v>-11.492329999999995</v>
      </c>
      <c r="AA78" s="59">
        <f t="shared" si="39"/>
        <v>-5.8576499999999774</v>
      </c>
      <c r="AB78" s="59">
        <f t="shared" si="39"/>
        <v>22.961439999999968</v>
      </c>
      <c r="AC78" s="59">
        <f t="shared" si="39"/>
        <v>7.7114299999999965</v>
      </c>
      <c r="AD78" s="59">
        <f t="shared" si="39"/>
        <v>20.569610000000004</v>
      </c>
      <c r="AE78" s="59">
        <f t="shared" si="39"/>
        <v>0.46782000000001306</v>
      </c>
      <c r="AF78" s="59">
        <f t="shared" si="39"/>
        <v>15.757390000000008</v>
      </c>
      <c r="AG78" s="59">
        <f t="shared" si="39"/>
        <v>27.316559999999978</v>
      </c>
      <c r="AH78" s="59">
        <f t="shared" si="39"/>
        <v>16.022769999999987</v>
      </c>
      <c r="AI78" s="59">
        <f t="shared" si="39"/>
        <v>18.308149999999973</v>
      </c>
      <c r="AJ78" s="59">
        <f t="shared" si="39"/>
        <v>4.8846500000000104</v>
      </c>
      <c r="AK78" s="59">
        <f t="shared" si="39"/>
        <v>2.6086300000000073</v>
      </c>
      <c r="AL78" s="59">
        <f t="shared" si="39"/>
        <v>13.529870000000038</v>
      </c>
      <c r="AM78" s="59">
        <f t="shared" si="39"/>
        <v>-1.0785400000000109</v>
      </c>
      <c r="AN78" s="59">
        <f t="shared" si="39"/>
        <v>31.934469999999948</v>
      </c>
      <c r="AO78" s="59">
        <f t="shared" si="39"/>
        <v>70.484479999999976</v>
      </c>
      <c r="AP78" s="59">
        <f t="shared" si="39"/>
        <v>-8.7511300000000194</v>
      </c>
      <c r="AQ78" s="59">
        <f t="shared" si="39"/>
        <v>-9.2384900000000219</v>
      </c>
      <c r="AR78" s="59">
        <f t="shared" si="39"/>
        <v>-5.703000000000065E-2</v>
      </c>
      <c r="AS78" s="59">
        <f t="shared" si="39"/>
        <v>9.9470700000000694</v>
      </c>
      <c r="AT78" s="59">
        <f t="shared" si="39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40">P78/P$24</f>
        <v>0.39907678731874074</v>
      </c>
      <c r="Q79" s="127">
        <f t="shared" si="40"/>
        <v>0.29112505338087064</v>
      </c>
      <c r="R79" s="127">
        <f t="shared" si="40"/>
        <v>0.23055348588312713</v>
      </c>
      <c r="S79" s="127">
        <f t="shared" si="40"/>
        <v>0.11456894927975236</v>
      </c>
      <c r="T79" s="127">
        <f t="shared" si="40"/>
        <v>1.0771856670157455E-2</v>
      </c>
      <c r="U79" s="127">
        <f t="shared" si="40"/>
        <v>0.13901116377766753</v>
      </c>
      <c r="V79" s="127">
        <f t="shared" si="40"/>
        <v>0.24872554559258261</v>
      </c>
      <c r="W79" s="127">
        <f t="shared" si="40"/>
        <v>0.27722551846845006</v>
      </c>
      <c r="X79" s="127">
        <f t="shared" si="40"/>
        <v>0.13527902798285099</v>
      </c>
      <c r="Y79" s="127">
        <f t="shared" si="40"/>
        <v>0.11999981828992633</v>
      </c>
      <c r="Z79" s="127">
        <f t="shared" si="40"/>
        <v>-0.10520518174652793</v>
      </c>
      <c r="AA79" s="127">
        <f t="shared" si="40"/>
        <v>-5.0605238706767766E-2</v>
      </c>
      <c r="AB79" s="127">
        <f t="shared" si="40"/>
        <v>0.16559222371144891</v>
      </c>
      <c r="AC79" s="127">
        <f t="shared" si="40"/>
        <v>6.0338600310165809E-2</v>
      </c>
      <c r="AD79" s="127">
        <f t="shared" si="40"/>
        <v>0.15273468961636139</v>
      </c>
      <c r="AE79" s="127">
        <f t="shared" si="40"/>
        <v>3.4404702020069261E-3</v>
      </c>
      <c r="AF79" s="127">
        <f t="shared" si="40"/>
        <v>0.10363218633312275</v>
      </c>
      <c r="AG79" s="127">
        <f t="shared" si="40"/>
        <v>0.17816113769298694</v>
      </c>
      <c r="AH79" s="127">
        <f t="shared" si="40"/>
        <v>0.10311938194672461</v>
      </c>
      <c r="AI79" s="127">
        <f t="shared" si="40"/>
        <v>0.11451660602281841</v>
      </c>
      <c r="AJ79" s="127">
        <f t="shared" si="40"/>
        <v>2.978459469408426E-2</v>
      </c>
      <c r="AK79" s="127">
        <f t="shared" si="40"/>
        <v>1.4553494159700791E-2</v>
      </c>
      <c r="AL79" s="127">
        <f t="shared" si="40"/>
        <v>7.4466546366905945E-2</v>
      </c>
      <c r="AM79" s="127">
        <f t="shared" si="40"/>
        <v>-5.4830976375106382E-3</v>
      </c>
      <c r="AN79" s="127">
        <f t="shared" si="40"/>
        <v>0.15050224802767362</v>
      </c>
      <c r="AO79" s="127">
        <f t="shared" si="40"/>
        <v>0.29138294669808606</v>
      </c>
      <c r="AP79" s="127">
        <f t="shared" si="40"/>
        <v>-3.7802616769624181E-2</v>
      </c>
      <c r="AQ79" s="127">
        <f t="shared" si="40"/>
        <v>-3.8442536511919E-2</v>
      </c>
      <c r="AR79" s="127">
        <f t="shared" si="40"/>
        <v>-2.316420243230245E-4</v>
      </c>
      <c r="AS79" s="127">
        <f t="shared" si="40"/>
        <v>4.019029548770469E-2</v>
      </c>
      <c r="AT79" s="127">
        <f t="shared" si="40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>K82-J82</f>
        <v>0</v>
      </c>
      <c r="N82" s="66">
        <f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>K83-J83</f>
        <v>0</v>
      </c>
      <c r="N83" s="66">
        <f>IFERROR(K83/J83-1,0)</f>
        <v>0</v>
      </c>
      <c r="O83" s="52"/>
      <c r="P83" s="23">
        <f t="shared" ref="P83:AT83" si="41">+P61</f>
        <v>8.5000000000000006E-2</v>
      </c>
      <c r="Q83" s="23">
        <f t="shared" si="41"/>
        <v>8.5000000000000006E-2</v>
      </c>
      <c r="R83" s="23">
        <f t="shared" si="41"/>
        <v>9.7000000000000003E-2</v>
      </c>
      <c r="S83" s="23">
        <f t="shared" si="41"/>
        <v>0.11283</v>
      </c>
      <c r="T83" s="23">
        <f t="shared" si="41"/>
        <v>8.5000000000000006E-2</v>
      </c>
      <c r="U83" s="23">
        <f t="shared" si="41"/>
        <v>8.5000000000000006E-2</v>
      </c>
      <c r="V83" s="23">
        <f t="shared" si="41"/>
        <v>8.5000000000000006E-2</v>
      </c>
      <c r="W83" s="23">
        <f t="shared" si="41"/>
        <v>8.5000000000000006E-2</v>
      </c>
      <c r="X83" s="23">
        <f t="shared" si="41"/>
        <v>8.5000000000000006E-2</v>
      </c>
      <c r="Y83" s="23">
        <f t="shared" si="41"/>
        <v>8.5000000000000006E-2</v>
      </c>
      <c r="Z83" s="23">
        <f t="shared" si="41"/>
        <v>8.5000000000000006E-2</v>
      </c>
      <c r="AA83" s="23">
        <f t="shared" si="41"/>
        <v>8.5000000000000006E-2</v>
      </c>
      <c r="AB83" s="23">
        <f t="shared" si="41"/>
        <v>8.5000000000000006E-2</v>
      </c>
      <c r="AC83" s="23">
        <f t="shared" si="41"/>
        <v>9.4489999999999991E-2</v>
      </c>
      <c r="AD83" s="23">
        <f t="shared" si="41"/>
        <v>0.82489000000000001</v>
      </c>
      <c r="AE83" s="23">
        <f t="shared" si="41"/>
        <v>0.253</v>
      </c>
      <c r="AF83" s="23">
        <f t="shared" si="41"/>
        <v>0.26294999999999996</v>
      </c>
      <c r="AG83" s="23">
        <f t="shared" si="41"/>
        <v>0.253</v>
      </c>
      <c r="AH83" s="23">
        <f t="shared" si="41"/>
        <v>0.253</v>
      </c>
      <c r="AI83" s="23">
        <f t="shared" si="41"/>
        <v>0.253</v>
      </c>
      <c r="AJ83" s="23">
        <f t="shared" si="41"/>
        <v>0.253</v>
      </c>
      <c r="AK83" s="23">
        <f t="shared" si="41"/>
        <v>0.253</v>
      </c>
      <c r="AL83" s="23">
        <f t="shared" si="41"/>
        <v>0.253</v>
      </c>
      <c r="AM83" s="23">
        <f t="shared" si="41"/>
        <v>0.253</v>
      </c>
      <c r="AN83" s="23">
        <f t="shared" si="41"/>
        <v>0.253</v>
      </c>
      <c r="AO83" s="23">
        <f t="shared" si="41"/>
        <v>0.255</v>
      </c>
      <c r="AP83" s="23">
        <f t="shared" si="41"/>
        <v>0.28299999999999997</v>
      </c>
      <c r="AQ83" s="23">
        <f t="shared" si="41"/>
        <v>0.28299999999999997</v>
      </c>
      <c r="AR83" s="23">
        <f t="shared" si="41"/>
        <v>0.28299999999999997</v>
      </c>
      <c r="AS83" s="23">
        <f t="shared" si="41"/>
        <v>0.29299999999999998</v>
      </c>
      <c r="AT83" s="23">
        <f t="shared" si="41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>+F78+F82+F83</f>
        <v>112.83334999999973</v>
      </c>
      <c r="G84" s="106">
        <f>+G78+G82+G83</f>
        <v>80.069530000000327</v>
      </c>
      <c r="I84" s="110">
        <f>+I78+I82+I83</f>
        <v>149.96700999999993</v>
      </c>
      <c r="J84" s="105">
        <f>+J78+J82+J83</f>
        <v>122.29128999999995</v>
      </c>
      <c r="K84" s="106">
        <f>+K78+K82+K83</f>
        <v>69.668020000000126</v>
      </c>
      <c r="L84" s="71"/>
      <c r="M84" s="110">
        <f>+M78+M82+M83</f>
        <v>-52.623269999999891</v>
      </c>
      <c r="N84" s="112">
        <f>IFERROR(K84/J84-1,0)</f>
        <v>-0.4303108586065274</v>
      </c>
      <c r="P84" s="110">
        <f t="shared" ref="P84:AT84" si="42">+P78+P82+P83</f>
        <v>32.375540000000001</v>
      </c>
      <c r="Q84" s="105">
        <f t="shared" si="42"/>
        <v>23.740570000000012</v>
      </c>
      <c r="R84" s="105">
        <f t="shared" si="42"/>
        <v>18.106040000000004</v>
      </c>
      <c r="S84" s="105">
        <f t="shared" si="42"/>
        <v>9.6625299999999825</v>
      </c>
      <c r="T84" s="105">
        <f t="shared" si="42"/>
        <v>1.0565800000000225</v>
      </c>
      <c r="U84" s="105">
        <f t="shared" si="42"/>
        <v>12.584299999999999</v>
      </c>
      <c r="V84" s="105">
        <f t="shared" si="42"/>
        <v>26.122100000000014</v>
      </c>
      <c r="W84" s="105">
        <f t="shared" si="42"/>
        <v>28.948819999999998</v>
      </c>
      <c r="X84" s="105">
        <f t="shared" si="42"/>
        <v>13.392770000000004</v>
      </c>
      <c r="Y84" s="105">
        <f t="shared" si="42"/>
        <v>11.972049999999982</v>
      </c>
      <c r="Z84" s="105">
        <f t="shared" si="42"/>
        <v>-11.407329999999995</v>
      </c>
      <c r="AA84" s="105">
        <f t="shared" si="42"/>
        <v>-5.7726499999999774</v>
      </c>
      <c r="AB84" s="105">
        <f t="shared" si="42"/>
        <v>23.046439999999969</v>
      </c>
      <c r="AC84" s="105">
        <f t="shared" si="42"/>
        <v>7.8059199999999969</v>
      </c>
      <c r="AD84" s="105">
        <f t="shared" si="42"/>
        <v>21.394500000000004</v>
      </c>
      <c r="AE84" s="105">
        <f t="shared" si="42"/>
        <v>0.72082000000001312</v>
      </c>
      <c r="AF84" s="105">
        <f t="shared" si="42"/>
        <v>16.020340000000008</v>
      </c>
      <c r="AG84" s="105">
        <f t="shared" si="42"/>
        <v>27.569559999999978</v>
      </c>
      <c r="AH84" s="105">
        <f t="shared" si="42"/>
        <v>16.275769999999987</v>
      </c>
      <c r="AI84" s="105">
        <f t="shared" si="42"/>
        <v>18.561149999999973</v>
      </c>
      <c r="AJ84" s="105">
        <f t="shared" si="42"/>
        <v>5.1376500000000105</v>
      </c>
      <c r="AK84" s="105">
        <f t="shared" si="42"/>
        <v>2.8616300000000074</v>
      </c>
      <c r="AL84" s="105">
        <f t="shared" si="42"/>
        <v>13.782870000000038</v>
      </c>
      <c r="AM84" s="105">
        <f t="shared" si="42"/>
        <v>1.8784599999999894</v>
      </c>
      <c r="AN84" s="105">
        <f t="shared" si="42"/>
        <v>32.187469999999948</v>
      </c>
      <c r="AO84" s="105">
        <f t="shared" si="42"/>
        <v>70.739479999999972</v>
      </c>
      <c r="AP84" s="105">
        <f t="shared" si="42"/>
        <v>-8.4681300000000199</v>
      </c>
      <c r="AQ84" s="105">
        <f t="shared" si="42"/>
        <v>-8.9554900000000224</v>
      </c>
      <c r="AR84" s="105">
        <f t="shared" si="42"/>
        <v>0.22596999999999934</v>
      </c>
      <c r="AS84" s="105">
        <f t="shared" si="42"/>
        <v>10.240070000000069</v>
      </c>
      <c r="AT84" s="106">
        <f t="shared" si="42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:AT85" si="43">P84/P$24</f>
        <v>0.40012729706314554</v>
      </c>
      <c r="Q85" s="108">
        <f t="shared" si="43"/>
        <v>0.29217113384045684</v>
      </c>
      <c r="R85" s="108">
        <f t="shared" si="43"/>
        <v>0.23179528934020555</v>
      </c>
      <c r="S85" s="108">
        <f t="shared" si="43"/>
        <v>0.11592258494864612</v>
      </c>
      <c r="T85" s="108">
        <f t="shared" si="43"/>
        <v>1.1714247226738861E-2</v>
      </c>
      <c r="U85" s="108">
        <f t="shared" si="43"/>
        <v>0.13995649262977139</v>
      </c>
      <c r="V85" s="108">
        <f t="shared" si="43"/>
        <v>0.24953752816266028</v>
      </c>
      <c r="W85" s="108">
        <f t="shared" si="43"/>
        <v>0.27804190968312015</v>
      </c>
      <c r="X85" s="108">
        <f t="shared" si="43"/>
        <v>0.1361430884060881</v>
      </c>
      <c r="Y85" s="108">
        <f t="shared" si="43"/>
        <v>0.12085789363701782</v>
      </c>
      <c r="Z85" s="108">
        <f t="shared" si="43"/>
        <v>-0.1044270592554008</v>
      </c>
      <c r="AA85" s="108">
        <f t="shared" si="43"/>
        <v>-4.9870909190652041E-2</v>
      </c>
      <c r="AB85" s="108">
        <f t="shared" si="43"/>
        <v>0.16620522267908655</v>
      </c>
      <c r="AC85" s="108">
        <f t="shared" si="43"/>
        <v>6.1077943641209151E-2</v>
      </c>
      <c r="AD85" s="108">
        <f t="shared" si="43"/>
        <v>0.15885971182716849</v>
      </c>
      <c r="AE85" s="108">
        <f t="shared" si="43"/>
        <v>5.3010981381954782E-3</v>
      </c>
      <c r="AF85" s="108">
        <f t="shared" si="43"/>
        <v>0.10536153893506348</v>
      </c>
      <c r="AG85" s="108">
        <f t="shared" si="43"/>
        <v>0.17981122715653308</v>
      </c>
      <c r="AH85" s="108">
        <f t="shared" si="43"/>
        <v>0.10474763995907337</v>
      </c>
      <c r="AI85" s="108">
        <f t="shared" si="43"/>
        <v>0.11609910896952647</v>
      </c>
      <c r="AJ85" s="108">
        <f t="shared" si="43"/>
        <v>3.1327285052165865E-2</v>
      </c>
      <c r="AK85" s="108">
        <f t="shared" si="43"/>
        <v>1.5964976057250193E-2</v>
      </c>
      <c r="AL85" s="108">
        <f t="shared" si="43"/>
        <v>7.5859023621367899E-2</v>
      </c>
      <c r="AM85" s="108">
        <f t="shared" si="43"/>
        <v>9.5497427894728707E-3</v>
      </c>
      <c r="AN85" s="108">
        <f t="shared" si="43"/>
        <v>0.1516945981355978</v>
      </c>
      <c r="AO85" s="108">
        <f t="shared" si="43"/>
        <v>0.29243711708294262</v>
      </c>
      <c r="AP85" s="108">
        <f t="shared" si="43"/>
        <v>-3.658013001125085E-2</v>
      </c>
      <c r="AQ85" s="108">
        <f t="shared" si="43"/>
        <v>-3.7264937376900932E-2</v>
      </c>
      <c r="AR85" s="108">
        <f t="shared" si="43"/>
        <v>9.1783531888958605E-4</v>
      </c>
      <c r="AS85" s="108">
        <f t="shared" si="43"/>
        <v>4.1374137219782309E-2</v>
      </c>
      <c r="AT85" s="109">
        <f t="shared" si="43"/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>K88-J88</f>
        <v>0</v>
      </c>
      <c r="N88" s="66">
        <f>IFERROR(K88/J88-1,0)</f>
        <v>0</v>
      </c>
      <c r="P88" s="65">
        <f t="shared" ref="P88:AT88" si="44">$C$168/12+P$35</f>
        <v>-19.020416666666666</v>
      </c>
      <c r="Q88" s="65">
        <f t="shared" si="44"/>
        <v>-19.020416666666666</v>
      </c>
      <c r="R88" s="65">
        <f t="shared" si="44"/>
        <v>-19.020416666666666</v>
      </c>
      <c r="S88" s="65">
        <f t="shared" si="44"/>
        <v>-19.020416666666666</v>
      </c>
      <c r="T88" s="65">
        <f t="shared" si="44"/>
        <v>-19.020416666666666</v>
      </c>
      <c r="U88" s="65">
        <f t="shared" si="44"/>
        <v>-19.020416666666666</v>
      </c>
      <c r="V88" s="65">
        <f t="shared" si="44"/>
        <v>-19.020416666666666</v>
      </c>
      <c r="W88" s="65">
        <f t="shared" si="44"/>
        <v>-19.020416666666666</v>
      </c>
      <c r="X88" s="65">
        <f t="shared" si="44"/>
        <v>-19.020416666666666</v>
      </c>
      <c r="Y88" s="65">
        <f t="shared" si="44"/>
        <v>-19.020416666666666</v>
      </c>
      <c r="Z88" s="65">
        <f t="shared" si="44"/>
        <v>-19.020416666666666</v>
      </c>
      <c r="AA88" s="65">
        <f t="shared" si="44"/>
        <v>-19.020416666666666</v>
      </c>
      <c r="AB88" s="65">
        <f t="shared" si="44"/>
        <v>-19.020416666666666</v>
      </c>
      <c r="AC88" s="65">
        <f t="shared" si="44"/>
        <v>-19.020416666666666</v>
      </c>
      <c r="AD88" s="65">
        <f t="shared" si="44"/>
        <v>-10.114026666666666</v>
      </c>
      <c r="AE88" s="65">
        <f t="shared" si="44"/>
        <v>-9.7871866666666669</v>
      </c>
      <c r="AF88" s="65">
        <f t="shared" si="44"/>
        <v>-9.9115766666666651</v>
      </c>
      <c r="AG88" s="65">
        <f t="shared" si="44"/>
        <v>-10.325626666666665</v>
      </c>
      <c r="AH88" s="65">
        <f t="shared" si="44"/>
        <v>-9.4975466666666648</v>
      </c>
      <c r="AI88" s="65">
        <f t="shared" si="44"/>
        <v>-10.325606666666665</v>
      </c>
      <c r="AJ88" s="65">
        <f t="shared" si="44"/>
        <v>-9.9115766666666651</v>
      </c>
      <c r="AK88" s="65">
        <f t="shared" si="44"/>
        <v>-9.4975466666666648</v>
      </c>
      <c r="AL88" s="65">
        <f t="shared" si="44"/>
        <v>-10.739656666666665</v>
      </c>
      <c r="AM88" s="65">
        <f t="shared" si="44"/>
        <v>-9.426776666666667</v>
      </c>
      <c r="AN88" s="65">
        <f t="shared" si="44"/>
        <v>-9.7442066666666669</v>
      </c>
      <c r="AO88" s="65">
        <f t="shared" si="44"/>
        <v>-10.697786666666667</v>
      </c>
      <c r="AP88" s="65">
        <f t="shared" si="44"/>
        <v>-9.9115866666666665</v>
      </c>
      <c r="AQ88" s="65">
        <f t="shared" si="44"/>
        <v>-9.9115866666666665</v>
      </c>
      <c r="AR88" s="65">
        <f t="shared" si="44"/>
        <v>-10.325606666666665</v>
      </c>
      <c r="AS88" s="65">
        <f t="shared" si="44"/>
        <v>-9.9115766666666651</v>
      </c>
      <c r="AT88" s="65">
        <f t="shared" si="44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>K89-J89</f>
        <v>-116.25</v>
      </c>
      <c r="N89" s="66">
        <f>IFERROR(K89/J89-1,0)</f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>K90-J90</f>
        <v>0</v>
      </c>
      <c r="N90" s="66"/>
      <c r="P90" s="65">
        <f t="shared" ref="P90:AT90" si="45">+P48-$C$169/12</f>
        <v>-6.0480791666666667</v>
      </c>
      <c r="Q90" s="65">
        <f t="shared" si="45"/>
        <v>-4.8815791666666666</v>
      </c>
      <c r="R90" s="65">
        <f t="shared" si="45"/>
        <v>-4.8815791666666666</v>
      </c>
      <c r="S90" s="65">
        <f t="shared" si="45"/>
        <v>-4.8814091666666668</v>
      </c>
      <c r="T90" s="65">
        <f t="shared" si="45"/>
        <v>-4.8814091666666668</v>
      </c>
      <c r="U90" s="65">
        <f t="shared" si="45"/>
        <v>-3.3814191666666669</v>
      </c>
      <c r="V90" s="65">
        <f t="shared" si="45"/>
        <v>-4.8814091666666668</v>
      </c>
      <c r="W90" s="65">
        <f t="shared" si="45"/>
        <v>-4.8814091666666668</v>
      </c>
      <c r="X90" s="65">
        <f t="shared" si="45"/>
        <v>-2.9801691666666668</v>
      </c>
      <c r="Y90" s="65">
        <f t="shared" si="45"/>
        <v>-4.8814091666666668</v>
      </c>
      <c r="Z90" s="65">
        <f t="shared" si="45"/>
        <v>-3.8814091666666668</v>
      </c>
      <c r="AA90" s="65">
        <f t="shared" si="45"/>
        <v>-3.8814191666666669</v>
      </c>
      <c r="AB90" s="65">
        <f t="shared" si="45"/>
        <v>-3.8814091666666668</v>
      </c>
      <c r="AC90" s="65">
        <f t="shared" si="45"/>
        <v>-3.8814091666666668</v>
      </c>
      <c r="AD90" s="65">
        <f t="shared" si="45"/>
        <v>-3.8814191666666669</v>
      </c>
      <c r="AE90" s="65">
        <f t="shared" si="45"/>
        <v>-3.2874091666666665</v>
      </c>
      <c r="AF90" s="65">
        <f t="shared" si="45"/>
        <v>-4.4614091666666669</v>
      </c>
      <c r="AG90" s="65">
        <f t="shared" si="45"/>
        <v>-4.8814191666666664</v>
      </c>
      <c r="AH90" s="65">
        <f t="shared" si="45"/>
        <v>-6.0480791666666667</v>
      </c>
      <c r="AI90" s="65">
        <f t="shared" si="45"/>
        <v>-5.8480791666666665</v>
      </c>
      <c r="AJ90" s="65">
        <f t="shared" si="45"/>
        <v>-4.7211291666666666</v>
      </c>
      <c r="AK90" s="65">
        <f t="shared" si="45"/>
        <v>-6.0480791666666667</v>
      </c>
      <c r="AL90" s="65">
        <f t="shared" si="45"/>
        <v>-4.8079166666666673E-2</v>
      </c>
      <c r="AM90" s="65">
        <f t="shared" si="45"/>
        <v>1.4519208333333333</v>
      </c>
      <c r="AN90" s="65">
        <f t="shared" si="45"/>
        <v>-6.0480791666666667</v>
      </c>
      <c r="AO90" s="65">
        <f t="shared" si="45"/>
        <v>-6.0480791666666667</v>
      </c>
      <c r="AP90" s="65">
        <f t="shared" si="45"/>
        <v>0.55192083333333297</v>
      </c>
      <c r="AQ90" s="65">
        <f t="shared" si="45"/>
        <v>7.9519208333333333</v>
      </c>
      <c r="AR90" s="65">
        <f t="shared" si="45"/>
        <v>11.951920833333332</v>
      </c>
      <c r="AS90" s="65">
        <f t="shared" si="45"/>
        <v>-6.0480791666666667</v>
      </c>
      <c r="AT90" s="65">
        <f t="shared" si="45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>K91-J91</f>
        <v>96.800000000000011</v>
      </c>
      <c r="N91" s="66">
        <f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>IFERROR(K93/J93-1,0)</f>
        <v>-0.66040994327333258</v>
      </c>
      <c r="P93" s="59">
        <f t="shared" ref="P93:AT93" si="46">SUM(P88:P91)</f>
        <v>-25.068495833333333</v>
      </c>
      <c r="Q93" s="59">
        <f t="shared" si="46"/>
        <v>-23.901995833333331</v>
      </c>
      <c r="R93" s="59">
        <f t="shared" si="46"/>
        <v>-23.901995833333331</v>
      </c>
      <c r="S93" s="59">
        <f t="shared" si="46"/>
        <v>-23.901825833333334</v>
      </c>
      <c r="T93" s="59">
        <f t="shared" si="46"/>
        <v>-23.901825833333334</v>
      </c>
      <c r="U93" s="59">
        <f t="shared" si="46"/>
        <v>-22.401835833333333</v>
      </c>
      <c r="V93" s="59">
        <f t="shared" si="46"/>
        <v>-23.901825833333334</v>
      </c>
      <c r="W93" s="59">
        <f t="shared" si="46"/>
        <v>-23.901825833333334</v>
      </c>
      <c r="X93" s="59">
        <f t="shared" si="46"/>
        <v>-22.000585833333332</v>
      </c>
      <c r="Y93" s="59">
        <f t="shared" si="46"/>
        <v>-23.901825833333334</v>
      </c>
      <c r="Z93" s="59">
        <f t="shared" si="46"/>
        <v>-22.901825833333334</v>
      </c>
      <c r="AA93" s="59">
        <f t="shared" si="46"/>
        <v>-22.901835833333333</v>
      </c>
      <c r="AB93" s="59">
        <f t="shared" si="46"/>
        <v>-22.901825833333334</v>
      </c>
      <c r="AC93" s="59">
        <f t="shared" si="46"/>
        <v>-22.901825833333334</v>
      </c>
      <c r="AD93" s="59">
        <f t="shared" si="46"/>
        <v>-13.995445833333333</v>
      </c>
      <c r="AE93" s="59">
        <f t="shared" si="46"/>
        <v>-13.074595833333333</v>
      </c>
      <c r="AF93" s="59">
        <f t="shared" si="46"/>
        <v>-14.372985833333331</v>
      </c>
      <c r="AG93" s="59">
        <f t="shared" si="46"/>
        <v>-15.207045833333332</v>
      </c>
      <c r="AH93" s="59">
        <f t="shared" si="46"/>
        <v>-15.545625833333332</v>
      </c>
      <c r="AI93" s="59">
        <f t="shared" si="46"/>
        <v>-16.17368583333333</v>
      </c>
      <c r="AJ93" s="59">
        <f t="shared" si="46"/>
        <v>-14.632705833333333</v>
      </c>
      <c r="AK93" s="59">
        <f t="shared" si="46"/>
        <v>-15.545625833333332</v>
      </c>
      <c r="AL93" s="59">
        <f t="shared" si="46"/>
        <v>-10.787735833333333</v>
      </c>
      <c r="AM93" s="59">
        <f t="shared" si="46"/>
        <v>-7.9748558333333337</v>
      </c>
      <c r="AN93" s="59">
        <f t="shared" si="46"/>
        <v>-15.792285833333334</v>
      </c>
      <c r="AO93" s="59">
        <f t="shared" si="46"/>
        <v>-16.745865833333333</v>
      </c>
      <c r="AP93" s="59">
        <f t="shared" si="46"/>
        <v>-9.3596658333333345</v>
      </c>
      <c r="AQ93" s="59">
        <f t="shared" si="46"/>
        <v>-1.9596658333333332</v>
      </c>
      <c r="AR93" s="59">
        <f t="shared" si="46"/>
        <v>1.6263141666666669</v>
      </c>
      <c r="AS93" s="59">
        <f t="shared" si="46"/>
        <v>-15.959655833333333</v>
      </c>
      <c r="AT93" s="59">
        <f t="shared" si="4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>IFERROR(K95/J95-1,0)</f>
        <v>-0.28505750382285799</v>
      </c>
      <c r="P95" s="110">
        <f t="shared" ref="P95:AT95" si="47">+P93+P84</f>
        <v>7.3070441666666675</v>
      </c>
      <c r="Q95" s="105">
        <f t="shared" si="47"/>
        <v>-0.16142583333331828</v>
      </c>
      <c r="R95" s="105">
        <f t="shared" si="47"/>
        <v>-5.795955833333327</v>
      </c>
      <c r="S95" s="105">
        <f t="shared" si="47"/>
        <v>-14.239295833333351</v>
      </c>
      <c r="T95" s="105">
        <f t="shared" si="47"/>
        <v>-22.845245833333312</v>
      </c>
      <c r="U95" s="105">
        <f t="shared" si="47"/>
        <v>-9.8175358333333342</v>
      </c>
      <c r="V95" s="105">
        <f t="shared" si="47"/>
        <v>2.2202741666666803</v>
      </c>
      <c r="W95" s="105">
        <f t="shared" si="47"/>
        <v>5.0469941666666642</v>
      </c>
      <c r="X95" s="105">
        <f t="shared" si="47"/>
        <v>-8.6078158333333281</v>
      </c>
      <c r="Y95" s="105">
        <f t="shared" si="47"/>
        <v>-11.929775833333352</v>
      </c>
      <c r="Z95" s="105">
        <f t="shared" si="47"/>
        <v>-34.309155833333328</v>
      </c>
      <c r="AA95" s="105">
        <f t="shared" si="47"/>
        <v>-28.674485833333311</v>
      </c>
      <c r="AB95" s="105">
        <f t="shared" si="47"/>
        <v>0.14461416666663496</v>
      </c>
      <c r="AC95" s="105">
        <f t="shared" si="47"/>
        <v>-15.095905833333337</v>
      </c>
      <c r="AD95" s="105">
        <f t="shared" si="47"/>
        <v>7.3990541666666712</v>
      </c>
      <c r="AE95" s="105">
        <f t="shared" si="47"/>
        <v>-12.353775833333319</v>
      </c>
      <c r="AF95" s="105">
        <f t="shared" si="47"/>
        <v>1.6473541666666769</v>
      </c>
      <c r="AG95" s="105">
        <f t="shared" si="47"/>
        <v>12.362514166666646</v>
      </c>
      <c r="AH95" s="105">
        <f t="shared" si="47"/>
        <v>0.73014416666665483</v>
      </c>
      <c r="AI95" s="105">
        <f t="shared" si="47"/>
        <v>2.3874641666666427</v>
      </c>
      <c r="AJ95" s="105">
        <f t="shared" si="47"/>
        <v>-9.4950558333333213</v>
      </c>
      <c r="AK95" s="105">
        <f t="shared" si="47"/>
        <v>-12.683995833333325</v>
      </c>
      <c r="AL95" s="105">
        <f t="shared" si="47"/>
        <v>2.9951341666667055</v>
      </c>
      <c r="AM95" s="105">
        <f t="shared" si="47"/>
        <v>-6.0963958333333448</v>
      </c>
      <c r="AN95" s="105">
        <f t="shared" si="47"/>
        <v>16.395184166666613</v>
      </c>
      <c r="AO95" s="105">
        <f t="shared" si="47"/>
        <v>53.993614166666639</v>
      </c>
      <c r="AP95" s="105">
        <f t="shared" si="47"/>
        <v>-17.827795833333354</v>
      </c>
      <c r="AQ95" s="105">
        <f t="shared" si="47"/>
        <v>-10.915155833333355</v>
      </c>
      <c r="AR95" s="105">
        <f t="shared" si="47"/>
        <v>1.8522841666666663</v>
      </c>
      <c r="AS95" s="105">
        <f t="shared" si="47"/>
        <v>-5.7195858333332641</v>
      </c>
      <c r="AT95" s="106">
        <f t="shared" si="4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48">P95/P$24</f>
        <v>9.030730705740686E-2</v>
      </c>
      <c r="Q96" s="108">
        <f t="shared" si="48"/>
        <v>-1.9866401167341892E-3</v>
      </c>
      <c r="R96" s="108">
        <f t="shared" si="48"/>
        <v>-7.4200391658835962E-2</v>
      </c>
      <c r="S96" s="108">
        <f t="shared" si="48"/>
        <v>-0.17083061898369173</v>
      </c>
      <c r="T96" s="108">
        <f t="shared" si="48"/>
        <v>-0.25328404630722384</v>
      </c>
      <c r="U96" s="108">
        <f t="shared" si="48"/>
        <v>-0.10918588093898218</v>
      </c>
      <c r="V96" s="108">
        <f t="shared" si="48"/>
        <v>2.1209693225024542E-2</v>
      </c>
      <c r="W96" s="108">
        <f t="shared" si="48"/>
        <v>4.8474372919503003E-2</v>
      </c>
      <c r="X96" s="108">
        <f t="shared" si="48"/>
        <v>-8.7502035201143899E-2</v>
      </c>
      <c r="Y96" s="108">
        <f t="shared" si="48"/>
        <v>-0.12043113575189462</v>
      </c>
      <c r="Z96" s="108">
        <f t="shared" si="48"/>
        <v>-0.31407912712354963</v>
      </c>
      <c r="AA96" s="108">
        <f t="shared" si="48"/>
        <v>-0.24772378008069249</v>
      </c>
      <c r="AB96" s="108">
        <f t="shared" si="48"/>
        <v>1.0429215867343777E-3</v>
      </c>
      <c r="AC96" s="108">
        <f t="shared" si="48"/>
        <v>-0.11811892585388198</v>
      </c>
      <c r="AD96" s="108">
        <f t="shared" si="48"/>
        <v>5.4939896361694711E-2</v>
      </c>
      <c r="AE96" s="108">
        <f t="shared" si="48"/>
        <v>-9.0852887086604647E-2</v>
      </c>
      <c r="AF96" s="108">
        <f t="shared" si="48"/>
        <v>1.0834212642870877E-2</v>
      </c>
      <c r="AG96" s="108">
        <f t="shared" si="48"/>
        <v>8.0629463910499716E-2</v>
      </c>
      <c r="AH96" s="108">
        <f t="shared" si="48"/>
        <v>4.699063595038298E-3</v>
      </c>
      <c r="AI96" s="108">
        <f t="shared" si="48"/>
        <v>1.4933474620197061E-2</v>
      </c>
      <c r="AJ96" s="108">
        <f t="shared" si="48"/>
        <v>-5.7896960804465589E-2</v>
      </c>
      <c r="AK96" s="108">
        <f t="shared" si="48"/>
        <v>-7.0763756946015804E-2</v>
      </c>
      <c r="AL96" s="108">
        <f t="shared" si="48"/>
        <v>1.6484807119151169E-2</v>
      </c>
      <c r="AM96" s="108">
        <f t="shared" si="48"/>
        <v>-3.0992947494835076E-2</v>
      </c>
      <c r="AN96" s="108">
        <f t="shared" si="48"/>
        <v>7.7267982650441672E-2</v>
      </c>
      <c r="AO96" s="108">
        <f t="shared" si="48"/>
        <v>0.22320968245439077</v>
      </c>
      <c r="AP96" s="108">
        <f t="shared" si="48"/>
        <v>-7.7011464089163581E-2</v>
      </c>
      <c r="AQ96" s="108">
        <f t="shared" si="48"/>
        <v>-4.5419357130462024E-2</v>
      </c>
      <c r="AR96" s="108">
        <f t="shared" si="48"/>
        <v>7.5235289143985298E-3</v>
      </c>
      <c r="AS96" s="108">
        <f t="shared" si="48"/>
        <v>-2.3109503070648137E-2</v>
      </c>
      <c r="AT96" s="109">
        <f t="shared" si="4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>K99-J99</f>
        <v>-25.891874999999999</v>
      </c>
      <c r="N99" s="66">
        <f t="shared" ref="N99:N104" si="49">IFERROR(K99/J99-1,0)</f>
        <v>0</v>
      </c>
      <c r="P99" s="83">
        <f t="shared" ref="P99:AT99" si="50">-P10</f>
        <v>-5.4649999999999999</v>
      </c>
      <c r="Q99" s="83">
        <f t="shared" si="50"/>
        <v>-3.9</v>
      </c>
      <c r="R99" s="83">
        <f t="shared" si="50"/>
        <v>-2.7549999999999999</v>
      </c>
      <c r="S99" s="83">
        <f t="shared" si="50"/>
        <v>-3.5019999999999998</v>
      </c>
      <c r="T99" s="83">
        <f t="shared" si="50"/>
        <v>-4.6589999999999998</v>
      </c>
      <c r="U99" s="83">
        <f t="shared" si="50"/>
        <v>-3.9369999999999998</v>
      </c>
      <c r="V99" s="83">
        <f t="shared" si="50"/>
        <v>-4.6020000000000003</v>
      </c>
      <c r="W99" s="83">
        <f t="shared" si="50"/>
        <v>-4.7380000000000004</v>
      </c>
      <c r="X99" s="83">
        <f t="shared" si="50"/>
        <v>-2.1190000000000002</v>
      </c>
      <c r="Y99" s="83">
        <f t="shared" si="50"/>
        <v>-2.0640000000000001</v>
      </c>
      <c r="Z99" s="83">
        <f t="shared" si="50"/>
        <v>-3.0125000000000002</v>
      </c>
      <c r="AA99" s="83">
        <f t="shared" si="50"/>
        <v>-3.3050000000000002</v>
      </c>
      <c r="AB99" s="83">
        <f t="shared" si="50"/>
        <v>-3.0790000000000002</v>
      </c>
      <c r="AC99" s="83">
        <f t="shared" si="50"/>
        <v>-0.7</v>
      </c>
      <c r="AD99" s="83">
        <f t="shared" si="50"/>
        <v>-10.438549999999999</v>
      </c>
      <c r="AE99" s="83">
        <f t="shared" si="50"/>
        <v>-4.3</v>
      </c>
      <c r="AF99" s="83">
        <f t="shared" si="50"/>
        <v>-11.14</v>
      </c>
      <c r="AG99" s="83">
        <f t="shared" si="50"/>
        <v>-6.1624999999999996</v>
      </c>
      <c r="AH99" s="83">
        <f t="shared" si="50"/>
        <v>-6.4340000000000002</v>
      </c>
      <c r="AI99" s="83">
        <f t="shared" si="50"/>
        <v>-3.9649999999999999</v>
      </c>
      <c r="AJ99" s="83">
        <f t="shared" si="50"/>
        <v>-3.92</v>
      </c>
      <c r="AK99" s="83">
        <f t="shared" si="50"/>
        <v>-9.1364999999999998</v>
      </c>
      <c r="AL99" s="83">
        <f t="shared" si="50"/>
        <v>-5.2537500000000001</v>
      </c>
      <c r="AM99" s="83">
        <f t="shared" si="50"/>
        <v>-9.99</v>
      </c>
      <c r="AN99" s="83">
        <f t="shared" si="50"/>
        <v>-10.2105</v>
      </c>
      <c r="AO99" s="83">
        <f t="shared" si="50"/>
        <v>-6.6749999999999998</v>
      </c>
      <c r="AP99" s="83">
        <f t="shared" si="50"/>
        <v>-9.0990000000000002</v>
      </c>
      <c r="AQ99" s="83">
        <f t="shared" si="50"/>
        <v>-8.9544999999999995</v>
      </c>
      <c r="AR99" s="83">
        <f t="shared" si="50"/>
        <v>-12.606</v>
      </c>
      <c r="AS99" s="83">
        <f t="shared" si="50"/>
        <v>-5.4115000000000002</v>
      </c>
      <c r="AT99" s="83">
        <f t="shared" si="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>K100-J100</f>
        <v>49.287359999999993</v>
      </c>
      <c r="N100" s="66">
        <f t="shared" si="49"/>
        <v>0</v>
      </c>
      <c r="P100" s="83">
        <f t="shared" ref="P100:AT100" si="51">+P34</f>
        <v>9.1372800000000005</v>
      </c>
      <c r="Q100" s="83">
        <f t="shared" si="51"/>
        <v>8.9629599999999989</v>
      </c>
      <c r="R100" s="83">
        <f t="shared" si="51"/>
        <v>10.19584</v>
      </c>
      <c r="S100" s="83">
        <f t="shared" si="51"/>
        <v>15.04429</v>
      </c>
      <c r="T100" s="83">
        <f t="shared" si="51"/>
        <v>16.637439999999998</v>
      </c>
      <c r="U100" s="83">
        <f t="shared" si="51"/>
        <v>7.4949899999999996</v>
      </c>
      <c r="V100" s="83">
        <f t="shared" si="51"/>
        <v>7.9820200000000003</v>
      </c>
      <c r="W100" s="83">
        <f t="shared" si="51"/>
        <v>5.9027399999999997</v>
      </c>
      <c r="X100" s="83">
        <f t="shared" si="51"/>
        <v>7.7676300000000005</v>
      </c>
      <c r="Y100" s="83">
        <f t="shared" si="51"/>
        <v>8.2141699999999993</v>
      </c>
      <c r="Z100" s="83">
        <f t="shared" si="51"/>
        <v>12.622719999999999</v>
      </c>
      <c r="AA100" s="83">
        <f t="shared" si="51"/>
        <v>12.85047</v>
      </c>
      <c r="AB100" s="83">
        <f t="shared" si="51"/>
        <v>10.345559999999999</v>
      </c>
      <c r="AC100" s="83">
        <f t="shared" si="51"/>
        <v>8.0879799999999999</v>
      </c>
      <c r="AD100" s="83">
        <f t="shared" si="51"/>
        <v>9.7528700000000015</v>
      </c>
      <c r="AE100" s="83">
        <f t="shared" si="51"/>
        <v>10.28</v>
      </c>
      <c r="AF100" s="83">
        <f t="shared" si="51"/>
        <v>11.13632</v>
      </c>
      <c r="AG100" s="83">
        <f t="shared" si="51"/>
        <v>10.874319999999999</v>
      </c>
      <c r="AH100" s="83">
        <f t="shared" si="51"/>
        <v>13.472569999999999</v>
      </c>
      <c r="AI100" s="83">
        <f t="shared" si="51"/>
        <v>12.70407</v>
      </c>
      <c r="AJ100" s="83">
        <f t="shared" si="51"/>
        <v>14.698840000000001</v>
      </c>
      <c r="AK100" s="83">
        <f t="shared" si="51"/>
        <v>15.543059999999999</v>
      </c>
      <c r="AL100" s="83">
        <f t="shared" si="51"/>
        <v>14.34361</v>
      </c>
      <c r="AM100" s="83">
        <f t="shared" si="51"/>
        <v>20.930520000000001</v>
      </c>
      <c r="AN100" s="83">
        <f t="shared" si="51"/>
        <v>16.553939999999997</v>
      </c>
      <c r="AO100" s="83">
        <f t="shared" si="51"/>
        <v>11.52661</v>
      </c>
      <c r="AP100" s="83">
        <f t="shared" si="51"/>
        <v>14.938829999999999</v>
      </c>
      <c r="AQ100" s="83">
        <f t="shared" si="51"/>
        <v>15.58352</v>
      </c>
      <c r="AR100" s="83">
        <f t="shared" si="51"/>
        <v>19.603400000000001</v>
      </c>
      <c r="AS100" s="83">
        <f t="shared" si="51"/>
        <v>16.644569999999998</v>
      </c>
      <c r="AT100" s="83">
        <f t="shared" si="51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>K101-J101</f>
        <v>220.13062500000001</v>
      </c>
      <c r="N101" s="66">
        <f t="shared" si="49"/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>K102-J102</f>
        <v>143.23972444444445</v>
      </c>
      <c r="N102" s="66">
        <f t="shared" si="49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>K103-J103</f>
        <v>28.2</v>
      </c>
      <c r="N103" s="66">
        <f t="shared" si="49"/>
        <v>0</v>
      </c>
      <c r="P103" s="83">
        <f t="shared" ref="P103:AT103" si="52">+P36</f>
        <v>0</v>
      </c>
      <c r="Q103" s="83">
        <f t="shared" si="52"/>
        <v>0</v>
      </c>
      <c r="R103" s="83">
        <f t="shared" si="52"/>
        <v>0</v>
      </c>
      <c r="S103" s="83">
        <f t="shared" si="52"/>
        <v>0</v>
      </c>
      <c r="T103" s="83">
        <f t="shared" si="52"/>
        <v>0</v>
      </c>
      <c r="U103" s="83">
        <f t="shared" si="52"/>
        <v>0</v>
      </c>
      <c r="V103" s="83">
        <f t="shared" si="52"/>
        <v>0</v>
      </c>
      <c r="W103" s="83">
        <f t="shared" si="52"/>
        <v>0</v>
      </c>
      <c r="X103" s="83">
        <f t="shared" si="52"/>
        <v>0</v>
      </c>
      <c r="Y103" s="83">
        <f t="shared" si="52"/>
        <v>0</v>
      </c>
      <c r="Z103" s="83">
        <f t="shared" si="52"/>
        <v>0</v>
      </c>
      <c r="AA103" s="83">
        <f t="shared" si="52"/>
        <v>0</v>
      </c>
      <c r="AB103" s="83">
        <f t="shared" si="52"/>
        <v>0</v>
      </c>
      <c r="AC103" s="83">
        <f t="shared" si="52"/>
        <v>0</v>
      </c>
      <c r="AD103" s="83">
        <f t="shared" si="52"/>
        <v>0</v>
      </c>
      <c r="AE103" s="83">
        <f t="shared" si="52"/>
        <v>0</v>
      </c>
      <c r="AF103" s="83">
        <f t="shared" si="52"/>
        <v>0</v>
      </c>
      <c r="AG103" s="83">
        <f t="shared" si="52"/>
        <v>1.4667999999999999</v>
      </c>
      <c r="AH103" s="83">
        <f t="shared" si="52"/>
        <v>1.6326500000000002</v>
      </c>
      <c r="AI103" s="83">
        <f t="shared" si="52"/>
        <v>1.7180499999999999</v>
      </c>
      <c r="AJ103" s="83">
        <f t="shared" si="52"/>
        <v>1.9145999999999999</v>
      </c>
      <c r="AK103" s="83">
        <f t="shared" si="52"/>
        <v>2.3529</v>
      </c>
      <c r="AL103" s="83">
        <f t="shared" si="52"/>
        <v>2.2452399999999999</v>
      </c>
      <c r="AM103" s="83">
        <f t="shared" si="52"/>
        <v>7.8193900000000003</v>
      </c>
      <c r="AN103" s="83">
        <f t="shared" si="52"/>
        <v>5.6533999999999995</v>
      </c>
      <c r="AO103" s="83">
        <f t="shared" si="52"/>
        <v>5.9568900000000005</v>
      </c>
      <c r="AP103" s="83">
        <f t="shared" si="52"/>
        <v>7.7827999999999999</v>
      </c>
      <c r="AQ103" s="83">
        <f t="shared" si="52"/>
        <v>8.1370100000000001</v>
      </c>
      <c r="AR103" s="83">
        <f t="shared" si="52"/>
        <v>7.8082500000000001</v>
      </c>
      <c r="AS103" s="83">
        <f t="shared" si="52"/>
        <v>8.4072000000000013</v>
      </c>
      <c r="AT103" s="83">
        <f t="shared" si="52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si="49"/>
        <v>0</v>
      </c>
      <c r="P104" s="59">
        <f t="shared" ref="P104:AT104" si="53">SUM(P99:P103)</f>
        <v>3.6722800000000007</v>
      </c>
      <c r="Q104" s="59">
        <f t="shared" si="53"/>
        <v>5.0629599999999986</v>
      </c>
      <c r="R104" s="59">
        <f t="shared" si="53"/>
        <v>7.4408400000000006</v>
      </c>
      <c r="S104" s="59">
        <f t="shared" si="53"/>
        <v>11.542290000000001</v>
      </c>
      <c r="T104" s="59">
        <f t="shared" si="53"/>
        <v>11.978439999999999</v>
      </c>
      <c r="U104" s="59">
        <f t="shared" si="53"/>
        <v>3.5579899999999998</v>
      </c>
      <c r="V104" s="59">
        <f t="shared" si="53"/>
        <v>3.38002</v>
      </c>
      <c r="W104" s="59">
        <f t="shared" si="53"/>
        <v>1.1647399999999992</v>
      </c>
      <c r="X104" s="59">
        <f t="shared" si="53"/>
        <v>5.6486300000000007</v>
      </c>
      <c r="Y104" s="59">
        <f t="shared" si="53"/>
        <v>6.1501699999999992</v>
      </c>
      <c r="Z104" s="59">
        <f t="shared" si="53"/>
        <v>9.6102199999999982</v>
      </c>
      <c r="AA104" s="59">
        <f t="shared" si="53"/>
        <v>9.5454699999999999</v>
      </c>
      <c r="AB104" s="59">
        <f t="shared" si="53"/>
        <v>7.2665599999999984</v>
      </c>
      <c r="AC104" s="59">
        <f t="shared" si="53"/>
        <v>7.3879799999999998</v>
      </c>
      <c r="AD104" s="59">
        <f t="shared" si="53"/>
        <v>-0.68567999999999785</v>
      </c>
      <c r="AE104" s="59">
        <f t="shared" si="53"/>
        <v>5.9799999999999995</v>
      </c>
      <c r="AF104" s="59">
        <f t="shared" si="53"/>
        <v>-3.6800000000010158E-3</v>
      </c>
      <c r="AG104" s="59">
        <f t="shared" si="53"/>
        <v>6.1786199999999996</v>
      </c>
      <c r="AH104" s="59">
        <f t="shared" si="53"/>
        <v>8.6712199999999999</v>
      </c>
      <c r="AI104" s="59">
        <f t="shared" si="53"/>
        <v>10.45712</v>
      </c>
      <c r="AJ104" s="59">
        <f t="shared" si="53"/>
        <v>12.693440000000001</v>
      </c>
      <c r="AK104" s="59">
        <f t="shared" si="53"/>
        <v>8.7594599999999989</v>
      </c>
      <c r="AL104" s="59">
        <f t="shared" si="53"/>
        <v>11.335100000000001</v>
      </c>
      <c r="AM104" s="59">
        <f t="shared" si="53"/>
        <v>18.759910000000001</v>
      </c>
      <c r="AN104" s="59">
        <f t="shared" si="53"/>
        <v>11.996839999999997</v>
      </c>
      <c r="AO104" s="59">
        <f t="shared" si="53"/>
        <v>10.8085</v>
      </c>
      <c r="AP104" s="59">
        <f t="shared" si="53"/>
        <v>13.622629999999999</v>
      </c>
      <c r="AQ104" s="59">
        <f t="shared" si="53"/>
        <v>14.766030000000001</v>
      </c>
      <c r="AR104" s="59">
        <f t="shared" si="53"/>
        <v>14.80565</v>
      </c>
      <c r="AS104" s="59">
        <f t="shared" si="53"/>
        <v>19.640270000000001</v>
      </c>
      <c r="AT104" s="59">
        <f t="shared" si="53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>IFERROR(K106/J106-1,0)</f>
        <v>5.2502425360671952</v>
      </c>
      <c r="P106" s="110">
        <f t="shared" ref="P106:AT106" si="54">+P95+P104</f>
        <v>10.979324166666668</v>
      </c>
      <c r="Q106" s="105">
        <f t="shared" si="54"/>
        <v>4.9015341666666803</v>
      </c>
      <c r="R106" s="105">
        <f t="shared" si="54"/>
        <v>1.6448841666666736</v>
      </c>
      <c r="S106" s="105">
        <f t="shared" si="54"/>
        <v>-2.6970058333333498</v>
      </c>
      <c r="T106" s="105">
        <f t="shared" si="54"/>
        <v>-10.866805833333313</v>
      </c>
      <c r="U106" s="105">
        <f t="shared" si="54"/>
        <v>-6.259545833333334</v>
      </c>
      <c r="V106" s="105">
        <f t="shared" si="54"/>
        <v>5.6002941666666803</v>
      </c>
      <c r="W106" s="105">
        <f t="shared" si="54"/>
        <v>6.2117341666666634</v>
      </c>
      <c r="X106" s="105">
        <f t="shared" si="54"/>
        <v>-2.9591858333333274</v>
      </c>
      <c r="Y106" s="105">
        <f t="shared" si="54"/>
        <v>-5.7796058333333526</v>
      </c>
      <c r="Z106" s="105">
        <f t="shared" si="54"/>
        <v>-24.69893583333333</v>
      </c>
      <c r="AA106" s="105">
        <f t="shared" si="54"/>
        <v>-19.129015833333312</v>
      </c>
      <c r="AB106" s="105">
        <f t="shared" si="54"/>
        <v>7.4111741666666333</v>
      </c>
      <c r="AC106" s="105">
        <f t="shared" si="54"/>
        <v>-7.7079258333333369</v>
      </c>
      <c r="AD106" s="105">
        <f t="shared" si="54"/>
        <v>6.7133741666666733</v>
      </c>
      <c r="AE106" s="105">
        <f t="shared" si="54"/>
        <v>-6.3737758333333199</v>
      </c>
      <c r="AF106" s="105">
        <f t="shared" si="54"/>
        <v>1.6436741666666759</v>
      </c>
      <c r="AG106" s="105">
        <f t="shared" si="54"/>
        <v>18.541134166666644</v>
      </c>
      <c r="AH106" s="105">
        <f t="shared" si="54"/>
        <v>9.4013641666666548</v>
      </c>
      <c r="AI106" s="105">
        <f t="shared" si="54"/>
        <v>12.844584166666642</v>
      </c>
      <c r="AJ106" s="105">
        <f t="shared" si="54"/>
        <v>3.1983841666666795</v>
      </c>
      <c r="AK106" s="105">
        <f t="shared" si="54"/>
        <v>-3.9245358333333265</v>
      </c>
      <c r="AL106" s="105">
        <f t="shared" si="54"/>
        <v>14.330234166666706</v>
      </c>
      <c r="AM106" s="105">
        <f t="shared" si="54"/>
        <v>12.663514166666657</v>
      </c>
      <c r="AN106" s="105">
        <f t="shared" si="54"/>
        <v>28.392024166666609</v>
      </c>
      <c r="AO106" s="105">
        <f t="shared" si="54"/>
        <v>64.802114166666641</v>
      </c>
      <c r="AP106" s="105">
        <f t="shared" si="54"/>
        <v>-4.2051658333333553</v>
      </c>
      <c r="AQ106" s="105">
        <f t="shared" si="54"/>
        <v>3.8508741666666459</v>
      </c>
      <c r="AR106" s="105">
        <f t="shared" si="54"/>
        <v>16.657934166666667</v>
      </c>
      <c r="AS106" s="105">
        <f t="shared" si="54"/>
        <v>13.920684166666737</v>
      </c>
      <c r="AT106" s="106">
        <f t="shared" si="54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:AT107" si="55">P106/P$24</f>
        <v>0.13569278851838168</v>
      </c>
      <c r="Q107" s="108">
        <f t="shared" si="55"/>
        <v>6.0322342514638111E-2</v>
      </c>
      <c r="R107" s="108">
        <f t="shared" si="55"/>
        <v>2.1057967470723825E-2</v>
      </c>
      <c r="S107" s="108">
        <f t="shared" si="55"/>
        <v>-3.2356317426344851E-2</v>
      </c>
      <c r="T107" s="108">
        <f t="shared" si="55"/>
        <v>-0.12047970820631825</v>
      </c>
      <c r="U107" s="108">
        <f t="shared" si="55"/>
        <v>-6.96156385566645E-2</v>
      </c>
      <c r="V107" s="108">
        <f t="shared" si="55"/>
        <v>5.3498132360482814E-2</v>
      </c>
      <c r="W107" s="108">
        <f t="shared" si="55"/>
        <v>5.966123766508908E-2</v>
      </c>
      <c r="X107" s="108">
        <f t="shared" si="55"/>
        <v>-3.0081357218674151E-2</v>
      </c>
      <c r="Y107" s="108">
        <f t="shared" si="55"/>
        <v>-5.834514448811115E-2</v>
      </c>
      <c r="Z107" s="108">
        <f t="shared" si="55"/>
        <v>-0.2261034997508482</v>
      </c>
      <c r="AA107" s="108">
        <f t="shared" si="55"/>
        <v>-0.16525883459601992</v>
      </c>
      <c r="AB107" s="108">
        <f t="shared" si="55"/>
        <v>5.3447554272344149E-2</v>
      </c>
      <c r="AC107" s="108">
        <f t="shared" si="55"/>
        <v>-6.0311181723480878E-2</v>
      </c>
      <c r="AD107" s="108">
        <f t="shared" si="55"/>
        <v>4.9848544509318984E-2</v>
      </c>
      <c r="AE107" s="108">
        <f t="shared" si="55"/>
        <v>-4.6874408594875253E-2</v>
      </c>
      <c r="AF107" s="108">
        <f t="shared" si="55"/>
        <v>1.0810010256199862E-2</v>
      </c>
      <c r="AG107" s="108">
        <f t="shared" si="55"/>
        <v>0.12092699656368312</v>
      </c>
      <c r="AH107" s="108">
        <f t="shared" si="55"/>
        <v>6.0505322258432838E-2</v>
      </c>
      <c r="AI107" s="108">
        <f t="shared" si="55"/>
        <v>8.0342262027626898E-2</v>
      </c>
      <c r="AJ107" s="108">
        <f t="shared" si="55"/>
        <v>1.9502436424338139E-2</v>
      </c>
      <c r="AK107" s="108">
        <f t="shared" si="55"/>
        <v>-2.1894906264956274E-2</v>
      </c>
      <c r="AL107" s="108">
        <f t="shared" si="55"/>
        <v>7.88716408229128E-2</v>
      </c>
      <c r="AM107" s="108">
        <f t="shared" si="55"/>
        <v>6.4378961011952951E-2</v>
      </c>
      <c r="AN107" s="108">
        <f t="shared" si="55"/>
        <v>0.13380724537277019</v>
      </c>
      <c r="AO107" s="108">
        <f t="shared" si="55"/>
        <v>0.26789203776702503</v>
      </c>
      <c r="AP107" s="108">
        <f t="shared" si="55"/>
        <v>-1.8165228084855076E-2</v>
      </c>
      <c r="AQ107" s="108">
        <f t="shared" si="55"/>
        <v>1.6023979108586776E-2</v>
      </c>
      <c r="AR107" s="108">
        <f t="shared" si="55"/>
        <v>6.7660487312051501E-2</v>
      </c>
      <c r="AS107" s="108">
        <f t="shared" si="55"/>
        <v>5.6245347629939706E-2</v>
      </c>
      <c r="AT107" s="109">
        <f t="shared" si="55"/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56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56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57">+B50</f>
        <v>Travel, Meals &amp; Entertainment</v>
      </c>
      <c r="C150" s="83">
        <f t="shared" si="56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57"/>
        <v>Payment Collection Fees</v>
      </c>
      <c r="C151" s="83">
        <f t="shared" si="56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57"/>
        <v>Professional Organizations</v>
      </c>
      <c r="C152" s="83">
        <f t="shared" si="56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57"/>
        <v>S&amp;M Events</v>
      </c>
      <c r="C153" s="83">
        <f t="shared" si="56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57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57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58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58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58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58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58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58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 t="shared" ref="D98:AG98" si="1">EOMONTH(C98,0)+1</f>
        <v>45323</v>
      </c>
      <c r="E98" s="44">
        <f t="shared" si="1"/>
        <v>45352</v>
      </c>
      <c r="F98" s="44">
        <f t="shared" si="1"/>
        <v>45383</v>
      </c>
      <c r="G98" s="44">
        <f t="shared" si="1"/>
        <v>45413</v>
      </c>
      <c r="H98" s="44">
        <f t="shared" si="1"/>
        <v>45444</v>
      </c>
      <c r="I98" s="44">
        <f t="shared" si="1"/>
        <v>45474</v>
      </c>
      <c r="J98" s="44">
        <f t="shared" si="1"/>
        <v>45505</v>
      </c>
      <c r="K98" s="44">
        <f t="shared" si="1"/>
        <v>45536</v>
      </c>
      <c r="L98" s="44">
        <f t="shared" si="1"/>
        <v>45566</v>
      </c>
      <c r="M98" s="44">
        <f t="shared" si="1"/>
        <v>45597</v>
      </c>
      <c r="N98" s="44">
        <f t="shared" si="1"/>
        <v>45627</v>
      </c>
      <c r="O98" s="44">
        <f t="shared" si="1"/>
        <v>45658</v>
      </c>
      <c r="P98" s="44">
        <f t="shared" si="1"/>
        <v>45689</v>
      </c>
      <c r="Q98" s="44">
        <f t="shared" si="1"/>
        <v>45717</v>
      </c>
      <c r="R98" s="44">
        <f t="shared" si="1"/>
        <v>45748</v>
      </c>
      <c r="S98" s="44">
        <f t="shared" si="1"/>
        <v>45778</v>
      </c>
      <c r="T98" s="44">
        <f t="shared" si="1"/>
        <v>45809</v>
      </c>
      <c r="U98" s="44">
        <f t="shared" si="1"/>
        <v>45839</v>
      </c>
      <c r="V98" s="44">
        <f t="shared" si="1"/>
        <v>45870</v>
      </c>
      <c r="W98" s="44">
        <f t="shared" si="1"/>
        <v>45901</v>
      </c>
      <c r="X98" s="44">
        <f t="shared" si="1"/>
        <v>45931</v>
      </c>
      <c r="Y98" s="44">
        <f t="shared" si="1"/>
        <v>45962</v>
      </c>
      <c r="Z98" s="44">
        <f t="shared" si="1"/>
        <v>45992</v>
      </c>
      <c r="AA98" s="44">
        <f t="shared" si="1"/>
        <v>46023</v>
      </c>
      <c r="AB98" s="44">
        <f t="shared" si="1"/>
        <v>46054</v>
      </c>
      <c r="AC98" s="44">
        <f t="shared" si="1"/>
        <v>46082</v>
      </c>
      <c r="AD98" s="44">
        <f t="shared" si="1"/>
        <v>46113</v>
      </c>
      <c r="AE98" s="44">
        <f t="shared" si="1"/>
        <v>46143</v>
      </c>
      <c r="AF98" s="44">
        <f t="shared" si="1"/>
        <v>46174</v>
      </c>
      <c r="AG98" s="44">
        <f t="shared" si="1"/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 t="shared" ref="D102:AG102" si="2">EOMONTH(C102,0)+1</f>
        <v>45323</v>
      </c>
      <c r="E102" s="44">
        <f t="shared" si="2"/>
        <v>45352</v>
      </c>
      <c r="F102" s="44">
        <f t="shared" si="2"/>
        <v>45383</v>
      </c>
      <c r="G102" s="44">
        <f t="shared" si="2"/>
        <v>45413</v>
      </c>
      <c r="H102" s="44">
        <f t="shared" si="2"/>
        <v>45444</v>
      </c>
      <c r="I102" s="44">
        <f t="shared" si="2"/>
        <v>45474</v>
      </c>
      <c r="J102" s="44">
        <f t="shared" si="2"/>
        <v>45505</v>
      </c>
      <c r="K102" s="44">
        <f t="shared" si="2"/>
        <v>45536</v>
      </c>
      <c r="L102" s="44">
        <f t="shared" si="2"/>
        <v>45566</v>
      </c>
      <c r="M102" s="44">
        <f t="shared" si="2"/>
        <v>45597</v>
      </c>
      <c r="N102" s="44">
        <f t="shared" si="2"/>
        <v>45627</v>
      </c>
      <c r="O102" s="44">
        <f t="shared" si="2"/>
        <v>45658</v>
      </c>
      <c r="P102" s="44">
        <f t="shared" si="2"/>
        <v>45689</v>
      </c>
      <c r="Q102" s="44">
        <f t="shared" si="2"/>
        <v>45717</v>
      </c>
      <c r="R102" s="44">
        <f t="shared" si="2"/>
        <v>45748</v>
      </c>
      <c r="S102" s="44">
        <f t="shared" si="2"/>
        <v>45778</v>
      </c>
      <c r="T102" s="44">
        <f t="shared" si="2"/>
        <v>45809</v>
      </c>
      <c r="U102" s="44">
        <f t="shared" si="2"/>
        <v>45839</v>
      </c>
      <c r="V102" s="44">
        <f t="shared" si="2"/>
        <v>45870</v>
      </c>
      <c r="W102" s="44">
        <f t="shared" si="2"/>
        <v>45901</v>
      </c>
      <c r="X102" s="44">
        <f t="shared" si="2"/>
        <v>45931</v>
      </c>
      <c r="Y102" s="44">
        <f t="shared" si="2"/>
        <v>45962</v>
      </c>
      <c r="Z102" s="44">
        <f t="shared" si="2"/>
        <v>45992</v>
      </c>
      <c r="AA102" s="44">
        <f t="shared" si="2"/>
        <v>46023</v>
      </c>
      <c r="AB102" s="44">
        <f t="shared" si="2"/>
        <v>46054</v>
      </c>
      <c r="AC102" s="44">
        <f t="shared" si="2"/>
        <v>46082</v>
      </c>
      <c r="AD102" s="44">
        <f t="shared" si="2"/>
        <v>46113</v>
      </c>
      <c r="AE102" s="44">
        <f t="shared" si="2"/>
        <v>46143</v>
      </c>
      <c r="AF102" s="44">
        <f t="shared" si="2"/>
        <v>46174</v>
      </c>
      <c r="AG102" s="44">
        <f t="shared" si="2"/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 t="shared" ref="D106:AG106" si="3">EOMONTH(C106,0)+1</f>
        <v>45323</v>
      </c>
      <c r="E106" s="44">
        <f t="shared" si="3"/>
        <v>45352</v>
      </c>
      <c r="F106" s="44">
        <f t="shared" si="3"/>
        <v>45383</v>
      </c>
      <c r="G106" s="44">
        <f t="shared" si="3"/>
        <v>45413</v>
      </c>
      <c r="H106" s="44">
        <f t="shared" si="3"/>
        <v>45444</v>
      </c>
      <c r="I106" s="44">
        <f t="shared" si="3"/>
        <v>45474</v>
      </c>
      <c r="J106" s="44">
        <f t="shared" si="3"/>
        <v>45505</v>
      </c>
      <c r="K106" s="44">
        <f t="shared" si="3"/>
        <v>45536</v>
      </c>
      <c r="L106" s="44">
        <f t="shared" si="3"/>
        <v>45566</v>
      </c>
      <c r="M106" s="44">
        <f t="shared" si="3"/>
        <v>45597</v>
      </c>
      <c r="N106" s="44">
        <f t="shared" si="3"/>
        <v>45627</v>
      </c>
      <c r="O106" s="44">
        <f t="shared" si="3"/>
        <v>45658</v>
      </c>
      <c r="P106" s="44">
        <f t="shared" si="3"/>
        <v>45689</v>
      </c>
      <c r="Q106" s="44">
        <f t="shared" si="3"/>
        <v>45717</v>
      </c>
      <c r="R106" s="44">
        <f t="shared" si="3"/>
        <v>45748</v>
      </c>
      <c r="S106" s="44">
        <f t="shared" si="3"/>
        <v>45778</v>
      </c>
      <c r="T106" s="44">
        <f t="shared" si="3"/>
        <v>45809</v>
      </c>
      <c r="U106" s="44">
        <f t="shared" si="3"/>
        <v>45839</v>
      </c>
      <c r="V106" s="44">
        <f t="shared" si="3"/>
        <v>45870</v>
      </c>
      <c r="W106" s="44">
        <f t="shared" si="3"/>
        <v>45901</v>
      </c>
      <c r="X106" s="44">
        <f t="shared" si="3"/>
        <v>45931</v>
      </c>
      <c r="Y106" s="44">
        <f t="shared" si="3"/>
        <v>45962</v>
      </c>
      <c r="Z106" s="44">
        <f t="shared" si="3"/>
        <v>45992</v>
      </c>
      <c r="AA106" s="44">
        <f t="shared" si="3"/>
        <v>46023</v>
      </c>
      <c r="AB106" s="44">
        <f t="shared" si="3"/>
        <v>46054</v>
      </c>
      <c r="AC106" s="44">
        <f t="shared" si="3"/>
        <v>46082</v>
      </c>
      <c r="AD106" s="44">
        <f t="shared" si="3"/>
        <v>46113</v>
      </c>
      <c r="AE106" s="44">
        <f t="shared" si="3"/>
        <v>46143</v>
      </c>
      <c r="AF106" s="44">
        <f t="shared" si="3"/>
        <v>46174</v>
      </c>
      <c r="AG106" s="44">
        <f t="shared" si="3"/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>+D9</f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>+D10</f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1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1"/>
        <v>78.900000000000006</v>
      </c>
      <c r="D16" s="206">
        <f t="shared" ref="D16:D26" si="2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1"/>
        <v>36.009</v>
      </c>
      <c r="D17" s="206">
        <f t="shared" si="2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1"/>
        <v>18.025680000000001</v>
      </c>
      <c r="D18" s="206">
        <f t="shared" si="2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1"/>
        <v>16.8</v>
      </c>
      <c r="D19" s="206">
        <f t="shared" si="2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1"/>
        <v>16.908709999999999</v>
      </c>
      <c r="D20" s="206">
        <f t="shared" si="2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1"/>
        <v>13.2</v>
      </c>
      <c r="D21" s="206">
        <f t="shared" si="2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1"/>
        <v>12.04365</v>
      </c>
      <c r="D22" s="163">
        <f t="shared" si="2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1"/>
        <v>9.052719999999999</v>
      </c>
      <c r="D23" s="163">
        <f t="shared" si="2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1"/>
        <v>8.9686699999999995</v>
      </c>
      <c r="D24" s="163">
        <f t="shared" si="2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2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2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3" priority="1">
      <formula>$K$3=1</formula>
    </cfRule>
  </conditionalFormatting>
  <conditionalFormatting sqref="A15:XFD24 A25:B25 D25:XFD25 A26:XFD26">
    <cfRule type="expression" dxfId="72" priority="11">
      <formula>$K$3=1</formula>
    </cfRule>
  </conditionalFormatting>
  <conditionalFormatting sqref="B11:D11">
    <cfRule type="expression" dxfId="71" priority="2">
      <formula>$K$3=1</formula>
    </cfRule>
  </conditionalFormatting>
  <conditionalFormatting sqref="B14:D14">
    <cfRule type="expression" dxfId="70" priority="8">
      <formula>$V$3=1</formula>
    </cfRule>
  </conditionalFormatting>
  <conditionalFormatting sqref="B6:F6">
    <cfRule type="expression" dxfId="69" priority="7">
      <formula>$V$3=1</formula>
    </cfRule>
  </conditionalFormatting>
  <conditionalFormatting sqref="C7:C10">
    <cfRule type="expression" dxfId="68" priority="4">
      <formula>$V$3=1</formula>
    </cfRule>
  </conditionalFormatting>
  <conditionalFormatting sqref="C15 B15:B27 D15:D27 K15:K27 C25:C27 A36:A47 E36:XFD47">
    <cfRule type="expression" dxfId="67" priority="18">
      <formula>$K$3=1</formula>
    </cfRule>
  </conditionalFormatting>
  <conditionalFormatting sqref="C15:C25">
    <cfRule type="expression" dxfId="66" priority="10">
      <formula>$V$3=1</formula>
    </cfRule>
  </conditionalFormatting>
  <conditionalFormatting sqref="C27">
    <cfRule type="expression" dxfId="65" priority="20">
      <formula>$V$3=1</formula>
    </cfRule>
  </conditionalFormatting>
  <conditionalFormatting sqref="C7:D10">
    <cfRule type="expression" dxfId="64" priority="5">
      <formula>$K$3=1</formula>
    </cfRule>
  </conditionalFormatting>
  <conditionalFormatting sqref="C11:D11">
    <cfRule type="expression" dxfId="63" priority="3">
      <formula>$V$3=1</formula>
    </cfRule>
  </conditionalFormatting>
  <conditionalFormatting sqref="K15:K27">
    <cfRule type="expression" dxfId="62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>SUM(C8:C15)</f>
        <v>1475.5390500000001</v>
      </c>
      <c r="D16" s="61">
        <f>SUM(D8:D15)</f>
        <v>2469.0259900000001</v>
      </c>
      <c r="E16" s="124">
        <f>SUM(E8:E15)</f>
        <v>2942.9432999999999</v>
      </c>
      <c r="F16" s="71"/>
      <c r="G16" s="63">
        <f t="shared" ref="G16:R16" si="1">SUM(G8:G15)</f>
        <v>157.49274999999997</v>
      </c>
      <c r="H16" s="61">
        <f t="shared" si="1"/>
        <v>161.958</v>
      </c>
      <c r="I16" s="61">
        <f t="shared" si="1"/>
        <v>175.58</v>
      </c>
      <c r="J16" s="61">
        <f t="shared" si="1"/>
        <v>180.39300000000003</v>
      </c>
      <c r="K16" s="61">
        <f t="shared" si="1"/>
        <v>193.53474999999997</v>
      </c>
      <c r="L16" s="61">
        <f t="shared" si="1"/>
        <v>203.24331999999995</v>
      </c>
      <c r="M16" s="61">
        <f t="shared" si="1"/>
        <v>208.38586999999998</v>
      </c>
      <c r="N16" s="61">
        <f t="shared" si="1"/>
        <v>215.74275</v>
      </c>
      <c r="O16" s="61">
        <f t="shared" si="1"/>
        <v>232.03611000000001</v>
      </c>
      <c r="P16" s="61">
        <f t="shared" si="1"/>
        <v>245.53060999999997</v>
      </c>
      <c r="Q16" s="61">
        <f t="shared" si="1"/>
        <v>243.79017999999999</v>
      </c>
      <c r="R16" s="62">
        <f t="shared" si="1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>SUM(C18:C22)</f>
        <v>48.871600000000001</v>
      </c>
      <c r="D23" s="59">
        <f>SUM(D18:D22)</f>
        <v>83.505239999999986</v>
      </c>
      <c r="E23" s="125">
        <f>SUM(E18:E22)</f>
        <v>55.597719999999995</v>
      </c>
      <c r="F23" s="71"/>
      <c r="G23" s="59">
        <f t="shared" ref="G23:R23" si="2">SUM(G18:G22)</f>
        <v>2.3805699999999996</v>
      </c>
      <c r="H23" s="59">
        <f t="shared" si="2"/>
        <v>2.04121</v>
      </c>
      <c r="I23" s="59">
        <f t="shared" si="2"/>
        <v>3.6642399999999999</v>
      </c>
      <c r="J23" s="59">
        <f t="shared" si="2"/>
        <v>1.29758</v>
      </c>
      <c r="K23" s="59">
        <f t="shared" si="2"/>
        <v>3.1679299999999997</v>
      </c>
      <c r="L23" s="59">
        <f t="shared" si="2"/>
        <v>8.9426800000000011</v>
      </c>
      <c r="M23" s="59">
        <f t="shared" si="2"/>
        <v>33.510510000000004</v>
      </c>
      <c r="N23" s="59">
        <f t="shared" si="2"/>
        <v>15.752599999999999</v>
      </c>
      <c r="O23" s="59">
        <f t="shared" si="2"/>
        <v>8.2833600000000001</v>
      </c>
      <c r="P23" s="59">
        <f t="shared" si="2"/>
        <v>0.66824000000000006</v>
      </c>
      <c r="Q23" s="59">
        <f t="shared" si="2"/>
        <v>3.7091200000000004</v>
      </c>
      <c r="R23" s="59">
        <f t="shared" si="2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3">+G23+G16</f>
        <v>159.87331999999998</v>
      </c>
      <c r="H25" s="61">
        <f t="shared" si="3"/>
        <v>163.99921000000001</v>
      </c>
      <c r="I25" s="61">
        <f t="shared" si="3"/>
        <v>179.24424000000002</v>
      </c>
      <c r="J25" s="61">
        <f t="shared" si="3"/>
        <v>181.69058000000004</v>
      </c>
      <c r="K25" s="61">
        <f t="shared" si="3"/>
        <v>196.70267999999999</v>
      </c>
      <c r="L25" s="61">
        <f t="shared" si="3"/>
        <v>212.18599999999995</v>
      </c>
      <c r="M25" s="61">
        <f t="shared" si="3"/>
        <v>241.89637999999999</v>
      </c>
      <c r="N25" s="61">
        <f t="shared" si="3"/>
        <v>231.49535</v>
      </c>
      <c r="O25" s="61">
        <f t="shared" si="3"/>
        <v>240.31947</v>
      </c>
      <c r="P25" s="61">
        <f t="shared" si="3"/>
        <v>246.19884999999996</v>
      </c>
      <c r="Q25" s="61">
        <f t="shared" si="3"/>
        <v>247.49930000000001</v>
      </c>
      <c r="R25" s="62">
        <f t="shared" si="3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4">G8/G$16</f>
        <v>0.82597611636091206</v>
      </c>
      <c r="H28" s="66">
        <f t="shared" si="4"/>
        <v>0.82484656515886834</v>
      </c>
      <c r="I28" s="66">
        <f t="shared" si="4"/>
        <v>0.7951304248775487</v>
      </c>
      <c r="J28" s="66">
        <f t="shared" si="4"/>
        <v>0.80535691517963548</v>
      </c>
      <c r="K28" s="66">
        <f t="shared" si="4"/>
        <v>0.77711237904304009</v>
      </c>
      <c r="L28" s="66">
        <f t="shared" si="4"/>
        <v>0.77020391125277832</v>
      </c>
      <c r="M28" s="66">
        <f t="shared" si="4"/>
        <v>0.79133676386023688</v>
      </c>
      <c r="N28" s="66">
        <f t="shared" si="4"/>
        <v>0.78957114433741105</v>
      </c>
      <c r="O28" s="66">
        <f t="shared" si="4"/>
        <v>0.79152335384350303</v>
      </c>
      <c r="P28" s="66">
        <f t="shared" si="4"/>
        <v>0.77702898225194827</v>
      </c>
      <c r="Q28" s="66">
        <f t="shared" si="4"/>
        <v>0.79743367841969681</v>
      </c>
      <c r="R28" s="66">
        <f t="shared" si="4"/>
        <v>0.79907129285527712</v>
      </c>
    </row>
    <row r="29" spans="2:18">
      <c r="B29" s="56" t="str">
        <f t="shared" ref="B29:B35" si="5">+B9</f>
        <v>Occupancy Taxes</v>
      </c>
      <c r="C29" s="66">
        <f t="shared" ref="C29:D35" si="6">C9/C$16</f>
        <v>1.6119871581846652E-2</v>
      </c>
      <c r="D29" s="66">
        <f t="shared" si="6"/>
        <v>5.0022211390330487E-2</v>
      </c>
      <c r="E29" s="66">
        <f t="shared" ref="E29:E35" si="7">E9/E$16</f>
        <v>6.5522771029941362E-2</v>
      </c>
      <c r="F29" s="66"/>
      <c r="G29" s="66">
        <f t="shared" ref="G29:R29" si="8">G9/G$16</f>
        <v>3.003312850909011E-2</v>
      </c>
      <c r="H29" s="66">
        <f t="shared" si="8"/>
        <v>2.9760802183282087E-2</v>
      </c>
      <c r="I29" s="66">
        <f t="shared" si="8"/>
        <v>3.0584349014694156E-2</v>
      </c>
      <c r="J29" s="66">
        <f t="shared" si="8"/>
        <v>4.4624791427605282E-2</v>
      </c>
      <c r="K29" s="66">
        <f t="shared" si="8"/>
        <v>4.5909068009750191E-2</v>
      </c>
      <c r="L29" s="66">
        <f t="shared" si="8"/>
        <v>5.3677139302782513E-2</v>
      </c>
      <c r="M29" s="66">
        <f t="shared" si="8"/>
        <v>4.9595349243209248E-2</v>
      </c>
      <c r="N29" s="66">
        <f t="shared" si="8"/>
        <v>5.1797800853099353E-2</v>
      </c>
      <c r="O29" s="66">
        <f t="shared" si="8"/>
        <v>5.1514007884376274E-2</v>
      </c>
      <c r="P29" s="66">
        <f t="shared" si="8"/>
        <v>6.1257983271413699E-2</v>
      </c>
      <c r="Q29" s="66">
        <f t="shared" si="8"/>
        <v>6.6322113548626133E-2</v>
      </c>
      <c r="R29" s="66">
        <f t="shared" si="8"/>
        <v>6.3934257624125856E-2</v>
      </c>
    </row>
    <row r="30" spans="2:18">
      <c r="B30" s="56" t="str">
        <f t="shared" si="5"/>
        <v>SMB Subscription</v>
      </c>
      <c r="C30" s="66">
        <f t="shared" si="6"/>
        <v>0.11490478683027736</v>
      </c>
      <c r="D30" s="66">
        <f t="shared" si="6"/>
        <v>5.3760470945872864E-2</v>
      </c>
      <c r="E30" s="66">
        <f t="shared" si="7"/>
        <v>5.5046932096856922E-3</v>
      </c>
      <c r="F30" s="66"/>
      <c r="G30" s="66">
        <f t="shared" ref="G30:R30" si="9">G10/G$16</f>
        <v>7.5289179978125995E-2</v>
      </c>
      <c r="H30" s="66">
        <f t="shared" si="9"/>
        <v>7.5961051630669685E-2</v>
      </c>
      <c r="I30" s="66">
        <f t="shared" si="9"/>
        <v>6.6593575578084069E-2</v>
      </c>
      <c r="J30" s="66">
        <f t="shared" si="9"/>
        <v>6.4955402925834141E-2</v>
      </c>
      <c r="K30" s="66">
        <f t="shared" si="9"/>
        <v>6.0699693465902128E-2</v>
      </c>
      <c r="L30" s="66">
        <f t="shared" si="9"/>
        <v>5.5502439145355444E-2</v>
      </c>
      <c r="M30" s="66">
        <f t="shared" si="9"/>
        <v>5.2453172568754307E-2</v>
      </c>
      <c r="N30" s="66">
        <f t="shared" si="9"/>
        <v>4.9250785947615852E-2</v>
      </c>
      <c r="O30" s="66">
        <f t="shared" si="9"/>
        <v>4.4456442576976486E-2</v>
      </c>
      <c r="P30" s="66">
        <f t="shared" si="9"/>
        <v>4.2013091565243132E-2</v>
      </c>
      <c r="Q30" s="66">
        <f t="shared" si="9"/>
        <v>4.0918383176877758E-2</v>
      </c>
      <c r="R30" s="66">
        <f t="shared" si="9"/>
        <v>3.968947871726055E-2</v>
      </c>
    </row>
    <row r="31" spans="2:18">
      <c r="B31" s="56" t="str">
        <f t="shared" si="5"/>
        <v>Onboarding</v>
      </c>
      <c r="C31" s="66">
        <f t="shared" si="6"/>
        <v>3.8963760396581844E-2</v>
      </c>
      <c r="D31" s="66">
        <f t="shared" si="6"/>
        <v>3.6986346182609445E-2</v>
      </c>
      <c r="E31" s="66">
        <f t="shared" si="7"/>
        <v>3.5191809505810051E-2</v>
      </c>
      <c r="F31" s="66"/>
      <c r="G31" s="66">
        <f t="shared" ref="G31:R31" si="10">G11/G$16</f>
        <v>2.517576205888843E-2</v>
      </c>
      <c r="H31" s="66">
        <f t="shared" si="10"/>
        <v>2.42038059249929E-2</v>
      </c>
      <c r="I31" s="66">
        <f t="shared" si="10"/>
        <v>5.2036108896229637E-2</v>
      </c>
      <c r="J31" s="66">
        <f t="shared" si="10"/>
        <v>2.9123912790407606E-2</v>
      </c>
      <c r="K31" s="66">
        <f t="shared" si="10"/>
        <v>5.161863696312937E-2</v>
      </c>
      <c r="L31" s="66">
        <f t="shared" si="10"/>
        <v>5.0237813474017262E-2</v>
      </c>
      <c r="M31" s="66">
        <f t="shared" si="10"/>
        <v>3.2031922317957547E-2</v>
      </c>
      <c r="N31" s="66">
        <f t="shared" si="10"/>
        <v>4.2175229526832302E-2</v>
      </c>
      <c r="O31" s="66">
        <f t="shared" si="10"/>
        <v>3.8590976206246519E-2</v>
      </c>
      <c r="P31" s="66">
        <f t="shared" si="10"/>
        <v>5.1341867313407487E-2</v>
      </c>
      <c r="Q31" s="66">
        <f t="shared" si="10"/>
        <v>2.219736660434805E-2</v>
      </c>
      <c r="R31" s="66">
        <f t="shared" si="10"/>
        <v>2.4264075580894537E-2</v>
      </c>
    </row>
    <row r="32" spans="2:18">
      <c r="B32" s="56" t="str">
        <f t="shared" si="5"/>
        <v>Topkey Subscription</v>
      </c>
      <c r="C32" s="66">
        <f t="shared" si="6"/>
        <v>0</v>
      </c>
      <c r="D32" s="66">
        <f t="shared" si="6"/>
        <v>2.2289356297946459E-2</v>
      </c>
      <c r="E32" s="66">
        <f t="shared" si="7"/>
        <v>3.2224881804552609E-2</v>
      </c>
      <c r="F32" s="66"/>
      <c r="G32" s="66">
        <f t="shared" ref="G32:R32" si="11">G12/G$16</f>
        <v>0</v>
      </c>
      <c r="H32" s="66">
        <f t="shared" si="11"/>
        <v>3.210708949233752E-3</v>
      </c>
      <c r="I32" s="66">
        <f t="shared" si="11"/>
        <v>1.342408019136576E-2</v>
      </c>
      <c r="J32" s="66">
        <f t="shared" si="11"/>
        <v>1.5582644559378687E-2</v>
      </c>
      <c r="K32" s="66">
        <f t="shared" si="11"/>
        <v>2.2006383866463263E-2</v>
      </c>
      <c r="L32" s="66">
        <f t="shared" si="11"/>
        <v>2.5850788109542791E-2</v>
      </c>
      <c r="M32" s="66">
        <f t="shared" si="11"/>
        <v>2.712276029080091E-2</v>
      </c>
      <c r="N32" s="66">
        <f t="shared" si="11"/>
        <v>2.4677538410908362E-2</v>
      </c>
      <c r="O32" s="66">
        <f t="shared" si="11"/>
        <v>2.7241449617475485E-2</v>
      </c>
      <c r="P32" s="66">
        <f t="shared" si="11"/>
        <v>2.8342698289227565E-2</v>
      </c>
      <c r="Q32" s="66">
        <f t="shared" si="11"/>
        <v>3.1473786187778359E-2</v>
      </c>
      <c r="R32" s="66">
        <f t="shared" si="11"/>
        <v>3.1443631928475775E-2</v>
      </c>
    </row>
    <row r="33" spans="2:18">
      <c r="B33" s="56" t="str">
        <f t="shared" si="5"/>
        <v>STR Bill Pay</v>
      </c>
      <c r="C33" s="66">
        <f t="shared" si="6"/>
        <v>1.0539538075932317E-2</v>
      </c>
      <c r="D33" s="66">
        <f t="shared" si="6"/>
        <v>2.6830418257363101E-2</v>
      </c>
      <c r="E33" s="66">
        <f t="shared" si="7"/>
        <v>2.8359363906195548E-2</v>
      </c>
      <c r="F33" s="66"/>
      <c r="G33" s="66">
        <f t="shared" ref="G33:R33" si="12">G13/G$16</f>
        <v>2.4794792141225552E-2</v>
      </c>
      <c r="H33" s="66">
        <f t="shared" si="12"/>
        <v>2.3339384284814579E-2</v>
      </c>
      <c r="I33" s="66">
        <f t="shared" si="12"/>
        <v>2.1614079052283856E-2</v>
      </c>
      <c r="J33" s="66">
        <f t="shared" si="12"/>
        <v>2.4003148680935508E-2</v>
      </c>
      <c r="K33" s="66">
        <f t="shared" si="12"/>
        <v>2.7411098006947077E-2</v>
      </c>
      <c r="L33" s="66">
        <f t="shared" si="12"/>
        <v>3.0997328719093949E-2</v>
      </c>
      <c r="M33" s="66">
        <f t="shared" si="12"/>
        <v>3.0664267207752619E-2</v>
      </c>
      <c r="N33" s="66">
        <f t="shared" si="12"/>
        <v>2.9780838521804322E-2</v>
      </c>
      <c r="O33" s="66">
        <f t="shared" si="12"/>
        <v>2.6202818173429988E-2</v>
      </c>
      <c r="P33" s="66">
        <f t="shared" si="12"/>
        <v>2.5760535519379849E-2</v>
      </c>
      <c r="Q33" s="66">
        <f t="shared" si="12"/>
        <v>2.7298064261653199E-2</v>
      </c>
      <c r="R33" s="66">
        <f t="shared" si="12"/>
        <v>2.7671828427502095E-2</v>
      </c>
    </row>
    <row r="34" spans="2:18">
      <c r="B34" s="56" t="str">
        <f t="shared" si="5"/>
        <v>Controller Services</v>
      </c>
      <c r="C34" s="66">
        <f t="shared" si="6"/>
        <v>2.9819610670419057E-2</v>
      </c>
      <c r="D34" s="66">
        <f t="shared" si="6"/>
        <v>1.5856455200781421E-2</v>
      </c>
      <c r="E34" s="66">
        <f t="shared" si="7"/>
        <v>1.4271426839925867E-2</v>
      </c>
      <c r="F34" s="66"/>
      <c r="G34" s="66">
        <f t="shared" ref="G34:R34" si="13">G14/G$16</f>
        <v>1.87310209517581E-2</v>
      </c>
      <c r="H34" s="66">
        <f t="shared" si="13"/>
        <v>1.8677681868138653E-2</v>
      </c>
      <c r="I34" s="66">
        <f t="shared" si="13"/>
        <v>1.7228613737327713E-2</v>
      </c>
      <c r="J34" s="66">
        <f t="shared" si="13"/>
        <v>1.6353184436203178E-2</v>
      </c>
      <c r="K34" s="66">
        <f t="shared" si="13"/>
        <v>1.5242740644767933E-2</v>
      </c>
      <c r="L34" s="66">
        <f t="shared" si="13"/>
        <v>1.3530579996429898E-2</v>
      </c>
      <c r="M34" s="66">
        <f t="shared" si="13"/>
        <v>1.6795764511288603E-2</v>
      </c>
      <c r="N34" s="66">
        <f t="shared" si="13"/>
        <v>1.2746662402328699E-2</v>
      </c>
      <c r="O34" s="66">
        <f t="shared" si="13"/>
        <v>2.0470951697992179E-2</v>
      </c>
      <c r="P34" s="66">
        <f t="shared" si="13"/>
        <v>1.4254841789380152E-2</v>
      </c>
      <c r="Q34" s="66">
        <f t="shared" si="13"/>
        <v>1.4356607801019713E-2</v>
      </c>
      <c r="R34" s="66">
        <f t="shared" si="13"/>
        <v>1.3925434866464029E-2</v>
      </c>
    </row>
    <row r="35" spans="2:18">
      <c r="B35" s="56" t="str">
        <f t="shared" si="5"/>
        <v>Historical Cleanup</v>
      </c>
      <c r="C35" s="66">
        <f t="shared" si="6"/>
        <v>8.7037682940346445E-3</v>
      </c>
      <c r="D35" s="66">
        <f t="shared" si="6"/>
        <v>2.409857176108543E-4</v>
      </c>
      <c r="E35" s="66">
        <f t="shared" si="7"/>
        <v>0</v>
      </c>
      <c r="F35" s="66"/>
      <c r="G35" s="66">
        <f t="shared" ref="G35:R35" si="14">G15/G$16</f>
        <v>0</v>
      </c>
      <c r="H35" s="66">
        <f t="shared" si="14"/>
        <v>0</v>
      </c>
      <c r="I35" s="66">
        <f t="shared" si="14"/>
        <v>3.3887686524661119E-3</v>
      </c>
      <c r="J35" s="66">
        <f t="shared" si="14"/>
        <v>0</v>
      </c>
      <c r="K35" s="66">
        <f t="shared" si="14"/>
        <v>0</v>
      </c>
      <c r="L35" s="66">
        <f t="shared" si="14"/>
        <v>0</v>
      </c>
      <c r="M35" s="66">
        <f t="shared" si="14"/>
        <v>0</v>
      </c>
      <c r="N35" s="66">
        <f t="shared" si="14"/>
        <v>0</v>
      </c>
      <c r="O35" s="66">
        <f t="shared" si="14"/>
        <v>0</v>
      </c>
      <c r="P35" s="66">
        <f t="shared" si="14"/>
        <v>0</v>
      </c>
      <c r="Q35" s="66">
        <f t="shared" si="14"/>
        <v>0</v>
      </c>
      <c r="R35" s="66">
        <f t="shared" si="14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15">IFERROR(D8/C8-1,0)</f>
        <v>0.70129840207181959</v>
      </c>
      <c r="E38" s="66">
        <f t="shared" si="15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16">IFERROR(H8/G8-1,0)</f>
        <v>2.6945791317616541E-2</v>
      </c>
      <c r="I38" s="66">
        <f t="shared" si="16"/>
        <v>4.5051856232292131E-2</v>
      </c>
      <c r="J38" s="66">
        <f t="shared" si="16"/>
        <v>4.0625962509580393E-2</v>
      </c>
      <c r="K38" s="66">
        <f t="shared" si="16"/>
        <v>3.5224900752508281E-2</v>
      </c>
      <c r="L38" s="66">
        <f t="shared" si="16"/>
        <v>4.082860006682254E-2</v>
      </c>
      <c r="M38" s="66">
        <f t="shared" si="16"/>
        <v>5.3434675620357641E-2</v>
      </c>
      <c r="N38" s="66">
        <f t="shared" si="16"/>
        <v>3.2994165068761294E-2</v>
      </c>
      <c r="O38" s="66">
        <f t="shared" si="16"/>
        <v>7.8181388570497834E-2</v>
      </c>
      <c r="P38" s="66">
        <f t="shared" si="16"/>
        <v>3.877993270246427E-2</v>
      </c>
      <c r="Q38" s="66">
        <f t="shared" si="16"/>
        <v>1.8985304878176512E-2</v>
      </c>
      <c r="R38" s="66">
        <f t="shared" si="16"/>
        <v>3.308016964453353E-2</v>
      </c>
    </row>
    <row r="39" spans="2:18">
      <c r="B39" s="56" t="str">
        <f t="shared" ref="B39:B45" si="17">+B9</f>
        <v>Occupancy Taxes</v>
      </c>
      <c r="C39" s="151" t="s">
        <v>974</v>
      </c>
      <c r="D39" s="66">
        <f t="shared" si="15"/>
        <v>4.1924971095835692</v>
      </c>
      <c r="E39" s="66">
        <f t="shared" si="15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18">IFERROR(H9/G9-1,0)</f>
        <v>1.9027484143763207E-2</v>
      </c>
      <c r="I39" s="66">
        <f t="shared" si="18"/>
        <v>0.11410788381742742</v>
      </c>
      <c r="J39" s="66">
        <f t="shared" si="18"/>
        <v>0.49906890130353831</v>
      </c>
      <c r="K39" s="66">
        <f t="shared" si="18"/>
        <v>0.1037267080745341</v>
      </c>
      <c r="L39" s="66">
        <f t="shared" si="18"/>
        <v>0.22785818795723145</v>
      </c>
      <c r="M39" s="66">
        <f t="shared" si="18"/>
        <v>-5.2665011842867537E-2</v>
      </c>
      <c r="N39" s="66">
        <f t="shared" si="18"/>
        <v>8.1280352047466087E-2</v>
      </c>
      <c r="O39" s="66">
        <f t="shared" si="18"/>
        <v>6.9629530201342327E-2</v>
      </c>
      <c r="P39" s="66">
        <f t="shared" si="18"/>
        <v>0.25830934376074488</v>
      </c>
      <c r="Q39" s="66">
        <f t="shared" si="18"/>
        <v>7.4994465021930745E-2</v>
      </c>
      <c r="R39" s="66">
        <f t="shared" si="18"/>
        <v>-6.1557282350817033E-3</v>
      </c>
    </row>
    <row r="40" spans="2:18">
      <c r="B40" s="56" t="str">
        <f t="shared" si="17"/>
        <v>SMB Subscription</v>
      </c>
      <c r="C40" s="151" t="s">
        <v>974</v>
      </c>
      <c r="D40" s="66">
        <f t="shared" si="15"/>
        <v>-0.21711152987528493</v>
      </c>
      <c r="E40" s="66">
        <f t="shared" si="15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19">IFERROR(H10/G10-1,0)</f>
        <v>3.7528990090659908E-2</v>
      </c>
      <c r="I40" s="66">
        <f t="shared" si="19"/>
        <v>-4.9583418004470636E-2</v>
      </c>
      <c r="J40" s="66">
        <f t="shared" si="19"/>
        <v>2.1381227282444293E-3</v>
      </c>
      <c r="K40" s="66">
        <f t="shared" si="19"/>
        <v>2.5602730957969833E-3</v>
      </c>
      <c r="L40" s="66">
        <f t="shared" si="19"/>
        <v>-3.97531389657374E-2</v>
      </c>
      <c r="M40" s="66">
        <f t="shared" si="19"/>
        <v>-3.1026993484331356E-2</v>
      </c>
      <c r="N40" s="66">
        <f t="shared" si="19"/>
        <v>-2.7903572572160473E-2</v>
      </c>
      <c r="O40" s="66">
        <f t="shared" si="19"/>
        <v>-2.9175097642463954E-2</v>
      </c>
      <c r="P40" s="66">
        <f t="shared" si="19"/>
        <v>0</v>
      </c>
      <c r="Q40" s="66">
        <f t="shared" si="19"/>
        <v>-3.2960108574475289E-2</v>
      </c>
      <c r="R40" s="66">
        <f t="shared" si="19"/>
        <v>0</v>
      </c>
    </row>
    <row r="41" spans="2:18">
      <c r="B41" s="56" t="str">
        <f t="shared" si="17"/>
        <v>Onboarding</v>
      </c>
      <c r="C41" s="151" t="s">
        <v>974</v>
      </c>
      <c r="D41" s="66">
        <f t="shared" si="15"/>
        <v>0.58838406019562539</v>
      </c>
      <c r="E41" s="66">
        <f t="shared" si="15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0">IFERROR(H11/G11-1,0)</f>
        <v>-1.1349306431273631E-2</v>
      </c>
      <c r="I41" s="66">
        <f t="shared" si="20"/>
        <v>1.3307397959183676</v>
      </c>
      <c r="J41" s="66">
        <f t="shared" si="20"/>
        <v>-0.42497126908553606</v>
      </c>
      <c r="K41" s="66">
        <f t="shared" si="20"/>
        <v>0.90149892933618836</v>
      </c>
      <c r="L41" s="66">
        <f t="shared" si="20"/>
        <v>2.2072072072071958E-2</v>
      </c>
      <c r="M41" s="66">
        <f t="shared" si="20"/>
        <v>-0.34626120170412811</v>
      </c>
      <c r="N41" s="66">
        <f t="shared" si="20"/>
        <v>0.3631460674157303</v>
      </c>
      <c r="O41" s="66">
        <f t="shared" si="20"/>
        <v>-1.5880866029234109E-2</v>
      </c>
      <c r="P41" s="66">
        <f t="shared" si="20"/>
        <v>0.40778379585683178</v>
      </c>
      <c r="Q41" s="66">
        <f t="shared" si="20"/>
        <v>-0.57072029192448037</v>
      </c>
      <c r="R41" s="66">
        <f t="shared" si="20"/>
        <v>0.12695186177584761</v>
      </c>
    </row>
    <row r="42" spans="2:18">
      <c r="B42" s="56" t="str">
        <f t="shared" si="17"/>
        <v>Topkey Subscription</v>
      </c>
      <c r="C42" s="151" t="s">
        <v>974</v>
      </c>
      <c r="D42" s="66">
        <f t="shared" si="15"/>
        <v>0</v>
      </c>
      <c r="E42" s="66">
        <f t="shared" si="15"/>
        <v>0.72325695491795838</v>
      </c>
      <c r="F42" s="66"/>
      <c r="G42" s="66">
        <f>IFERROR(+'P&amp;L Forecast'!AI11/'P&amp;L Forecast'!AH11-1,0)</f>
        <v>0</v>
      </c>
      <c r="H42" s="66">
        <f t="shared" ref="H42:R42" si="21">IFERROR(H12/G12-1,0)</f>
        <v>0</v>
      </c>
      <c r="I42" s="66">
        <f t="shared" si="21"/>
        <v>3.532692307692308</v>
      </c>
      <c r="J42" s="66">
        <f t="shared" si="21"/>
        <v>0.19261773440814589</v>
      </c>
      <c r="K42" s="66">
        <f t="shared" si="21"/>
        <v>0.51511917467093582</v>
      </c>
      <c r="L42" s="66">
        <f t="shared" si="21"/>
        <v>0.2336229161775063</v>
      </c>
      <c r="M42" s="66">
        <f t="shared" si="21"/>
        <v>7.5751808146174548E-2</v>
      </c>
      <c r="N42" s="66">
        <f t="shared" si="21"/>
        <v>-5.8032554847841533E-2</v>
      </c>
      <c r="O42" s="66">
        <f t="shared" si="21"/>
        <v>0.18726521412471819</v>
      </c>
      <c r="P42" s="66">
        <f t="shared" si="21"/>
        <v>0.10093339661445966</v>
      </c>
      <c r="Q42" s="66">
        <f t="shared" si="21"/>
        <v>0.10260094841212819</v>
      </c>
      <c r="R42" s="66">
        <f t="shared" si="21"/>
        <v>2.9975237846995961E-2</v>
      </c>
    </row>
    <row r="43" spans="2:18">
      <c r="B43" s="56" t="str">
        <f t="shared" si="17"/>
        <v>STR Bill Pay</v>
      </c>
      <c r="C43" s="151" t="s">
        <v>974</v>
      </c>
      <c r="D43" s="66">
        <f t="shared" si="15"/>
        <v>3.2597177121178023</v>
      </c>
      <c r="E43" s="66">
        <f t="shared" si="15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22">IFERROR(H13/G13-1,0)</f>
        <v>-3.201024327784896E-2</v>
      </c>
      <c r="I43" s="66">
        <f t="shared" si="22"/>
        <v>3.9682539682539542E-3</v>
      </c>
      <c r="J43" s="66">
        <f t="shared" si="22"/>
        <v>0.14097496706192358</v>
      </c>
      <c r="K43" s="66">
        <f t="shared" si="22"/>
        <v>0.22517321016166281</v>
      </c>
      <c r="L43" s="66">
        <f t="shared" si="22"/>
        <v>0.1875589066918002</v>
      </c>
      <c r="M43" s="66">
        <f t="shared" si="22"/>
        <v>1.4285714285714235E-2</v>
      </c>
      <c r="N43" s="66">
        <f t="shared" si="22"/>
        <v>5.4773082942096707E-3</v>
      </c>
      <c r="O43" s="66">
        <f t="shared" si="22"/>
        <v>-5.3696498054474628E-2</v>
      </c>
      <c r="P43" s="66">
        <f t="shared" si="22"/>
        <v>4.0296052631578982E-2</v>
      </c>
      <c r="Q43" s="66">
        <f t="shared" si="22"/>
        <v>5.2173913043478182E-2</v>
      </c>
      <c r="R43" s="66">
        <f t="shared" si="22"/>
        <v>4.5078888054094657E-2</v>
      </c>
    </row>
    <row r="44" spans="2:18">
      <c r="B44" s="56" t="str">
        <f t="shared" si="17"/>
        <v>Controller Services</v>
      </c>
      <c r="C44" s="151" t="s">
        <v>974</v>
      </c>
      <c r="D44" s="66">
        <f t="shared" si="15"/>
        <v>-0.11022727272727273</v>
      </c>
      <c r="E44" s="66">
        <f t="shared" si="15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23">IFERROR(H14/G14-1,0)</f>
        <v>2.5423728813559254E-2</v>
      </c>
      <c r="I44" s="66">
        <f t="shared" si="23"/>
        <v>0</v>
      </c>
      <c r="J44" s="66">
        <f t="shared" si="23"/>
        <v>-2.4793388429751984E-2</v>
      </c>
      <c r="K44" s="66">
        <f t="shared" si="23"/>
        <v>0</v>
      </c>
      <c r="L44" s="66">
        <f t="shared" si="23"/>
        <v>-6.7796610169491567E-2</v>
      </c>
      <c r="M44" s="66">
        <f t="shared" si="23"/>
        <v>0.27272727272727271</v>
      </c>
      <c r="N44" s="66">
        <f t="shared" si="23"/>
        <v>-0.2142857142857143</v>
      </c>
      <c r="O44" s="66">
        <f t="shared" si="23"/>
        <v>0.72727272727272729</v>
      </c>
      <c r="P44" s="66">
        <f t="shared" si="23"/>
        <v>-0.26315789473684215</v>
      </c>
      <c r="Q44" s="66">
        <f t="shared" si="23"/>
        <v>0</v>
      </c>
      <c r="R44" s="66">
        <f t="shared" si="23"/>
        <v>0</v>
      </c>
    </row>
    <row r="45" spans="2:18">
      <c r="B45" s="56" t="str">
        <f t="shared" si="17"/>
        <v>Historical Cleanup</v>
      </c>
      <c r="C45" s="151" t="s">
        <v>974</v>
      </c>
      <c r="D45" s="66">
        <f t="shared" si="15"/>
        <v>-0.9536703587627261</v>
      </c>
      <c r="E45" s="66">
        <f t="shared" si="15"/>
        <v>-1</v>
      </c>
      <c r="F45" s="66"/>
      <c r="G45" s="66">
        <f>IFERROR(+'P&amp;L Forecast'!AI14/'P&amp;L Forecast'!AH14-1,0)</f>
        <v>0</v>
      </c>
      <c r="H45" s="66">
        <f t="shared" ref="H45:R45" si="24">IFERROR(H15/G15-1,0)</f>
        <v>0</v>
      </c>
      <c r="I45" s="66">
        <f t="shared" si="24"/>
        <v>0</v>
      </c>
      <c r="J45" s="66">
        <f t="shared" si="24"/>
        <v>-1</v>
      </c>
      <c r="K45" s="66">
        <f t="shared" si="24"/>
        <v>0</v>
      </c>
      <c r="L45" s="66">
        <f t="shared" si="24"/>
        <v>0</v>
      </c>
      <c r="M45" s="66">
        <f t="shared" si="24"/>
        <v>0</v>
      </c>
      <c r="N45" s="66">
        <f t="shared" si="24"/>
        <v>0</v>
      </c>
      <c r="O45" s="66">
        <f t="shared" si="24"/>
        <v>0</v>
      </c>
      <c r="P45" s="66">
        <f t="shared" si="24"/>
        <v>0</v>
      </c>
      <c r="Q45" s="66">
        <f t="shared" si="24"/>
        <v>0</v>
      </c>
      <c r="R45" s="66">
        <f t="shared" si="24"/>
        <v>0</v>
      </c>
    </row>
    <row r="46" spans="2:18">
      <c r="B46" s="60" t="s">
        <v>275</v>
      </c>
      <c r="C46" s="67">
        <f>SUM(C38:C45)</f>
        <v>0</v>
      </c>
      <c r="D46" s="67">
        <f t="shared" si="15"/>
        <v>0.67330440356695398</v>
      </c>
      <c r="E46" s="68">
        <f t="shared" si="15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25">IFERROR(H16/G16-1,0)</f>
        <v>2.8352098747402854E-2</v>
      </c>
      <c r="I46" s="67">
        <f t="shared" si="25"/>
        <v>8.4108225589350383E-2</v>
      </c>
      <c r="J46" s="67">
        <f t="shared" si="25"/>
        <v>2.7412005923225902E-2</v>
      </c>
      <c r="K46" s="67">
        <f t="shared" si="25"/>
        <v>7.2850664937109233E-2</v>
      </c>
      <c r="L46" s="67">
        <f t="shared" si="25"/>
        <v>5.016447950561842E-2</v>
      </c>
      <c r="M46" s="67">
        <f t="shared" si="25"/>
        <v>2.5302430603869386E-2</v>
      </c>
      <c r="N46" s="67">
        <f t="shared" si="25"/>
        <v>3.5304121147945455E-2</v>
      </c>
      <c r="O46" s="67">
        <f t="shared" si="25"/>
        <v>7.5522167025311449E-2</v>
      </c>
      <c r="P46" s="67">
        <f t="shared" si="25"/>
        <v>5.8156896355485266E-2</v>
      </c>
      <c r="Q46" s="67">
        <f t="shared" si="25"/>
        <v>-7.0884440844258823E-3</v>
      </c>
      <c r="R46" s="68">
        <f t="shared" si="25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1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 t="shared" ref="D47:AG47" si="0">EOMONTH(C47,0)+1</f>
        <v>45323</v>
      </c>
      <c r="E47" s="44">
        <f t="shared" si="0"/>
        <v>45352</v>
      </c>
      <c r="F47" s="44">
        <f t="shared" si="0"/>
        <v>45383</v>
      </c>
      <c r="G47" s="44">
        <f t="shared" si="0"/>
        <v>45413</v>
      </c>
      <c r="H47" s="44">
        <f t="shared" si="0"/>
        <v>45444</v>
      </c>
      <c r="I47" s="44">
        <f t="shared" si="0"/>
        <v>45474</v>
      </c>
      <c r="J47" s="44">
        <f t="shared" si="0"/>
        <v>45505</v>
      </c>
      <c r="K47" s="44">
        <f t="shared" si="0"/>
        <v>45536</v>
      </c>
      <c r="L47" s="44">
        <f t="shared" si="0"/>
        <v>45566</v>
      </c>
      <c r="M47" s="44">
        <f t="shared" si="0"/>
        <v>45597</v>
      </c>
      <c r="N47" s="44">
        <f t="shared" si="0"/>
        <v>45627</v>
      </c>
      <c r="O47" s="44">
        <f t="shared" si="0"/>
        <v>45658</v>
      </c>
      <c r="P47" s="44">
        <f t="shared" si="0"/>
        <v>45689</v>
      </c>
      <c r="Q47" s="44">
        <f t="shared" si="0"/>
        <v>45717</v>
      </c>
      <c r="R47" s="44">
        <f t="shared" si="0"/>
        <v>45748</v>
      </c>
      <c r="S47" s="44">
        <f t="shared" si="0"/>
        <v>45778</v>
      </c>
      <c r="T47" s="44">
        <f t="shared" si="0"/>
        <v>45809</v>
      </c>
      <c r="U47" s="44">
        <f t="shared" si="0"/>
        <v>45839</v>
      </c>
      <c r="V47" s="44">
        <f t="shared" si="0"/>
        <v>45870</v>
      </c>
      <c r="W47" s="44">
        <f t="shared" si="0"/>
        <v>45901</v>
      </c>
      <c r="X47" s="44">
        <f t="shared" si="0"/>
        <v>45931</v>
      </c>
      <c r="Y47" s="44">
        <f t="shared" si="0"/>
        <v>45962</v>
      </c>
      <c r="Z47" s="44">
        <f t="shared" si="0"/>
        <v>45992</v>
      </c>
      <c r="AA47" s="44">
        <f t="shared" si="0"/>
        <v>46023</v>
      </c>
      <c r="AB47" s="44">
        <f t="shared" si="0"/>
        <v>46054</v>
      </c>
      <c r="AC47" s="44">
        <f t="shared" si="0"/>
        <v>46082</v>
      </c>
      <c r="AD47" s="44">
        <f t="shared" si="0"/>
        <v>46113</v>
      </c>
      <c r="AE47" s="44">
        <f t="shared" si="0"/>
        <v>46143</v>
      </c>
      <c r="AF47" s="44">
        <f t="shared" si="0"/>
        <v>46174</v>
      </c>
      <c r="AG47" s="44">
        <f t="shared" si="0"/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 t="shared" ref="D50:AG50" si="1">EOMONTH(C50,0)+1</f>
        <v>45323</v>
      </c>
      <c r="E50" s="44">
        <f t="shared" si="1"/>
        <v>45352</v>
      </c>
      <c r="F50" s="44">
        <f t="shared" si="1"/>
        <v>45383</v>
      </c>
      <c r="G50" s="44">
        <f t="shared" si="1"/>
        <v>45413</v>
      </c>
      <c r="H50" s="44">
        <f t="shared" si="1"/>
        <v>45444</v>
      </c>
      <c r="I50" s="44">
        <f t="shared" si="1"/>
        <v>45474</v>
      </c>
      <c r="J50" s="44">
        <f t="shared" si="1"/>
        <v>45505</v>
      </c>
      <c r="K50" s="44">
        <f t="shared" si="1"/>
        <v>45536</v>
      </c>
      <c r="L50" s="44">
        <f t="shared" si="1"/>
        <v>45566</v>
      </c>
      <c r="M50" s="44">
        <f t="shared" si="1"/>
        <v>45597</v>
      </c>
      <c r="N50" s="44">
        <f t="shared" si="1"/>
        <v>45627</v>
      </c>
      <c r="O50" s="44">
        <f t="shared" si="1"/>
        <v>45658</v>
      </c>
      <c r="P50" s="44">
        <f t="shared" si="1"/>
        <v>45689</v>
      </c>
      <c r="Q50" s="44">
        <f t="shared" si="1"/>
        <v>45717</v>
      </c>
      <c r="R50" s="44">
        <f t="shared" si="1"/>
        <v>45748</v>
      </c>
      <c r="S50" s="44">
        <f t="shared" si="1"/>
        <v>45778</v>
      </c>
      <c r="T50" s="44">
        <f t="shared" si="1"/>
        <v>45809</v>
      </c>
      <c r="U50" s="44">
        <f t="shared" si="1"/>
        <v>45839</v>
      </c>
      <c r="V50" s="44">
        <f t="shared" si="1"/>
        <v>45870</v>
      </c>
      <c r="W50" s="44">
        <f t="shared" si="1"/>
        <v>45901</v>
      </c>
      <c r="X50" s="44">
        <f t="shared" si="1"/>
        <v>45931</v>
      </c>
      <c r="Y50" s="44">
        <f t="shared" si="1"/>
        <v>45962</v>
      </c>
      <c r="Z50" s="44">
        <f t="shared" si="1"/>
        <v>45992</v>
      </c>
      <c r="AA50" s="44">
        <f t="shared" si="1"/>
        <v>46023</v>
      </c>
      <c r="AB50" s="44">
        <f t="shared" si="1"/>
        <v>46054</v>
      </c>
      <c r="AC50" s="44">
        <f t="shared" si="1"/>
        <v>46082</v>
      </c>
      <c r="AD50" s="44">
        <f t="shared" si="1"/>
        <v>46113</v>
      </c>
      <c r="AE50" s="44">
        <f t="shared" si="1"/>
        <v>46143</v>
      </c>
      <c r="AF50" s="44">
        <f t="shared" si="1"/>
        <v>46174</v>
      </c>
      <c r="AG50" s="44">
        <f t="shared" si="1"/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2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2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2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2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2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2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>SUM(D8:D16)</f>
        <v>1751.4015400000001</v>
      </c>
      <c r="E17" s="62">
        <f>SUM(E8:E16)</f>
        <v>2094.12662</v>
      </c>
      <c r="F17" s="71"/>
      <c r="G17" s="71">
        <f t="shared" ref="G17:S17" si="1">SUM(G8:G16)</f>
        <v>108.35927</v>
      </c>
      <c r="H17" s="63">
        <f t="shared" si="1"/>
        <v>103.32645000000001</v>
      </c>
      <c r="I17" s="61">
        <f t="shared" si="1"/>
        <v>120.57245999999999</v>
      </c>
      <c r="J17" s="61">
        <f t="shared" si="1"/>
        <v>138.08331000000001</v>
      </c>
      <c r="K17" s="61">
        <f t="shared" si="1"/>
        <v>122.83484</v>
      </c>
      <c r="L17" s="61">
        <f t="shared" si="1"/>
        <v>145.69238999999999</v>
      </c>
      <c r="M17" s="61">
        <f t="shared" si="1"/>
        <v>135.50082</v>
      </c>
      <c r="N17" s="61">
        <f t="shared" si="1"/>
        <v>117.71538000000001</v>
      </c>
      <c r="O17" s="61">
        <f t="shared" si="1"/>
        <v>169.54907000000003</v>
      </c>
      <c r="P17" s="61">
        <f t="shared" si="1"/>
        <v>171.55422000000002</v>
      </c>
      <c r="Q17" s="61">
        <f t="shared" si="1"/>
        <v>168.43431999999996</v>
      </c>
      <c r="R17" s="61">
        <f t="shared" si="1"/>
        <v>177.74943999999994</v>
      </c>
      <c r="S17" s="62">
        <f t="shared" si="1"/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2">+B8</f>
        <v>Indirect Labor</v>
      </c>
      <c r="C20" s="66">
        <f t="shared" ref="C20:E28" si="3">C8/C$86</f>
        <v>0.13278310539223798</v>
      </c>
      <c r="D20" s="66">
        <f t="shared" si="3"/>
        <v>0.19675323619840684</v>
      </c>
      <c r="E20" s="66">
        <f t="shared" si="3"/>
        <v>0.227210498524379</v>
      </c>
      <c r="F20" s="66"/>
      <c r="G20" s="66">
        <f t="shared" ref="G20:S20" si="4">G8/G$86</f>
        <v>0.14546612521831853</v>
      </c>
      <c r="H20" s="66">
        <f t="shared" si="4"/>
        <v>0.12485685541527505</v>
      </c>
      <c r="I20" s="66">
        <f t="shared" si="4"/>
        <v>0.16832782304256222</v>
      </c>
      <c r="J20" s="66">
        <f t="shared" si="4"/>
        <v>0.19072239085618595</v>
      </c>
      <c r="K20" s="66">
        <f t="shared" si="4"/>
        <v>0.16363847812032961</v>
      </c>
      <c r="L20" s="66">
        <f t="shared" si="4"/>
        <v>0.17010286794262286</v>
      </c>
      <c r="M20" s="66">
        <f t="shared" si="4"/>
        <v>0.17085764376537568</v>
      </c>
      <c r="N20" s="66">
        <f t="shared" si="4"/>
        <v>0.13893349706184113</v>
      </c>
      <c r="O20" s="66">
        <f t="shared" si="4"/>
        <v>0.24708591338875704</v>
      </c>
      <c r="P20" s="66">
        <f t="shared" si="4"/>
        <v>0.24236883511768731</v>
      </c>
      <c r="Q20" s="66">
        <f t="shared" si="4"/>
        <v>0.21961609487615402</v>
      </c>
      <c r="R20" s="66">
        <f t="shared" si="4"/>
        <v>0.24244032205343607</v>
      </c>
      <c r="S20" s="66">
        <f t="shared" si="4"/>
        <v>0.23026820830077729</v>
      </c>
    </row>
    <row r="21" spans="2:19">
      <c r="B21" s="56" t="str">
        <f t="shared" si="2"/>
        <v>Bookkeeper Wages</v>
      </c>
      <c r="C21" s="66">
        <f t="shared" si="3"/>
        <v>0.15755661376414548</v>
      </c>
      <c r="D21" s="66">
        <f t="shared" si="3"/>
        <v>0.17107484714300633</v>
      </c>
      <c r="E21" s="66">
        <f t="shared" si="3"/>
        <v>0.16427989369310012</v>
      </c>
      <c r="F21" s="66"/>
      <c r="G21" s="66">
        <f t="shared" ref="G21:S21" si="5">G9/G$86</f>
        <v>0.17961623052735351</v>
      </c>
      <c r="H21" s="66">
        <f t="shared" si="5"/>
        <v>0.18481507733748198</v>
      </c>
      <c r="I21" s="66">
        <f t="shared" si="5"/>
        <v>0.20394775072392113</v>
      </c>
      <c r="J21" s="66">
        <f t="shared" si="5"/>
        <v>0.21085374905213131</v>
      </c>
      <c r="K21" s="66">
        <f t="shared" si="5"/>
        <v>0.18747983522315792</v>
      </c>
      <c r="L21" s="66">
        <f t="shared" si="5"/>
        <v>0.17317801668996072</v>
      </c>
      <c r="M21" s="66">
        <f t="shared" si="5"/>
        <v>0.18087376169964089</v>
      </c>
      <c r="N21" s="66">
        <f t="shared" si="5"/>
        <v>0.12278612850675981</v>
      </c>
      <c r="O21" s="66">
        <f t="shared" si="5"/>
        <v>0.16165551489479163</v>
      </c>
      <c r="P21" s="66">
        <f t="shared" si="5"/>
        <v>0.16133649096346628</v>
      </c>
      <c r="Q21" s="66">
        <f t="shared" si="5"/>
        <v>0.15554406529518722</v>
      </c>
      <c r="R21" s="66">
        <f t="shared" si="5"/>
        <v>0.16444422267052874</v>
      </c>
      <c r="S21" s="66">
        <f t="shared" si="5"/>
        <v>0.1769412333695998</v>
      </c>
    </row>
    <row r="22" spans="2:19">
      <c r="B22" s="56" t="str">
        <f t="shared" si="2"/>
        <v>Client Lead Wages</v>
      </c>
      <c r="C22" s="66">
        <f t="shared" si="3"/>
        <v>0.23164914913183005</v>
      </c>
      <c r="D22" s="66">
        <f t="shared" si="3"/>
        <v>0.13858075303548786</v>
      </c>
      <c r="E22" s="66">
        <f t="shared" si="3"/>
        <v>0.13103856754976126</v>
      </c>
      <c r="F22" s="66"/>
      <c r="G22" s="66">
        <f t="shared" ref="G22:S22" si="6">G10/G$86</f>
        <v>0.18972507410504699</v>
      </c>
      <c r="H22" s="66">
        <f t="shared" si="6"/>
        <v>0.16782437494886579</v>
      </c>
      <c r="I22" s="66">
        <f t="shared" si="6"/>
        <v>0.18162008219429837</v>
      </c>
      <c r="J22" s="66">
        <f t="shared" si="6"/>
        <v>0.18354492172244977</v>
      </c>
      <c r="K22" s="66">
        <f t="shared" si="6"/>
        <v>0.16232729291744236</v>
      </c>
      <c r="L22" s="66">
        <f t="shared" si="6"/>
        <v>0.16608675590998559</v>
      </c>
      <c r="M22" s="66">
        <f t="shared" si="6"/>
        <v>0.1230755092230402</v>
      </c>
      <c r="N22" s="66">
        <f t="shared" si="6"/>
        <v>9.0557370060684664E-2</v>
      </c>
      <c r="O22" s="66">
        <f t="shared" si="6"/>
        <v>0.13286850038240508</v>
      </c>
      <c r="P22" s="66">
        <f t="shared" si="6"/>
        <v>0.13145160481587281</v>
      </c>
      <c r="Q22" s="66">
        <f t="shared" si="6"/>
        <v>0.11251035494276274</v>
      </c>
      <c r="R22" s="66">
        <f t="shared" si="6"/>
        <v>0.12622354891508783</v>
      </c>
      <c r="S22" s="66">
        <f t="shared" si="6"/>
        <v>0.13023207438694151</v>
      </c>
    </row>
    <row r="23" spans="2:19">
      <c r="B23" s="56" t="str">
        <f t="shared" si="2"/>
        <v>Onboarding Team Wages</v>
      </c>
      <c r="C23" s="66">
        <f t="shared" si="3"/>
        <v>7.9576556356385983E-2</v>
      </c>
      <c r="D23" s="66">
        <f t="shared" si="3"/>
        <v>7.4240067182253441E-2</v>
      </c>
      <c r="E23" s="66">
        <f t="shared" si="3"/>
        <v>6.5748455227069055E-2</v>
      </c>
      <c r="F23" s="66"/>
      <c r="G23" s="66">
        <f t="shared" ref="G23:S23" si="7">G11/G$86</f>
        <v>8.6706798614345992E-2</v>
      </c>
      <c r="H23" s="66">
        <f t="shared" si="7"/>
        <v>7.9463352609428523E-2</v>
      </c>
      <c r="I23" s="66">
        <f t="shared" si="7"/>
        <v>8.9627504912980979E-2</v>
      </c>
      <c r="J23" s="66">
        <f t="shared" si="7"/>
        <v>8.6714418270846513E-2</v>
      </c>
      <c r="K23" s="66">
        <f t="shared" si="7"/>
        <v>7.8945259572620649E-2</v>
      </c>
      <c r="L23" s="66">
        <f t="shared" si="7"/>
        <v>0.10640688779634321</v>
      </c>
      <c r="M23" s="66">
        <f t="shared" si="7"/>
        <v>7.8016174488420548E-2</v>
      </c>
      <c r="N23" s="66">
        <f t="shared" si="7"/>
        <v>4.765102313643553E-2</v>
      </c>
      <c r="O23" s="66">
        <f t="shared" si="7"/>
        <v>6.4531879366043418E-2</v>
      </c>
      <c r="P23" s="66">
        <f t="shared" si="7"/>
        <v>6.4845016510730491E-2</v>
      </c>
      <c r="Q23" s="66">
        <f t="shared" si="7"/>
        <v>7.9624254946763576E-2</v>
      </c>
      <c r="R23" s="66">
        <f t="shared" si="7"/>
        <v>6.7250978083574373E-2</v>
      </c>
      <c r="S23" s="66">
        <f t="shared" si="7"/>
        <v>6.534379818145189E-2</v>
      </c>
    </row>
    <row r="24" spans="2:19">
      <c r="B24" s="56" t="str">
        <f t="shared" si="2"/>
        <v>Owner Wages</v>
      </c>
      <c r="C24" s="66">
        <f t="shared" si="3"/>
        <v>2.982537546559387E-2</v>
      </c>
      <c r="D24" s="66">
        <f t="shared" si="3"/>
        <v>4.2445686355030418E-2</v>
      </c>
      <c r="E24" s="66">
        <f t="shared" si="3"/>
        <v>3.6132218728160005E-2</v>
      </c>
      <c r="F24" s="66"/>
      <c r="G24" s="66">
        <f t="shared" ref="G24:S24" si="8">G12/G$86</f>
        <v>6.1287309794686329E-2</v>
      </c>
      <c r="H24" s="66">
        <f t="shared" si="8"/>
        <v>5.4385622316469075E-2</v>
      </c>
      <c r="I24" s="66">
        <f t="shared" si="8"/>
        <v>5.5541974866830157E-2</v>
      </c>
      <c r="J24" s="66">
        <f t="shared" si="8"/>
        <v>5.312789967476779E-2</v>
      </c>
      <c r="K24" s="66">
        <f t="shared" si="8"/>
        <v>4.5576165808926358E-2</v>
      </c>
      <c r="L24" s="66">
        <f t="shared" si="8"/>
        <v>4.8772289223512358E-2</v>
      </c>
      <c r="M24" s="66">
        <f t="shared" si="8"/>
        <v>4.3717351757420385E-2</v>
      </c>
      <c r="N24" s="66">
        <f t="shared" si="8"/>
        <v>3.4405764980856672E-2</v>
      </c>
      <c r="O24" s="66">
        <f t="shared" si="8"/>
        <v>3.9347788195313642E-2</v>
      </c>
      <c r="P24" s="66">
        <f t="shared" si="8"/>
        <v>3.7903004696207096E-2</v>
      </c>
      <c r="Q24" s="66">
        <f t="shared" si="8"/>
        <v>3.5316208828757738E-2</v>
      </c>
      <c r="R24" s="66">
        <f t="shared" si="8"/>
        <v>3.6803498030095444E-2</v>
      </c>
      <c r="S24" s="66">
        <f t="shared" si="8"/>
        <v>3.7875461095189696E-2</v>
      </c>
    </row>
    <row r="25" spans="2:19">
      <c r="B25" s="56" t="str">
        <f t="shared" si="2"/>
        <v>S&amp;M Wages</v>
      </c>
      <c r="C25" s="66">
        <f t="shared" si="3"/>
        <v>2.0332119826111158E-3</v>
      </c>
      <c r="D25" s="66">
        <f t="shared" si="3"/>
        <v>2.663688859156485E-2</v>
      </c>
      <c r="E25" s="66">
        <f t="shared" si="3"/>
        <v>3.2798991023974718E-2</v>
      </c>
      <c r="F25" s="66"/>
      <c r="G25" s="66">
        <f t="shared" ref="G25:S25" si="9">G13/G$86</f>
        <v>1.0507412821585786E-2</v>
      </c>
      <c r="H25" s="66">
        <f t="shared" si="9"/>
        <v>1.0746320899572236E-2</v>
      </c>
      <c r="I25" s="66">
        <f t="shared" si="9"/>
        <v>1.1674446480565363E-2</v>
      </c>
      <c r="J25" s="66">
        <f t="shared" si="9"/>
        <v>1.3126781647209415E-2</v>
      </c>
      <c r="K25" s="66">
        <f t="shared" si="9"/>
        <v>1.2357492611889948E-2</v>
      </c>
      <c r="L25" s="66">
        <f t="shared" si="9"/>
        <v>3.9752330776581191E-2</v>
      </c>
      <c r="M25" s="66">
        <f t="shared" si="9"/>
        <v>2.6643605138887583E-2</v>
      </c>
      <c r="N25" s="66">
        <f t="shared" si="9"/>
        <v>2.4625792250384238E-2</v>
      </c>
      <c r="O25" s="66">
        <f t="shared" si="9"/>
        <v>3.3619681777625338E-2</v>
      </c>
      <c r="P25" s="66">
        <f t="shared" si="9"/>
        <v>3.3859137588810428E-2</v>
      </c>
      <c r="Q25" s="66">
        <f t="shared" si="9"/>
        <v>3.1715217191306953E-2</v>
      </c>
      <c r="R25" s="66">
        <f t="shared" si="9"/>
        <v>3.3968580921238972E-2</v>
      </c>
      <c r="S25" s="66">
        <f t="shared" si="9"/>
        <v>3.2597125554114662E-2</v>
      </c>
    </row>
    <row r="26" spans="2:19">
      <c r="B26" s="56" t="str">
        <f t="shared" si="2"/>
        <v>Occupancy Tax Specialist</v>
      </c>
      <c r="C26" s="66">
        <f t="shared" si="3"/>
        <v>1.0095180061881618E-2</v>
      </c>
      <c r="D26" s="66">
        <f t="shared" si="3"/>
        <v>2.2477041348481365E-2</v>
      </c>
      <c r="E26" s="66">
        <f t="shared" si="3"/>
        <v>1.9409439327930222E-2</v>
      </c>
      <c r="F26" s="66"/>
      <c r="G26" s="66">
        <f t="shared" ref="G26:S26" si="10">G14/G$86</f>
        <v>1.4024707560355922E-2</v>
      </c>
      <c r="H26" s="66">
        <f t="shared" si="10"/>
        <v>1.3278826010493809E-2</v>
      </c>
      <c r="I26" s="66">
        <f t="shared" si="10"/>
        <v>1.8928139958722969E-2</v>
      </c>
      <c r="J26" s="66">
        <f t="shared" si="10"/>
        <v>1.8250907253700314E-2</v>
      </c>
      <c r="K26" s="66">
        <f t="shared" si="10"/>
        <v>2.0031143056508483E-2</v>
      </c>
      <c r="L26" s="66">
        <f t="shared" si="10"/>
        <v>1.6015694346411549E-2</v>
      </c>
      <c r="M26" s="66">
        <f t="shared" si="10"/>
        <v>7.9701771087630682E-3</v>
      </c>
      <c r="N26" s="66">
        <f t="shared" si="10"/>
        <v>2.2940359835066568E-2</v>
      </c>
      <c r="O26" s="66">
        <f t="shared" si="10"/>
        <v>3.1101704634671924E-2</v>
      </c>
      <c r="P26" s="66">
        <f t="shared" si="10"/>
        <v>3.409087078962017E-2</v>
      </c>
      <c r="Q26" s="66">
        <f t="shared" si="10"/>
        <v>3.3644958130389327E-2</v>
      </c>
      <c r="R26" s="66">
        <f t="shared" si="10"/>
        <v>2.2192588019440861E-2</v>
      </c>
      <c r="S26" s="66">
        <f t="shared" si="10"/>
        <v>2.2575642082944134E-2</v>
      </c>
    </row>
    <row r="27" spans="2:19">
      <c r="B27" s="56" t="str">
        <f t="shared" si="2"/>
        <v>Sr. Client Lead Wages</v>
      </c>
      <c r="C27" s="66">
        <f t="shared" si="3"/>
        <v>0</v>
      </c>
      <c r="D27" s="66">
        <f t="shared" si="3"/>
        <v>3.1321849879971885E-3</v>
      </c>
      <c r="E27" s="66">
        <f t="shared" si="3"/>
        <v>1.1032445372383133E-2</v>
      </c>
      <c r="F27" s="66"/>
      <c r="G27" s="66">
        <f t="shared" ref="G27:S27" si="11">G15/G$86</f>
        <v>0</v>
      </c>
      <c r="H27" s="66">
        <f t="shared" si="11"/>
        <v>0</v>
      </c>
      <c r="I27" s="66">
        <f t="shared" si="11"/>
        <v>0</v>
      </c>
      <c r="J27" s="66">
        <f t="shared" si="11"/>
        <v>0</v>
      </c>
      <c r="K27" s="66">
        <f t="shared" si="11"/>
        <v>0</v>
      </c>
      <c r="L27" s="66">
        <f t="shared" si="11"/>
        <v>0</v>
      </c>
      <c r="M27" s="66">
        <f t="shared" si="11"/>
        <v>0</v>
      </c>
      <c r="N27" s="66">
        <f t="shared" si="11"/>
        <v>0</v>
      </c>
      <c r="O27" s="66">
        <f t="shared" si="11"/>
        <v>0</v>
      </c>
      <c r="P27" s="66">
        <f t="shared" si="11"/>
        <v>0</v>
      </c>
      <c r="Q27" s="66">
        <f t="shared" si="11"/>
        <v>1.0223687072461955E-2</v>
      </c>
      <c r="R27" s="66">
        <f t="shared" si="11"/>
        <v>1.0994657358626873E-2</v>
      </c>
      <c r="S27" s="66">
        <f t="shared" si="11"/>
        <v>1.0964544815101548E-2</v>
      </c>
    </row>
    <row r="28" spans="2:19">
      <c r="B28" s="56" t="str">
        <f t="shared" si="2"/>
        <v>Employee Benefits</v>
      </c>
      <c r="C28" s="66">
        <f t="shared" si="3"/>
        <v>7.9813533184119375E-3</v>
      </c>
      <c r="D28" s="66">
        <f t="shared" si="3"/>
        <v>1.0802336001193605E-2</v>
      </c>
      <c r="E28" s="66">
        <f t="shared" si="3"/>
        <v>1.0731338936293756E-2</v>
      </c>
      <c r="F28" s="66"/>
      <c r="G28" s="66">
        <f t="shared" ref="G28:S28" si="12">G16/G$86</f>
        <v>1.0045193491756189E-2</v>
      </c>
      <c r="H28" s="66">
        <f t="shared" si="12"/>
        <v>1.0931592588431894E-2</v>
      </c>
      <c r="I28" s="66">
        <f t="shared" si="12"/>
        <v>5.5337461686553241E-3</v>
      </c>
      <c r="J28" s="66">
        <f t="shared" si="12"/>
        <v>1.402293317765748E-2</v>
      </c>
      <c r="K28" s="66">
        <f t="shared" si="12"/>
        <v>5.7104226317071577E-3</v>
      </c>
      <c r="L28" s="66">
        <f t="shared" si="12"/>
        <v>2.0358288966881386E-2</v>
      </c>
      <c r="M28" s="66">
        <f t="shared" si="12"/>
        <v>7.4403118019096479E-3</v>
      </c>
      <c r="N28" s="66">
        <f t="shared" si="12"/>
        <v>4.7356227488811542E-3</v>
      </c>
      <c r="O28" s="66">
        <f t="shared" si="12"/>
        <v>2.2197119726162968E-2</v>
      </c>
      <c r="P28" s="66">
        <f t="shared" si="12"/>
        <v>8.0040539370363952E-3</v>
      </c>
      <c r="Q28" s="66">
        <f t="shared" si="12"/>
        <v>5.9445038025157312E-3</v>
      </c>
      <c r="R28" s="66">
        <f t="shared" si="12"/>
        <v>1.3863190724175783E-2</v>
      </c>
      <c r="S28" s="66">
        <f t="shared" si="12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13">+B8</f>
        <v>Indirect Labor</v>
      </c>
      <c r="C31" s="151" t="s">
        <v>974</v>
      </c>
      <c r="D31" s="66">
        <f t="shared" ref="D31:E40" si="14">IFERROR(D8/C8-1,0)</f>
        <v>1.4811221920324669</v>
      </c>
      <c r="E31" s="66">
        <f t="shared" si="14"/>
        <v>0.35658009443613392</v>
      </c>
      <c r="F31" s="66"/>
      <c r="G31" s="66"/>
      <c r="H31" s="66">
        <f t="shared" ref="H31:S31" si="15">IFERROR(H8/G8-1,0)</f>
        <v>-0.11686068530047833</v>
      </c>
      <c r="I31" s="66">
        <f t="shared" si="15"/>
        <v>0.38295890844675307</v>
      </c>
      <c r="J31" s="66">
        <f t="shared" si="15"/>
        <v>0.23836659406070426</v>
      </c>
      <c r="K31" s="66">
        <f t="shared" si="15"/>
        <v>-0.13029703190409847</v>
      </c>
      <c r="L31" s="66">
        <f t="shared" si="15"/>
        <v>0.12539263819569579</v>
      </c>
      <c r="M31" s="66">
        <f t="shared" si="15"/>
        <v>8.3500773617448232E-2</v>
      </c>
      <c r="N31" s="66">
        <f t="shared" si="15"/>
        <v>-7.2988337709909978E-2</v>
      </c>
      <c r="O31" s="66">
        <f t="shared" si="15"/>
        <v>0.70197792100634615</v>
      </c>
      <c r="P31" s="66">
        <f t="shared" si="15"/>
        <v>1.8299369012595434E-2</v>
      </c>
      <c r="Q31" s="66">
        <f t="shared" si="15"/>
        <v>-7.1708333369101096E-2</v>
      </c>
      <c r="R31" s="66">
        <f t="shared" si="15"/>
        <v>0.10975891463592125</v>
      </c>
      <c r="S31" s="66">
        <f t="shared" si="15"/>
        <v>-3.5138268719936305E-2</v>
      </c>
    </row>
    <row r="32" spans="2:19">
      <c r="B32" s="56" t="str">
        <f t="shared" si="13"/>
        <v>Bookkeeper Wages</v>
      </c>
      <c r="C32" s="151" t="s">
        <v>974</v>
      </c>
      <c r="D32" s="66">
        <f t="shared" si="14"/>
        <v>0.81810354008881148</v>
      </c>
      <c r="E32" s="66">
        <f t="shared" si="14"/>
        <v>0.12807294248804313</v>
      </c>
      <c r="F32" s="66"/>
      <c r="G32" s="66"/>
      <c r="H32" s="66">
        <f t="shared" ref="H32:S32" si="16">IFERROR(H9/G9-1,0)</f>
        <v>5.8694158962137921E-2</v>
      </c>
      <c r="I32" s="66">
        <f t="shared" si="16"/>
        <v>0.13200223372931252</v>
      </c>
      <c r="J32" s="66">
        <f t="shared" si="16"/>
        <v>0.12996725891231198</v>
      </c>
      <c r="K32" s="66">
        <f t="shared" si="16"/>
        <v>-9.8718537600359091E-2</v>
      </c>
      <c r="L32" s="66">
        <f t="shared" si="16"/>
        <v>3.6989935214837288E-5</v>
      </c>
      <c r="M32" s="66">
        <f t="shared" si="16"/>
        <v>0.12665061480282436</v>
      </c>
      <c r="N32" s="66">
        <f t="shared" si="16"/>
        <v>-0.22609727016525738</v>
      </c>
      <c r="O32" s="66">
        <f t="shared" si="16"/>
        <v>0.25995235260686989</v>
      </c>
      <c r="P32" s="66">
        <f t="shared" si="16"/>
        <v>3.6069209700046789E-2</v>
      </c>
      <c r="Q32" s="66">
        <f t="shared" si="16"/>
        <v>-1.231626702568589E-2</v>
      </c>
      <c r="R32" s="66">
        <f t="shared" si="16"/>
        <v>6.2803876351783749E-2</v>
      </c>
      <c r="S32" s="66">
        <f t="shared" si="16"/>
        <v>9.3065990693327327E-2</v>
      </c>
    </row>
    <row r="33" spans="2:19">
      <c r="B33" s="56" t="str">
        <f t="shared" si="13"/>
        <v>Client Lead Wages</v>
      </c>
      <c r="C33" s="151" t="s">
        <v>974</v>
      </c>
      <c r="D33" s="66">
        <f t="shared" si="14"/>
        <v>1.7083586274833085E-3</v>
      </c>
      <c r="E33" s="66">
        <f t="shared" si="14"/>
        <v>0.11079815577738694</v>
      </c>
      <c r="F33" s="66"/>
      <c r="G33" s="66"/>
      <c r="H33" s="66">
        <f t="shared" ref="H33:S33" si="17">IFERROR(H10/G10-1,0)</f>
        <v>-8.9858319117302354E-2</v>
      </c>
      <c r="I33" s="66">
        <f t="shared" si="17"/>
        <v>0.11013192380055048</v>
      </c>
      <c r="J33" s="66">
        <f t="shared" si="17"/>
        <v>0.10454129603112938</v>
      </c>
      <c r="K33" s="66">
        <f t="shared" si="17"/>
        <v>-0.10352873018541098</v>
      </c>
      <c r="L33" s="66">
        <f t="shared" si="17"/>
        <v>0.10769787348601412</v>
      </c>
      <c r="M33" s="66">
        <f t="shared" si="17"/>
        <v>-0.2006387568178597</v>
      </c>
      <c r="N33" s="66">
        <f t="shared" si="17"/>
        <v>-0.16118767446936433</v>
      </c>
      <c r="O33" s="66">
        <f t="shared" si="17"/>
        <v>0.40414233868206617</v>
      </c>
      <c r="P33" s="66">
        <f t="shared" si="17"/>
        <v>2.7047535570724701E-2</v>
      </c>
      <c r="Q33" s="66">
        <f t="shared" si="17"/>
        <v>-0.12315331439507848</v>
      </c>
      <c r="R33" s="66">
        <f t="shared" si="17"/>
        <v>0.12780975540723594</v>
      </c>
      <c r="S33" s="66">
        <f t="shared" si="17"/>
        <v>4.8126070734411774E-2</v>
      </c>
    </row>
    <row r="34" spans="2:19">
      <c r="B34" s="56" t="str">
        <f t="shared" si="13"/>
        <v>Onboarding Team Wages</v>
      </c>
      <c r="C34" s="151" t="s">
        <v>974</v>
      </c>
      <c r="D34" s="66">
        <f t="shared" si="14"/>
        <v>0.56214846008918662</v>
      </c>
      <c r="E34" s="66">
        <f t="shared" si="14"/>
        <v>4.0365943889525191E-2</v>
      </c>
      <c r="F34" s="66"/>
      <c r="G34" s="66"/>
      <c r="H34" s="66">
        <f t="shared" ref="H34:S34" si="18">IFERROR(H11/G11-1,0)</f>
        <v>-5.7041826466665224E-2</v>
      </c>
      <c r="I34" s="66">
        <f t="shared" si="18"/>
        <v>0.15701818393632916</v>
      </c>
      <c r="J34" s="66">
        <f t="shared" si="18"/>
        <v>5.7434464216223668E-2</v>
      </c>
      <c r="K34" s="66">
        <f t="shared" si="18"/>
        <v>-7.7169489148211423E-2</v>
      </c>
      <c r="L34" s="66">
        <f t="shared" si="18"/>
        <v>0.45922260853439267</v>
      </c>
      <c r="M34" s="66">
        <f t="shared" si="18"/>
        <v>-0.20910039502124189</v>
      </c>
      <c r="N34" s="66">
        <f t="shared" si="18"/>
        <v>-0.30369386381731467</v>
      </c>
      <c r="O34" s="66">
        <f t="shared" si="18"/>
        <v>0.29602979540385244</v>
      </c>
      <c r="P34" s="66">
        <f t="shared" si="18"/>
        <v>4.3155320731275593E-2</v>
      </c>
      <c r="Q34" s="66">
        <f t="shared" si="18"/>
        <v>0.25795712393605563</v>
      </c>
      <c r="R34" s="66">
        <f t="shared" si="18"/>
        <v>-0.15093453176489802</v>
      </c>
      <c r="S34" s="66">
        <f t="shared" si="18"/>
        <v>-1.2944161369143226E-2</v>
      </c>
    </row>
    <row r="35" spans="2:19">
      <c r="B35" s="56" t="str">
        <f t="shared" si="13"/>
        <v>Owner Wages</v>
      </c>
      <c r="C35" s="151" t="s">
        <v>974</v>
      </c>
      <c r="D35" s="66">
        <f t="shared" si="14"/>
        <v>1.3829598830953684</v>
      </c>
      <c r="E35" s="66">
        <f t="shared" si="14"/>
        <v>0</v>
      </c>
      <c r="F35" s="66"/>
      <c r="G35" s="66"/>
      <c r="H35" s="66">
        <f t="shared" ref="H35:S35" si="19">IFERROR(H12/G12-1,0)</f>
        <v>-8.6954878098724486E-2</v>
      </c>
      <c r="I35" s="66">
        <f t="shared" si="19"/>
        <v>4.7618061809286294E-2</v>
      </c>
      <c r="J35" s="66">
        <f t="shared" si="19"/>
        <v>4.5453647226211036E-2</v>
      </c>
      <c r="K35" s="66">
        <f t="shared" si="19"/>
        <v>-0.13043441735527206</v>
      </c>
      <c r="L35" s="66">
        <f t="shared" si="19"/>
        <v>0.1585458339572694</v>
      </c>
      <c r="M35" s="66">
        <f t="shared" si="19"/>
        <v>-3.3087545498893034E-2</v>
      </c>
      <c r="N35" s="66">
        <f t="shared" si="19"/>
        <v>-0.10279844893550283</v>
      </c>
      <c r="O35" s="66">
        <f t="shared" si="19"/>
        <v>9.4465331271485153E-2</v>
      </c>
      <c r="P35" s="66">
        <f t="shared" si="19"/>
        <v>0</v>
      </c>
      <c r="Q35" s="66">
        <f t="shared" si="19"/>
        <v>-4.5452599291017526E-2</v>
      </c>
      <c r="R35" s="66">
        <f t="shared" si="19"/>
        <v>4.7618061809286294E-2</v>
      </c>
      <c r="S35" s="66">
        <f t="shared" si="19"/>
        <v>4.5453647226211036E-2</v>
      </c>
    </row>
    <row r="36" spans="2:19">
      <c r="B36" s="56" t="str">
        <f t="shared" si="13"/>
        <v>S&amp;M Wages</v>
      </c>
      <c r="C36" s="151" t="s">
        <v>974</v>
      </c>
      <c r="D36" s="66">
        <f t="shared" si="14"/>
        <v>20.936630692542224</v>
      </c>
      <c r="E36" s="66">
        <f t="shared" si="14"/>
        <v>0.44649161240619972</v>
      </c>
      <c r="F36" s="66"/>
      <c r="G36" s="66"/>
      <c r="H36" s="66">
        <f t="shared" ref="H36:S36" si="20">IFERROR(H13/G13-1,0)</f>
        <v>5.2307598076746231E-2</v>
      </c>
      <c r="I36" s="66">
        <f t="shared" si="20"/>
        <v>0.1144029568406042</v>
      </c>
      <c r="J36" s="66">
        <f t="shared" si="20"/>
        <v>0.22892510184895021</v>
      </c>
      <c r="K36" s="66">
        <f t="shared" si="20"/>
        <v>-4.5756300735262934E-2</v>
      </c>
      <c r="L36" s="66">
        <f t="shared" si="20"/>
        <v>2.4826521886301691</v>
      </c>
      <c r="M36" s="66">
        <f t="shared" si="20"/>
        <v>-0.27700242602044411</v>
      </c>
      <c r="N36" s="66">
        <f t="shared" si="20"/>
        <v>5.3682739590335204E-2</v>
      </c>
      <c r="O36" s="66">
        <f t="shared" si="20"/>
        <v>0.30652068445111458</v>
      </c>
      <c r="P36" s="66">
        <f t="shared" si="20"/>
        <v>4.5511898031556752E-2</v>
      </c>
      <c r="Q36" s="66">
        <f t="shared" si="20"/>
        <v>-4.0403047310990092E-2</v>
      </c>
      <c r="R36" s="66">
        <f t="shared" si="20"/>
        <v>7.6707328786860263E-2</v>
      </c>
      <c r="S36" s="66">
        <f t="shared" si="20"/>
        <v>-2.5149871538681312E-2</v>
      </c>
    </row>
    <row r="37" spans="2:19">
      <c r="B37" s="56" t="str">
        <f t="shared" si="13"/>
        <v>Occupancy Tax Specialist</v>
      </c>
      <c r="C37" s="151" t="s">
        <v>974</v>
      </c>
      <c r="D37" s="66">
        <f t="shared" si="14"/>
        <v>2.7281567592857328</v>
      </c>
      <c r="E37" s="66">
        <f t="shared" si="14"/>
        <v>1.4408257492372512E-2</v>
      </c>
      <c r="F37" s="66"/>
      <c r="G37" s="66"/>
      <c r="H37" s="66">
        <f t="shared" ref="H37:S37" si="21">IFERROR(H14/G14-1,0)</f>
        <v>-2.5807991115883722E-2</v>
      </c>
      <c r="I37" s="66">
        <f t="shared" si="21"/>
        <v>0.46222437857112575</v>
      </c>
      <c r="J37" s="66">
        <f t="shared" si="21"/>
        <v>5.3852844533213151E-2</v>
      </c>
      <c r="K37" s="66">
        <f t="shared" si="21"/>
        <v>0.11252166523505425</v>
      </c>
      <c r="L37" s="66">
        <f t="shared" si="21"/>
        <v>-0.13439868991913662</v>
      </c>
      <c r="M37" s="66">
        <f t="shared" si="21"/>
        <v>-0.46318004780451572</v>
      </c>
      <c r="N37" s="66">
        <f t="shared" si="21"/>
        <v>2.2812921308451002</v>
      </c>
      <c r="O37" s="66">
        <f t="shared" si="21"/>
        <v>0.29746863956721614</v>
      </c>
      <c r="P37" s="66">
        <f t="shared" si="21"/>
        <v>0.13789080403894505</v>
      </c>
      <c r="Q37" s="66">
        <f t="shared" si="21"/>
        <v>1.1064728355731246E-2</v>
      </c>
      <c r="R37" s="66">
        <f t="shared" si="21"/>
        <v>-0.33690475471880355</v>
      </c>
      <c r="S37" s="66">
        <f t="shared" si="21"/>
        <v>3.3399178902715487E-2</v>
      </c>
    </row>
    <row r="38" spans="2:19">
      <c r="B38" s="56" t="str">
        <f t="shared" si="13"/>
        <v>Sr. Client Lead Wages</v>
      </c>
      <c r="C38" s="151" t="s">
        <v>974</v>
      </c>
      <c r="D38" s="66">
        <f t="shared" si="14"/>
        <v>0</v>
      </c>
      <c r="E38" s="66">
        <f t="shared" si="14"/>
        <v>3.1377410881801131</v>
      </c>
      <c r="F38" s="66"/>
      <c r="G38" s="66"/>
      <c r="H38" s="66">
        <f t="shared" ref="H38:S38" si="22">IFERROR(H15/G15-1,0)</f>
        <v>0</v>
      </c>
      <c r="I38" s="66">
        <f t="shared" si="22"/>
        <v>0</v>
      </c>
      <c r="J38" s="66">
        <f t="shared" si="22"/>
        <v>0</v>
      </c>
      <c r="K38" s="66">
        <f t="shared" si="22"/>
        <v>0</v>
      </c>
      <c r="L38" s="66">
        <f t="shared" si="22"/>
        <v>0</v>
      </c>
      <c r="M38" s="66">
        <f t="shared" si="22"/>
        <v>0</v>
      </c>
      <c r="N38" s="66">
        <f t="shared" si="22"/>
        <v>0</v>
      </c>
      <c r="O38" s="66">
        <f t="shared" si="22"/>
        <v>0</v>
      </c>
      <c r="P38" s="66">
        <f t="shared" si="22"/>
        <v>0</v>
      </c>
      <c r="Q38" s="66">
        <f t="shared" si="22"/>
        <v>0</v>
      </c>
      <c r="R38" s="66">
        <f t="shared" si="22"/>
        <v>8.1090637489769746E-2</v>
      </c>
      <c r="S38" s="66">
        <f t="shared" si="22"/>
        <v>1.3082607848829753E-2</v>
      </c>
    </row>
    <row r="39" spans="2:19">
      <c r="B39" s="56" t="str">
        <f t="shared" si="13"/>
        <v>Employee Benefits</v>
      </c>
      <c r="C39" s="151" t="s">
        <v>974</v>
      </c>
      <c r="D39" s="66">
        <f t="shared" si="14"/>
        <v>1.2662626182926404</v>
      </c>
      <c r="E39" s="66">
        <f t="shared" si="14"/>
        <v>0.16701156553622543</v>
      </c>
      <c r="F39" s="66"/>
      <c r="G39" s="66"/>
      <c r="H39" s="66">
        <f t="shared" ref="H39:S39" si="23">IFERROR(H16/G16-1,0)</f>
        <v>0.11970554128252275</v>
      </c>
      <c r="I39" s="66">
        <f t="shared" si="23"/>
        <v>-0.48072004440197535</v>
      </c>
      <c r="J39" s="66">
        <f t="shared" si="23"/>
        <v>1.7696384692517055</v>
      </c>
      <c r="K39" s="66">
        <f t="shared" si="23"/>
        <v>-0.5872219547807267</v>
      </c>
      <c r="L39" s="66">
        <f t="shared" si="23"/>
        <v>2.8596763467080466</v>
      </c>
      <c r="M39" s="66">
        <f t="shared" si="23"/>
        <v>-0.60576397230136858</v>
      </c>
      <c r="N39" s="66">
        <f t="shared" si="23"/>
        <v>-0.27439777542708377</v>
      </c>
      <c r="O39" s="66">
        <f t="shared" si="23"/>
        <v>3.4857227658812944</v>
      </c>
      <c r="P39" s="66">
        <f t="shared" si="23"/>
        <v>-0.6256653167345525</v>
      </c>
      <c r="Q39" s="66">
        <f t="shared" si="23"/>
        <v>-0.23914365775423307</v>
      </c>
      <c r="R39" s="66">
        <f t="shared" si="23"/>
        <v>1.3444206815029411</v>
      </c>
      <c r="S39" s="66">
        <f t="shared" si="23"/>
        <v>-0.21847029987205369</v>
      </c>
    </row>
    <row r="40" spans="2:19">
      <c r="B40" s="60" t="s">
        <v>983</v>
      </c>
      <c r="C40" s="67">
        <f>SUM(C31:C38)</f>
        <v>0</v>
      </c>
      <c r="D40" s="67">
        <f t="shared" si="14"/>
        <v>0.76347362797185281</v>
      </c>
      <c r="E40" s="68">
        <f t="shared" si="14"/>
        <v>0.1956861817079365</v>
      </c>
      <c r="F40" s="72"/>
      <c r="G40" s="72"/>
      <c r="H40" s="69">
        <f t="shared" ref="H40:S40" si="24">IFERROR(H17/G17-1,0)</f>
        <v>-4.6445680189613592E-2</v>
      </c>
      <c r="I40" s="67">
        <f t="shared" si="24"/>
        <v>0.16690798919347349</v>
      </c>
      <c r="J40" s="67">
        <f t="shared" si="24"/>
        <v>0.14523092586814612</v>
      </c>
      <c r="K40" s="67">
        <f t="shared" si="24"/>
        <v>-0.11042949361512266</v>
      </c>
      <c r="L40" s="67">
        <f t="shared" si="24"/>
        <v>0.18608360624721776</v>
      </c>
      <c r="M40" s="67">
        <f t="shared" si="24"/>
        <v>-6.9952658474474738E-2</v>
      </c>
      <c r="N40" s="67">
        <f t="shared" si="24"/>
        <v>-0.13125706545539717</v>
      </c>
      <c r="O40" s="67">
        <f t="shared" si="24"/>
        <v>0.44033065178059161</v>
      </c>
      <c r="P40" s="67">
        <f t="shared" si="24"/>
        <v>1.182636979371221E-2</v>
      </c>
      <c r="Q40" s="67">
        <f t="shared" si="24"/>
        <v>-1.8186087174072774E-2</v>
      </c>
      <c r="R40" s="67">
        <f t="shared" si="24"/>
        <v>5.5304168414133104E-2</v>
      </c>
      <c r="S40" s="68">
        <f t="shared" si="24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25">SUM(G43:G46)</f>
        <v>22.120130000000003</v>
      </c>
      <c r="H47" s="63">
        <f t="shared" si="25"/>
        <v>24.11375</v>
      </c>
      <c r="I47" s="61">
        <f t="shared" si="25"/>
        <v>25.266280000000002</v>
      </c>
      <c r="J47" s="61">
        <f t="shared" si="25"/>
        <v>25.829260000000001</v>
      </c>
      <c r="K47" s="61">
        <f t="shared" si="25"/>
        <v>30.724890000000002</v>
      </c>
      <c r="L47" s="61">
        <f t="shared" si="25"/>
        <v>33.980350000000001</v>
      </c>
      <c r="M47" s="61">
        <f t="shared" si="25"/>
        <v>34.801209999999998</v>
      </c>
      <c r="N47" s="61">
        <f t="shared" si="25"/>
        <v>36.180370000000003</v>
      </c>
      <c r="O47" s="61">
        <f t="shared" si="25"/>
        <v>37.779439999999994</v>
      </c>
      <c r="P47" s="61">
        <f t="shared" si="25"/>
        <v>42.557700000000004</v>
      </c>
      <c r="Q47" s="61">
        <f t="shared" si="25"/>
        <v>41.873910000000002</v>
      </c>
      <c r="R47" s="61">
        <f t="shared" si="25"/>
        <v>44.14931</v>
      </c>
      <c r="S47" s="62">
        <f t="shared" si="25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26">C43/C$86</f>
        <v>9.3336693757682679E-2</v>
      </c>
      <c r="D50" s="66">
        <f t="shared" si="26"/>
        <v>8.8072454259452884E-2</v>
      </c>
      <c r="E50" s="66">
        <f t="shared" si="26"/>
        <v>0.11195716775620432</v>
      </c>
      <c r="F50" s="66"/>
      <c r="G50" s="66">
        <f t="shared" ref="G50:S50" si="27">G43/G$86</f>
        <v>8.4537160902397337E-2</v>
      </c>
      <c r="H50" s="66">
        <f t="shared" si="27"/>
        <v>8.917779401841408E-2</v>
      </c>
      <c r="I50" s="66">
        <f t="shared" si="27"/>
        <v>8.2897472493922389E-2</v>
      </c>
      <c r="J50" s="66">
        <f t="shared" si="27"/>
        <v>6.8887122955805999E-2</v>
      </c>
      <c r="K50" s="66">
        <f t="shared" si="27"/>
        <v>8.3756736315113295E-2</v>
      </c>
      <c r="L50" s="66">
        <f t="shared" si="27"/>
        <v>8.6976039167336205E-2</v>
      </c>
      <c r="M50" s="66">
        <f t="shared" si="27"/>
        <v>8.7038258886071668E-2</v>
      </c>
      <c r="N50" s="66">
        <f t="shared" si="27"/>
        <v>7.4082423226011079E-2</v>
      </c>
      <c r="O50" s="66">
        <f t="shared" si="27"/>
        <v>7.9522374855477654E-2</v>
      </c>
      <c r="P50" s="66">
        <f t="shared" si="27"/>
        <v>8.8997158657182468E-2</v>
      </c>
      <c r="Q50" s="66">
        <f t="shared" si="27"/>
        <v>9.5231314037413264E-2</v>
      </c>
      <c r="R50" s="66">
        <f t="shared" si="27"/>
        <v>9.9695918331890232E-2</v>
      </c>
      <c r="S50" s="66">
        <f t="shared" si="27"/>
        <v>0.11126811344179605</v>
      </c>
    </row>
    <row r="51" spans="2:19">
      <c r="B51" s="56" t="str">
        <f>+B44</f>
        <v>Software &amp; Apps - G&amp;A</v>
      </c>
      <c r="C51" s="66">
        <f t="shared" si="26"/>
        <v>5.6753008121532077E-2</v>
      </c>
      <c r="D51" s="66">
        <f t="shared" si="26"/>
        <v>6.1623199023504209E-2</v>
      </c>
      <c r="E51" s="66">
        <f t="shared" si="26"/>
        <v>5.196615252573733E-2</v>
      </c>
      <c r="F51" s="66"/>
      <c r="G51" s="66">
        <f t="shared" ref="G51:S51" si="28">G44/G$86</f>
        <v>5.7823625290077715E-2</v>
      </c>
      <c r="H51" s="66">
        <f t="shared" si="28"/>
        <v>6.1652563417085485E-2</v>
      </c>
      <c r="I51" s="66">
        <f t="shared" si="28"/>
        <v>6.545098601389604E-2</v>
      </c>
      <c r="J51" s="66">
        <f t="shared" si="28"/>
        <v>6.7446462993734121E-2</v>
      </c>
      <c r="K51" s="66">
        <f t="shared" si="28"/>
        <v>7.235284294870982E-2</v>
      </c>
      <c r="L51" s="66">
        <f t="shared" si="28"/>
        <v>7.3315879580288387E-2</v>
      </c>
      <c r="M51" s="66">
        <f t="shared" si="28"/>
        <v>6.2507234219034258E-2</v>
      </c>
      <c r="N51" s="66">
        <f t="shared" si="28"/>
        <v>6.0852915616182439E-2</v>
      </c>
      <c r="O51" s="66">
        <f t="shared" si="28"/>
        <v>6.4756030736686496E-2</v>
      </c>
      <c r="P51" s="66">
        <f t="shared" si="28"/>
        <v>6.1354121661470043E-2</v>
      </c>
      <c r="Q51" s="66">
        <f t="shared" si="28"/>
        <v>5.3733800949923215E-2</v>
      </c>
      <c r="R51" s="66">
        <f t="shared" si="28"/>
        <v>5.2990008456589577E-2</v>
      </c>
      <c r="S51" s="66">
        <f t="shared" si="28"/>
        <v>5.1646320376365434E-2</v>
      </c>
    </row>
    <row r="52" spans="2:19">
      <c r="B52" s="56" t="str">
        <f>+B45</f>
        <v>Software &amp; Apps - Topkey</v>
      </c>
      <c r="C52" s="66">
        <f t="shared" ref="C52:E53" si="29">C45/C$86</f>
        <v>0</v>
      </c>
      <c r="D52" s="66">
        <f t="shared" si="29"/>
        <v>1.4091502418170218E-2</v>
      </c>
      <c r="E52" s="66">
        <f t="shared" si="29"/>
        <v>2.0289867503630148E-2</v>
      </c>
      <c r="F52" s="66"/>
      <c r="G52" s="66">
        <f t="shared" ref="G52:S52" si="30">G45/G$86</f>
        <v>0</v>
      </c>
      <c r="H52" s="66">
        <f t="shared" si="30"/>
        <v>0</v>
      </c>
      <c r="I52" s="66">
        <f t="shared" si="30"/>
        <v>5.7149665538023019E-3</v>
      </c>
      <c r="J52" s="66">
        <f t="shared" si="30"/>
        <v>7.7673346713958554E-3</v>
      </c>
      <c r="K52" s="66">
        <f t="shared" si="30"/>
        <v>1.2995995719756079E-2</v>
      </c>
      <c r="L52" s="66">
        <f t="shared" si="30"/>
        <v>1.2457888219926643E-2</v>
      </c>
      <c r="M52" s="66">
        <f t="shared" si="30"/>
        <v>1.3901718303752371E-2</v>
      </c>
      <c r="N52" s="66">
        <f t="shared" si="30"/>
        <v>1.4138285161605146E-2</v>
      </c>
      <c r="O52" s="66">
        <f t="shared" si="30"/>
        <v>1.5888008117657653E-2</v>
      </c>
      <c r="P52" s="66">
        <f t="shared" si="30"/>
        <v>1.7551636577760429E-2</v>
      </c>
      <c r="Q52" s="66">
        <f t="shared" si="30"/>
        <v>1.7400568686653087E-2</v>
      </c>
      <c r="R52" s="66">
        <f t="shared" si="30"/>
        <v>2.1042483756519716E-2</v>
      </c>
      <c r="S52" s="66">
        <f t="shared" si="30"/>
        <v>2.0164990990385434E-2</v>
      </c>
    </row>
    <row r="53" spans="2:19">
      <c r="B53" s="56" t="str">
        <f>+B46</f>
        <v>Software &amp; Apps - AI tools</v>
      </c>
      <c r="C53" s="66">
        <f t="shared" si="29"/>
        <v>0</v>
      </c>
      <c r="D53" s="66">
        <f t="shared" si="29"/>
        <v>2.5572733149282563E-3</v>
      </c>
      <c r="E53" s="66">
        <f t="shared" si="29"/>
        <v>5.2504734452490489E-3</v>
      </c>
      <c r="F53" s="66"/>
      <c r="G53" s="66">
        <f t="shared" ref="G53:S53" si="31">G46/G$86</f>
        <v>0</v>
      </c>
      <c r="H53" s="66">
        <f t="shared" si="31"/>
        <v>0</v>
      </c>
      <c r="I53" s="66">
        <f t="shared" si="31"/>
        <v>0</v>
      </c>
      <c r="J53" s="66">
        <f t="shared" si="31"/>
        <v>0</v>
      </c>
      <c r="K53" s="66">
        <f t="shared" si="31"/>
        <v>0</v>
      </c>
      <c r="L53" s="66">
        <f t="shared" si="31"/>
        <v>0</v>
      </c>
      <c r="M53" s="66">
        <f t="shared" si="31"/>
        <v>5.6554155316561891E-4</v>
      </c>
      <c r="N53" s="66">
        <f t="shared" si="31"/>
        <v>4.9608018110895247E-4</v>
      </c>
      <c r="O53" s="66">
        <f t="shared" si="31"/>
        <v>3.0309896073506442E-3</v>
      </c>
      <c r="P53" s="66">
        <f t="shared" si="31"/>
        <v>9.1851068080334893E-3</v>
      </c>
      <c r="Q53" s="66">
        <f t="shared" si="31"/>
        <v>3.7159799893460108E-3</v>
      </c>
      <c r="R53" s="66">
        <f t="shared" si="31"/>
        <v>4.6531444735399257E-3</v>
      </c>
      <c r="S53" s="66">
        <f t="shared" si="31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 t="shared" ref="D56:E60" si="32">IFERROR(D43/C43-1,0)</f>
        <v>0.57999886845588877</v>
      </c>
      <c r="E56" s="66">
        <f t="shared" si="32"/>
        <v>0.49331261755325184</v>
      </c>
      <c r="F56" s="66"/>
      <c r="G56" s="66"/>
      <c r="H56" s="66">
        <f t="shared" ref="H56:S56" si="33">IFERROR(H43/G43-1,0)</f>
        <v>8.5394866563383687E-2</v>
      </c>
      <c r="I56" s="66">
        <f t="shared" si="33"/>
        <v>-4.6434946675878219E-2</v>
      </c>
      <c r="J56" s="66">
        <f t="shared" si="33"/>
        <v>-9.1760867134677793E-2</v>
      </c>
      <c r="K56" s="66">
        <f t="shared" si="33"/>
        <v>0.23244884439268443</v>
      </c>
      <c r="L56" s="66">
        <f t="shared" si="33"/>
        <v>0.12423666743112172</v>
      </c>
      <c r="M56" s="66">
        <f t="shared" si="33"/>
        <v>7.9486007474682152E-2</v>
      </c>
      <c r="N56" s="66">
        <f t="shared" si="33"/>
        <v>-2.9674090197798209E-2</v>
      </c>
      <c r="O56" s="66">
        <f t="shared" si="33"/>
        <v>2.7275816714815049E-2</v>
      </c>
      <c r="P56" s="66">
        <f t="shared" si="33"/>
        <v>0.16180565438974082</v>
      </c>
      <c r="Q56" s="66">
        <f t="shared" si="33"/>
        <v>9.6227513413051913E-2</v>
      </c>
      <c r="R56" s="66">
        <f t="shared" si="33"/>
        <v>5.2411429916778385E-2</v>
      </c>
      <c r="S56" s="66">
        <f t="shared" si="33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 t="shared" si="32"/>
        <v>0.81812795462145327</v>
      </c>
      <c r="E57" s="66">
        <f t="shared" si="32"/>
        <v>-9.3613826848051307E-3</v>
      </c>
      <c r="F57" s="66"/>
      <c r="G57" s="66"/>
      <c r="H57" s="66">
        <f t="shared" ref="H57:S57" si="34">IFERROR(H44/G44-1,0)</f>
        <v>9.7045192483204756E-2</v>
      </c>
      <c r="I57" s="66">
        <f t="shared" si="34"/>
        <v>8.9007365623034351E-2</v>
      </c>
      <c r="J57" s="66">
        <f t="shared" si="34"/>
        <v>0.12628017190380758</v>
      </c>
      <c r="K57" s="66">
        <f t="shared" si="34"/>
        <v>8.7385715904607197E-2</v>
      </c>
      <c r="L57" s="66">
        <f t="shared" si="34"/>
        <v>9.7034572940620789E-2</v>
      </c>
      <c r="M57" s="66">
        <f t="shared" si="34"/>
        <v>-8.0315891003874262E-2</v>
      </c>
      <c r="N57" s="66">
        <f t="shared" si="34"/>
        <v>0.10984863335735984</v>
      </c>
      <c r="O57" s="66">
        <f t="shared" si="34"/>
        <v>1.838438597563874E-2</v>
      </c>
      <c r="P57" s="66">
        <f t="shared" si="34"/>
        <v>-1.6418824446057245E-2</v>
      </c>
      <c r="Q57" s="66">
        <f t="shared" si="34"/>
        <v>-0.10277600123163821</v>
      </c>
      <c r="R57" s="66">
        <f t="shared" si="34"/>
        <v>-8.6331750975116028E-3</v>
      </c>
      <c r="S57" s="66">
        <f t="shared" si="34"/>
        <v>-9.8947845175635374E-3</v>
      </c>
    </row>
    <row r="58" spans="2:19">
      <c r="B58" s="56" t="str">
        <f>+B45</f>
        <v>Software &amp; Apps - Topkey</v>
      </c>
      <c r="C58" s="151" t="s">
        <v>974</v>
      </c>
      <c r="D58" s="66">
        <f t="shared" si="32"/>
        <v>0</v>
      </c>
      <c r="E58" s="66">
        <f t="shared" si="32"/>
        <v>0.69145653201367852</v>
      </c>
      <c r="F58" s="66"/>
      <c r="G58" s="66"/>
      <c r="H58" s="66">
        <f t="shared" ref="H58:S58" si="35">IFERROR(H45/G45-1,0)</f>
        <v>0</v>
      </c>
      <c r="I58" s="66">
        <f t="shared" si="35"/>
        <v>0</v>
      </c>
      <c r="J58" s="66">
        <f t="shared" si="35"/>
        <v>0.48546279007735382</v>
      </c>
      <c r="K58" s="66">
        <f t="shared" si="35"/>
        <v>0.69599569042916154</v>
      </c>
      <c r="L58" s="66">
        <f t="shared" si="35"/>
        <v>3.7797776601376398E-2</v>
      </c>
      <c r="M58" s="66">
        <f t="shared" si="35"/>
        <v>0.20373393185064281</v>
      </c>
      <c r="N58" s="66">
        <f t="shared" si="35"/>
        <v>0.15942028985507251</v>
      </c>
      <c r="O58" s="66">
        <f t="shared" si="35"/>
        <v>7.5438596491228083E-2</v>
      </c>
      <c r="P58" s="66">
        <f t="shared" si="35"/>
        <v>0.14681892332789559</v>
      </c>
      <c r="Q58" s="66">
        <f t="shared" si="35"/>
        <v>1.5647226173541862E-2</v>
      </c>
      <c r="R58" s="66">
        <f t="shared" si="35"/>
        <v>0.21568627450980404</v>
      </c>
      <c r="S58" s="66">
        <f t="shared" si="35"/>
        <v>-2.6497695852534586E-2</v>
      </c>
    </row>
    <row r="59" spans="2:19">
      <c r="B59" s="56" t="str">
        <f>+B46</f>
        <v>Software &amp; Apps - AI tools</v>
      </c>
      <c r="C59" s="151" t="s">
        <v>974</v>
      </c>
      <c r="D59" s="66">
        <f t="shared" si="32"/>
        <v>0</v>
      </c>
      <c r="E59" s="66">
        <f t="shared" si="32"/>
        <v>1.4119052871534667</v>
      </c>
      <c r="F59" s="66"/>
      <c r="G59" s="66"/>
      <c r="H59" s="66">
        <f t="shared" ref="H59:S59" si="36">IFERROR(H46/G46-1,0)</f>
        <v>0</v>
      </c>
      <c r="I59" s="66">
        <f t="shared" si="36"/>
        <v>0</v>
      </c>
      <c r="J59" s="66">
        <f t="shared" si="36"/>
        <v>0</v>
      </c>
      <c r="K59" s="66">
        <f t="shared" si="36"/>
        <v>0</v>
      </c>
      <c r="L59" s="66">
        <f t="shared" si="36"/>
        <v>0</v>
      </c>
      <c r="M59" s="66">
        <f t="shared" si="36"/>
        <v>0</v>
      </c>
      <c r="N59" s="66">
        <f t="shared" si="36"/>
        <v>0</v>
      </c>
      <c r="O59" s="66">
        <f t="shared" si="36"/>
        <v>4.8471666666666664</v>
      </c>
      <c r="P59" s="66">
        <f t="shared" si="36"/>
        <v>2.145911125046319</v>
      </c>
      <c r="Q59" s="66">
        <f t="shared" si="36"/>
        <v>-0.58553656857060021</v>
      </c>
      <c r="R59" s="66">
        <f t="shared" si="36"/>
        <v>0.25881272749133766</v>
      </c>
      <c r="S59" s="66">
        <f t="shared" si="36"/>
        <v>0.13921764424955496</v>
      </c>
    </row>
    <row r="60" spans="2:19">
      <c r="B60" s="60" t="s">
        <v>986</v>
      </c>
      <c r="C60" s="67">
        <f>SUM(C56:C59)</f>
        <v>0</v>
      </c>
      <c r="D60" s="67">
        <f t="shared" si="32"/>
        <v>0.85577985399719259</v>
      </c>
      <c r="E60" s="68">
        <f t="shared" si="32"/>
        <v>0.33800148304513411</v>
      </c>
      <c r="F60" s="72"/>
      <c r="G60" s="72"/>
      <c r="H60" s="69">
        <f t="shared" ref="H60:S60" si="37">IFERROR(H47/G47-1,0)</f>
        <v>9.012695675839133E-2</v>
      </c>
      <c r="I60" s="67">
        <f t="shared" si="37"/>
        <v>4.7795552330102131E-2</v>
      </c>
      <c r="J60" s="67">
        <f t="shared" si="37"/>
        <v>2.2281871332067826E-2</v>
      </c>
      <c r="K60" s="67">
        <f t="shared" si="37"/>
        <v>0.18953814394992352</v>
      </c>
      <c r="L60" s="67">
        <f t="shared" si="37"/>
        <v>0.1059551393023701</v>
      </c>
      <c r="M60" s="67">
        <f t="shared" si="37"/>
        <v>2.415690244508939E-2</v>
      </c>
      <c r="N60" s="67">
        <f t="shared" si="37"/>
        <v>3.9629656555045134E-2</v>
      </c>
      <c r="O60" s="67">
        <f t="shared" si="37"/>
        <v>4.419717100737186E-2</v>
      </c>
      <c r="P60" s="67">
        <f t="shared" si="37"/>
        <v>0.12647778791850839</v>
      </c>
      <c r="Q60" s="67">
        <f t="shared" si="37"/>
        <v>-1.6067362662925855E-2</v>
      </c>
      <c r="R60" s="67">
        <f t="shared" si="37"/>
        <v>5.4339324892277663E-2</v>
      </c>
      <c r="S60" s="68">
        <f t="shared" si="37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38">+H72-SUM(H63:H70)</f>
        <v>2.1041500000000006</v>
      </c>
      <c r="I71" s="143">
        <f t="shared" si="38"/>
        <v>4.1907599999999992</v>
      </c>
      <c r="J71" s="143">
        <f t="shared" si="38"/>
        <v>3.0395699999999977</v>
      </c>
      <c r="K71" s="143">
        <f t="shared" si="38"/>
        <v>1.0314300000000003</v>
      </c>
      <c r="L71" s="143">
        <f t="shared" si="38"/>
        <v>13.049990000000005</v>
      </c>
      <c r="M71" s="143">
        <f t="shared" si="38"/>
        <v>5.3295300000000001</v>
      </c>
      <c r="N71" s="143">
        <f t="shared" si="38"/>
        <v>6.8620100000000015</v>
      </c>
      <c r="O71" s="143">
        <f t="shared" si="38"/>
        <v>9.6291599999999988</v>
      </c>
      <c r="P71" s="143">
        <f t="shared" si="38"/>
        <v>-2.3808199999999999</v>
      </c>
      <c r="Q71" s="143">
        <f t="shared" si="38"/>
        <v>2.0276700000000005</v>
      </c>
      <c r="R71" s="143">
        <f t="shared" si="38"/>
        <v>2.8599300000000003</v>
      </c>
      <c r="S71" s="143">
        <f t="shared" si="38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>SUM(D63:D71)</f>
        <v>273.24252000000001</v>
      </c>
      <c r="E72" s="62">
        <f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39">+B63</f>
        <v>Other Professional Fees</v>
      </c>
      <c r="C75" s="66">
        <f t="shared" ref="C75:E83" si="40">C63/C$86</f>
        <v>1.4266877497871063E-2</v>
      </c>
      <c r="D75" s="66">
        <f t="shared" si="40"/>
        <v>2.8433324986194192E-2</v>
      </c>
      <c r="E75" s="66">
        <f t="shared" si="40"/>
        <v>2.4204087759986687E-2</v>
      </c>
      <c r="F75" s="66"/>
      <c r="G75" s="66">
        <f t="shared" ref="G75:S75" si="41">G63/G$86</f>
        <v>0</v>
      </c>
      <c r="H75" s="66">
        <f t="shared" si="41"/>
        <v>1.2509904717059735E-3</v>
      </c>
      <c r="I75" s="66">
        <f t="shared" si="41"/>
        <v>8.0911975124758218E-3</v>
      </c>
      <c r="J75" s="66">
        <f t="shared" si="41"/>
        <v>0</v>
      </c>
      <c r="K75" s="66">
        <f t="shared" si="41"/>
        <v>3.3023175995145149E-2</v>
      </c>
      <c r="L75" s="66">
        <f t="shared" si="41"/>
        <v>3.8128611160763042E-2</v>
      </c>
      <c r="M75" s="66">
        <f t="shared" si="41"/>
        <v>0</v>
      </c>
      <c r="N75" s="66">
        <f t="shared" si="41"/>
        <v>0</v>
      </c>
      <c r="O75" s="66">
        <f t="shared" si="41"/>
        <v>2.85102918913922E-2</v>
      </c>
      <c r="P75" s="66">
        <f t="shared" si="41"/>
        <v>5.8255787598066856E-2</v>
      </c>
      <c r="Q75" s="66">
        <f t="shared" si="41"/>
        <v>7.3111633137197846E-2</v>
      </c>
      <c r="R75" s="66">
        <f t="shared" si="41"/>
        <v>0</v>
      </c>
      <c r="S75" s="66">
        <f t="shared" si="41"/>
        <v>7.5370133977870596E-2</v>
      </c>
    </row>
    <row r="76" spans="2:19">
      <c r="B76" s="56" t="str">
        <f t="shared" si="39"/>
        <v>Referral Fees</v>
      </c>
      <c r="C76" s="66">
        <f t="shared" si="40"/>
        <v>1.7193201844922821E-2</v>
      </c>
      <c r="D76" s="66">
        <f t="shared" si="40"/>
        <v>1.2024898907897005E-2</v>
      </c>
      <c r="E76" s="66">
        <f t="shared" si="40"/>
        <v>1.0236288179909573E-2</v>
      </c>
      <c r="F76" s="66"/>
      <c r="G76" s="66">
        <f t="shared" ref="G76:S76" si="42">G64/G$86</f>
        <v>2.426136617411755E-2</v>
      </c>
      <c r="H76" s="66">
        <f t="shared" si="42"/>
        <v>1.0608399200066653E-2</v>
      </c>
      <c r="I76" s="66">
        <f t="shared" si="42"/>
        <v>1.358238250050107E-2</v>
      </c>
      <c r="J76" s="66">
        <f t="shared" si="42"/>
        <v>9.2862119307153181E-3</v>
      </c>
      <c r="K76" s="66">
        <f t="shared" si="42"/>
        <v>9.4599841114492537E-3</v>
      </c>
      <c r="L76" s="66">
        <f t="shared" si="42"/>
        <v>1.4018365179366138E-2</v>
      </c>
      <c r="M76" s="66">
        <f t="shared" si="42"/>
        <v>8.8073671212992397E-3</v>
      </c>
      <c r="N76" s="66">
        <f t="shared" si="42"/>
        <v>1.8354594640895412E-2</v>
      </c>
      <c r="O76" s="66">
        <f t="shared" si="42"/>
        <v>1.0339775723356863E-2</v>
      </c>
      <c r="P76" s="66">
        <f t="shared" si="42"/>
        <v>1.5220822515961775E-2</v>
      </c>
      <c r="Q76" s="66">
        <f t="shared" si="42"/>
        <v>1.1916343232309983E-2</v>
      </c>
      <c r="R76" s="66">
        <f t="shared" si="42"/>
        <v>6.3280987057337135E-3</v>
      </c>
      <c r="S76" s="66">
        <f t="shared" si="42"/>
        <v>1.4992571368457139E-2</v>
      </c>
    </row>
    <row r="77" spans="2:19">
      <c r="B77" s="56" t="str">
        <f t="shared" si="39"/>
        <v>Travel, Meals &amp; Entertainment</v>
      </c>
      <c r="C77" s="66">
        <f t="shared" si="40"/>
        <v>1.4625704694466677E-2</v>
      </c>
      <c r="D77" s="66">
        <f t="shared" si="40"/>
        <v>1.1028683868443795E-2</v>
      </c>
      <c r="E77" s="66">
        <f t="shared" si="40"/>
        <v>9.3882524241739405E-3</v>
      </c>
      <c r="F77" s="66"/>
      <c r="G77" s="66">
        <f t="shared" ref="G77:S77" si="43">G65/G$86</f>
        <v>6.2852046437146222E-4</v>
      </c>
      <c r="H77" s="66">
        <f t="shared" si="43"/>
        <v>5.7640636974324432E-3</v>
      </c>
      <c r="I77" s="66">
        <f t="shared" si="43"/>
        <v>1.8074660237692611E-2</v>
      </c>
      <c r="J77" s="66">
        <f t="shared" si="43"/>
        <v>5.7842305002381109E-3</v>
      </c>
      <c r="K77" s="66">
        <f t="shared" si="43"/>
        <v>1.1615131615519084E-2</v>
      </c>
      <c r="L77" s="66">
        <f t="shared" si="43"/>
        <v>2.1999700258278129E-3</v>
      </c>
      <c r="M77" s="66">
        <f t="shared" si="43"/>
        <v>0</v>
      </c>
      <c r="N77" s="66">
        <f t="shared" si="43"/>
        <v>0</v>
      </c>
      <c r="O77" s="66">
        <f t="shared" si="43"/>
        <v>0</v>
      </c>
      <c r="P77" s="66">
        <f t="shared" si="43"/>
        <v>4.063382796242019E-2</v>
      </c>
      <c r="Q77" s="66">
        <f t="shared" si="43"/>
        <v>4.1651006899504212E-2</v>
      </c>
      <c r="R77" s="66">
        <f t="shared" si="43"/>
        <v>2.6501085053573892E-3</v>
      </c>
      <c r="S77" s="66">
        <f t="shared" si="43"/>
        <v>3.9733384614191421E-5</v>
      </c>
    </row>
    <row r="78" spans="2:19">
      <c r="B78" s="56" t="str">
        <f t="shared" si="39"/>
        <v>Payment Collection Fees</v>
      </c>
      <c r="C78" s="66">
        <f t="shared" si="40"/>
        <v>6.9165942917021736E-3</v>
      </c>
      <c r="D78" s="66">
        <f t="shared" si="40"/>
        <v>6.1013631555058385E-3</v>
      </c>
      <c r="E78" s="66">
        <f t="shared" si="40"/>
        <v>5.1938325659456877E-3</v>
      </c>
      <c r="F78" s="66"/>
      <c r="G78" s="66">
        <f t="shared" ref="G78:S78" si="44">G66/G$86</f>
        <v>7.8822490143246812E-3</v>
      </c>
      <c r="H78" s="66">
        <f t="shared" si="44"/>
        <v>6.907844285713215E-3</v>
      </c>
      <c r="I78" s="66">
        <f t="shared" si="44"/>
        <v>7.9099771273288457E-3</v>
      </c>
      <c r="J78" s="66">
        <f t="shared" si="44"/>
        <v>6.7917942579354294E-3</v>
      </c>
      <c r="K78" s="66">
        <f t="shared" si="44"/>
        <v>8.9324388749268107E-3</v>
      </c>
      <c r="L78" s="66">
        <f t="shared" si="44"/>
        <v>6.6350900760477702E-3</v>
      </c>
      <c r="M78" s="66">
        <f t="shared" si="44"/>
        <v>5.795575579915736E-3</v>
      </c>
      <c r="N78" s="66">
        <f t="shared" si="44"/>
        <v>7.1868376037706721E-3</v>
      </c>
      <c r="O78" s="66">
        <f t="shared" si="44"/>
        <v>5.846683313509321E-3</v>
      </c>
      <c r="P78" s="66">
        <f t="shared" si="44"/>
        <v>5.1347899527241798E-3</v>
      </c>
      <c r="Q78" s="66">
        <f t="shared" si="44"/>
        <v>4.7578207615510794E-3</v>
      </c>
      <c r="R78" s="66">
        <f t="shared" si="44"/>
        <v>4.6623162166519261E-3</v>
      </c>
      <c r="S78" s="66">
        <f t="shared" si="44"/>
        <v>4.5574868296159674E-3</v>
      </c>
    </row>
    <row r="79" spans="2:19">
      <c r="B79" s="56" t="str">
        <f t="shared" si="39"/>
        <v>Professional Organizations</v>
      </c>
      <c r="C79" s="66">
        <f t="shared" si="40"/>
        <v>6.2533543700970581E-3</v>
      </c>
      <c r="D79" s="66">
        <f t="shared" si="40"/>
        <v>4.5487278915682453E-3</v>
      </c>
      <c r="E79" s="66">
        <f t="shared" si="40"/>
        <v>3.8721397915043362E-3</v>
      </c>
      <c r="F79" s="66"/>
      <c r="G79" s="66">
        <f t="shared" ref="G79:S79" si="45">G67/G$86</f>
        <v>9.5634736805929287E-3</v>
      </c>
      <c r="H79" s="66">
        <f t="shared" si="45"/>
        <v>6.0253956069718203E-3</v>
      </c>
      <c r="I79" s="66">
        <f t="shared" si="45"/>
        <v>5.9781995291318781E-3</v>
      </c>
      <c r="J79" s="66">
        <f t="shared" si="45"/>
        <v>5.7431134188747146E-3</v>
      </c>
      <c r="K79" s="66">
        <f t="shared" si="45"/>
        <v>5.6657863054870522E-3</v>
      </c>
      <c r="L79" s="66">
        <f t="shared" si="45"/>
        <v>5.2332789771852633E-3</v>
      </c>
      <c r="M79" s="66">
        <f t="shared" si="45"/>
        <v>4.4292743159303639E-3</v>
      </c>
      <c r="N79" s="66">
        <f t="shared" si="45"/>
        <v>3.885258638430224E-3</v>
      </c>
      <c r="O79" s="66">
        <f t="shared" si="45"/>
        <v>4.0598223679222936E-3</v>
      </c>
      <c r="P79" s="66">
        <f t="shared" si="45"/>
        <v>3.9107526327350839E-3</v>
      </c>
      <c r="Q79" s="66">
        <f t="shared" si="45"/>
        <v>3.8173614539629254E-3</v>
      </c>
      <c r="R79" s="66">
        <f t="shared" si="45"/>
        <v>3.7973036691416905E-3</v>
      </c>
      <c r="S79" s="66">
        <f t="shared" si="45"/>
        <v>3.7380006868824346E-3</v>
      </c>
    </row>
    <row r="80" spans="2:19">
      <c r="B80" s="56" t="str">
        <f t="shared" si="39"/>
        <v>S&amp;M Events</v>
      </c>
      <c r="C80" s="66">
        <f t="shared" si="40"/>
        <v>0</v>
      </c>
      <c r="D80" s="66">
        <f t="shared" si="40"/>
        <v>9.1453455008266449E-3</v>
      </c>
      <c r="E80" s="66">
        <f t="shared" si="40"/>
        <v>7.7850460755077488E-3</v>
      </c>
      <c r="F80" s="66"/>
      <c r="G80" s="66">
        <f t="shared" ref="G80:S80" si="46">G68/G$86</f>
        <v>0</v>
      </c>
      <c r="H80" s="66">
        <f t="shared" si="46"/>
        <v>4.4848008410659147E-2</v>
      </c>
      <c r="I80" s="66">
        <f t="shared" si="46"/>
        <v>1.0057975279271162E-2</v>
      </c>
      <c r="J80" s="66">
        <f t="shared" si="46"/>
        <v>1.4944971174527004E-2</v>
      </c>
      <c r="K80" s="66">
        <f t="shared" si="46"/>
        <v>0</v>
      </c>
      <c r="L80" s="66">
        <f t="shared" si="46"/>
        <v>0</v>
      </c>
      <c r="M80" s="66">
        <f t="shared" si="46"/>
        <v>2.3564231381900791E-4</v>
      </c>
      <c r="N80" s="66">
        <f t="shared" si="46"/>
        <v>0</v>
      </c>
      <c r="O80" s="66">
        <f t="shared" si="46"/>
        <v>0</v>
      </c>
      <c r="P80" s="66">
        <f t="shared" si="46"/>
        <v>0</v>
      </c>
      <c r="Q80" s="66">
        <f t="shared" si="46"/>
        <v>3.9825531272790274E-4</v>
      </c>
      <c r="R80" s="66">
        <f t="shared" si="46"/>
        <v>9.8182095868553984E-6</v>
      </c>
      <c r="S80" s="66">
        <f t="shared" si="46"/>
        <v>4.6514708014311172E-2</v>
      </c>
    </row>
    <row r="81" spans="2:19">
      <c r="B81" s="56" t="str">
        <f t="shared" si="39"/>
        <v>Contract Labor - Tax</v>
      </c>
      <c r="C81" s="66">
        <f t="shared" si="40"/>
        <v>0</v>
      </c>
      <c r="D81" s="66">
        <f t="shared" si="40"/>
        <v>1.257692741334256E-2</v>
      </c>
      <c r="E81" s="66">
        <f t="shared" si="40"/>
        <v>1.2926786641057855E-2</v>
      </c>
      <c r="F81" s="66"/>
      <c r="G81" s="66">
        <f t="shared" ref="G81:S81" si="47">G69/G$86</f>
        <v>0</v>
      </c>
      <c r="H81" s="66">
        <f t="shared" si="47"/>
        <v>0</v>
      </c>
      <c r="I81" s="66">
        <f t="shared" si="47"/>
        <v>0</v>
      </c>
      <c r="J81" s="66">
        <f t="shared" si="47"/>
        <v>6.4158268070427247E-3</v>
      </c>
      <c r="K81" s="66">
        <f t="shared" si="47"/>
        <v>2.4079399163126668E-3</v>
      </c>
      <c r="L81" s="66">
        <f t="shared" si="47"/>
        <v>0</v>
      </c>
      <c r="M81" s="66">
        <f t="shared" si="47"/>
        <v>0</v>
      </c>
      <c r="N81" s="66">
        <f t="shared" si="47"/>
        <v>1.2402004527723814E-2</v>
      </c>
      <c r="O81" s="66">
        <f t="shared" si="47"/>
        <v>7.0262750418096945E-2</v>
      </c>
      <c r="P81" s="66">
        <f t="shared" si="47"/>
        <v>1.165115751961337E-2</v>
      </c>
      <c r="Q81" s="66">
        <f t="shared" si="47"/>
        <v>0</v>
      </c>
      <c r="R81" s="66">
        <f t="shared" si="47"/>
        <v>3.4141510703262594E-2</v>
      </c>
      <c r="S81" s="66">
        <f t="shared" si="47"/>
        <v>0</v>
      </c>
    </row>
    <row r="82" spans="2:19">
      <c r="B82" s="56" t="str">
        <f t="shared" si="39"/>
        <v>Recruiting Fees</v>
      </c>
      <c r="C82" s="66">
        <f t="shared" si="40"/>
        <v>2.3186704973492549E-2</v>
      </c>
      <c r="D82" s="66">
        <f t="shared" si="40"/>
        <v>3.474496176879293E-3</v>
      </c>
      <c r="E82" s="66">
        <f t="shared" si="40"/>
        <v>2.9576917376971548E-3</v>
      </c>
      <c r="F82" s="66"/>
      <c r="G82" s="66">
        <f t="shared" ref="G82:S82" si="48">G70/G$86</f>
        <v>4.9998461843221544E-3</v>
      </c>
      <c r="H82" s="66">
        <f t="shared" si="48"/>
        <v>1.3555107256170075E-3</v>
      </c>
      <c r="I82" s="66">
        <f t="shared" si="48"/>
        <v>4.5702659177443592E-3</v>
      </c>
      <c r="J82" s="66">
        <f t="shared" si="48"/>
        <v>5.1646290000727495E-3</v>
      </c>
      <c r="K82" s="66">
        <f t="shared" si="48"/>
        <v>3.6349710590389433E-3</v>
      </c>
      <c r="L82" s="66">
        <f t="shared" si="48"/>
        <v>3.8218086301620297E-3</v>
      </c>
      <c r="M82" s="66">
        <f t="shared" si="48"/>
        <v>3.8659478005146435E-3</v>
      </c>
      <c r="N82" s="66">
        <f t="shared" si="48"/>
        <v>2.8130226669783156E-3</v>
      </c>
      <c r="O82" s="66">
        <f t="shared" si="48"/>
        <v>3.3365249021200644E-3</v>
      </c>
      <c r="P82" s="66">
        <f t="shared" si="48"/>
        <v>2.9797003130874085E-3</v>
      </c>
      <c r="Q82" s="66">
        <f t="shared" si="48"/>
        <v>2.6003370852463368E-3</v>
      </c>
      <c r="R82" s="66">
        <f t="shared" si="48"/>
        <v>4.5874069138781403E-3</v>
      </c>
      <c r="S82" s="66">
        <f t="shared" si="48"/>
        <v>3.1810173854438591E-3</v>
      </c>
    </row>
    <row r="83" spans="2:19">
      <c r="B83" s="56" t="str">
        <f t="shared" si="39"/>
        <v>Other Expenses</v>
      </c>
      <c r="C83" s="66">
        <f t="shared" si="40"/>
        <v>2.7399972573007168E-2</v>
      </c>
      <c r="D83" s="66">
        <f t="shared" si="40"/>
        <v>1.9713901796218177E-2</v>
      </c>
      <c r="E83" s="66">
        <f t="shared" si="40"/>
        <v>1.8693964706876013E-2</v>
      </c>
      <c r="F83" s="66"/>
      <c r="G83" s="66">
        <f t="shared" ref="G83:S83" si="49">G71/G$86</f>
        <v>1.2006568637382326E-2</v>
      </c>
      <c r="H83" s="66">
        <f t="shared" si="49"/>
        <v>1.3161358005200623E-2</v>
      </c>
      <c r="I83" s="66">
        <f t="shared" si="49"/>
        <v>2.555353772740734E-2</v>
      </c>
      <c r="J83" s="66">
        <f t="shared" si="49"/>
        <v>1.6957699728593775E-2</v>
      </c>
      <c r="K83" s="66">
        <f t="shared" si="49"/>
        <v>5.676849069445428E-3</v>
      </c>
      <c r="L83" s="66">
        <f t="shared" si="49"/>
        <v>6.6343732581579495E-2</v>
      </c>
      <c r="M83" s="66">
        <f t="shared" si="49"/>
        <v>2.5117255615356344E-2</v>
      </c>
      <c r="N83" s="66">
        <f t="shared" si="49"/>
        <v>2.83675596964287E-2</v>
      </c>
      <c r="O83" s="66">
        <f t="shared" si="49"/>
        <v>4.1595479131654262E-2</v>
      </c>
      <c r="P83" s="66">
        <f t="shared" si="49"/>
        <v>-9.906896016373538E-3</v>
      </c>
      <c r="Q83" s="66">
        <f t="shared" si="49"/>
        <v>8.2359036201834438E-3</v>
      </c>
      <c r="R83" s="66">
        <f t="shared" si="49"/>
        <v>1.1555305408944592E-2</v>
      </c>
      <c r="S83" s="66">
        <f t="shared" si="4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0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>$E8*12</f>
        <v>159568</v>
      </c>
      <c r="G8" s="430">
        <f>IFERROR($E8/$C8,0)</f>
        <v>443.24444444444441</v>
      </c>
      <c r="H8" s="430">
        <f>IFERROR($Q8/$D8,0)</f>
        <v>57.217687074829932</v>
      </c>
      <c r="I8" s="434">
        <f>IFERROR($D8/$P8,0)</f>
        <v>8.1666666666666661</v>
      </c>
      <c r="J8" s="439">
        <f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>$E9*12</f>
        <v>113383</v>
      </c>
      <c r="G9" s="430">
        <f>IFERROR($E9/$C9,0)</f>
        <v>858.96212121212125</v>
      </c>
      <c r="H9" s="430">
        <f>IFERROR($Q9/$D9,0)</f>
        <v>0</v>
      </c>
      <c r="I9" s="434">
        <f>IFERROR($D9/$P9,0)</f>
        <v>0</v>
      </c>
      <c r="J9" s="439">
        <f>IFERROR($E9/$E$11,0)</f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>$E10*12</f>
        <v>16200</v>
      </c>
      <c r="G10" s="430">
        <f>IFERROR($E10/$C10,0)</f>
        <v>675</v>
      </c>
      <c r="H10" s="430">
        <f>IFERROR($Q10/$D10,0)</f>
        <v>0</v>
      </c>
      <c r="I10" s="434">
        <f>IFERROR($D10/$P10,0)</f>
        <v>0</v>
      </c>
      <c r="J10" s="439">
        <f>IFERROR($E10/$E$11,0)</f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0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1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2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0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1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2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0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1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2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0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1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2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0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1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2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0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1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2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59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>EOMONTH(AC5,0)</f>
        <v>46265</v>
      </c>
      <c r="AD1" s="193">
        <f>EOMONTH(AD5,0)</f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2">EOMONTH(J5,0)+1</f>
        <v>45689</v>
      </c>
      <c r="L5" s="189">
        <f t="shared" si="2"/>
        <v>45717</v>
      </c>
      <c r="M5" s="189">
        <f t="shared" si="2"/>
        <v>45748</v>
      </c>
      <c r="N5" s="189">
        <f t="shared" si="2"/>
        <v>45778</v>
      </c>
      <c r="O5" s="189">
        <f t="shared" si="2"/>
        <v>45809</v>
      </c>
      <c r="P5" s="189">
        <f t="shared" si="2"/>
        <v>45839</v>
      </c>
      <c r="Q5" s="189">
        <v>45870</v>
      </c>
      <c r="R5" s="189">
        <f t="shared" ref="R5:AB5" si="3">EOMONTH(Q5,0)+1</f>
        <v>45901</v>
      </c>
      <c r="S5" s="189">
        <f t="shared" si="3"/>
        <v>45931</v>
      </c>
      <c r="T5" s="189">
        <f t="shared" si="3"/>
        <v>45962</v>
      </c>
      <c r="U5" s="189">
        <f t="shared" si="3"/>
        <v>45992</v>
      </c>
      <c r="V5" s="189">
        <f t="shared" si="3"/>
        <v>46023</v>
      </c>
      <c r="W5" s="189">
        <f t="shared" si="3"/>
        <v>46054</v>
      </c>
      <c r="X5" s="189">
        <f t="shared" si="3"/>
        <v>46082</v>
      </c>
      <c r="Y5" s="189">
        <f t="shared" si="3"/>
        <v>46113</v>
      </c>
      <c r="Z5" s="189">
        <f t="shared" si="3"/>
        <v>46143</v>
      </c>
      <c r="AA5" s="189">
        <f t="shared" si="3"/>
        <v>46174</v>
      </c>
      <c r="AB5" s="189">
        <f t="shared" si="3"/>
        <v>46204</v>
      </c>
      <c r="AC5" s="189">
        <f>EOMONTH(AB5,0)+1</f>
        <v>46235</v>
      </c>
      <c r="AD5" s="189">
        <f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4">+H13-H8-H12</f>
        <v>178</v>
      </c>
      <c r="J7" s="181">
        <f t="shared" ref="J7:P7" si="5">+J13-J8-J12</f>
        <v>145</v>
      </c>
      <c r="K7" s="181">
        <f t="shared" si="5"/>
        <v>147</v>
      </c>
      <c r="L7" s="181">
        <f t="shared" si="5"/>
        <v>148</v>
      </c>
      <c r="M7" s="181">
        <f t="shared" si="5"/>
        <v>154</v>
      </c>
      <c r="N7" s="181">
        <f t="shared" si="5"/>
        <v>159</v>
      </c>
      <c r="O7" s="181">
        <f t="shared" si="5"/>
        <v>165</v>
      </c>
      <c r="P7" s="181">
        <f t="shared" si="5"/>
        <v>165</v>
      </c>
      <c r="Q7" s="181">
        <f t="shared" si="4"/>
        <v>169</v>
      </c>
      <c r="R7" s="181">
        <f t="shared" si="4"/>
        <v>175</v>
      </c>
      <c r="S7" s="181">
        <f t="shared" si="4"/>
        <v>178</v>
      </c>
      <c r="T7" s="181">
        <f t="shared" si="4"/>
        <v>191</v>
      </c>
      <c r="U7" s="181">
        <f t="shared" si="4"/>
        <v>189</v>
      </c>
      <c r="V7" s="181">
        <f t="shared" si="4"/>
        <v>188</v>
      </c>
      <c r="W7" s="181">
        <f t="shared" si="4"/>
        <v>195</v>
      </c>
      <c r="X7" s="181">
        <f t="shared" si="4"/>
        <v>204</v>
      </c>
      <c r="Y7" s="181">
        <f t="shared" si="4"/>
        <v>203</v>
      </c>
      <c r="Z7" s="181">
        <f t="shared" si="4"/>
        <v>209</v>
      </c>
      <c r="AA7" s="181">
        <f>+AA13-AA8-AA12</f>
        <v>200</v>
      </c>
      <c r="AB7" s="181">
        <f>+AB13-AB8-AB12</f>
        <v>200</v>
      </c>
      <c r="AC7" s="181">
        <f>+AC13-AC8-AC12</f>
        <v>185</v>
      </c>
      <c r="AD7" s="181">
        <f>+AD13-AD8-AD12</f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>SUM(J9:U9)</f>
        <v>-33</v>
      </c>
      <c r="F9" s="194">
        <f>SUM(V9:AD9)</f>
        <v>-30</v>
      </c>
      <c r="H9" s="194">
        <f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>SUM(J10:U10)</f>
        <v>-24</v>
      </c>
      <c r="F10" s="194">
        <f>SUM(V10:AD10)</f>
        <v>-21</v>
      </c>
      <c r="H10" s="194">
        <f>SUM(S10:AD10)</f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>SUM(J11:U11)</f>
        <v>-2</v>
      </c>
      <c r="F11" s="194">
        <f>SUM(V11:AD11)</f>
        <v>-9</v>
      </c>
      <c r="H11" s="194">
        <f>SUM(S11:AD11)</f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:P13" si="6">+K7</f>
        <v>147</v>
      </c>
      <c r="K13" s="257">
        <f t="shared" si="6"/>
        <v>148</v>
      </c>
      <c r="L13" s="257">
        <f t="shared" si="6"/>
        <v>154</v>
      </c>
      <c r="M13" s="257">
        <f t="shared" si="6"/>
        <v>159</v>
      </c>
      <c r="N13" s="257">
        <f t="shared" si="6"/>
        <v>165</v>
      </c>
      <c r="O13" s="257">
        <f t="shared" si="6"/>
        <v>165</v>
      </c>
      <c r="P13" s="257">
        <f t="shared" si="6"/>
        <v>169</v>
      </c>
      <c r="Q13" s="257">
        <f t="shared" ref="Q13:Y13" si="7">+R7</f>
        <v>175</v>
      </c>
      <c r="R13" s="257">
        <f t="shared" si="7"/>
        <v>178</v>
      </c>
      <c r="S13" s="259">
        <f t="shared" si="7"/>
        <v>191</v>
      </c>
      <c r="T13" s="257">
        <f t="shared" si="7"/>
        <v>189</v>
      </c>
      <c r="U13" s="257">
        <f t="shared" si="7"/>
        <v>188</v>
      </c>
      <c r="V13" s="257">
        <f t="shared" si="7"/>
        <v>195</v>
      </c>
      <c r="W13" s="257">
        <f t="shared" si="7"/>
        <v>204</v>
      </c>
      <c r="X13" s="257">
        <f t="shared" si="7"/>
        <v>203</v>
      </c>
      <c r="Y13" s="257">
        <f t="shared" si="7"/>
        <v>209</v>
      </c>
      <c r="Z13" s="257">
        <f>+AA7</f>
        <v>200</v>
      </c>
      <c r="AA13" s="257">
        <f>+AB7</f>
        <v>200</v>
      </c>
      <c r="AB13" s="257">
        <f>+AC7</f>
        <v>185</v>
      </c>
      <c r="AC13" s="257">
        <f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8">AVERAGE(K7,K13)</f>
        <v>147.5</v>
      </c>
      <c r="L15" s="257">
        <f t="shared" si="8"/>
        <v>151</v>
      </c>
      <c r="M15" s="257">
        <f t="shared" si="8"/>
        <v>156.5</v>
      </c>
      <c r="N15" s="257">
        <f t="shared" si="8"/>
        <v>162</v>
      </c>
      <c r="O15" s="257">
        <f t="shared" si="8"/>
        <v>165</v>
      </c>
      <c r="P15" s="257">
        <f t="shared" si="8"/>
        <v>167</v>
      </c>
      <c r="Q15" s="257">
        <f t="shared" si="8"/>
        <v>172</v>
      </c>
      <c r="R15" s="257">
        <f t="shared" si="8"/>
        <v>176.5</v>
      </c>
      <c r="S15" s="259">
        <f t="shared" si="8"/>
        <v>184.5</v>
      </c>
      <c r="T15" s="257">
        <f t="shared" si="8"/>
        <v>190</v>
      </c>
      <c r="U15" s="257">
        <f t="shared" si="8"/>
        <v>188.5</v>
      </c>
      <c r="V15" s="257">
        <f t="shared" si="8"/>
        <v>191.5</v>
      </c>
      <c r="W15" s="257">
        <f t="shared" si="8"/>
        <v>199.5</v>
      </c>
      <c r="X15" s="257">
        <f t="shared" si="8"/>
        <v>203.5</v>
      </c>
      <c r="Y15" s="257">
        <f t="shared" si="8"/>
        <v>206</v>
      </c>
      <c r="Z15" s="257">
        <f t="shared" si="8"/>
        <v>204.5</v>
      </c>
      <c r="AA15" s="257">
        <f t="shared" si="8"/>
        <v>200</v>
      </c>
      <c r="AB15" s="257">
        <f t="shared" si="8"/>
        <v>192.5</v>
      </c>
      <c r="AC15" s="257">
        <f t="shared" si="8"/>
        <v>185.5</v>
      </c>
      <c r="AD15" s="260">
        <f t="shared" si="8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9">(J8+J7)/J7-1</f>
        <v>6.2068965517241281E-2</v>
      </c>
      <c r="K17" s="233">
        <f t="shared" si="9"/>
        <v>3.4013605442176909E-2</v>
      </c>
      <c r="L17" s="233">
        <f t="shared" si="9"/>
        <v>5.4054054054053946E-2</v>
      </c>
      <c r="M17" s="233">
        <f t="shared" si="9"/>
        <v>5.8441558441558517E-2</v>
      </c>
      <c r="N17" s="233">
        <f t="shared" si="9"/>
        <v>5.6603773584905648E-2</v>
      </c>
      <c r="O17" s="233">
        <f t="shared" si="9"/>
        <v>4.2424242424242475E-2</v>
      </c>
      <c r="P17" s="233">
        <f t="shared" si="9"/>
        <v>4.2424242424242475E-2</v>
      </c>
      <c r="Q17" s="233">
        <f t="shared" si="9"/>
        <v>4.7337278106508895E-2</v>
      </c>
      <c r="R17" s="233">
        <f t="shared" si="9"/>
        <v>4.5714285714285818E-2</v>
      </c>
      <c r="S17" s="243">
        <f t="shared" si="9"/>
        <v>7.8651685393258397E-2</v>
      </c>
      <c r="T17" s="233">
        <f t="shared" si="9"/>
        <v>3.6649214659685958E-2</v>
      </c>
      <c r="U17" s="233">
        <f t="shared" si="9"/>
        <v>5.8201058201058142E-2</v>
      </c>
      <c r="V17" s="233">
        <f t="shared" si="9"/>
        <v>5.8510638297872397E-2</v>
      </c>
      <c r="W17" s="233">
        <f t="shared" si="9"/>
        <v>5.6410256410256432E-2</v>
      </c>
      <c r="X17" s="233">
        <f t="shared" si="9"/>
        <v>2.9411764705882248E-2</v>
      </c>
      <c r="Y17" s="233">
        <f t="shared" si="9"/>
        <v>5.4187192118226646E-2</v>
      </c>
      <c r="Z17" s="233">
        <f t="shared" si="9"/>
        <v>3.3492822966507241E-2</v>
      </c>
      <c r="AA17" s="233">
        <f t="shared" si="9"/>
        <v>2.0000000000000018E-2</v>
      </c>
      <c r="AB17" s="233">
        <f t="shared" si="9"/>
        <v>2.4999999999999911E-2</v>
      </c>
      <c r="AC17" s="233">
        <f>(AC8+AC7)/AC7-1</f>
        <v>1.6216216216216273E-2</v>
      </c>
      <c r="AD17" s="244">
        <f>(AD8+AD7)/AD7-1</f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10">(J12+J15)/J15-1</f>
        <v>-4.7945205479452024E-2</v>
      </c>
      <c r="K18" s="236">
        <f t="shared" si="10"/>
        <v>-2.7118644067796627E-2</v>
      </c>
      <c r="L18" s="236">
        <f t="shared" si="10"/>
        <v>-1.3245033112582738E-2</v>
      </c>
      <c r="M18" s="236">
        <f t="shared" si="10"/>
        <v>-2.5559105431309903E-2</v>
      </c>
      <c r="N18" s="236">
        <f t="shared" si="10"/>
        <v>-1.851851851851849E-2</v>
      </c>
      <c r="O18" s="236">
        <f t="shared" si="10"/>
        <v>-4.2424242424242475E-2</v>
      </c>
      <c r="P18" s="236">
        <f t="shared" si="10"/>
        <v>-1.7964071856287456E-2</v>
      </c>
      <c r="Q18" s="236">
        <f t="shared" si="10"/>
        <v>-1.1627906976744207E-2</v>
      </c>
      <c r="R18" s="236">
        <f t="shared" si="10"/>
        <v>-2.8328611898016942E-2</v>
      </c>
      <c r="S18" s="238">
        <f t="shared" si="10"/>
        <v>-5.4200542005420349E-3</v>
      </c>
      <c r="T18" s="236">
        <f t="shared" si="10"/>
        <v>-4.7368421052631615E-2</v>
      </c>
      <c r="U18" s="236">
        <f t="shared" si="10"/>
        <v>-6.3660477453580944E-2</v>
      </c>
      <c r="V18" s="236">
        <f t="shared" si="10"/>
        <v>-2.0887728459530019E-2</v>
      </c>
      <c r="W18" s="236">
        <f t="shared" si="10"/>
        <v>-1.0025062656641603E-2</v>
      </c>
      <c r="X18" s="236">
        <f t="shared" si="10"/>
        <v>-3.4398034398034349E-2</v>
      </c>
      <c r="Y18" s="236">
        <f t="shared" si="10"/>
        <v>-2.4271844660194164E-2</v>
      </c>
      <c r="Z18" s="236">
        <f t="shared" si="10"/>
        <v>-7.8239608801956018E-2</v>
      </c>
      <c r="AA18" s="236">
        <f t="shared" si="10"/>
        <v>-2.0000000000000018E-2</v>
      </c>
      <c r="AB18" s="236">
        <f t="shared" si="10"/>
        <v>-0.10389610389610393</v>
      </c>
      <c r="AC18" s="236">
        <f t="shared" si="10"/>
        <v>-1.0781671159029615E-2</v>
      </c>
      <c r="AD18" s="237">
        <f t="shared" si="10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:P20" si="11">EOMONTH(J20,0)+1</f>
        <v>45689</v>
      </c>
      <c r="L20" s="189">
        <f t="shared" si="11"/>
        <v>45717</v>
      </c>
      <c r="M20" s="189">
        <f t="shared" si="11"/>
        <v>45748</v>
      </c>
      <c r="N20" s="189">
        <f t="shared" si="11"/>
        <v>45778</v>
      </c>
      <c r="O20" s="189">
        <f t="shared" si="11"/>
        <v>45809</v>
      </c>
      <c r="P20" s="189">
        <f t="shared" si="11"/>
        <v>45839</v>
      </c>
      <c r="Q20" s="189">
        <v>45870</v>
      </c>
      <c r="R20" s="189">
        <f t="shared" ref="R20:AD20" si="12">EOMONTH(Q20,0)+1</f>
        <v>45901</v>
      </c>
      <c r="S20" s="189">
        <f t="shared" si="12"/>
        <v>45931</v>
      </c>
      <c r="T20" s="189">
        <f t="shared" si="12"/>
        <v>45962</v>
      </c>
      <c r="U20" s="189">
        <f t="shared" si="12"/>
        <v>45992</v>
      </c>
      <c r="V20" s="189">
        <f t="shared" si="12"/>
        <v>46023</v>
      </c>
      <c r="W20" s="189">
        <f t="shared" si="12"/>
        <v>46054</v>
      </c>
      <c r="X20" s="189">
        <f t="shared" si="12"/>
        <v>46082</v>
      </c>
      <c r="Y20" s="189">
        <f t="shared" si="12"/>
        <v>46113</v>
      </c>
      <c r="Z20" s="189">
        <f t="shared" si="12"/>
        <v>46143</v>
      </c>
      <c r="AA20" s="189">
        <f t="shared" si="12"/>
        <v>46174</v>
      </c>
      <c r="AB20" s="189">
        <f t="shared" si="12"/>
        <v>46204</v>
      </c>
      <c r="AC20" s="189">
        <f t="shared" si="12"/>
        <v>46235</v>
      </c>
      <c r="AD20" s="189">
        <f t="shared" si="12"/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>+H28-H23-H27</f>
        <v>151</v>
      </c>
      <c r="J22" s="181">
        <f t="shared" ref="J22:Z22" si="13">+J28-J23-J27</f>
        <v>113</v>
      </c>
      <c r="K22" s="181">
        <f t="shared" si="13"/>
        <v>118</v>
      </c>
      <c r="L22" s="181">
        <f t="shared" si="13"/>
        <v>120</v>
      </c>
      <c r="M22" s="181">
        <f t="shared" si="13"/>
        <v>126</v>
      </c>
      <c r="N22" s="181">
        <f t="shared" si="13"/>
        <v>131</v>
      </c>
      <c r="O22" s="181">
        <f t="shared" si="13"/>
        <v>138</v>
      </c>
      <c r="P22" s="181">
        <f t="shared" si="13"/>
        <v>138</v>
      </c>
      <c r="Q22" s="181">
        <f t="shared" si="13"/>
        <v>143</v>
      </c>
      <c r="R22" s="181">
        <f t="shared" si="13"/>
        <v>148</v>
      </c>
      <c r="S22" s="181">
        <f t="shared" si="13"/>
        <v>151</v>
      </c>
      <c r="T22" s="181">
        <f t="shared" si="13"/>
        <v>156</v>
      </c>
      <c r="U22" s="181">
        <f t="shared" si="13"/>
        <v>155</v>
      </c>
      <c r="V22" s="181">
        <f t="shared" si="13"/>
        <v>157</v>
      </c>
      <c r="W22" s="181">
        <f t="shared" si="13"/>
        <v>164</v>
      </c>
      <c r="X22" s="181">
        <f t="shared" si="13"/>
        <v>172</v>
      </c>
      <c r="Y22" s="181">
        <f t="shared" si="13"/>
        <v>173</v>
      </c>
      <c r="Z22" s="181">
        <f t="shared" si="13"/>
        <v>179</v>
      </c>
      <c r="AA22" s="181">
        <f>+AA28-AA23-AA27</f>
        <v>171</v>
      </c>
      <c r="AB22" s="181">
        <f>+AB28-AB23-AB27</f>
        <v>171</v>
      </c>
      <c r="AC22" s="181">
        <f>+AC28-AC23-AC27</f>
        <v>172</v>
      </c>
      <c r="AD22" s="181">
        <f>+AD28-AD23-AD27</f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14">+J38+J53+J83</f>
        <v>9</v>
      </c>
      <c r="K23" s="192">
        <f t="shared" si="14"/>
        <v>5</v>
      </c>
      <c r="L23" s="192">
        <f t="shared" si="14"/>
        <v>8</v>
      </c>
      <c r="M23" s="192">
        <f t="shared" si="14"/>
        <v>9</v>
      </c>
      <c r="N23" s="192">
        <f t="shared" si="14"/>
        <v>9</v>
      </c>
      <c r="O23" s="192">
        <f t="shared" si="14"/>
        <v>6</v>
      </c>
      <c r="P23" s="192">
        <f t="shared" si="14"/>
        <v>7</v>
      </c>
      <c r="Q23" s="192">
        <f t="shared" si="14"/>
        <v>7</v>
      </c>
      <c r="R23" s="192">
        <f t="shared" si="14"/>
        <v>6</v>
      </c>
      <c r="S23" s="192">
        <f t="shared" si="14"/>
        <v>6</v>
      </c>
      <c r="T23" s="192">
        <f t="shared" si="14"/>
        <v>7</v>
      </c>
      <c r="U23" s="192">
        <f t="shared" si="14"/>
        <v>11</v>
      </c>
      <c r="V23" s="192">
        <f t="shared" si="14"/>
        <v>10</v>
      </c>
      <c r="W23" s="192">
        <f t="shared" si="14"/>
        <v>9</v>
      </c>
      <c r="X23" s="192">
        <f t="shared" si="14"/>
        <v>6</v>
      </c>
      <c r="Y23" s="192">
        <f t="shared" si="14"/>
        <v>11</v>
      </c>
      <c r="Z23" s="192">
        <f t="shared" si="14"/>
        <v>7</v>
      </c>
      <c r="AA23" s="192">
        <f t="shared" si="14"/>
        <v>4</v>
      </c>
      <c r="AB23" s="192">
        <f t="shared" si="14"/>
        <v>5</v>
      </c>
      <c r="AC23" s="192">
        <f t="shared" si="14"/>
        <v>3</v>
      </c>
      <c r="AD23" s="192">
        <f t="shared" si="14"/>
        <v>4</v>
      </c>
    </row>
    <row r="24" spans="2:34">
      <c r="B24" s="262" t="s">
        <v>1528</v>
      </c>
      <c r="E24" s="194">
        <f>SUM(J24:U24)</f>
        <v>-26</v>
      </c>
      <c r="F24" s="194">
        <f>SUM(V24:AD24)</f>
        <v>-25</v>
      </c>
      <c r="H24" s="194">
        <f>SUM(S24:AD24)</f>
        <v>-34</v>
      </c>
      <c r="J24" s="192">
        <f t="shared" ref="J24:AD24" si="15">+J39+J54+J84</f>
        <v>0</v>
      </c>
      <c r="K24" s="192">
        <f t="shared" si="15"/>
        <v>-2</v>
      </c>
      <c r="L24" s="192">
        <f t="shared" si="15"/>
        <v>-1</v>
      </c>
      <c r="M24" s="192">
        <f t="shared" si="15"/>
        <v>-3</v>
      </c>
      <c r="N24" s="192">
        <f t="shared" si="15"/>
        <v>0</v>
      </c>
      <c r="O24" s="192">
        <f t="shared" si="15"/>
        <v>-5</v>
      </c>
      <c r="P24" s="192">
        <f t="shared" si="15"/>
        <v>-2</v>
      </c>
      <c r="Q24" s="192">
        <f t="shared" si="15"/>
        <v>-2</v>
      </c>
      <c r="R24" s="192">
        <f t="shared" si="15"/>
        <v>-2</v>
      </c>
      <c r="S24" s="192">
        <f t="shared" si="15"/>
        <v>-1</v>
      </c>
      <c r="T24" s="192">
        <f t="shared" si="15"/>
        <v>-3</v>
      </c>
      <c r="U24" s="192">
        <f t="shared" si="15"/>
        <v>-5</v>
      </c>
      <c r="V24" s="192">
        <f t="shared" si="15"/>
        <v>-1</v>
      </c>
      <c r="W24" s="192">
        <f t="shared" si="15"/>
        <v>-1</v>
      </c>
      <c r="X24" s="192">
        <f t="shared" si="15"/>
        <v>-2</v>
      </c>
      <c r="Y24" s="192">
        <f t="shared" si="15"/>
        <v>-3</v>
      </c>
      <c r="Z24" s="192">
        <f t="shared" si="15"/>
        <v>-12</v>
      </c>
      <c r="AA24" s="192">
        <f t="shared" si="15"/>
        <v>-4</v>
      </c>
      <c r="AB24" s="192">
        <f t="shared" si="15"/>
        <v>-2</v>
      </c>
      <c r="AC24" s="192">
        <f t="shared" si="15"/>
        <v>0</v>
      </c>
      <c r="AD24" s="192">
        <f t="shared" si="15"/>
        <v>0</v>
      </c>
    </row>
    <row r="25" spans="2:34">
      <c r="B25" s="262" t="s">
        <v>1529</v>
      </c>
      <c r="E25" s="194">
        <f>SUM(J25:U25)</f>
        <v>-20</v>
      </c>
      <c r="F25" s="194">
        <f>SUM(V25:AD25)</f>
        <v>-6</v>
      </c>
      <c r="H25" s="194">
        <f>SUM(S25:AD25)</f>
        <v>-15</v>
      </c>
      <c r="J25" s="192">
        <f t="shared" ref="J25:AD25" si="16">+J40+J55+J85</f>
        <v>-4</v>
      </c>
      <c r="K25" s="192">
        <f t="shared" si="16"/>
        <v>-1</v>
      </c>
      <c r="L25" s="192">
        <f t="shared" si="16"/>
        <v>-1</v>
      </c>
      <c r="M25" s="192">
        <f t="shared" si="16"/>
        <v>-1</v>
      </c>
      <c r="N25" s="192">
        <f t="shared" si="16"/>
        <v>-2</v>
      </c>
      <c r="O25" s="192">
        <f t="shared" si="16"/>
        <v>-1</v>
      </c>
      <c r="P25" s="192">
        <f t="shared" si="16"/>
        <v>0</v>
      </c>
      <c r="Q25" s="192">
        <f t="shared" si="16"/>
        <v>0</v>
      </c>
      <c r="R25" s="192">
        <f t="shared" si="16"/>
        <v>-1</v>
      </c>
      <c r="S25" s="192">
        <f t="shared" si="16"/>
        <v>0</v>
      </c>
      <c r="T25" s="192">
        <f t="shared" si="16"/>
        <v>-5</v>
      </c>
      <c r="U25" s="192">
        <f t="shared" si="16"/>
        <v>-4</v>
      </c>
      <c r="V25" s="192">
        <f t="shared" si="16"/>
        <v>-2</v>
      </c>
      <c r="W25" s="192">
        <f t="shared" si="16"/>
        <v>0</v>
      </c>
      <c r="X25" s="192">
        <f t="shared" si="16"/>
        <v>0</v>
      </c>
      <c r="Y25" s="192">
        <f t="shared" si="16"/>
        <v>-1</v>
      </c>
      <c r="Z25" s="192">
        <f t="shared" si="16"/>
        <v>-2</v>
      </c>
      <c r="AA25" s="192">
        <f t="shared" si="16"/>
        <v>0</v>
      </c>
      <c r="AB25" s="192">
        <f t="shared" si="16"/>
        <v>-1</v>
      </c>
      <c r="AC25" s="192">
        <f t="shared" si="16"/>
        <v>0</v>
      </c>
      <c r="AD25" s="192">
        <f t="shared" si="16"/>
        <v>0</v>
      </c>
    </row>
    <row r="26" spans="2:34">
      <c r="B26" s="262" t="s">
        <v>1530</v>
      </c>
      <c r="E26" s="194">
        <f>SUM(J26:U26)</f>
        <v>0</v>
      </c>
      <c r="F26" s="194">
        <f>SUM(V26:AD26)</f>
        <v>-8</v>
      </c>
      <c r="H26" s="194">
        <f>SUM(S26:AD26)</f>
        <v>-8</v>
      </c>
      <c r="J26" s="192">
        <f t="shared" ref="J26:AD26" si="17">+J41+J56+J86</f>
        <v>0</v>
      </c>
      <c r="K26" s="192">
        <f t="shared" si="17"/>
        <v>0</v>
      </c>
      <c r="L26" s="192">
        <f t="shared" si="17"/>
        <v>0</v>
      </c>
      <c r="M26" s="192">
        <f t="shared" si="17"/>
        <v>0</v>
      </c>
      <c r="N26" s="192">
        <f t="shared" si="17"/>
        <v>0</v>
      </c>
      <c r="O26" s="192">
        <f t="shared" si="17"/>
        <v>0</v>
      </c>
      <c r="P26" s="192">
        <f t="shared" si="17"/>
        <v>0</v>
      </c>
      <c r="Q26" s="192">
        <f t="shared" si="17"/>
        <v>0</v>
      </c>
      <c r="R26" s="192">
        <f t="shared" si="17"/>
        <v>0</v>
      </c>
      <c r="S26" s="192">
        <f t="shared" si="17"/>
        <v>0</v>
      </c>
      <c r="T26" s="192">
        <f t="shared" si="17"/>
        <v>0</v>
      </c>
      <c r="U26" s="192">
        <f t="shared" si="17"/>
        <v>0</v>
      </c>
      <c r="V26" s="192">
        <f t="shared" si="17"/>
        <v>0</v>
      </c>
      <c r="W26" s="192">
        <f t="shared" si="17"/>
        <v>0</v>
      </c>
      <c r="X26" s="192">
        <f t="shared" si="17"/>
        <v>-3</v>
      </c>
      <c r="Y26" s="192">
        <f t="shared" si="17"/>
        <v>-1</v>
      </c>
      <c r="Z26" s="192">
        <f t="shared" si="17"/>
        <v>-1</v>
      </c>
      <c r="AA26" s="192">
        <f t="shared" si="17"/>
        <v>0</v>
      </c>
      <c r="AB26" s="192">
        <f t="shared" si="17"/>
        <v>-1</v>
      </c>
      <c r="AC26" s="192">
        <f t="shared" si="17"/>
        <v>-2</v>
      </c>
      <c r="AD26" s="192">
        <f t="shared" si="17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18">+J42+J57+J87</f>
        <v>-4</v>
      </c>
      <c r="K27" s="255">
        <f t="shared" si="18"/>
        <v>-3</v>
      </c>
      <c r="L27" s="255">
        <f t="shared" si="18"/>
        <v>-2</v>
      </c>
      <c r="M27" s="255">
        <f t="shared" si="18"/>
        <v>-4</v>
      </c>
      <c r="N27" s="255">
        <f t="shared" si="18"/>
        <v>-2</v>
      </c>
      <c r="O27" s="255">
        <f t="shared" si="18"/>
        <v>-6</v>
      </c>
      <c r="P27" s="255">
        <f t="shared" si="18"/>
        <v>-2</v>
      </c>
      <c r="Q27" s="255">
        <f t="shared" si="18"/>
        <v>-2</v>
      </c>
      <c r="R27" s="255">
        <f t="shared" si="18"/>
        <v>-3</v>
      </c>
      <c r="S27" s="255">
        <f t="shared" si="18"/>
        <v>-1</v>
      </c>
      <c r="T27" s="255">
        <f t="shared" si="18"/>
        <v>-8</v>
      </c>
      <c r="U27" s="255">
        <f t="shared" si="18"/>
        <v>-9</v>
      </c>
      <c r="V27" s="255">
        <f t="shared" si="18"/>
        <v>-3</v>
      </c>
      <c r="W27" s="255">
        <f t="shared" si="18"/>
        <v>-1</v>
      </c>
      <c r="X27" s="255">
        <f t="shared" si="18"/>
        <v>-5</v>
      </c>
      <c r="Y27" s="255">
        <f t="shared" si="18"/>
        <v>-5</v>
      </c>
      <c r="Z27" s="255">
        <f t="shared" si="18"/>
        <v>-15</v>
      </c>
      <c r="AA27" s="255">
        <f t="shared" si="18"/>
        <v>-4</v>
      </c>
      <c r="AB27" s="255">
        <f t="shared" si="18"/>
        <v>-4</v>
      </c>
      <c r="AC27" s="255">
        <f t="shared" si="18"/>
        <v>-2</v>
      </c>
      <c r="AD27" s="255">
        <f t="shared" si="18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:AA28" si="19">+K22</f>
        <v>118</v>
      </c>
      <c r="K28" s="257">
        <f t="shared" si="19"/>
        <v>120</v>
      </c>
      <c r="L28" s="257">
        <f t="shared" si="19"/>
        <v>126</v>
      </c>
      <c r="M28" s="257">
        <f t="shared" si="19"/>
        <v>131</v>
      </c>
      <c r="N28" s="257">
        <f t="shared" si="19"/>
        <v>138</v>
      </c>
      <c r="O28" s="257">
        <f t="shared" si="19"/>
        <v>138</v>
      </c>
      <c r="P28" s="257">
        <f t="shared" si="19"/>
        <v>143</v>
      </c>
      <c r="Q28" s="257">
        <f t="shared" si="19"/>
        <v>148</v>
      </c>
      <c r="R28" s="257">
        <f t="shared" si="19"/>
        <v>151</v>
      </c>
      <c r="S28" s="259">
        <f t="shared" si="19"/>
        <v>156</v>
      </c>
      <c r="T28" s="257">
        <f t="shared" si="19"/>
        <v>155</v>
      </c>
      <c r="U28" s="257">
        <f t="shared" si="19"/>
        <v>157</v>
      </c>
      <c r="V28" s="257">
        <f t="shared" si="19"/>
        <v>164</v>
      </c>
      <c r="W28" s="257">
        <f t="shared" si="19"/>
        <v>172</v>
      </c>
      <c r="X28" s="257">
        <f t="shared" si="19"/>
        <v>173</v>
      </c>
      <c r="Y28" s="257">
        <f t="shared" si="19"/>
        <v>179</v>
      </c>
      <c r="Z28" s="257">
        <f t="shared" si="19"/>
        <v>171</v>
      </c>
      <c r="AA28" s="257">
        <f t="shared" si="19"/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20">AVERAGE(K22,K28)</f>
        <v>119</v>
      </c>
      <c r="L30" s="257">
        <f t="shared" si="20"/>
        <v>123</v>
      </c>
      <c r="M30" s="257">
        <f t="shared" si="20"/>
        <v>128.5</v>
      </c>
      <c r="N30" s="257">
        <f t="shared" si="20"/>
        <v>134.5</v>
      </c>
      <c r="O30" s="257">
        <f t="shared" si="20"/>
        <v>138</v>
      </c>
      <c r="P30" s="257">
        <f t="shared" si="20"/>
        <v>140.5</v>
      </c>
      <c r="Q30" s="257">
        <f t="shared" si="20"/>
        <v>145.5</v>
      </c>
      <c r="R30" s="257">
        <f t="shared" si="20"/>
        <v>149.5</v>
      </c>
      <c r="S30" s="259">
        <f t="shared" si="20"/>
        <v>153.5</v>
      </c>
      <c r="T30" s="257">
        <f t="shared" si="20"/>
        <v>155.5</v>
      </c>
      <c r="U30" s="257">
        <f t="shared" si="20"/>
        <v>156</v>
      </c>
      <c r="V30" s="257">
        <f t="shared" si="20"/>
        <v>160.5</v>
      </c>
      <c r="W30" s="257">
        <f t="shared" si="20"/>
        <v>168</v>
      </c>
      <c r="X30" s="257">
        <f t="shared" si="20"/>
        <v>172.5</v>
      </c>
      <c r="Y30" s="257">
        <f t="shared" si="20"/>
        <v>176</v>
      </c>
      <c r="Z30" s="257">
        <f t="shared" si="20"/>
        <v>175</v>
      </c>
      <c r="AA30" s="257">
        <f t="shared" si="20"/>
        <v>171</v>
      </c>
      <c r="AB30" s="257">
        <f t="shared" si="20"/>
        <v>171.5</v>
      </c>
      <c r="AC30" s="257">
        <f t="shared" si="20"/>
        <v>172.5</v>
      </c>
      <c r="AD30" s="260">
        <f t="shared" si="20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21">(J23+J22)/J22-1</f>
        <v>7.9646017699114946E-2</v>
      </c>
      <c r="K32" s="233">
        <f t="shared" si="21"/>
        <v>4.2372881355932313E-2</v>
      </c>
      <c r="L32" s="233">
        <f t="shared" si="21"/>
        <v>6.6666666666666652E-2</v>
      </c>
      <c r="M32" s="233">
        <f t="shared" si="21"/>
        <v>7.1428571428571397E-2</v>
      </c>
      <c r="N32" s="233">
        <f t="shared" si="21"/>
        <v>6.8702290076335881E-2</v>
      </c>
      <c r="O32" s="233">
        <f t="shared" si="21"/>
        <v>4.3478260869565188E-2</v>
      </c>
      <c r="P32" s="233">
        <f t="shared" si="21"/>
        <v>5.0724637681159424E-2</v>
      </c>
      <c r="Q32" s="233">
        <f t="shared" si="21"/>
        <v>4.8951048951048959E-2</v>
      </c>
      <c r="R32" s="233">
        <f t="shared" si="21"/>
        <v>4.0540540540540571E-2</v>
      </c>
      <c r="S32" s="243">
        <f t="shared" si="21"/>
        <v>3.9735099337748325E-2</v>
      </c>
      <c r="T32" s="233">
        <f t="shared" si="21"/>
        <v>4.4871794871794934E-2</v>
      </c>
      <c r="U32" s="233">
        <f t="shared" si="21"/>
        <v>7.0967741935483941E-2</v>
      </c>
      <c r="V32" s="233">
        <f t="shared" si="21"/>
        <v>6.3694267515923553E-2</v>
      </c>
      <c r="W32" s="233">
        <f t="shared" si="21"/>
        <v>5.4878048780487854E-2</v>
      </c>
      <c r="X32" s="233">
        <f t="shared" si="21"/>
        <v>3.488372093023262E-2</v>
      </c>
      <c r="Y32" s="233">
        <f t="shared" si="21"/>
        <v>6.3583815028901647E-2</v>
      </c>
      <c r="Z32" s="233">
        <f t="shared" si="21"/>
        <v>3.9106145251396551E-2</v>
      </c>
      <c r="AA32" s="233">
        <f t="shared" si="21"/>
        <v>2.3391812865497075E-2</v>
      </c>
      <c r="AB32" s="233">
        <f t="shared" si="21"/>
        <v>2.9239766081871288E-2</v>
      </c>
      <c r="AC32" s="233">
        <f>(AC23+AC22)/AC22-1</f>
        <v>1.744186046511631E-2</v>
      </c>
      <c r="AD32" s="244">
        <f>(AD23+AD22)/AD22-1</f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22">(J27+J30)/J30-1</f>
        <v>-3.4632034632034681E-2</v>
      </c>
      <c r="K33" s="236">
        <f t="shared" si="22"/>
        <v>-2.5210084033613467E-2</v>
      </c>
      <c r="L33" s="236">
        <f t="shared" si="22"/>
        <v>-1.6260162601625994E-2</v>
      </c>
      <c r="M33" s="236">
        <f t="shared" si="22"/>
        <v>-3.1128404669260701E-2</v>
      </c>
      <c r="N33" s="236">
        <f t="shared" si="22"/>
        <v>-1.4869888475836479E-2</v>
      </c>
      <c r="O33" s="236">
        <f t="shared" si="22"/>
        <v>-4.3478260869565188E-2</v>
      </c>
      <c r="P33" s="236">
        <f t="shared" si="22"/>
        <v>-1.4234875444839812E-2</v>
      </c>
      <c r="Q33" s="236">
        <f t="shared" si="22"/>
        <v>-1.3745704467353903E-2</v>
      </c>
      <c r="R33" s="236">
        <f t="shared" si="22"/>
        <v>-2.006688963210701E-2</v>
      </c>
      <c r="S33" s="238">
        <f t="shared" si="22"/>
        <v>-6.514657980456029E-3</v>
      </c>
      <c r="T33" s="236">
        <f t="shared" si="22"/>
        <v>-5.144694533762062E-2</v>
      </c>
      <c r="U33" s="236">
        <f t="shared" si="22"/>
        <v>-5.7692307692307709E-2</v>
      </c>
      <c r="V33" s="236">
        <f t="shared" si="22"/>
        <v>-1.8691588785046731E-2</v>
      </c>
      <c r="W33" s="236">
        <f t="shared" si="22"/>
        <v>-5.9523809523809312E-3</v>
      </c>
      <c r="X33" s="236">
        <f t="shared" si="22"/>
        <v>-2.8985507246376829E-2</v>
      </c>
      <c r="Y33" s="236">
        <f t="shared" si="22"/>
        <v>-2.8409090909090939E-2</v>
      </c>
      <c r="Z33" s="236">
        <f t="shared" si="22"/>
        <v>-8.5714285714285743E-2</v>
      </c>
      <c r="AA33" s="236">
        <f t="shared" si="22"/>
        <v>-2.3391812865497075E-2</v>
      </c>
      <c r="AB33" s="236">
        <f t="shared" si="22"/>
        <v>-2.3323615160349864E-2</v>
      </c>
      <c r="AC33" s="236">
        <f t="shared" si="22"/>
        <v>-1.1594202898550732E-2</v>
      </c>
      <c r="AD33" s="237">
        <f t="shared" si="2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:P35" si="23">EOMONTH(J35,0)+1</f>
        <v>45689</v>
      </c>
      <c r="L35" s="189">
        <f t="shared" si="23"/>
        <v>45717</v>
      </c>
      <c r="M35" s="189">
        <f t="shared" si="23"/>
        <v>45748</v>
      </c>
      <c r="N35" s="189">
        <f t="shared" si="23"/>
        <v>45778</v>
      </c>
      <c r="O35" s="189">
        <f t="shared" si="23"/>
        <v>45809</v>
      </c>
      <c r="P35" s="189">
        <f t="shared" si="23"/>
        <v>45839</v>
      </c>
      <c r="Q35" s="189">
        <v>45870</v>
      </c>
      <c r="R35" s="189">
        <f t="shared" ref="R35:AD35" si="24">EOMONTH(Q35,0)+1</f>
        <v>45901</v>
      </c>
      <c r="S35" s="189">
        <f t="shared" si="24"/>
        <v>45931</v>
      </c>
      <c r="T35" s="189">
        <f t="shared" si="24"/>
        <v>45962</v>
      </c>
      <c r="U35" s="189">
        <f t="shared" si="24"/>
        <v>45992</v>
      </c>
      <c r="V35" s="189">
        <f t="shared" si="24"/>
        <v>46023</v>
      </c>
      <c r="W35" s="189">
        <f t="shared" si="24"/>
        <v>46054</v>
      </c>
      <c r="X35" s="189">
        <f t="shared" si="24"/>
        <v>46082</v>
      </c>
      <c r="Y35" s="189">
        <f t="shared" si="24"/>
        <v>46113</v>
      </c>
      <c r="Z35" s="189">
        <f t="shared" si="24"/>
        <v>46143</v>
      </c>
      <c r="AA35" s="189">
        <f t="shared" si="24"/>
        <v>46174</v>
      </c>
      <c r="AB35" s="189">
        <f t="shared" si="24"/>
        <v>46204</v>
      </c>
      <c r="AC35" s="189">
        <f t="shared" si="24"/>
        <v>46235</v>
      </c>
      <c r="AD35" s="189">
        <f t="shared" si="24"/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25">+J43-J38-J42</f>
        <v>68</v>
      </c>
      <c r="K37" s="181">
        <f t="shared" si="25"/>
        <v>75</v>
      </c>
      <c r="L37" s="181">
        <f t="shared" si="25"/>
        <v>77</v>
      </c>
      <c r="M37" s="181">
        <f t="shared" si="25"/>
        <v>83</v>
      </c>
      <c r="N37" s="181">
        <f t="shared" si="25"/>
        <v>90</v>
      </c>
      <c r="O37" s="181">
        <f t="shared" si="25"/>
        <v>95</v>
      </c>
      <c r="P37" s="181">
        <f t="shared" si="25"/>
        <v>98</v>
      </c>
      <c r="Q37" s="181">
        <f t="shared" si="25"/>
        <v>101</v>
      </c>
      <c r="R37" s="181">
        <f t="shared" si="25"/>
        <v>105</v>
      </c>
      <c r="S37" s="181">
        <f t="shared" si="25"/>
        <v>109</v>
      </c>
      <c r="T37" s="181">
        <f t="shared" si="25"/>
        <v>113</v>
      </c>
      <c r="U37" s="181">
        <f t="shared" si="25"/>
        <v>118</v>
      </c>
      <c r="V37" s="181">
        <f t="shared" si="25"/>
        <v>124</v>
      </c>
      <c r="W37" s="181">
        <f t="shared" si="25"/>
        <v>130</v>
      </c>
      <c r="X37" s="181">
        <f t="shared" si="25"/>
        <v>135</v>
      </c>
      <c r="Y37" s="181">
        <f t="shared" si="25"/>
        <v>136</v>
      </c>
      <c r="Z37" s="181">
        <f t="shared" si="25"/>
        <v>140</v>
      </c>
      <c r="AA37" s="181">
        <f t="shared" si="25"/>
        <v>140</v>
      </c>
      <c r="AB37" s="181">
        <f t="shared" si="25"/>
        <v>141</v>
      </c>
      <c r="AC37" s="181">
        <f t="shared" si="25"/>
        <v>142</v>
      </c>
      <c r="AD37" s="181">
        <f t="shared" si="25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>SUM(J39:U39)</f>
        <v>-2</v>
      </c>
      <c r="F39" s="194">
        <f>SUM(V39:AD39)</f>
        <v>-14</v>
      </c>
      <c r="H39" s="194">
        <f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>SUM(J40:U40)</f>
        <v>-1</v>
      </c>
      <c r="F40" s="194">
        <f>SUM(V40:AD40)</f>
        <v>-4</v>
      </c>
      <c r="H40" s="194">
        <f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>SUM(J41:U41)</f>
        <v>0</v>
      </c>
      <c r="F41" s="194">
        <f>SUM(V41:AD41)</f>
        <v>-7</v>
      </c>
      <c r="H41" s="194">
        <f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26">+K37</f>
        <v>75</v>
      </c>
      <c r="K43" s="257">
        <f t="shared" si="26"/>
        <v>77</v>
      </c>
      <c r="L43" s="257">
        <f t="shared" si="26"/>
        <v>83</v>
      </c>
      <c r="M43" s="257">
        <f t="shared" si="26"/>
        <v>90</v>
      </c>
      <c r="N43" s="257">
        <f t="shared" si="26"/>
        <v>95</v>
      </c>
      <c r="O43" s="257">
        <f t="shared" si="26"/>
        <v>98</v>
      </c>
      <c r="P43" s="257">
        <f t="shared" si="26"/>
        <v>101</v>
      </c>
      <c r="Q43" s="257">
        <f t="shared" si="26"/>
        <v>105</v>
      </c>
      <c r="R43" s="257">
        <f t="shared" si="26"/>
        <v>109</v>
      </c>
      <c r="S43" s="259">
        <f t="shared" si="26"/>
        <v>113</v>
      </c>
      <c r="T43" s="257">
        <f t="shared" si="26"/>
        <v>118</v>
      </c>
      <c r="U43" s="257">
        <f t="shared" si="26"/>
        <v>124</v>
      </c>
      <c r="V43" s="257">
        <f t="shared" si="26"/>
        <v>130</v>
      </c>
      <c r="W43" s="257">
        <f t="shared" si="26"/>
        <v>135</v>
      </c>
      <c r="X43" s="257">
        <f t="shared" si="26"/>
        <v>136</v>
      </c>
      <c r="Y43" s="257">
        <f t="shared" si="26"/>
        <v>140</v>
      </c>
      <c r="Z43" s="257">
        <f t="shared" si="26"/>
        <v>140</v>
      </c>
      <c r="AA43" s="257">
        <f t="shared" si="26"/>
        <v>141</v>
      </c>
      <c r="AB43" s="257">
        <f t="shared" si="26"/>
        <v>142</v>
      </c>
      <c r="AC43" s="257">
        <f t="shared" si="26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27">AVERAGE(K37,K43)</f>
        <v>76</v>
      </c>
      <c r="L45" s="257">
        <f t="shared" si="27"/>
        <v>80</v>
      </c>
      <c r="M45" s="257">
        <f t="shared" si="27"/>
        <v>86.5</v>
      </c>
      <c r="N45" s="257">
        <f t="shared" si="27"/>
        <v>92.5</v>
      </c>
      <c r="O45" s="257">
        <f t="shared" si="27"/>
        <v>96.5</v>
      </c>
      <c r="P45" s="257">
        <f t="shared" si="27"/>
        <v>99.5</v>
      </c>
      <c r="Q45" s="257">
        <f t="shared" si="27"/>
        <v>103</v>
      </c>
      <c r="R45" s="257">
        <f t="shared" si="27"/>
        <v>107</v>
      </c>
      <c r="S45" s="259">
        <f t="shared" si="27"/>
        <v>111</v>
      </c>
      <c r="T45" s="257">
        <f t="shared" si="27"/>
        <v>115.5</v>
      </c>
      <c r="U45" s="257">
        <f t="shared" si="27"/>
        <v>121</v>
      </c>
      <c r="V45" s="257">
        <f t="shared" si="27"/>
        <v>127</v>
      </c>
      <c r="W45" s="257">
        <f t="shared" si="27"/>
        <v>132.5</v>
      </c>
      <c r="X45" s="257">
        <f t="shared" si="27"/>
        <v>135.5</v>
      </c>
      <c r="Y45" s="257">
        <f t="shared" si="27"/>
        <v>138</v>
      </c>
      <c r="Z45" s="257">
        <f t="shared" si="27"/>
        <v>140</v>
      </c>
      <c r="AA45" s="257">
        <f t="shared" si="27"/>
        <v>140.5</v>
      </c>
      <c r="AB45" s="257">
        <f t="shared" si="27"/>
        <v>141.5</v>
      </c>
      <c r="AC45" s="257">
        <f t="shared" si="27"/>
        <v>142.5</v>
      </c>
      <c r="AD45" s="260">
        <f t="shared" si="27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28">(J38+J37)/J37-1</f>
        <v>0.10294117647058831</v>
      </c>
      <c r="K47" s="233">
        <f t="shared" si="28"/>
        <v>2.6666666666666616E-2</v>
      </c>
      <c r="L47" s="233">
        <f t="shared" si="28"/>
        <v>7.7922077922077948E-2</v>
      </c>
      <c r="M47" s="233">
        <f t="shared" si="28"/>
        <v>8.43373493975903E-2</v>
      </c>
      <c r="N47" s="233">
        <f t="shared" si="28"/>
        <v>5.555555555555558E-2</v>
      </c>
      <c r="O47" s="233">
        <f t="shared" si="28"/>
        <v>3.1578947368421151E-2</v>
      </c>
      <c r="P47" s="233">
        <f t="shared" si="28"/>
        <v>5.1020408163265252E-2</v>
      </c>
      <c r="Q47" s="233">
        <f t="shared" si="28"/>
        <v>3.9603960396039639E-2</v>
      </c>
      <c r="R47" s="233">
        <f t="shared" si="28"/>
        <v>3.8095238095238182E-2</v>
      </c>
      <c r="S47" s="243">
        <f t="shared" si="28"/>
        <v>3.669724770642202E-2</v>
      </c>
      <c r="T47" s="233">
        <f t="shared" si="28"/>
        <v>4.4247787610619538E-2</v>
      </c>
      <c r="U47" s="233">
        <f t="shared" si="28"/>
        <v>5.9322033898305149E-2</v>
      </c>
      <c r="V47" s="233">
        <f t="shared" si="28"/>
        <v>5.6451612903225756E-2</v>
      </c>
      <c r="W47" s="233">
        <f t="shared" si="28"/>
        <v>4.6153846153846212E-2</v>
      </c>
      <c r="X47" s="233">
        <f t="shared" si="28"/>
        <v>3.7037037037036979E-2</v>
      </c>
      <c r="Y47" s="233">
        <f t="shared" si="28"/>
        <v>5.8823529411764719E-2</v>
      </c>
      <c r="Z47" s="233">
        <f t="shared" si="28"/>
        <v>5.0000000000000044E-2</v>
      </c>
      <c r="AA47" s="233">
        <f t="shared" si="28"/>
        <v>2.857142857142847E-2</v>
      </c>
      <c r="AB47" s="233">
        <f t="shared" si="28"/>
        <v>2.8368794326241176E-2</v>
      </c>
      <c r="AC47" s="233">
        <f t="shared" si="28"/>
        <v>2.1126760563380254E-2</v>
      </c>
      <c r="AD47" s="244">
        <f t="shared" si="28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29">(J42+J45)/J45-1</f>
        <v>0</v>
      </c>
      <c r="K48" s="236">
        <f t="shared" si="29"/>
        <v>0</v>
      </c>
      <c r="L48" s="236">
        <f t="shared" si="29"/>
        <v>0</v>
      </c>
      <c r="M48" s="236">
        <f t="shared" si="29"/>
        <v>0</v>
      </c>
      <c r="N48" s="236">
        <f t="shared" si="29"/>
        <v>0</v>
      </c>
      <c r="O48" s="236">
        <f t="shared" si="29"/>
        <v>0</v>
      </c>
      <c r="P48" s="236">
        <f t="shared" si="29"/>
        <v>-2.010050251256279E-2</v>
      </c>
      <c r="Q48" s="236">
        <f t="shared" si="29"/>
        <v>0</v>
      </c>
      <c r="R48" s="236">
        <f t="shared" si="29"/>
        <v>0</v>
      </c>
      <c r="S48" s="238">
        <f t="shared" si="29"/>
        <v>0</v>
      </c>
      <c r="T48" s="236">
        <f t="shared" si="29"/>
        <v>0</v>
      </c>
      <c r="U48" s="236">
        <f t="shared" si="29"/>
        <v>-8.2644628099173278E-3</v>
      </c>
      <c r="V48" s="236">
        <f t="shared" si="29"/>
        <v>-7.8740157480314821E-3</v>
      </c>
      <c r="W48" s="236">
        <f t="shared" si="29"/>
        <v>-7.547169811320753E-3</v>
      </c>
      <c r="X48" s="236">
        <f t="shared" si="29"/>
        <v>-2.9520295202952074E-2</v>
      </c>
      <c r="Y48" s="236">
        <f t="shared" si="29"/>
        <v>-2.8985507246376829E-2</v>
      </c>
      <c r="Z48" s="236">
        <f t="shared" si="29"/>
        <v>-5.0000000000000044E-2</v>
      </c>
      <c r="AA48" s="236">
        <f t="shared" si="29"/>
        <v>-2.1352313167259829E-2</v>
      </c>
      <c r="AB48" s="236">
        <f t="shared" si="29"/>
        <v>-2.1201413427561877E-2</v>
      </c>
      <c r="AC48" s="236">
        <f t="shared" si="29"/>
        <v>-1.4035087719298289E-2</v>
      </c>
      <c r="AD48" s="237">
        <f t="shared" si="29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:P50" si="30">EOMONTH(J50,0)+1</f>
        <v>45689</v>
      </c>
      <c r="L50" s="189">
        <f t="shared" si="30"/>
        <v>45717</v>
      </c>
      <c r="M50" s="189">
        <f t="shared" si="30"/>
        <v>45748</v>
      </c>
      <c r="N50" s="189">
        <f t="shared" si="30"/>
        <v>45778</v>
      </c>
      <c r="O50" s="189">
        <f t="shared" si="30"/>
        <v>45809</v>
      </c>
      <c r="P50" s="189">
        <f t="shared" si="30"/>
        <v>45839</v>
      </c>
      <c r="Q50" s="189">
        <v>45870</v>
      </c>
      <c r="R50" s="189">
        <f t="shared" ref="R50:AD50" si="31">EOMONTH(Q50,0)+1</f>
        <v>45901</v>
      </c>
      <c r="S50" s="189">
        <f t="shared" si="31"/>
        <v>45931</v>
      </c>
      <c r="T50" s="189">
        <f t="shared" si="31"/>
        <v>45962</v>
      </c>
      <c r="U50" s="189">
        <f t="shared" si="31"/>
        <v>45992</v>
      </c>
      <c r="V50" s="189">
        <f t="shared" si="31"/>
        <v>46023</v>
      </c>
      <c r="W50" s="189">
        <f t="shared" si="31"/>
        <v>46054</v>
      </c>
      <c r="X50" s="189">
        <f t="shared" si="31"/>
        <v>46082</v>
      </c>
      <c r="Y50" s="189">
        <f t="shared" si="31"/>
        <v>46113</v>
      </c>
      <c r="Z50" s="189">
        <f t="shared" si="31"/>
        <v>46143</v>
      </c>
      <c r="AA50" s="189">
        <f t="shared" si="31"/>
        <v>46174</v>
      </c>
      <c r="AB50" s="189">
        <f t="shared" si="31"/>
        <v>46204</v>
      </c>
      <c r="AC50" s="189">
        <f t="shared" si="31"/>
        <v>46235</v>
      </c>
      <c r="AD50" s="189">
        <f t="shared" si="31"/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>+H58-H53-H57</f>
        <v>25</v>
      </c>
      <c r="J52" s="181">
        <f t="shared" ref="J52:Z52" si="32">+J58-J53-J57</f>
        <v>15</v>
      </c>
      <c r="K52" s="181">
        <f t="shared" si="32"/>
        <v>17</v>
      </c>
      <c r="L52" s="181">
        <f t="shared" si="32"/>
        <v>17</v>
      </c>
      <c r="M52" s="181">
        <f t="shared" si="32"/>
        <v>17</v>
      </c>
      <c r="N52" s="181">
        <f t="shared" si="32"/>
        <v>18</v>
      </c>
      <c r="O52" s="181">
        <f t="shared" si="32"/>
        <v>20</v>
      </c>
      <c r="P52" s="181">
        <f t="shared" si="32"/>
        <v>22</v>
      </c>
      <c r="Q52" s="181">
        <f t="shared" si="32"/>
        <v>23</v>
      </c>
      <c r="R52" s="181">
        <f t="shared" si="32"/>
        <v>25</v>
      </c>
      <c r="S52" s="181">
        <f t="shared" si="32"/>
        <v>25</v>
      </c>
      <c r="T52" s="181">
        <f t="shared" si="32"/>
        <v>26</v>
      </c>
      <c r="U52" s="181">
        <f t="shared" si="32"/>
        <v>27</v>
      </c>
      <c r="V52" s="181">
        <f t="shared" si="32"/>
        <v>30</v>
      </c>
      <c r="W52" s="181">
        <f t="shared" si="32"/>
        <v>33</v>
      </c>
      <c r="X52" s="181">
        <f t="shared" si="32"/>
        <v>36</v>
      </c>
      <c r="Y52" s="181">
        <f t="shared" si="32"/>
        <v>36</v>
      </c>
      <c r="Z52" s="181">
        <f t="shared" si="32"/>
        <v>37</v>
      </c>
      <c r="AA52" s="181">
        <f>+AA58-AA53-AA57</f>
        <v>30</v>
      </c>
      <c r="AB52" s="181">
        <f>+AB58-AB53-AB57</f>
        <v>29</v>
      </c>
      <c r="AC52" s="181">
        <f>+AC58-AC53-AC57</f>
        <v>30</v>
      </c>
      <c r="AD52" s="181">
        <f>+AD58-AD53-AD57</f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>SUM(J54:U54)</f>
        <v>0</v>
      </c>
      <c r="F54" s="194">
        <f>SUM(V54:AD54)</f>
        <v>-9</v>
      </c>
      <c r="H54" s="194">
        <f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>SUM(J55:U55)</f>
        <v>0</v>
      </c>
      <c r="F55" s="194">
        <f>SUM(V55:AD55)</f>
        <v>0</v>
      </c>
      <c r="H55" s="194">
        <f>SUM(S55:AD55)</f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>SUM(J56:U56)</f>
        <v>0</v>
      </c>
      <c r="F56" s="194">
        <f>SUM(V56:AD56)</f>
        <v>-1</v>
      </c>
      <c r="H56" s="194">
        <f>SUM(S56:AD56)</f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33">+K52</f>
        <v>17</v>
      </c>
      <c r="K58" s="257">
        <f t="shared" si="33"/>
        <v>17</v>
      </c>
      <c r="L58" s="257">
        <f t="shared" si="33"/>
        <v>17</v>
      </c>
      <c r="M58" s="257">
        <f t="shared" si="33"/>
        <v>18</v>
      </c>
      <c r="N58" s="257">
        <f t="shared" si="33"/>
        <v>20</v>
      </c>
      <c r="O58" s="257">
        <f t="shared" si="33"/>
        <v>22</v>
      </c>
      <c r="P58" s="257">
        <f t="shared" si="33"/>
        <v>23</v>
      </c>
      <c r="Q58" s="257">
        <f t="shared" si="33"/>
        <v>25</v>
      </c>
      <c r="R58" s="257">
        <f t="shared" si="33"/>
        <v>25</v>
      </c>
      <c r="S58" s="259">
        <f t="shared" si="33"/>
        <v>26</v>
      </c>
      <c r="T58" s="257">
        <f t="shared" si="33"/>
        <v>27</v>
      </c>
      <c r="U58" s="257">
        <f t="shared" si="33"/>
        <v>30</v>
      </c>
      <c r="V58" s="257">
        <f t="shared" si="33"/>
        <v>33</v>
      </c>
      <c r="W58" s="257">
        <f t="shared" si="33"/>
        <v>36</v>
      </c>
      <c r="X58" s="257">
        <f t="shared" si="33"/>
        <v>36</v>
      </c>
      <c r="Y58" s="257">
        <f t="shared" si="33"/>
        <v>37</v>
      </c>
      <c r="Z58" s="257">
        <f t="shared" si="33"/>
        <v>30</v>
      </c>
      <c r="AA58" s="257">
        <f t="shared" si="33"/>
        <v>29</v>
      </c>
      <c r="AB58" s="257">
        <f t="shared" si="33"/>
        <v>30</v>
      </c>
      <c r="AC58" s="257">
        <f t="shared" si="33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34">AVERAGE(K52,K58)</f>
        <v>17</v>
      </c>
      <c r="L60" s="257">
        <f t="shared" si="34"/>
        <v>17</v>
      </c>
      <c r="M60" s="257">
        <f t="shared" si="34"/>
        <v>17.5</v>
      </c>
      <c r="N60" s="257">
        <f t="shared" si="34"/>
        <v>19</v>
      </c>
      <c r="O60" s="257">
        <f t="shared" si="34"/>
        <v>21</v>
      </c>
      <c r="P60" s="257">
        <f t="shared" si="34"/>
        <v>22.5</v>
      </c>
      <c r="Q60" s="257">
        <f t="shared" si="34"/>
        <v>24</v>
      </c>
      <c r="R60" s="257">
        <f t="shared" si="34"/>
        <v>25</v>
      </c>
      <c r="S60" s="259">
        <f t="shared" si="34"/>
        <v>25.5</v>
      </c>
      <c r="T60" s="257">
        <f t="shared" si="34"/>
        <v>26.5</v>
      </c>
      <c r="U60" s="257">
        <f t="shared" si="34"/>
        <v>28.5</v>
      </c>
      <c r="V60" s="257">
        <f t="shared" si="34"/>
        <v>31.5</v>
      </c>
      <c r="W60" s="257">
        <f t="shared" si="34"/>
        <v>34.5</v>
      </c>
      <c r="X60" s="257">
        <f t="shared" si="34"/>
        <v>36</v>
      </c>
      <c r="Y60" s="257">
        <f t="shared" si="34"/>
        <v>36.5</v>
      </c>
      <c r="Z60" s="257">
        <f t="shared" si="34"/>
        <v>33.5</v>
      </c>
      <c r="AA60" s="257">
        <f t="shared" si="34"/>
        <v>29.5</v>
      </c>
      <c r="AB60" s="257">
        <f t="shared" si="34"/>
        <v>29.5</v>
      </c>
      <c r="AC60" s="257">
        <f t="shared" si="34"/>
        <v>30</v>
      </c>
      <c r="AD60" s="260">
        <f t="shared" si="34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35">(J53+J52)/J52-1</f>
        <v>0.1333333333333333</v>
      </c>
      <c r="K62" s="233">
        <f t="shared" si="35"/>
        <v>0</v>
      </c>
      <c r="L62" s="233">
        <f t="shared" si="35"/>
        <v>0</v>
      </c>
      <c r="M62" s="233">
        <f t="shared" si="35"/>
        <v>5.8823529411764719E-2</v>
      </c>
      <c r="N62" s="233">
        <f t="shared" si="35"/>
        <v>0.11111111111111116</v>
      </c>
      <c r="O62" s="233">
        <f t="shared" si="35"/>
        <v>0.10000000000000009</v>
      </c>
      <c r="P62" s="233">
        <f t="shared" si="35"/>
        <v>4.5454545454545414E-2</v>
      </c>
      <c r="Q62" s="233">
        <f t="shared" si="35"/>
        <v>8.6956521739130377E-2</v>
      </c>
      <c r="R62" s="233">
        <f t="shared" si="35"/>
        <v>0</v>
      </c>
      <c r="S62" s="243">
        <f t="shared" si="35"/>
        <v>4.0000000000000036E-2</v>
      </c>
      <c r="T62" s="233">
        <f t="shared" si="35"/>
        <v>3.8461538461538547E-2</v>
      </c>
      <c r="U62" s="233">
        <f t="shared" si="35"/>
        <v>0.11111111111111116</v>
      </c>
      <c r="V62" s="233">
        <f t="shared" si="35"/>
        <v>0.10000000000000009</v>
      </c>
      <c r="W62" s="233">
        <f t="shared" si="35"/>
        <v>9.0909090909090828E-2</v>
      </c>
      <c r="X62" s="233">
        <f t="shared" si="35"/>
        <v>2.7777777777777679E-2</v>
      </c>
      <c r="Y62" s="233">
        <f t="shared" si="35"/>
        <v>5.555555555555558E-2</v>
      </c>
      <c r="Z62" s="233">
        <f t="shared" si="35"/>
        <v>0</v>
      </c>
      <c r="AA62" s="233">
        <f t="shared" si="35"/>
        <v>0</v>
      </c>
      <c r="AB62" s="233">
        <f t="shared" si="35"/>
        <v>3.4482758620689724E-2</v>
      </c>
      <c r="AC62" s="233">
        <f>(AC53+AC52)/AC52-1</f>
        <v>0</v>
      </c>
      <c r="AD62" s="244">
        <f>(AD53+AD52)/AD52-1</f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36">(J57+J60)/J60-1</f>
        <v>0</v>
      </c>
      <c r="K63" s="236">
        <f t="shared" si="36"/>
        <v>0</v>
      </c>
      <c r="L63" s="236">
        <f t="shared" si="36"/>
        <v>0</v>
      </c>
      <c r="M63" s="236">
        <f t="shared" si="36"/>
        <v>0</v>
      </c>
      <c r="N63" s="236">
        <f t="shared" si="36"/>
        <v>0</v>
      </c>
      <c r="O63" s="236">
        <f t="shared" si="36"/>
        <v>0</v>
      </c>
      <c r="P63" s="236">
        <f t="shared" si="36"/>
        <v>0</v>
      </c>
      <c r="Q63" s="236">
        <f t="shared" si="36"/>
        <v>0</v>
      </c>
      <c r="R63" s="236">
        <f t="shared" si="36"/>
        <v>0</v>
      </c>
      <c r="S63" s="238">
        <f t="shared" si="36"/>
        <v>0</v>
      </c>
      <c r="T63" s="236">
        <f t="shared" si="36"/>
        <v>0</v>
      </c>
      <c r="U63" s="236">
        <f t="shared" si="36"/>
        <v>0</v>
      </c>
      <c r="V63" s="236">
        <f t="shared" si="36"/>
        <v>0</v>
      </c>
      <c r="W63" s="236">
        <f t="shared" si="36"/>
        <v>0</v>
      </c>
      <c r="X63" s="236">
        <f t="shared" si="36"/>
        <v>-2.777777777777779E-2</v>
      </c>
      <c r="Y63" s="236">
        <f t="shared" si="36"/>
        <v>-2.7397260273972601E-2</v>
      </c>
      <c r="Z63" s="236">
        <f t="shared" si="36"/>
        <v>-0.20895522388059706</v>
      </c>
      <c r="AA63" s="236">
        <f t="shared" si="36"/>
        <v>-3.3898305084745783E-2</v>
      </c>
      <c r="AB63" s="236">
        <f t="shared" si="36"/>
        <v>0</v>
      </c>
      <c r="AC63" s="236">
        <f t="shared" si="36"/>
        <v>0</v>
      </c>
      <c r="AD63" s="237">
        <f t="shared" si="36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:P65" si="37">EOMONTH(J65,0)+1</f>
        <v>45689</v>
      </c>
      <c r="L65" s="189">
        <f t="shared" si="37"/>
        <v>45717</v>
      </c>
      <c r="M65" s="189">
        <f t="shared" si="37"/>
        <v>45748</v>
      </c>
      <c r="N65" s="189">
        <f t="shared" si="37"/>
        <v>45778</v>
      </c>
      <c r="O65" s="189">
        <f t="shared" si="37"/>
        <v>45809</v>
      </c>
      <c r="P65" s="189">
        <f t="shared" si="37"/>
        <v>45839</v>
      </c>
      <c r="Q65" s="189">
        <v>45870</v>
      </c>
      <c r="R65" s="189">
        <f t="shared" ref="R65:AD65" si="38">EOMONTH(Q65,0)+1</f>
        <v>45901</v>
      </c>
      <c r="S65" s="189">
        <f t="shared" si="38"/>
        <v>45931</v>
      </c>
      <c r="T65" s="189">
        <f t="shared" si="38"/>
        <v>45962</v>
      </c>
      <c r="U65" s="189">
        <f t="shared" si="38"/>
        <v>45992</v>
      </c>
      <c r="V65" s="189">
        <f t="shared" si="38"/>
        <v>46023</v>
      </c>
      <c r="W65" s="189">
        <f t="shared" si="38"/>
        <v>46054</v>
      </c>
      <c r="X65" s="189">
        <f t="shared" si="38"/>
        <v>46082</v>
      </c>
      <c r="Y65" s="189">
        <f t="shared" si="38"/>
        <v>46113</v>
      </c>
      <c r="Z65" s="189">
        <f t="shared" si="38"/>
        <v>46143</v>
      </c>
      <c r="AA65" s="189">
        <f t="shared" si="38"/>
        <v>46174</v>
      </c>
      <c r="AB65" s="189">
        <f t="shared" si="38"/>
        <v>46204</v>
      </c>
      <c r="AC65" s="189">
        <f t="shared" si="38"/>
        <v>46235</v>
      </c>
      <c r="AD65" s="189">
        <f t="shared" si="38"/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>+H73-H68-H72</f>
        <v>26</v>
      </c>
      <c r="J67" s="181">
        <f t="shared" ref="J67:Z67" si="39">+J73-J68-J72</f>
        <v>32</v>
      </c>
      <c r="K67" s="181">
        <f t="shared" si="39"/>
        <v>29</v>
      </c>
      <c r="L67" s="181">
        <f t="shared" si="39"/>
        <v>28</v>
      </c>
      <c r="M67" s="181">
        <f t="shared" si="39"/>
        <v>28</v>
      </c>
      <c r="N67" s="181">
        <f t="shared" si="39"/>
        <v>28</v>
      </c>
      <c r="O67" s="181">
        <f t="shared" si="39"/>
        <v>27</v>
      </c>
      <c r="P67" s="181">
        <f t="shared" si="39"/>
        <v>27</v>
      </c>
      <c r="Q67" s="181">
        <f t="shared" si="39"/>
        <v>26</v>
      </c>
      <c r="R67" s="181">
        <f t="shared" si="39"/>
        <v>27</v>
      </c>
      <c r="S67" s="181">
        <f t="shared" si="39"/>
        <v>26</v>
      </c>
      <c r="T67" s="181">
        <f t="shared" si="39"/>
        <v>26</v>
      </c>
      <c r="U67" s="181">
        <f t="shared" si="39"/>
        <v>26</v>
      </c>
      <c r="V67" s="181">
        <f t="shared" si="39"/>
        <v>23</v>
      </c>
      <c r="W67" s="181">
        <f t="shared" si="39"/>
        <v>22</v>
      </c>
      <c r="X67" s="181">
        <f t="shared" si="39"/>
        <v>21</v>
      </c>
      <c r="Y67" s="181">
        <f t="shared" si="39"/>
        <v>19</v>
      </c>
      <c r="Z67" s="181">
        <f t="shared" si="39"/>
        <v>19</v>
      </c>
      <c r="AA67" s="181">
        <f>+AA73-AA68-AA72</f>
        <v>18</v>
      </c>
      <c r="AB67" s="181">
        <f>+AB73-AB68-AB72</f>
        <v>18</v>
      </c>
      <c r="AC67" s="181">
        <f>+AC73-AC68-AC72</f>
        <v>2</v>
      </c>
      <c r="AD67" s="181">
        <f>+AD73-AD68-AD72</f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>SUM(J69:U69)</f>
        <v>-7</v>
      </c>
      <c r="F69" s="194">
        <f>SUM(V69:AD69)</f>
        <v>-5</v>
      </c>
      <c r="H69" s="194">
        <f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>SUM(J70:U70)</f>
        <v>-4</v>
      </c>
      <c r="F70" s="194">
        <f>SUM(V70:AD70)</f>
        <v>-15</v>
      </c>
      <c r="H70" s="194">
        <f>SUM(S70:AD70)</f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>SUM(J71:U71)</f>
        <v>0</v>
      </c>
      <c r="F71" s="194">
        <f>SUM(V71:AD71)</f>
        <v>-1</v>
      </c>
      <c r="H71" s="194">
        <f>SUM(S71:AD71)</f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40">+K67</f>
        <v>29</v>
      </c>
      <c r="K73" s="257">
        <f t="shared" si="40"/>
        <v>28</v>
      </c>
      <c r="L73" s="257">
        <f t="shared" si="40"/>
        <v>28</v>
      </c>
      <c r="M73" s="257">
        <f t="shared" si="40"/>
        <v>28</v>
      </c>
      <c r="N73" s="257">
        <f t="shared" si="40"/>
        <v>27</v>
      </c>
      <c r="O73" s="257">
        <f t="shared" si="40"/>
        <v>27</v>
      </c>
      <c r="P73" s="257">
        <f t="shared" si="40"/>
        <v>26</v>
      </c>
      <c r="Q73" s="257">
        <f t="shared" si="40"/>
        <v>27</v>
      </c>
      <c r="R73" s="257">
        <f t="shared" si="40"/>
        <v>26</v>
      </c>
      <c r="S73" s="259">
        <f t="shared" si="40"/>
        <v>26</v>
      </c>
      <c r="T73" s="257">
        <f t="shared" si="40"/>
        <v>26</v>
      </c>
      <c r="U73" s="257">
        <f t="shared" si="40"/>
        <v>23</v>
      </c>
      <c r="V73" s="257">
        <f t="shared" si="40"/>
        <v>22</v>
      </c>
      <c r="W73" s="257">
        <f t="shared" si="40"/>
        <v>21</v>
      </c>
      <c r="X73" s="257">
        <f t="shared" si="40"/>
        <v>19</v>
      </c>
      <c r="Y73" s="257">
        <f t="shared" si="40"/>
        <v>19</v>
      </c>
      <c r="Z73" s="257">
        <f t="shared" si="40"/>
        <v>18</v>
      </c>
      <c r="AA73" s="257">
        <f t="shared" si="40"/>
        <v>18</v>
      </c>
      <c r="AB73" s="257">
        <f t="shared" si="40"/>
        <v>2</v>
      </c>
      <c r="AC73" s="257">
        <f t="shared" si="40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41">AVERAGE(K67,K73)</f>
        <v>28.5</v>
      </c>
      <c r="L75" s="257">
        <f t="shared" si="41"/>
        <v>28</v>
      </c>
      <c r="M75" s="257">
        <f t="shared" si="41"/>
        <v>28</v>
      </c>
      <c r="N75" s="257">
        <f t="shared" si="41"/>
        <v>27.5</v>
      </c>
      <c r="O75" s="257">
        <f t="shared" si="41"/>
        <v>27</v>
      </c>
      <c r="P75" s="257">
        <f t="shared" si="41"/>
        <v>26.5</v>
      </c>
      <c r="Q75" s="257">
        <f t="shared" si="41"/>
        <v>26.5</v>
      </c>
      <c r="R75" s="257">
        <f t="shared" si="41"/>
        <v>26.5</v>
      </c>
      <c r="S75" s="259">
        <f t="shared" si="41"/>
        <v>26</v>
      </c>
      <c r="T75" s="257">
        <f t="shared" si="41"/>
        <v>26</v>
      </c>
      <c r="U75" s="257">
        <f t="shared" si="41"/>
        <v>24.5</v>
      </c>
      <c r="V75" s="257">
        <f t="shared" si="41"/>
        <v>22.5</v>
      </c>
      <c r="W75" s="257">
        <f t="shared" si="41"/>
        <v>21.5</v>
      </c>
      <c r="X75" s="257">
        <f t="shared" si="41"/>
        <v>20</v>
      </c>
      <c r="Y75" s="257">
        <f t="shared" si="41"/>
        <v>19</v>
      </c>
      <c r="Z75" s="257">
        <f t="shared" si="41"/>
        <v>18.5</v>
      </c>
      <c r="AA75" s="257">
        <f t="shared" si="41"/>
        <v>18</v>
      </c>
      <c r="AB75" s="257">
        <f t="shared" si="41"/>
        <v>10</v>
      </c>
      <c r="AC75" s="257">
        <f t="shared" si="41"/>
        <v>2</v>
      </c>
      <c r="AD75" s="260">
        <f t="shared" si="41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42">(J68+J67)/J67-1</f>
        <v>0</v>
      </c>
      <c r="K77" s="233">
        <f t="shared" si="42"/>
        <v>0</v>
      </c>
      <c r="L77" s="233">
        <f t="shared" si="42"/>
        <v>0</v>
      </c>
      <c r="M77" s="233">
        <f t="shared" si="42"/>
        <v>0</v>
      </c>
      <c r="N77" s="233">
        <f t="shared" si="42"/>
        <v>0</v>
      </c>
      <c r="O77" s="233">
        <f t="shared" si="42"/>
        <v>3.7037037037036979E-2</v>
      </c>
      <c r="P77" s="233">
        <f t="shared" si="42"/>
        <v>0</v>
      </c>
      <c r="Q77" s="233">
        <f t="shared" si="42"/>
        <v>3.8461538461538547E-2</v>
      </c>
      <c r="R77" s="233">
        <f t="shared" si="42"/>
        <v>0</v>
      </c>
      <c r="S77" s="243">
        <f t="shared" si="42"/>
        <v>0</v>
      </c>
      <c r="T77" s="233">
        <f t="shared" si="42"/>
        <v>0</v>
      </c>
      <c r="U77" s="233">
        <f t="shared" si="42"/>
        <v>0</v>
      </c>
      <c r="V77" s="233">
        <f t="shared" si="42"/>
        <v>0</v>
      </c>
      <c r="W77" s="233">
        <f t="shared" si="42"/>
        <v>0</v>
      </c>
      <c r="X77" s="233">
        <f t="shared" si="42"/>
        <v>0</v>
      </c>
      <c r="Y77" s="233">
        <f t="shared" si="42"/>
        <v>0</v>
      </c>
      <c r="Z77" s="233">
        <f t="shared" si="42"/>
        <v>0</v>
      </c>
      <c r="AA77" s="233">
        <f t="shared" si="42"/>
        <v>0</v>
      </c>
      <c r="AB77" s="233">
        <f t="shared" si="42"/>
        <v>0</v>
      </c>
      <c r="AC77" s="233">
        <f>(AC68+AC67)/AC67-1</f>
        <v>0</v>
      </c>
      <c r="AD77" s="244">
        <f>(AD68+AD67)/AD67-1</f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43">(J72+J75)/J75-1</f>
        <v>-9.8360655737704916E-2</v>
      </c>
      <c r="K78" s="236">
        <f t="shared" si="43"/>
        <v>-3.5087719298245612E-2</v>
      </c>
      <c r="L78" s="236">
        <f t="shared" si="43"/>
        <v>0</v>
      </c>
      <c r="M78" s="236">
        <f t="shared" si="43"/>
        <v>0</v>
      </c>
      <c r="N78" s="236">
        <f t="shared" si="43"/>
        <v>-3.6363636363636376E-2</v>
      </c>
      <c r="O78" s="236">
        <f t="shared" si="43"/>
        <v>-3.703703703703709E-2</v>
      </c>
      <c r="P78" s="236">
        <f t="shared" si="43"/>
        <v>-3.7735849056603765E-2</v>
      </c>
      <c r="Q78" s="236">
        <f t="shared" si="43"/>
        <v>0</v>
      </c>
      <c r="R78" s="236">
        <f t="shared" si="43"/>
        <v>-3.7735849056603765E-2</v>
      </c>
      <c r="S78" s="238">
        <f t="shared" si="43"/>
        <v>0</v>
      </c>
      <c r="T78" s="236">
        <f t="shared" si="43"/>
        <v>0</v>
      </c>
      <c r="U78" s="236">
        <f t="shared" si="43"/>
        <v>-0.12244897959183676</v>
      </c>
      <c r="V78" s="236">
        <f t="shared" si="43"/>
        <v>-4.4444444444444398E-2</v>
      </c>
      <c r="W78" s="236">
        <f t="shared" si="43"/>
        <v>-4.6511627906976716E-2</v>
      </c>
      <c r="X78" s="236">
        <f t="shared" si="43"/>
        <v>-9.9999999999999978E-2</v>
      </c>
      <c r="Y78" s="236">
        <f t="shared" si="43"/>
        <v>0</v>
      </c>
      <c r="Z78" s="236">
        <f t="shared" si="43"/>
        <v>-5.4054054054054057E-2</v>
      </c>
      <c r="AA78" s="236">
        <f t="shared" si="43"/>
        <v>0</v>
      </c>
      <c r="AB78" s="236">
        <f t="shared" si="43"/>
        <v>-1.6</v>
      </c>
      <c r="AC78" s="236">
        <f t="shared" si="43"/>
        <v>0</v>
      </c>
      <c r="AD78" s="237">
        <f t="shared" si="43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:P80" si="44">EOMONTH(J80,0)+1</f>
        <v>45689</v>
      </c>
      <c r="L80" s="189">
        <f t="shared" si="44"/>
        <v>45717</v>
      </c>
      <c r="M80" s="189">
        <f t="shared" si="44"/>
        <v>45748</v>
      </c>
      <c r="N80" s="189">
        <f t="shared" si="44"/>
        <v>45778</v>
      </c>
      <c r="O80" s="189">
        <f t="shared" si="44"/>
        <v>45809</v>
      </c>
      <c r="P80" s="189">
        <f t="shared" si="44"/>
        <v>45839</v>
      </c>
      <c r="Q80" s="189">
        <v>45870</v>
      </c>
      <c r="R80" s="189">
        <f t="shared" ref="R80:AD80" si="45">EOMONTH(Q80,0)+1</f>
        <v>45901</v>
      </c>
      <c r="S80" s="189">
        <f t="shared" si="45"/>
        <v>45931</v>
      </c>
      <c r="T80" s="189">
        <f t="shared" si="45"/>
        <v>45962</v>
      </c>
      <c r="U80" s="189">
        <f t="shared" si="45"/>
        <v>45992</v>
      </c>
      <c r="V80" s="189">
        <f t="shared" si="45"/>
        <v>46023</v>
      </c>
      <c r="W80" s="189">
        <f t="shared" si="45"/>
        <v>46054</v>
      </c>
      <c r="X80" s="189">
        <f t="shared" si="45"/>
        <v>46082</v>
      </c>
      <c r="Y80" s="189">
        <f t="shared" si="45"/>
        <v>46113</v>
      </c>
      <c r="Z80" s="189">
        <f t="shared" si="45"/>
        <v>46143</v>
      </c>
      <c r="AA80" s="189">
        <f t="shared" si="45"/>
        <v>46174</v>
      </c>
      <c r="AB80" s="189">
        <f t="shared" si="45"/>
        <v>46204</v>
      </c>
      <c r="AC80" s="189">
        <f t="shared" si="45"/>
        <v>46235</v>
      </c>
      <c r="AD80" s="189">
        <f t="shared" si="45"/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>+H88-H83-H87</f>
        <v>17</v>
      </c>
      <c r="J82" s="181">
        <f t="shared" ref="J82:Z82" si="46">+J88-J83-J87</f>
        <v>30</v>
      </c>
      <c r="K82" s="181">
        <f t="shared" si="46"/>
        <v>26</v>
      </c>
      <c r="L82" s="181">
        <f t="shared" si="46"/>
        <v>26</v>
      </c>
      <c r="M82" s="181">
        <f t="shared" si="46"/>
        <v>26</v>
      </c>
      <c r="N82" s="181">
        <f t="shared" si="46"/>
        <v>23</v>
      </c>
      <c r="O82" s="181">
        <f t="shared" si="46"/>
        <v>23</v>
      </c>
      <c r="P82" s="181">
        <f t="shared" si="46"/>
        <v>18</v>
      </c>
      <c r="Q82" s="181">
        <f t="shared" si="46"/>
        <v>19</v>
      </c>
      <c r="R82" s="181">
        <f t="shared" si="46"/>
        <v>18</v>
      </c>
      <c r="S82" s="181">
        <f t="shared" si="46"/>
        <v>17</v>
      </c>
      <c r="T82" s="181">
        <f t="shared" si="46"/>
        <v>17</v>
      </c>
      <c r="U82" s="181">
        <f t="shared" si="46"/>
        <v>10</v>
      </c>
      <c r="V82" s="181">
        <f t="shared" si="46"/>
        <v>3</v>
      </c>
      <c r="W82" s="181">
        <f t="shared" si="46"/>
        <v>1</v>
      </c>
      <c r="X82" s="181">
        <f t="shared" si="46"/>
        <v>1</v>
      </c>
      <c r="Y82" s="181">
        <f t="shared" si="46"/>
        <v>1</v>
      </c>
      <c r="Z82" s="181">
        <f t="shared" si="46"/>
        <v>2</v>
      </c>
      <c r="AA82" s="181">
        <f>+AA88-AA83-AA87</f>
        <v>1</v>
      </c>
      <c r="AB82" s="181">
        <f>+AB88-AB83-AB87</f>
        <v>1</v>
      </c>
      <c r="AC82" s="181">
        <f>+AC88-AC83-AC87</f>
        <v>0</v>
      </c>
      <c r="AD82" s="181">
        <f>+AD88-AD83-AD87</f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>SUM(J84:U84)</f>
        <v>-24</v>
      </c>
      <c r="F84" s="194">
        <f>SUM(V84:AD84)</f>
        <v>-2</v>
      </c>
      <c r="H84" s="194">
        <f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>SUM(J85:U85)</f>
        <v>-19</v>
      </c>
      <c r="F85" s="194">
        <f>SUM(V85:AD85)</f>
        <v>-2</v>
      </c>
      <c r="H85" s="194">
        <f>SUM(S85:AD85)</f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>SUM(J86:U86)</f>
        <v>0</v>
      </c>
      <c r="F86" s="194">
        <f>SUM(V86:AD86)</f>
        <v>0</v>
      </c>
      <c r="H86" s="194">
        <f>SUM(S86:AD86)</f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47">+K82</f>
        <v>26</v>
      </c>
      <c r="K88" s="257">
        <f t="shared" si="47"/>
        <v>26</v>
      </c>
      <c r="L88" s="257">
        <f t="shared" si="47"/>
        <v>26</v>
      </c>
      <c r="M88" s="257">
        <f t="shared" si="47"/>
        <v>23</v>
      </c>
      <c r="N88" s="257">
        <f t="shared" si="47"/>
        <v>23</v>
      </c>
      <c r="O88" s="257">
        <f t="shared" si="47"/>
        <v>18</v>
      </c>
      <c r="P88" s="257">
        <f t="shared" si="47"/>
        <v>19</v>
      </c>
      <c r="Q88" s="257">
        <f t="shared" si="47"/>
        <v>18</v>
      </c>
      <c r="R88" s="257">
        <f t="shared" si="47"/>
        <v>17</v>
      </c>
      <c r="S88" s="259">
        <f t="shared" si="47"/>
        <v>17</v>
      </c>
      <c r="T88" s="257">
        <f t="shared" si="47"/>
        <v>10</v>
      </c>
      <c r="U88" s="257">
        <f t="shared" si="47"/>
        <v>3</v>
      </c>
      <c r="V88" s="257">
        <f t="shared" si="47"/>
        <v>1</v>
      </c>
      <c r="W88" s="257">
        <f t="shared" si="47"/>
        <v>1</v>
      </c>
      <c r="X88" s="257">
        <f t="shared" si="47"/>
        <v>1</v>
      </c>
      <c r="Y88" s="257">
        <f t="shared" si="47"/>
        <v>2</v>
      </c>
      <c r="Z88" s="257">
        <f t="shared" si="47"/>
        <v>1</v>
      </c>
      <c r="AA88" s="257">
        <f t="shared" si="47"/>
        <v>1</v>
      </c>
      <c r="AB88" s="257">
        <f t="shared" si="47"/>
        <v>0</v>
      </c>
      <c r="AC88" s="257">
        <f t="shared" si="47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48">AVERAGE(K82,K88)</f>
        <v>26</v>
      </c>
      <c r="L90" s="257">
        <f t="shared" si="48"/>
        <v>26</v>
      </c>
      <c r="M90" s="257">
        <f t="shared" si="48"/>
        <v>24.5</v>
      </c>
      <c r="N90" s="257">
        <f t="shared" si="48"/>
        <v>23</v>
      </c>
      <c r="O90" s="257">
        <f t="shared" si="48"/>
        <v>20.5</v>
      </c>
      <c r="P90" s="257">
        <f t="shared" si="48"/>
        <v>18.5</v>
      </c>
      <c r="Q90" s="257">
        <f t="shared" si="48"/>
        <v>18.5</v>
      </c>
      <c r="R90" s="257">
        <f t="shared" si="48"/>
        <v>17.5</v>
      </c>
      <c r="S90" s="259">
        <f t="shared" si="48"/>
        <v>17</v>
      </c>
      <c r="T90" s="257">
        <f t="shared" si="48"/>
        <v>13.5</v>
      </c>
      <c r="U90" s="257">
        <f t="shared" si="48"/>
        <v>6.5</v>
      </c>
      <c r="V90" s="257">
        <f t="shared" si="48"/>
        <v>2</v>
      </c>
      <c r="W90" s="257">
        <f t="shared" si="48"/>
        <v>1</v>
      </c>
      <c r="X90" s="257">
        <f t="shared" si="48"/>
        <v>1</v>
      </c>
      <c r="Y90" s="257">
        <f t="shared" si="48"/>
        <v>1.5</v>
      </c>
      <c r="Z90" s="257">
        <f t="shared" si="48"/>
        <v>1.5</v>
      </c>
      <c r="AA90" s="257">
        <f t="shared" si="48"/>
        <v>1</v>
      </c>
      <c r="AB90" s="257">
        <f t="shared" si="48"/>
        <v>0.5</v>
      </c>
      <c r="AC90" s="257">
        <f t="shared" si="48"/>
        <v>0</v>
      </c>
      <c r="AD90" s="260">
        <f t="shared" si="48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49">(J83+J82)/J82-1</f>
        <v>0</v>
      </c>
      <c r="K92" s="233">
        <f t="shared" si="49"/>
        <v>0.11538461538461542</v>
      </c>
      <c r="L92" s="233">
        <f t="shared" si="49"/>
        <v>7.6923076923076872E-2</v>
      </c>
      <c r="M92" s="233">
        <f t="shared" si="49"/>
        <v>3.8461538461538547E-2</v>
      </c>
      <c r="N92" s="233">
        <f t="shared" si="49"/>
        <v>8.6956521739130377E-2</v>
      </c>
      <c r="O92" s="233">
        <f t="shared" si="49"/>
        <v>4.3478260869565188E-2</v>
      </c>
      <c r="P92" s="233">
        <f t="shared" si="49"/>
        <v>5.555555555555558E-2</v>
      </c>
      <c r="Q92" s="233">
        <f t="shared" si="49"/>
        <v>5.2631578947368363E-2</v>
      </c>
      <c r="R92" s="233">
        <f t="shared" si="49"/>
        <v>0.11111111111111116</v>
      </c>
      <c r="S92" s="243">
        <f t="shared" si="49"/>
        <v>5.8823529411764719E-2</v>
      </c>
      <c r="T92" s="233">
        <f t="shared" si="49"/>
        <v>5.8823529411764719E-2</v>
      </c>
      <c r="U92" s="233">
        <f t="shared" si="49"/>
        <v>0.10000000000000009</v>
      </c>
      <c r="V92" s="233">
        <f t="shared" si="49"/>
        <v>0</v>
      </c>
      <c r="W92" s="233">
        <f t="shared" si="49"/>
        <v>0</v>
      </c>
      <c r="X92" s="233">
        <f t="shared" si="49"/>
        <v>0</v>
      </c>
      <c r="Y92" s="233">
        <f t="shared" si="49"/>
        <v>1</v>
      </c>
      <c r="Z92" s="233">
        <f t="shared" si="49"/>
        <v>0</v>
      </c>
      <c r="AA92" s="233">
        <f t="shared" si="49"/>
        <v>0</v>
      </c>
      <c r="AB92" s="233">
        <f t="shared" si="49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50">(J87+J90)/J90-1</f>
        <v>-0.1428571428571429</v>
      </c>
      <c r="K93" s="236">
        <f t="shared" si="50"/>
        <v>-0.11538461538461542</v>
      </c>
      <c r="L93" s="236">
        <f t="shared" si="50"/>
        <v>-7.6923076923076872E-2</v>
      </c>
      <c r="M93" s="236">
        <f t="shared" si="50"/>
        <v>-0.16326530612244894</v>
      </c>
      <c r="N93" s="236">
        <f t="shared" si="50"/>
        <v>-8.6956521739130488E-2</v>
      </c>
      <c r="O93" s="236">
        <f t="shared" si="50"/>
        <v>-0.29268292682926833</v>
      </c>
      <c r="P93" s="236">
        <f t="shared" si="50"/>
        <v>0</v>
      </c>
      <c r="Q93" s="236">
        <f t="shared" si="50"/>
        <v>-0.10810810810810811</v>
      </c>
      <c r="R93" s="236">
        <f t="shared" si="50"/>
        <v>-0.17142857142857137</v>
      </c>
      <c r="S93" s="238">
        <f t="shared" si="50"/>
        <v>-5.8823529411764719E-2</v>
      </c>
      <c r="T93" s="236">
        <f t="shared" si="50"/>
        <v>-0.59259259259259256</v>
      </c>
      <c r="U93" s="236">
        <f t="shared" si="50"/>
        <v>-1.2307692307692308</v>
      </c>
      <c r="V93" s="236">
        <f t="shared" si="50"/>
        <v>-1</v>
      </c>
      <c r="W93" s="236">
        <f t="shared" si="50"/>
        <v>0</v>
      </c>
      <c r="X93" s="236">
        <f t="shared" si="50"/>
        <v>0</v>
      </c>
      <c r="Y93" s="236">
        <f t="shared" si="50"/>
        <v>0</v>
      </c>
      <c r="Z93" s="236">
        <f t="shared" si="50"/>
        <v>-0.66666666666666674</v>
      </c>
      <c r="AA93" s="236">
        <f t="shared" si="50"/>
        <v>0</v>
      </c>
      <c r="AB93" s="236">
        <f t="shared" si="50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:P95" si="51">EOMONTH(J95,0)+1</f>
        <v>45689</v>
      </c>
      <c r="L95" s="189">
        <f t="shared" si="51"/>
        <v>45717</v>
      </c>
      <c r="M95" s="189">
        <f t="shared" si="51"/>
        <v>45748</v>
      </c>
      <c r="N95" s="189">
        <f t="shared" si="51"/>
        <v>45778</v>
      </c>
      <c r="O95" s="189">
        <f t="shared" si="51"/>
        <v>45809</v>
      </c>
      <c r="P95" s="189">
        <f t="shared" si="51"/>
        <v>45839</v>
      </c>
      <c r="Q95" s="189">
        <v>45870</v>
      </c>
      <c r="R95" s="189">
        <f t="shared" ref="R95:AD95" si="52">EOMONTH(Q95,0)+1</f>
        <v>45901</v>
      </c>
      <c r="S95" s="189">
        <f t="shared" si="52"/>
        <v>45931</v>
      </c>
      <c r="T95" s="189">
        <f t="shared" si="52"/>
        <v>45962</v>
      </c>
      <c r="U95" s="189">
        <f t="shared" si="52"/>
        <v>45992</v>
      </c>
      <c r="V95" s="189">
        <f t="shared" si="52"/>
        <v>46023</v>
      </c>
      <c r="W95" s="189">
        <f t="shared" si="52"/>
        <v>46054</v>
      </c>
      <c r="X95" s="189">
        <f t="shared" si="52"/>
        <v>46082</v>
      </c>
      <c r="Y95" s="189">
        <f t="shared" si="52"/>
        <v>46113</v>
      </c>
      <c r="Z95" s="189">
        <f t="shared" si="52"/>
        <v>46143</v>
      </c>
      <c r="AA95" s="189">
        <f t="shared" si="52"/>
        <v>46174</v>
      </c>
      <c r="AB95" s="189">
        <f t="shared" si="52"/>
        <v>46204</v>
      </c>
      <c r="AC95" s="189">
        <f t="shared" si="52"/>
        <v>46235</v>
      </c>
      <c r="AD95" s="189">
        <f t="shared" si="52"/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>+H103-H98-H102</f>
        <v>1</v>
      </c>
      <c r="J97" s="181">
        <f t="shared" ref="J97:Z97" si="53">+J103-J98-J102</f>
        <v>0</v>
      </c>
      <c r="K97" s="181">
        <f t="shared" si="53"/>
        <v>0</v>
      </c>
      <c r="L97" s="181">
        <f t="shared" si="53"/>
        <v>0</v>
      </c>
      <c r="M97" s="181">
        <f t="shared" si="53"/>
        <v>0</v>
      </c>
      <c r="N97" s="181">
        <f t="shared" si="53"/>
        <v>0</v>
      </c>
      <c r="O97" s="181">
        <f t="shared" si="53"/>
        <v>0</v>
      </c>
      <c r="P97" s="181">
        <f t="shared" si="53"/>
        <v>0</v>
      </c>
      <c r="Q97" s="181">
        <f t="shared" si="53"/>
        <v>0</v>
      </c>
      <c r="R97" s="181">
        <f t="shared" si="53"/>
        <v>0</v>
      </c>
      <c r="S97" s="181">
        <f t="shared" si="53"/>
        <v>1</v>
      </c>
      <c r="T97" s="181">
        <f t="shared" si="53"/>
        <v>9</v>
      </c>
      <c r="U97" s="181">
        <f t="shared" si="53"/>
        <v>8</v>
      </c>
      <c r="V97" s="181">
        <f t="shared" si="53"/>
        <v>8</v>
      </c>
      <c r="W97" s="181">
        <f t="shared" si="53"/>
        <v>9</v>
      </c>
      <c r="X97" s="181">
        <f t="shared" si="53"/>
        <v>11</v>
      </c>
      <c r="Y97" s="181">
        <f t="shared" si="53"/>
        <v>11</v>
      </c>
      <c r="Z97" s="181">
        <f t="shared" si="53"/>
        <v>11</v>
      </c>
      <c r="AA97" s="181">
        <f>+AA103-AA98-AA102</f>
        <v>11</v>
      </c>
      <c r="AB97" s="181">
        <f>+AB103-AB98-AB102</f>
        <v>11</v>
      </c>
      <c r="AC97" s="181">
        <f>+AC103-AC98-AC102</f>
        <v>11</v>
      </c>
      <c r="AD97" s="181">
        <f>+AD103-AD98-AD102</f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>SUM(J99:U99)</f>
        <v>0</v>
      </c>
      <c r="F99" s="194">
        <f>SUM(V99:AD99)</f>
        <v>0</v>
      </c>
      <c r="H99" s="194">
        <f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>SUM(J100:U100)</f>
        <v>0</v>
      </c>
      <c r="F100" s="194">
        <f>SUM(V100:AD100)</f>
        <v>0</v>
      </c>
      <c r="H100" s="194">
        <f>SUM(S100:AD100)</f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>SUM(J101:U101)</f>
        <v>-2</v>
      </c>
      <c r="F101" s="194">
        <f>SUM(V101:AD101)</f>
        <v>0</v>
      </c>
      <c r="H101" s="194">
        <f>SUM(S101:AD101)</f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54">+K97</f>
        <v>0</v>
      </c>
      <c r="K103" s="257">
        <f t="shared" si="54"/>
        <v>0</v>
      </c>
      <c r="L103" s="257">
        <f t="shared" si="54"/>
        <v>0</v>
      </c>
      <c r="M103" s="257">
        <f t="shared" si="54"/>
        <v>0</v>
      </c>
      <c r="N103" s="257">
        <f t="shared" si="54"/>
        <v>0</v>
      </c>
      <c r="O103" s="257">
        <f t="shared" si="54"/>
        <v>0</v>
      </c>
      <c r="P103" s="257">
        <f t="shared" si="54"/>
        <v>0</v>
      </c>
      <c r="Q103" s="257">
        <f t="shared" si="54"/>
        <v>0</v>
      </c>
      <c r="R103" s="257">
        <f t="shared" si="54"/>
        <v>1</v>
      </c>
      <c r="S103" s="257">
        <f t="shared" si="54"/>
        <v>9</v>
      </c>
      <c r="T103" s="257">
        <f t="shared" si="54"/>
        <v>8</v>
      </c>
      <c r="U103" s="257">
        <f t="shared" si="54"/>
        <v>8</v>
      </c>
      <c r="V103" s="257">
        <f t="shared" si="54"/>
        <v>9</v>
      </c>
      <c r="W103" s="257">
        <f t="shared" si="54"/>
        <v>11</v>
      </c>
      <c r="X103" s="257">
        <f t="shared" si="54"/>
        <v>11</v>
      </c>
      <c r="Y103" s="257">
        <f t="shared" si="54"/>
        <v>11</v>
      </c>
      <c r="Z103" s="257">
        <f t="shared" si="54"/>
        <v>11</v>
      </c>
      <c r="AA103" s="257">
        <f t="shared" si="54"/>
        <v>11</v>
      </c>
      <c r="AB103" s="257">
        <f t="shared" si="54"/>
        <v>11</v>
      </c>
      <c r="AC103" s="257">
        <f t="shared" si="54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55">AVERAGE(K97,K103)</f>
        <v>0</v>
      </c>
      <c r="L105" s="257">
        <f t="shared" si="55"/>
        <v>0</v>
      </c>
      <c r="M105" s="257">
        <f t="shared" si="55"/>
        <v>0</v>
      </c>
      <c r="N105" s="257">
        <f t="shared" si="55"/>
        <v>0</v>
      </c>
      <c r="O105" s="257">
        <f t="shared" si="55"/>
        <v>0</v>
      </c>
      <c r="P105" s="257">
        <f t="shared" si="55"/>
        <v>0</v>
      </c>
      <c r="Q105" s="257">
        <f t="shared" si="55"/>
        <v>0</v>
      </c>
      <c r="R105" s="257">
        <f t="shared" si="55"/>
        <v>0.5</v>
      </c>
      <c r="S105" s="259">
        <f t="shared" si="55"/>
        <v>5</v>
      </c>
      <c r="T105" s="257">
        <f t="shared" si="55"/>
        <v>8.5</v>
      </c>
      <c r="U105" s="257">
        <f t="shared" si="55"/>
        <v>8</v>
      </c>
      <c r="V105" s="257">
        <f t="shared" si="55"/>
        <v>8.5</v>
      </c>
      <c r="W105" s="257">
        <f t="shared" si="55"/>
        <v>10</v>
      </c>
      <c r="X105" s="257">
        <f t="shared" si="55"/>
        <v>11</v>
      </c>
      <c r="Y105" s="257">
        <f t="shared" si="55"/>
        <v>11</v>
      </c>
      <c r="Z105" s="257">
        <f t="shared" si="55"/>
        <v>11</v>
      </c>
      <c r="AA105" s="257">
        <f t="shared" si="55"/>
        <v>11</v>
      </c>
      <c r="AB105" s="257">
        <f t="shared" si="55"/>
        <v>11</v>
      </c>
      <c r="AC105" s="257">
        <f t="shared" si="55"/>
        <v>11</v>
      </c>
      <c r="AD105" s="260">
        <f t="shared" si="55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56">IFERROR((J98+J97)/J97-1,0)</f>
        <v>0</v>
      </c>
      <c r="K107" s="233">
        <f t="shared" si="56"/>
        <v>0</v>
      </c>
      <c r="L107" s="233">
        <f t="shared" si="56"/>
        <v>0</v>
      </c>
      <c r="M107" s="233">
        <f t="shared" si="56"/>
        <v>0</v>
      </c>
      <c r="N107" s="233">
        <f t="shared" si="56"/>
        <v>0</v>
      </c>
      <c r="O107" s="233">
        <f t="shared" si="56"/>
        <v>0</v>
      </c>
      <c r="P107" s="233">
        <f t="shared" si="56"/>
        <v>0</v>
      </c>
      <c r="Q107" s="233">
        <f t="shared" si="56"/>
        <v>0</v>
      </c>
      <c r="R107" s="233">
        <f t="shared" si="56"/>
        <v>0</v>
      </c>
      <c r="S107" s="233">
        <f>(S98+S97)/S97-1</f>
        <v>8</v>
      </c>
      <c r="T107" s="233">
        <f>(T98+T97)/T97-1</f>
        <v>0</v>
      </c>
      <c r="U107" s="233">
        <f t="shared" ref="U107:AD107" si="57">IFERROR((U98+U97)/U97-1,0)</f>
        <v>0</v>
      </c>
      <c r="V107" s="233">
        <f t="shared" si="57"/>
        <v>0.125</v>
      </c>
      <c r="W107" s="233">
        <f t="shared" si="57"/>
        <v>0.22222222222222232</v>
      </c>
      <c r="X107" s="233">
        <f t="shared" si="57"/>
        <v>0</v>
      </c>
      <c r="Y107" s="233">
        <f t="shared" si="57"/>
        <v>0</v>
      </c>
      <c r="Z107" s="233">
        <f t="shared" si="57"/>
        <v>0</v>
      </c>
      <c r="AA107" s="233">
        <f t="shared" si="57"/>
        <v>0</v>
      </c>
      <c r="AB107" s="233">
        <f t="shared" si="57"/>
        <v>0</v>
      </c>
      <c r="AC107" s="233">
        <f t="shared" si="57"/>
        <v>0</v>
      </c>
      <c r="AD107" s="244">
        <f t="shared" si="57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58">(J102+J105)/J105-1</f>
        <v>#DIV/0!</v>
      </c>
      <c r="K108" s="236" t="e">
        <f t="shared" si="58"/>
        <v>#DIV/0!</v>
      </c>
      <c r="L108" s="236" t="e">
        <f t="shared" si="58"/>
        <v>#DIV/0!</v>
      </c>
      <c r="M108" s="236" t="e">
        <f t="shared" si="58"/>
        <v>#DIV/0!</v>
      </c>
      <c r="N108" s="236" t="e">
        <f t="shared" si="58"/>
        <v>#DIV/0!</v>
      </c>
      <c r="O108" s="236" t="e">
        <f t="shared" si="58"/>
        <v>#DIV/0!</v>
      </c>
      <c r="P108" s="236" t="e">
        <f t="shared" si="58"/>
        <v>#DIV/0!</v>
      </c>
      <c r="Q108" s="236" t="e">
        <f t="shared" si="58"/>
        <v>#DIV/0!</v>
      </c>
      <c r="R108" s="236">
        <f t="shared" si="58"/>
        <v>-2</v>
      </c>
      <c r="S108" s="236">
        <f t="shared" si="58"/>
        <v>0</v>
      </c>
      <c r="T108" s="236">
        <f t="shared" si="58"/>
        <v>-0.11764705882352944</v>
      </c>
      <c r="U108" s="236">
        <f t="shared" si="58"/>
        <v>0</v>
      </c>
      <c r="V108" s="236">
        <f t="shared" si="58"/>
        <v>0</v>
      </c>
      <c r="W108" s="236">
        <f t="shared" si="58"/>
        <v>0</v>
      </c>
      <c r="X108" s="236">
        <f t="shared" si="58"/>
        <v>0</v>
      </c>
      <c r="Y108" s="236">
        <f t="shared" si="58"/>
        <v>0</v>
      </c>
      <c r="Z108" s="236">
        <f t="shared" si="58"/>
        <v>0</v>
      </c>
      <c r="AA108" s="236">
        <f t="shared" si="58"/>
        <v>0</v>
      </c>
      <c r="AB108" s="236">
        <f t="shared" si="58"/>
        <v>0</v>
      </c>
      <c r="AC108" s="236">
        <f t="shared" si="58"/>
        <v>0</v>
      </c>
      <c r="AD108" s="237">
        <f t="shared" si="58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8" priority="1">
      <formula>$AG$3=1</formula>
    </cfRule>
  </conditionalFormatting>
  <conditionalFormatting sqref="B6:H6 J6:AH6">
    <cfRule type="expression" dxfId="57" priority="19">
      <formula>$Y$3=1</formula>
    </cfRule>
  </conditionalFormatting>
  <conditionalFormatting sqref="B21:H21 J21:AH21">
    <cfRule type="expression" dxfId="56" priority="7">
      <formula>$Y$3=1</formula>
    </cfRule>
  </conditionalFormatting>
  <conditionalFormatting sqref="B36:H36">
    <cfRule type="expression" dxfId="55" priority="6">
      <formula>$Y$3=1</formula>
    </cfRule>
  </conditionalFormatting>
  <conditionalFormatting sqref="B51:H51">
    <cfRule type="expression" dxfId="54" priority="5">
      <formula>$Y$3=1</formula>
    </cfRule>
  </conditionalFormatting>
  <conditionalFormatting sqref="B66:H66">
    <cfRule type="expression" dxfId="53" priority="4">
      <formula>$Y$3=1</formula>
    </cfRule>
  </conditionalFormatting>
  <conditionalFormatting sqref="B81:H81">
    <cfRule type="expression" dxfId="52" priority="3">
      <formula>$Y$3=1</formula>
    </cfRule>
  </conditionalFormatting>
  <conditionalFormatting sqref="B96:H96">
    <cfRule type="expression" dxfId="51" priority="2">
      <formula>$Y$3=1</formula>
    </cfRule>
  </conditionalFormatting>
  <conditionalFormatting sqref="J36:AH36">
    <cfRule type="expression" dxfId="50" priority="17">
      <formula>$Y$3=1</formula>
    </cfRule>
  </conditionalFormatting>
  <conditionalFormatting sqref="J51:AH51">
    <cfRule type="expression" dxfId="49" priority="13">
      <formula>$Y$3=1</formula>
    </cfRule>
  </conditionalFormatting>
  <conditionalFormatting sqref="J66:AH66">
    <cfRule type="expression" dxfId="48" priority="16">
      <formula>$Y$3=1</formula>
    </cfRule>
  </conditionalFormatting>
  <conditionalFormatting sqref="J81:AH81">
    <cfRule type="expression" dxfId="47" priority="15">
      <formula>$Y$3=1</formula>
    </cfRule>
  </conditionalFormatting>
  <conditionalFormatting sqref="J96:AH96">
    <cfRule type="expression" dxfId="46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:I117" si="2">EOMONTH(C117,0)+1</f>
        <v>45689</v>
      </c>
      <c r="E117" s="189">
        <f t="shared" si="2"/>
        <v>45717</v>
      </c>
      <c r="F117" s="189">
        <f t="shared" si="2"/>
        <v>45748</v>
      </c>
      <c r="G117" s="189">
        <f t="shared" si="2"/>
        <v>45778</v>
      </c>
      <c r="H117" s="189">
        <f t="shared" si="2"/>
        <v>45809</v>
      </c>
      <c r="I117" s="189">
        <f t="shared" si="2"/>
        <v>45839</v>
      </c>
      <c r="J117" s="189">
        <v>45870</v>
      </c>
      <c r="K117" s="189">
        <f t="shared" ref="K117:W117" si="3">EOMONTH(J117,0)+1</f>
        <v>45901</v>
      </c>
      <c r="L117" s="189">
        <f t="shared" si="3"/>
        <v>45931</v>
      </c>
      <c r="M117" s="189">
        <f t="shared" si="3"/>
        <v>45962</v>
      </c>
      <c r="N117" s="189">
        <f t="shared" si="3"/>
        <v>45992</v>
      </c>
      <c r="O117" s="189">
        <f t="shared" si="3"/>
        <v>46023</v>
      </c>
      <c r="P117" s="189">
        <f t="shared" si="3"/>
        <v>46054</v>
      </c>
      <c r="Q117" s="189">
        <f t="shared" si="3"/>
        <v>46082</v>
      </c>
      <c r="R117" s="189">
        <f t="shared" si="3"/>
        <v>46113</v>
      </c>
      <c r="S117" s="189">
        <f t="shared" si="3"/>
        <v>46143</v>
      </c>
      <c r="T117" s="189">
        <f t="shared" si="3"/>
        <v>46174</v>
      </c>
      <c r="U117" s="189">
        <f t="shared" si="3"/>
        <v>46204</v>
      </c>
      <c r="V117" s="189">
        <f t="shared" si="3"/>
        <v>46235</v>
      </c>
      <c r="W117" s="189">
        <f t="shared" si="3"/>
        <v>46266</v>
      </c>
    </row>
    <row r="118" spans="2:23">
      <c r="B118" s="263" t="s">
        <v>1534</v>
      </c>
      <c r="C118" s="83">
        <f t="shared" ref="C118:W118" si="4">+C112</f>
        <v>9</v>
      </c>
      <c r="D118" s="83">
        <f t="shared" si="4"/>
        <v>5</v>
      </c>
      <c r="E118" s="83">
        <f t="shared" si="4"/>
        <v>8</v>
      </c>
      <c r="F118" s="83">
        <f t="shared" si="4"/>
        <v>9</v>
      </c>
      <c r="G118" s="83">
        <f t="shared" si="4"/>
        <v>9</v>
      </c>
      <c r="H118" s="83">
        <f t="shared" si="4"/>
        <v>6</v>
      </c>
      <c r="I118" s="83">
        <f t="shared" si="4"/>
        <v>7</v>
      </c>
      <c r="J118" s="83">
        <f t="shared" si="4"/>
        <v>7</v>
      </c>
      <c r="K118" s="83">
        <f t="shared" si="4"/>
        <v>6</v>
      </c>
      <c r="L118" s="83">
        <f t="shared" si="4"/>
        <v>6</v>
      </c>
      <c r="M118" s="83">
        <f t="shared" si="4"/>
        <v>7</v>
      </c>
      <c r="N118" s="83">
        <f t="shared" si="4"/>
        <v>11</v>
      </c>
      <c r="O118" s="83">
        <f t="shared" si="4"/>
        <v>10</v>
      </c>
      <c r="P118" s="83">
        <f t="shared" si="4"/>
        <v>9</v>
      </c>
      <c r="Q118" s="83">
        <f t="shared" si="4"/>
        <v>6</v>
      </c>
      <c r="R118" s="83">
        <f t="shared" si="4"/>
        <v>11</v>
      </c>
      <c r="S118" s="83">
        <f t="shared" si="4"/>
        <v>7</v>
      </c>
      <c r="T118" s="83">
        <f t="shared" si="4"/>
        <v>4</v>
      </c>
      <c r="U118" s="83">
        <f t="shared" si="4"/>
        <v>5</v>
      </c>
      <c r="V118" s="83">
        <f t="shared" si="4"/>
        <v>3</v>
      </c>
      <c r="W118" s="83">
        <f t="shared" si="4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:I121" si="5">EOMONTH(C121,0)+1</f>
        <v>45689</v>
      </c>
      <c r="E121" s="189">
        <f t="shared" si="5"/>
        <v>45717</v>
      </c>
      <c r="F121" s="189">
        <f t="shared" si="5"/>
        <v>45748</v>
      </c>
      <c r="G121" s="189">
        <f t="shared" si="5"/>
        <v>45778</v>
      </c>
      <c r="H121" s="189">
        <f t="shared" si="5"/>
        <v>45809</v>
      </c>
      <c r="I121" s="189">
        <f t="shared" si="5"/>
        <v>45839</v>
      </c>
      <c r="J121" s="189">
        <v>45870</v>
      </c>
      <c r="K121" s="189">
        <f t="shared" ref="K121:W121" si="6">EOMONTH(J121,0)+1</f>
        <v>45901</v>
      </c>
      <c r="L121" s="189">
        <f t="shared" si="6"/>
        <v>45931</v>
      </c>
      <c r="M121" s="189">
        <f t="shared" si="6"/>
        <v>45962</v>
      </c>
      <c r="N121" s="189">
        <f t="shared" si="6"/>
        <v>45992</v>
      </c>
      <c r="O121" s="189">
        <f t="shared" si="6"/>
        <v>46023</v>
      </c>
      <c r="P121" s="189">
        <f t="shared" si="6"/>
        <v>46054</v>
      </c>
      <c r="Q121" s="189">
        <f t="shared" si="6"/>
        <v>46082</v>
      </c>
      <c r="R121" s="189">
        <f t="shared" si="6"/>
        <v>46113</v>
      </c>
      <c r="S121" s="189">
        <f t="shared" si="6"/>
        <v>46143</v>
      </c>
      <c r="T121" s="189">
        <f t="shared" si="6"/>
        <v>46174</v>
      </c>
      <c r="U121" s="189">
        <f t="shared" si="6"/>
        <v>46204</v>
      </c>
      <c r="V121" s="189">
        <f t="shared" si="6"/>
        <v>46235</v>
      </c>
      <c r="W121" s="189">
        <f t="shared" si="6"/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:I125" si="7">EOMONTH(C125,0)+1</f>
        <v>45689</v>
      </c>
      <c r="E125" s="189">
        <f t="shared" si="7"/>
        <v>45717</v>
      </c>
      <c r="F125" s="189">
        <f t="shared" si="7"/>
        <v>45748</v>
      </c>
      <c r="G125" s="189">
        <f t="shared" si="7"/>
        <v>45778</v>
      </c>
      <c r="H125" s="189">
        <f t="shared" si="7"/>
        <v>45809</v>
      </c>
      <c r="I125" s="189">
        <f t="shared" si="7"/>
        <v>45839</v>
      </c>
      <c r="J125" s="189">
        <v>45870</v>
      </c>
      <c r="K125" s="189">
        <f t="shared" ref="K125:W125" si="8">EOMONTH(J125,0)+1</f>
        <v>45901</v>
      </c>
      <c r="L125" s="189">
        <f t="shared" si="8"/>
        <v>45931</v>
      </c>
      <c r="M125" s="189">
        <f t="shared" si="8"/>
        <v>45962</v>
      </c>
      <c r="N125" s="189">
        <f t="shared" si="8"/>
        <v>45992</v>
      </c>
      <c r="O125" s="189">
        <f t="shared" si="8"/>
        <v>46023</v>
      </c>
      <c r="P125" s="189">
        <f t="shared" si="8"/>
        <v>46054</v>
      </c>
      <c r="Q125" s="189">
        <f t="shared" si="8"/>
        <v>46082</v>
      </c>
      <c r="R125" s="189">
        <f t="shared" si="8"/>
        <v>46113</v>
      </c>
      <c r="S125" s="189">
        <f t="shared" si="8"/>
        <v>46143</v>
      </c>
      <c r="T125" s="189">
        <f t="shared" si="8"/>
        <v>46174</v>
      </c>
      <c r="U125" s="189">
        <f t="shared" si="8"/>
        <v>46204</v>
      </c>
      <c r="V125" s="189">
        <f t="shared" si="8"/>
        <v>46235</v>
      </c>
      <c r="W125" s="189">
        <f t="shared" si="8"/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5" priority="1">
      <formula>$AG$3=1</formula>
    </cfRule>
  </conditionalFormatting>
  <conditionalFormatting sqref="B6:H6 J6:AH6">
    <cfRule type="expression" dxfId="44" priority="19">
      <formula>$Y$3=1</formula>
    </cfRule>
  </conditionalFormatting>
  <conditionalFormatting sqref="B22:H22 J22:AH22">
    <cfRule type="expression" dxfId="43" priority="7">
      <formula>$Y$3=1</formula>
    </cfRule>
  </conditionalFormatting>
  <conditionalFormatting sqref="B38:H38">
    <cfRule type="expression" dxfId="42" priority="6">
      <formula>$Y$3=1</formula>
    </cfRule>
  </conditionalFormatting>
  <conditionalFormatting sqref="B54:H54">
    <cfRule type="expression" dxfId="41" priority="5">
      <formula>$Y$3=1</formula>
    </cfRule>
  </conditionalFormatting>
  <conditionalFormatting sqref="B70:H70">
    <cfRule type="expression" dxfId="40" priority="4">
      <formula>$Y$3=1</formula>
    </cfRule>
  </conditionalFormatting>
  <conditionalFormatting sqref="B86:H86">
    <cfRule type="expression" dxfId="39" priority="3">
      <formula>$Y$3=1</formula>
    </cfRule>
  </conditionalFormatting>
  <conditionalFormatting sqref="B102:H102">
    <cfRule type="expression" dxfId="38" priority="2">
      <formula>$Y$3=1</formula>
    </cfRule>
  </conditionalFormatting>
  <conditionalFormatting sqref="J38:AH38">
    <cfRule type="expression" dxfId="37" priority="17">
      <formula>$Y$3=1</formula>
    </cfRule>
  </conditionalFormatting>
  <conditionalFormatting sqref="J54:AH54">
    <cfRule type="expression" dxfId="36" priority="13">
      <formula>$Y$3=1</formula>
    </cfRule>
  </conditionalFormatting>
  <conditionalFormatting sqref="J70:AH70">
    <cfRule type="expression" dxfId="35" priority="16">
      <formula>$Y$3=1</formula>
    </cfRule>
  </conditionalFormatting>
  <conditionalFormatting sqref="J86:AH86">
    <cfRule type="expression" dxfId="34" priority="15">
      <formula>$Y$3=1</formula>
    </cfRule>
  </conditionalFormatting>
  <conditionalFormatting sqref="J102:AH102">
    <cfRule type="expression" dxfId="33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2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>S26/$D26</f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>S27/$D27</f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>S28/$D28</f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>+F28+F22+F15+F9</f>
        <v>694.83141999999998</v>
      </c>
      <c r="G30" s="62">
        <f>+G28+G22+G15+G9</f>
        <v>1241.9341399999998</v>
      </c>
      <c r="H30" s="71"/>
      <c r="I30" s="63">
        <f>+I28+I22+I15+I9</f>
        <v>980.98750999999993</v>
      </c>
      <c r="J30" s="61">
        <f>+J28+J22+J15+J9</f>
        <v>1723.8282400000001</v>
      </c>
      <c r="K30" s="62">
        <f>+K28+K22+K15+K9</f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>+P28+P22+P15+P9</f>
        <v>2096.1995900000002</v>
      </c>
      <c r="Q30" s="62">
        <f>+Q28+Q22+Q15+Q9</f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>Q35</f>
        <v>32.178359999999998</v>
      </c>
      <c r="Q35" s="83">
        <f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>+K36</f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>SUM(D33:D36)</f>
        <v>0</v>
      </c>
      <c r="E37" s="71"/>
      <c r="F37" s="63">
        <f>SUM(F33:F36)</f>
        <v>233.61905000000002</v>
      </c>
      <c r="G37" s="62">
        <f>SUM(G33:G36)</f>
        <v>156.81041000000002</v>
      </c>
      <c r="H37" s="71"/>
      <c r="I37" s="63">
        <f>SUM(I33:I36)</f>
        <v>194.94574</v>
      </c>
      <c r="J37" s="61">
        <f>SUM(J33:J36)</f>
        <v>147.47435999999999</v>
      </c>
      <c r="K37" s="62">
        <f>SUM(K33:K36)</f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>SUM(K44:K67)</f>
        <v>0</v>
      </c>
      <c r="L68" s="221"/>
      <c r="M68" s="220">
        <f>SUM(M44:M67)</f>
        <v>0</v>
      </c>
      <c r="N68" s="220">
        <f>SUM(N44:N67)</f>
        <v>0</v>
      </c>
      <c r="O68" s="221"/>
      <c r="P68" s="220">
        <f>SUM(P44:P67)</f>
        <v>0</v>
      </c>
      <c r="Q68" s="220">
        <f>SUM(Q44:Q67)</f>
        <v>0</v>
      </c>
      <c r="R68" s="221"/>
      <c r="S68" s="220">
        <f>SUM(S44:S67)</f>
        <v>0</v>
      </c>
      <c r="T68" s="220">
        <f>SUM(T44:T67)</f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>(C9+C12)/C12-1</f>
        <v>-0.4247787610619469</v>
      </c>
      <c r="D15" s="237">
        <f>(D9+D12)/D12-1</f>
        <v>-0.3439490445859873</v>
      </c>
      <c r="E15" s="245"/>
      <c r="F15" s="239">
        <f>(F9+F12)/F12-1</f>
        <v>-0.46666666666666667</v>
      </c>
      <c r="H15" s="238">
        <f t="shared" ref="H15:AB15" si="8">(H9+H12)/H12-1</f>
        <v>-2.2727272727272707E-2</v>
      </c>
      <c r="I15" s="236">
        <f t="shared" si="8"/>
        <v>-0.11235955056179781</v>
      </c>
      <c r="J15" s="236">
        <f t="shared" si="8"/>
        <v>-6.6666666666666652E-2</v>
      </c>
      <c r="K15" s="236">
        <f t="shared" si="8"/>
        <v>0</v>
      </c>
      <c r="L15" s="236">
        <f t="shared" si="8"/>
        <v>-4.081632653061229E-2</v>
      </c>
      <c r="M15" s="236">
        <f t="shared" si="8"/>
        <v>-5.8823529411764719E-2</v>
      </c>
      <c r="N15" s="236">
        <f t="shared" si="8"/>
        <v>0</v>
      </c>
      <c r="O15" s="236">
        <f t="shared" si="8"/>
        <v>-3.3898305084745783E-2</v>
      </c>
      <c r="P15" s="236">
        <f t="shared" si="8"/>
        <v>0</v>
      </c>
      <c r="Q15" s="238">
        <f t="shared" si="8"/>
        <v>0</v>
      </c>
      <c r="R15" s="236">
        <f t="shared" si="8"/>
        <v>-7.4626865671641784E-2</v>
      </c>
      <c r="S15" s="236">
        <f t="shared" si="8"/>
        <v>-4.3795620437956151E-2</v>
      </c>
      <c r="T15" s="236">
        <f t="shared" si="8"/>
        <v>-1.4084507042253502E-2</v>
      </c>
      <c r="U15" s="236">
        <f t="shared" si="8"/>
        <v>-1.3422818791946289E-2</v>
      </c>
      <c r="V15" s="236">
        <f t="shared" si="8"/>
        <v>0</v>
      </c>
      <c r="W15" s="236">
        <f t="shared" si="8"/>
        <v>-1.2121212121212088E-2</v>
      </c>
      <c r="X15" s="236">
        <f t="shared" si="8"/>
        <v>-8.4337349397590411E-2</v>
      </c>
      <c r="Y15" s="236">
        <f t="shared" si="8"/>
        <v>-3.59281437125748E-2</v>
      </c>
      <c r="Z15" s="236">
        <f t="shared" si="8"/>
        <v>-7.0588235294117618E-2</v>
      </c>
      <c r="AA15" s="236">
        <f t="shared" si="8"/>
        <v>-4.6511627906976716E-2</v>
      </c>
      <c r="AB15" s="237">
        <f t="shared" si="8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9">EOMONTH(H17,0)+1</f>
        <v>45689</v>
      </c>
      <c r="J17" s="189">
        <f t="shared" si="9"/>
        <v>45717</v>
      </c>
      <c r="K17" s="189">
        <f t="shared" si="9"/>
        <v>45748</v>
      </c>
      <c r="L17" s="189">
        <f t="shared" si="9"/>
        <v>45778</v>
      </c>
      <c r="M17" s="189">
        <f t="shared" si="9"/>
        <v>45809</v>
      </c>
      <c r="N17" s="189">
        <f t="shared" si="9"/>
        <v>45839</v>
      </c>
      <c r="O17" s="189">
        <v>45870</v>
      </c>
      <c r="P17" s="189">
        <f t="shared" ref="P17:AB17" si="10">EOMONTH(O17,0)+1</f>
        <v>45901</v>
      </c>
      <c r="Q17" s="189">
        <f t="shared" si="10"/>
        <v>45931</v>
      </c>
      <c r="R17" s="189">
        <f t="shared" si="10"/>
        <v>45962</v>
      </c>
      <c r="S17" s="189">
        <f t="shared" si="10"/>
        <v>45992</v>
      </c>
      <c r="T17" s="189">
        <f t="shared" si="10"/>
        <v>46023</v>
      </c>
      <c r="U17" s="189">
        <f t="shared" si="10"/>
        <v>46054</v>
      </c>
      <c r="V17" s="189">
        <f t="shared" si="10"/>
        <v>46082</v>
      </c>
      <c r="W17" s="189">
        <f t="shared" si="10"/>
        <v>46113</v>
      </c>
      <c r="X17" s="189">
        <f t="shared" si="10"/>
        <v>46143</v>
      </c>
      <c r="Y17" s="189">
        <f t="shared" si="10"/>
        <v>46174</v>
      </c>
      <c r="Z17" s="189">
        <f t="shared" si="10"/>
        <v>46204</v>
      </c>
      <c r="AA17" s="189">
        <f t="shared" si="10"/>
        <v>46235</v>
      </c>
      <c r="AB17" s="189">
        <f t="shared" si="10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1">+H24-H22-H23</f>
        <v>13</v>
      </c>
      <c r="I21" s="181">
        <f t="shared" si="11"/>
        <v>13</v>
      </c>
      <c r="J21" s="181">
        <f t="shared" si="11"/>
        <v>14</v>
      </c>
      <c r="K21" s="181">
        <f t="shared" si="11"/>
        <v>15</v>
      </c>
      <c r="L21" s="181">
        <f t="shared" si="11"/>
        <v>17</v>
      </c>
      <c r="M21" s="181">
        <f t="shared" si="11"/>
        <v>16</v>
      </c>
      <c r="N21" s="181">
        <f t="shared" si="11"/>
        <v>20</v>
      </c>
      <c r="O21" s="181">
        <f t="shared" si="11"/>
        <v>24</v>
      </c>
      <c r="P21" s="181">
        <f t="shared" si="11"/>
        <v>26</v>
      </c>
      <c r="Q21" s="181">
        <f t="shared" si="11"/>
        <v>27</v>
      </c>
      <c r="R21" s="181">
        <f t="shared" si="11"/>
        <v>29</v>
      </c>
      <c r="S21" s="181">
        <f t="shared" si="11"/>
        <v>30</v>
      </c>
      <c r="T21" s="181">
        <f t="shared" si="11"/>
        <v>31</v>
      </c>
      <c r="U21" s="181">
        <f t="shared" si="11"/>
        <v>32</v>
      </c>
      <c r="V21" s="181">
        <f t="shared" si="11"/>
        <v>32</v>
      </c>
      <c r="W21" s="181">
        <f t="shared" si="11"/>
        <v>32</v>
      </c>
      <c r="X21" s="181">
        <f t="shared" si="11"/>
        <v>34</v>
      </c>
      <c r="Y21" s="181">
        <f t="shared" si="11"/>
        <v>34</v>
      </c>
      <c r="Z21" s="181">
        <f t="shared" si="11"/>
        <v>38</v>
      </c>
      <c r="AA21" s="181">
        <f t="shared" si="11"/>
        <v>39</v>
      </c>
      <c r="AB21" s="181">
        <f t="shared" si="11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2">+I21</f>
        <v>13</v>
      </c>
      <c r="I24" s="257">
        <f t="shared" si="12"/>
        <v>14</v>
      </c>
      <c r="J24" s="257">
        <f t="shared" si="12"/>
        <v>15</v>
      </c>
      <c r="K24" s="257">
        <f t="shared" si="12"/>
        <v>17</v>
      </c>
      <c r="L24" s="257">
        <f t="shared" si="12"/>
        <v>16</v>
      </c>
      <c r="M24" s="257">
        <f t="shared" si="12"/>
        <v>20</v>
      </c>
      <c r="N24" s="257">
        <f t="shared" si="12"/>
        <v>24</v>
      </c>
      <c r="O24" s="257">
        <f t="shared" si="12"/>
        <v>26</v>
      </c>
      <c r="P24" s="257">
        <f t="shared" si="12"/>
        <v>27</v>
      </c>
      <c r="Q24" s="259">
        <f t="shared" si="12"/>
        <v>29</v>
      </c>
      <c r="R24" s="257">
        <f t="shared" si="12"/>
        <v>30</v>
      </c>
      <c r="S24" s="257">
        <f t="shared" si="12"/>
        <v>31</v>
      </c>
      <c r="T24" s="257">
        <f t="shared" si="12"/>
        <v>32</v>
      </c>
      <c r="U24" s="257">
        <f t="shared" si="12"/>
        <v>32</v>
      </c>
      <c r="V24" s="257">
        <f t="shared" si="12"/>
        <v>32</v>
      </c>
      <c r="W24" s="257">
        <f t="shared" si="12"/>
        <v>34</v>
      </c>
      <c r="X24" s="257">
        <f t="shared" si="12"/>
        <v>34</v>
      </c>
      <c r="Y24" s="257">
        <f t="shared" si="12"/>
        <v>38</v>
      </c>
      <c r="Z24" s="257">
        <f t="shared" si="12"/>
        <v>39</v>
      </c>
      <c r="AA24" s="257">
        <f t="shared" si="12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3">AVERAGE(H21,H24)</f>
        <v>13</v>
      </c>
      <c r="I26" s="315">
        <f t="shared" si="13"/>
        <v>13.5</v>
      </c>
      <c r="J26" s="315">
        <f t="shared" si="13"/>
        <v>14.5</v>
      </c>
      <c r="K26" s="315">
        <f t="shared" si="13"/>
        <v>16</v>
      </c>
      <c r="L26" s="315">
        <f t="shared" si="13"/>
        <v>16.5</v>
      </c>
      <c r="M26" s="315">
        <f t="shared" si="13"/>
        <v>18</v>
      </c>
      <c r="N26" s="315">
        <f t="shared" si="13"/>
        <v>22</v>
      </c>
      <c r="O26" s="315">
        <f t="shared" si="13"/>
        <v>25</v>
      </c>
      <c r="P26" s="315">
        <f t="shared" si="13"/>
        <v>26.5</v>
      </c>
      <c r="Q26" s="318">
        <f t="shared" si="13"/>
        <v>28</v>
      </c>
      <c r="R26" s="315">
        <f t="shared" si="13"/>
        <v>29.5</v>
      </c>
      <c r="S26" s="315">
        <f t="shared" si="13"/>
        <v>30.5</v>
      </c>
      <c r="T26" s="315">
        <f t="shared" si="13"/>
        <v>31.5</v>
      </c>
      <c r="U26" s="315">
        <f t="shared" si="13"/>
        <v>32</v>
      </c>
      <c r="V26" s="315">
        <f t="shared" si="13"/>
        <v>32</v>
      </c>
      <c r="W26" s="315">
        <f t="shared" si="13"/>
        <v>33</v>
      </c>
      <c r="X26" s="315">
        <f t="shared" si="13"/>
        <v>34</v>
      </c>
      <c r="Y26" s="315">
        <f t="shared" si="13"/>
        <v>36</v>
      </c>
      <c r="Z26" s="315">
        <f t="shared" si="13"/>
        <v>38.5</v>
      </c>
      <c r="AA26" s="315">
        <f t="shared" si="13"/>
        <v>39</v>
      </c>
      <c r="AB26" s="316">
        <f t="shared" si="13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4">H19/H26</f>
        <v>11.23076923076923</v>
      </c>
      <c r="I27" s="310">
        <f t="shared" si="14"/>
        <v>10.925925925925926</v>
      </c>
      <c r="J27" s="310">
        <f t="shared" si="14"/>
        <v>10.413793103448276</v>
      </c>
      <c r="K27" s="310">
        <f t="shared" si="14"/>
        <v>9.78125</v>
      </c>
      <c r="L27" s="310">
        <f t="shared" si="14"/>
        <v>9.8181818181818183</v>
      </c>
      <c r="M27" s="310">
        <f t="shared" si="14"/>
        <v>9.1666666666666661</v>
      </c>
      <c r="N27" s="310">
        <f t="shared" si="14"/>
        <v>7.5909090909090908</v>
      </c>
      <c r="O27" s="310">
        <f t="shared" si="14"/>
        <v>6.88</v>
      </c>
      <c r="P27" s="310">
        <f t="shared" si="14"/>
        <v>6.6415094339622645</v>
      </c>
      <c r="Q27" s="313">
        <f t="shared" si="14"/>
        <v>6.4107142857142856</v>
      </c>
      <c r="R27" s="310">
        <f t="shared" si="14"/>
        <v>6.1525423728813555</v>
      </c>
      <c r="S27" s="310">
        <f t="shared" si="14"/>
        <v>5.918032786885246</v>
      </c>
      <c r="T27" s="310">
        <f t="shared" si="14"/>
        <v>5.8095238095238093</v>
      </c>
      <c r="U27" s="310">
        <f t="shared" si="14"/>
        <v>5.921875</v>
      </c>
      <c r="V27" s="310">
        <f t="shared" si="14"/>
        <v>6.015625</v>
      </c>
      <c r="W27" s="310">
        <f t="shared" si="14"/>
        <v>5.9090909090909092</v>
      </c>
      <c r="X27" s="310">
        <f t="shared" si="14"/>
        <v>5.6911764705882355</v>
      </c>
      <c r="Y27" s="310">
        <f t="shared" si="14"/>
        <v>5.25</v>
      </c>
      <c r="Z27" s="310">
        <f t="shared" si="14"/>
        <v>4.7142857142857144</v>
      </c>
      <c r="AA27" s="310">
        <f t="shared" si="14"/>
        <v>4.4743589743589745</v>
      </c>
      <c r="AB27" s="311">
        <f t="shared" si="14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5">(H22+H21)/H21-1</f>
        <v>0</v>
      </c>
      <c r="I29" s="233">
        <f t="shared" si="15"/>
        <v>0.23076923076923084</v>
      </c>
      <c r="J29" s="233">
        <f t="shared" si="15"/>
        <v>0.14285714285714279</v>
      </c>
      <c r="K29" s="233">
        <f t="shared" si="15"/>
        <v>0.1333333333333333</v>
      </c>
      <c r="L29" s="233">
        <f t="shared" si="15"/>
        <v>5.8823529411764719E-2</v>
      </c>
      <c r="M29" s="233">
        <f t="shared" si="15"/>
        <v>0.375</v>
      </c>
      <c r="N29" s="233">
        <f t="shared" si="15"/>
        <v>0.19999999999999996</v>
      </c>
      <c r="O29" s="233">
        <f t="shared" si="15"/>
        <v>0.16666666666666674</v>
      </c>
      <c r="P29" s="233">
        <f t="shared" si="15"/>
        <v>3.8461538461538547E-2</v>
      </c>
      <c r="Q29" s="243">
        <f t="shared" si="15"/>
        <v>7.4074074074074181E-2</v>
      </c>
      <c r="R29" s="233">
        <f t="shared" si="15"/>
        <v>0.10344827586206895</v>
      </c>
      <c r="S29" s="233">
        <f t="shared" si="15"/>
        <v>3.3333333333333437E-2</v>
      </c>
      <c r="T29" s="233">
        <f t="shared" si="15"/>
        <v>3.2258064516129004E-2</v>
      </c>
      <c r="U29" s="233">
        <f t="shared" si="15"/>
        <v>0</v>
      </c>
      <c r="V29" s="233">
        <f t="shared" si="15"/>
        <v>0</v>
      </c>
      <c r="W29" s="233">
        <f t="shared" si="15"/>
        <v>6.25E-2</v>
      </c>
      <c r="X29" s="233">
        <f t="shared" si="15"/>
        <v>5.8823529411764719E-2</v>
      </c>
      <c r="Y29" s="233">
        <f t="shared" si="15"/>
        <v>0.17647058823529416</v>
      </c>
      <c r="Z29" s="233">
        <f t="shared" si="15"/>
        <v>7.8947368421052655E-2</v>
      </c>
      <c r="AA29" s="233">
        <f t="shared" si="15"/>
        <v>7.6923076923076872E-2</v>
      </c>
      <c r="AB29" s="244">
        <f t="shared" si="15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6">(H23+H26)/H26-1</f>
        <v>0</v>
      </c>
      <c r="I30" s="236">
        <f t="shared" si="16"/>
        <v>-0.14814814814814814</v>
      </c>
      <c r="J30" s="236">
        <f t="shared" si="16"/>
        <v>-6.8965517241379337E-2</v>
      </c>
      <c r="K30" s="236">
        <f t="shared" si="16"/>
        <v>0</v>
      </c>
      <c r="L30" s="236">
        <f t="shared" si="16"/>
        <v>-0.12121212121212122</v>
      </c>
      <c r="M30" s="236">
        <f t="shared" si="16"/>
        <v>-0.11111111111111116</v>
      </c>
      <c r="N30" s="236">
        <f t="shared" si="16"/>
        <v>0</v>
      </c>
      <c r="O30" s="236">
        <f t="shared" si="16"/>
        <v>-7.999999999999996E-2</v>
      </c>
      <c r="P30" s="236">
        <f t="shared" si="16"/>
        <v>0</v>
      </c>
      <c r="Q30" s="238">
        <f t="shared" si="16"/>
        <v>0</v>
      </c>
      <c r="R30" s="236">
        <f t="shared" si="16"/>
        <v>-6.7796610169491567E-2</v>
      </c>
      <c r="S30" s="236">
        <f t="shared" si="16"/>
        <v>0</v>
      </c>
      <c r="T30" s="236">
        <f t="shared" si="16"/>
        <v>0</v>
      </c>
      <c r="U30" s="236">
        <f t="shared" si="16"/>
        <v>0</v>
      </c>
      <c r="V30" s="236">
        <f t="shared" si="16"/>
        <v>0</v>
      </c>
      <c r="W30" s="236">
        <f t="shared" si="16"/>
        <v>0</v>
      </c>
      <c r="X30" s="236">
        <f t="shared" si="16"/>
        <v>-5.8823529411764719E-2</v>
      </c>
      <c r="Y30" s="236">
        <f t="shared" si="16"/>
        <v>-5.555555555555558E-2</v>
      </c>
      <c r="Z30" s="236">
        <f t="shared" si="16"/>
        <v>-5.1948051948051965E-2</v>
      </c>
      <c r="AA30" s="236">
        <f t="shared" si="16"/>
        <v>-7.6923076923076872E-2</v>
      </c>
      <c r="AB30" s="237">
        <f t="shared" si="16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:N32" si="17">EOMONTH(H32,0)+1</f>
        <v>45689</v>
      </c>
      <c r="J32" s="189">
        <f t="shared" si="17"/>
        <v>45717</v>
      </c>
      <c r="K32" s="189">
        <f t="shared" si="17"/>
        <v>45748</v>
      </c>
      <c r="L32" s="189">
        <f t="shared" si="17"/>
        <v>45778</v>
      </c>
      <c r="M32" s="189">
        <f t="shared" si="17"/>
        <v>45809</v>
      </c>
      <c r="N32" s="189">
        <f t="shared" si="17"/>
        <v>45839</v>
      </c>
      <c r="O32" s="189">
        <v>45870</v>
      </c>
      <c r="P32" s="189">
        <f t="shared" ref="P32:AB32" si="18">EOMONTH(O32,0)+1</f>
        <v>45901</v>
      </c>
      <c r="Q32" s="189">
        <f t="shared" si="18"/>
        <v>45931</v>
      </c>
      <c r="R32" s="189">
        <f t="shared" si="18"/>
        <v>45962</v>
      </c>
      <c r="S32" s="189">
        <f t="shared" si="18"/>
        <v>45992</v>
      </c>
      <c r="T32" s="189">
        <f t="shared" si="18"/>
        <v>46023</v>
      </c>
      <c r="U32" s="189">
        <f t="shared" si="18"/>
        <v>46054</v>
      </c>
      <c r="V32" s="189">
        <f t="shared" si="18"/>
        <v>46082</v>
      </c>
      <c r="W32" s="189">
        <f t="shared" si="18"/>
        <v>46113</v>
      </c>
      <c r="X32" s="189">
        <f t="shared" si="18"/>
        <v>46143</v>
      </c>
      <c r="Y32" s="189">
        <f t="shared" si="18"/>
        <v>46174</v>
      </c>
      <c r="Z32" s="189">
        <f t="shared" si="18"/>
        <v>46204</v>
      </c>
      <c r="AA32" s="189">
        <f t="shared" si="18"/>
        <v>46235</v>
      </c>
      <c r="AB32" s="189">
        <f t="shared" si="18"/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19">+I$19</f>
        <v>147.5</v>
      </c>
      <c r="J34" s="65">
        <f t="shared" si="19"/>
        <v>151</v>
      </c>
      <c r="K34" s="65">
        <f t="shared" si="19"/>
        <v>156.5</v>
      </c>
      <c r="L34" s="65">
        <f t="shared" si="19"/>
        <v>162</v>
      </c>
      <c r="M34" s="65">
        <f t="shared" si="19"/>
        <v>165</v>
      </c>
      <c r="N34" s="65">
        <f t="shared" si="19"/>
        <v>167</v>
      </c>
      <c r="O34" s="65">
        <f t="shared" si="19"/>
        <v>172</v>
      </c>
      <c r="P34" s="65">
        <f t="shared" si="19"/>
        <v>176</v>
      </c>
      <c r="Q34" s="65">
        <f t="shared" si="19"/>
        <v>179.5</v>
      </c>
      <c r="R34" s="65">
        <f t="shared" si="19"/>
        <v>181.5</v>
      </c>
      <c r="S34" s="65">
        <f t="shared" si="19"/>
        <v>180.5</v>
      </c>
      <c r="T34" s="65">
        <f t="shared" si="19"/>
        <v>183</v>
      </c>
      <c r="U34" s="65">
        <f t="shared" si="19"/>
        <v>189.5</v>
      </c>
      <c r="V34" s="65">
        <f t="shared" si="19"/>
        <v>192.5</v>
      </c>
      <c r="W34" s="65">
        <f t="shared" si="19"/>
        <v>195</v>
      </c>
      <c r="X34" s="65">
        <f t="shared" si="19"/>
        <v>193.5</v>
      </c>
      <c r="Y34" s="65">
        <f t="shared" si="19"/>
        <v>189</v>
      </c>
      <c r="Z34" s="65">
        <f t="shared" si="19"/>
        <v>181.5</v>
      </c>
      <c r="AA34" s="65">
        <f t="shared" si="19"/>
        <v>174.5</v>
      </c>
      <c r="AB34" s="65">
        <f t="shared" si="19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:AB36" si="20">+H39-H37-H38</f>
        <v>13</v>
      </c>
      <c r="I36" s="181">
        <f t="shared" si="20"/>
        <v>14</v>
      </c>
      <c r="J36" s="181">
        <f t="shared" si="20"/>
        <v>12</v>
      </c>
      <c r="K36" s="181">
        <f t="shared" si="20"/>
        <v>13</v>
      </c>
      <c r="L36" s="181">
        <f t="shared" si="20"/>
        <v>13</v>
      </c>
      <c r="M36" s="181">
        <f t="shared" si="20"/>
        <v>13</v>
      </c>
      <c r="N36" s="181">
        <f t="shared" si="20"/>
        <v>12</v>
      </c>
      <c r="O36" s="181">
        <f t="shared" si="20"/>
        <v>12</v>
      </c>
      <c r="P36" s="181">
        <f t="shared" si="20"/>
        <v>12</v>
      </c>
      <c r="Q36" s="181">
        <f t="shared" si="20"/>
        <v>12</v>
      </c>
      <c r="R36" s="181">
        <f t="shared" si="20"/>
        <v>13</v>
      </c>
      <c r="S36" s="181">
        <f t="shared" si="20"/>
        <v>13</v>
      </c>
      <c r="T36" s="181">
        <f t="shared" si="20"/>
        <v>13</v>
      </c>
      <c r="U36" s="181">
        <f t="shared" si="20"/>
        <v>13</v>
      </c>
      <c r="V36" s="181">
        <f t="shared" si="20"/>
        <v>14</v>
      </c>
      <c r="W36" s="181">
        <f t="shared" si="20"/>
        <v>16</v>
      </c>
      <c r="X36" s="181">
        <f t="shared" si="20"/>
        <v>17</v>
      </c>
      <c r="Y36" s="181">
        <f t="shared" si="20"/>
        <v>17</v>
      </c>
      <c r="Z36" s="181">
        <f t="shared" si="20"/>
        <v>16</v>
      </c>
      <c r="AA36" s="181">
        <f t="shared" si="20"/>
        <v>17</v>
      </c>
      <c r="AB36" s="181">
        <f t="shared" si="20"/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21">+I36</f>
        <v>14</v>
      </c>
      <c r="I39" s="257">
        <f t="shared" si="21"/>
        <v>12</v>
      </c>
      <c r="J39" s="257">
        <f t="shared" si="21"/>
        <v>13</v>
      </c>
      <c r="K39" s="257">
        <f t="shared" si="21"/>
        <v>13</v>
      </c>
      <c r="L39" s="257">
        <f t="shared" si="21"/>
        <v>13</v>
      </c>
      <c r="M39" s="257">
        <f t="shared" si="21"/>
        <v>12</v>
      </c>
      <c r="N39" s="257">
        <f t="shared" si="21"/>
        <v>12</v>
      </c>
      <c r="O39" s="257">
        <f t="shared" si="21"/>
        <v>12</v>
      </c>
      <c r="P39" s="257">
        <f t="shared" si="21"/>
        <v>12</v>
      </c>
      <c r="Q39" s="259">
        <f t="shared" si="21"/>
        <v>13</v>
      </c>
      <c r="R39" s="257">
        <f t="shared" si="21"/>
        <v>13</v>
      </c>
      <c r="S39" s="257">
        <f t="shared" si="21"/>
        <v>13</v>
      </c>
      <c r="T39" s="257">
        <f t="shared" si="21"/>
        <v>13</v>
      </c>
      <c r="U39" s="257">
        <f t="shared" si="21"/>
        <v>14</v>
      </c>
      <c r="V39" s="257">
        <f t="shared" si="21"/>
        <v>16</v>
      </c>
      <c r="W39" s="257">
        <f t="shared" si="21"/>
        <v>17</v>
      </c>
      <c r="X39" s="257">
        <f t="shared" si="21"/>
        <v>17</v>
      </c>
      <c r="Y39" s="257">
        <f t="shared" si="21"/>
        <v>16</v>
      </c>
      <c r="Z39" s="257">
        <f t="shared" si="21"/>
        <v>17</v>
      </c>
      <c r="AA39" s="257">
        <f t="shared" si="21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:AB41" si="22">AVERAGE(H36,H39)</f>
        <v>13.5</v>
      </c>
      <c r="I41" s="315">
        <f t="shared" si="22"/>
        <v>13</v>
      </c>
      <c r="J41" s="315">
        <f t="shared" si="22"/>
        <v>12.5</v>
      </c>
      <c r="K41" s="315">
        <f t="shared" si="22"/>
        <v>13</v>
      </c>
      <c r="L41" s="315">
        <f t="shared" si="22"/>
        <v>13</v>
      </c>
      <c r="M41" s="315">
        <f t="shared" si="22"/>
        <v>12.5</v>
      </c>
      <c r="N41" s="315">
        <f t="shared" si="22"/>
        <v>12</v>
      </c>
      <c r="O41" s="315">
        <f t="shared" si="22"/>
        <v>12</v>
      </c>
      <c r="P41" s="315">
        <f t="shared" si="22"/>
        <v>12</v>
      </c>
      <c r="Q41" s="318">
        <f t="shared" si="22"/>
        <v>12.5</v>
      </c>
      <c r="R41" s="315">
        <f t="shared" si="22"/>
        <v>13</v>
      </c>
      <c r="S41" s="315">
        <f t="shared" si="22"/>
        <v>13</v>
      </c>
      <c r="T41" s="315">
        <f t="shared" si="22"/>
        <v>13</v>
      </c>
      <c r="U41" s="315">
        <f t="shared" si="22"/>
        <v>13.5</v>
      </c>
      <c r="V41" s="315">
        <f t="shared" si="22"/>
        <v>15</v>
      </c>
      <c r="W41" s="315">
        <f t="shared" si="22"/>
        <v>16.5</v>
      </c>
      <c r="X41" s="315">
        <f t="shared" si="22"/>
        <v>17</v>
      </c>
      <c r="Y41" s="315">
        <f t="shared" si="22"/>
        <v>16.5</v>
      </c>
      <c r="Z41" s="315">
        <f t="shared" si="22"/>
        <v>16.5</v>
      </c>
      <c r="AA41" s="315">
        <f t="shared" si="22"/>
        <v>17.5</v>
      </c>
      <c r="AB41" s="316">
        <f t="shared" si="22"/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:AB42" si="23">H34/H41</f>
        <v>10.814814814814815</v>
      </c>
      <c r="I42" s="310">
        <f t="shared" si="23"/>
        <v>11.346153846153847</v>
      </c>
      <c r="J42" s="310">
        <f t="shared" si="23"/>
        <v>12.08</v>
      </c>
      <c r="K42" s="310">
        <f t="shared" si="23"/>
        <v>12.038461538461538</v>
      </c>
      <c r="L42" s="310">
        <f t="shared" si="23"/>
        <v>12.461538461538462</v>
      </c>
      <c r="M42" s="310">
        <f t="shared" si="23"/>
        <v>13.2</v>
      </c>
      <c r="N42" s="310">
        <f t="shared" si="23"/>
        <v>13.916666666666666</v>
      </c>
      <c r="O42" s="310">
        <f t="shared" si="23"/>
        <v>14.333333333333334</v>
      </c>
      <c r="P42" s="310">
        <f t="shared" si="23"/>
        <v>14.666666666666666</v>
      </c>
      <c r="Q42" s="313">
        <f t="shared" si="23"/>
        <v>14.36</v>
      </c>
      <c r="R42" s="310">
        <f t="shared" si="23"/>
        <v>13.961538461538462</v>
      </c>
      <c r="S42" s="310">
        <f t="shared" si="23"/>
        <v>13.884615384615385</v>
      </c>
      <c r="T42" s="310">
        <f t="shared" si="23"/>
        <v>14.076923076923077</v>
      </c>
      <c r="U42" s="310">
        <f t="shared" si="23"/>
        <v>14.037037037037036</v>
      </c>
      <c r="V42" s="310">
        <f t="shared" si="23"/>
        <v>12.833333333333334</v>
      </c>
      <c r="W42" s="310">
        <f t="shared" si="23"/>
        <v>11.818181818181818</v>
      </c>
      <c r="X42" s="310">
        <f t="shared" si="23"/>
        <v>11.382352941176471</v>
      </c>
      <c r="Y42" s="310">
        <f t="shared" si="23"/>
        <v>11.454545454545455</v>
      </c>
      <c r="Z42" s="310">
        <f t="shared" si="23"/>
        <v>11</v>
      </c>
      <c r="AA42" s="310">
        <f t="shared" si="23"/>
        <v>9.9714285714285715</v>
      </c>
      <c r="AB42" s="311">
        <f t="shared" si="23"/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24">(H37+H36)/H36-1</f>
        <v>7.6923076923076872E-2</v>
      </c>
      <c r="I44" s="233">
        <f t="shared" si="24"/>
        <v>0</v>
      </c>
      <c r="J44" s="233">
        <f t="shared" si="24"/>
        <v>0.16666666666666674</v>
      </c>
      <c r="K44" s="233">
        <f t="shared" si="24"/>
        <v>0</v>
      </c>
      <c r="L44" s="233">
        <f t="shared" si="24"/>
        <v>0</v>
      </c>
      <c r="M44" s="233">
        <f t="shared" si="24"/>
        <v>0</v>
      </c>
      <c r="N44" s="233">
        <f t="shared" si="24"/>
        <v>0</v>
      </c>
      <c r="O44" s="233">
        <f t="shared" si="24"/>
        <v>0</v>
      </c>
      <c r="P44" s="233">
        <f t="shared" si="24"/>
        <v>0</v>
      </c>
      <c r="Q44" s="243">
        <f t="shared" si="24"/>
        <v>8.3333333333333259E-2</v>
      </c>
      <c r="R44" s="233">
        <f t="shared" si="24"/>
        <v>7.6923076923076872E-2</v>
      </c>
      <c r="S44" s="233">
        <f t="shared" si="24"/>
        <v>0</v>
      </c>
      <c r="T44" s="233">
        <f t="shared" si="24"/>
        <v>0</v>
      </c>
      <c r="U44" s="233">
        <f t="shared" si="24"/>
        <v>0.15384615384615374</v>
      </c>
      <c r="V44" s="233">
        <f t="shared" si="24"/>
        <v>0.14285714285714279</v>
      </c>
      <c r="W44" s="233">
        <f t="shared" si="24"/>
        <v>6.25E-2</v>
      </c>
      <c r="X44" s="233">
        <f t="shared" si="24"/>
        <v>5.8823529411764719E-2</v>
      </c>
      <c r="Y44" s="233">
        <f t="shared" si="24"/>
        <v>0</v>
      </c>
      <c r="Z44" s="233">
        <f t="shared" si="24"/>
        <v>6.25E-2</v>
      </c>
      <c r="AA44" s="233">
        <f t="shared" si="24"/>
        <v>5.8823529411764719E-2</v>
      </c>
      <c r="AB44" s="244">
        <f t="shared" si="24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25">(H38+H41)/H41-1</f>
        <v>0</v>
      </c>
      <c r="I45" s="236">
        <f t="shared" si="25"/>
        <v>-0.15384615384615385</v>
      </c>
      <c r="J45" s="236">
        <f t="shared" si="25"/>
        <v>-7.999999999999996E-2</v>
      </c>
      <c r="K45" s="236">
        <f t="shared" si="25"/>
        <v>0</v>
      </c>
      <c r="L45" s="236">
        <f t="shared" si="25"/>
        <v>0</v>
      </c>
      <c r="M45" s="236">
        <f t="shared" si="25"/>
        <v>-7.999999999999996E-2</v>
      </c>
      <c r="N45" s="236">
        <f t="shared" si="25"/>
        <v>0</v>
      </c>
      <c r="O45" s="236">
        <f t="shared" si="25"/>
        <v>0</v>
      </c>
      <c r="P45" s="236">
        <f t="shared" si="25"/>
        <v>0</v>
      </c>
      <c r="Q45" s="238">
        <f t="shared" si="25"/>
        <v>0</v>
      </c>
      <c r="R45" s="236">
        <f t="shared" si="25"/>
        <v>-7.6923076923076872E-2</v>
      </c>
      <c r="S45" s="236">
        <f t="shared" si="25"/>
        <v>0</v>
      </c>
      <c r="T45" s="236">
        <f t="shared" si="25"/>
        <v>0</v>
      </c>
      <c r="U45" s="236">
        <f t="shared" si="25"/>
        <v>-7.407407407407407E-2</v>
      </c>
      <c r="V45" s="236">
        <f t="shared" si="25"/>
        <v>0</v>
      </c>
      <c r="W45" s="236">
        <f t="shared" si="25"/>
        <v>0</v>
      </c>
      <c r="X45" s="236">
        <f t="shared" si="25"/>
        <v>-5.8823529411764719E-2</v>
      </c>
      <c r="Y45" s="236">
        <f t="shared" si="25"/>
        <v>-6.0606060606060552E-2</v>
      </c>
      <c r="Z45" s="236">
        <f t="shared" si="25"/>
        <v>0</v>
      </c>
      <c r="AA45" s="236">
        <f t="shared" si="25"/>
        <v>0</v>
      </c>
      <c r="AB45" s="237">
        <f t="shared" si="25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:N47" si="26">EOMONTH(H47,0)+1</f>
        <v>45689</v>
      </c>
      <c r="J47" s="189">
        <f t="shared" si="26"/>
        <v>45717</v>
      </c>
      <c r="K47" s="189">
        <f t="shared" si="26"/>
        <v>45748</v>
      </c>
      <c r="L47" s="189">
        <f t="shared" si="26"/>
        <v>45778</v>
      </c>
      <c r="M47" s="189">
        <f t="shared" si="26"/>
        <v>45809</v>
      </c>
      <c r="N47" s="189">
        <f t="shared" si="26"/>
        <v>45839</v>
      </c>
      <c r="O47" s="189">
        <v>45870</v>
      </c>
      <c r="P47" s="189">
        <f t="shared" ref="P47:AB47" si="27">EOMONTH(O47,0)+1</f>
        <v>45901</v>
      </c>
      <c r="Q47" s="189">
        <f t="shared" si="27"/>
        <v>45931</v>
      </c>
      <c r="R47" s="189">
        <f t="shared" si="27"/>
        <v>45962</v>
      </c>
      <c r="S47" s="189">
        <f t="shared" si="27"/>
        <v>45992</v>
      </c>
      <c r="T47" s="189">
        <f t="shared" si="27"/>
        <v>46023</v>
      </c>
      <c r="U47" s="189">
        <f t="shared" si="27"/>
        <v>46054</v>
      </c>
      <c r="V47" s="189">
        <f t="shared" si="27"/>
        <v>46082</v>
      </c>
      <c r="W47" s="189">
        <f t="shared" si="27"/>
        <v>46113</v>
      </c>
      <c r="X47" s="189">
        <f t="shared" si="27"/>
        <v>46143</v>
      </c>
      <c r="Y47" s="189">
        <f t="shared" si="27"/>
        <v>46174</v>
      </c>
      <c r="Z47" s="189">
        <f t="shared" si="27"/>
        <v>46204</v>
      </c>
      <c r="AA47" s="189">
        <f t="shared" si="27"/>
        <v>46235</v>
      </c>
      <c r="AB47" s="189">
        <f t="shared" si="27"/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28">+I$19</f>
        <v>147.5</v>
      </c>
      <c r="J49" s="65">
        <f t="shared" si="28"/>
        <v>151</v>
      </c>
      <c r="K49" s="65">
        <f t="shared" si="28"/>
        <v>156.5</v>
      </c>
      <c r="L49" s="65">
        <f t="shared" si="28"/>
        <v>162</v>
      </c>
      <c r="M49" s="65">
        <f t="shared" si="28"/>
        <v>165</v>
      </c>
      <c r="N49" s="65">
        <f t="shared" si="28"/>
        <v>167</v>
      </c>
      <c r="O49" s="65">
        <f t="shared" si="28"/>
        <v>172</v>
      </c>
      <c r="P49" s="65">
        <f t="shared" si="28"/>
        <v>176</v>
      </c>
      <c r="Q49" s="65">
        <f t="shared" si="28"/>
        <v>179.5</v>
      </c>
      <c r="R49" s="65">
        <f t="shared" si="28"/>
        <v>181.5</v>
      </c>
      <c r="S49" s="65">
        <f t="shared" si="28"/>
        <v>180.5</v>
      </c>
      <c r="T49" s="65">
        <f t="shared" si="28"/>
        <v>183</v>
      </c>
      <c r="U49" s="65">
        <f t="shared" si="28"/>
        <v>189.5</v>
      </c>
      <c r="V49" s="65">
        <f t="shared" si="28"/>
        <v>192.5</v>
      </c>
      <c r="W49" s="65">
        <f t="shared" si="28"/>
        <v>195</v>
      </c>
      <c r="X49" s="65">
        <f t="shared" si="28"/>
        <v>193.5</v>
      </c>
      <c r="Y49" s="65">
        <f t="shared" si="28"/>
        <v>189</v>
      </c>
      <c r="Z49" s="65">
        <f t="shared" si="28"/>
        <v>181.5</v>
      </c>
      <c r="AA49" s="65">
        <f t="shared" si="28"/>
        <v>174.5</v>
      </c>
      <c r="AB49" s="65">
        <f t="shared" si="28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:AB51" si="29">+H54-H52-H53</f>
        <v>1</v>
      </c>
      <c r="I51" s="181">
        <f t="shared" si="29"/>
        <v>1</v>
      </c>
      <c r="J51" s="181">
        <f t="shared" si="29"/>
        <v>2</v>
      </c>
      <c r="K51" s="181">
        <f t="shared" si="29"/>
        <v>2</v>
      </c>
      <c r="L51" s="181">
        <f t="shared" si="29"/>
        <v>2</v>
      </c>
      <c r="M51" s="181">
        <f t="shared" si="29"/>
        <v>2</v>
      </c>
      <c r="N51" s="181">
        <f t="shared" si="29"/>
        <v>2</v>
      </c>
      <c r="O51" s="181">
        <f t="shared" si="29"/>
        <v>2</v>
      </c>
      <c r="P51" s="181">
        <f t="shared" si="29"/>
        <v>2</v>
      </c>
      <c r="Q51" s="181">
        <f t="shared" si="29"/>
        <v>3</v>
      </c>
      <c r="R51" s="181">
        <f t="shared" si="29"/>
        <v>3</v>
      </c>
      <c r="S51" s="181">
        <f t="shared" si="29"/>
        <v>3</v>
      </c>
      <c r="T51" s="181">
        <f t="shared" si="29"/>
        <v>2</v>
      </c>
      <c r="U51" s="181">
        <f t="shared" si="29"/>
        <v>2</v>
      </c>
      <c r="V51" s="181">
        <f t="shared" si="29"/>
        <v>4</v>
      </c>
      <c r="W51" s="181">
        <f t="shared" si="29"/>
        <v>4</v>
      </c>
      <c r="X51" s="181">
        <f t="shared" si="29"/>
        <v>4</v>
      </c>
      <c r="Y51" s="181">
        <f t="shared" si="29"/>
        <v>4</v>
      </c>
      <c r="Z51" s="181">
        <f t="shared" si="29"/>
        <v>4</v>
      </c>
      <c r="AA51" s="181">
        <f t="shared" si="29"/>
        <v>4</v>
      </c>
      <c r="AB51" s="181">
        <f t="shared" si="29"/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30">+I51</f>
        <v>1</v>
      </c>
      <c r="I54" s="257">
        <f t="shared" si="30"/>
        <v>2</v>
      </c>
      <c r="J54" s="257">
        <f t="shared" si="30"/>
        <v>2</v>
      </c>
      <c r="K54" s="257">
        <f t="shared" si="30"/>
        <v>2</v>
      </c>
      <c r="L54" s="257">
        <f t="shared" si="30"/>
        <v>2</v>
      </c>
      <c r="M54" s="257">
        <f t="shared" si="30"/>
        <v>2</v>
      </c>
      <c r="N54" s="257">
        <f t="shared" si="30"/>
        <v>2</v>
      </c>
      <c r="O54" s="257">
        <f t="shared" si="30"/>
        <v>2</v>
      </c>
      <c r="P54" s="257">
        <f t="shared" si="30"/>
        <v>3</v>
      </c>
      <c r="Q54" s="259">
        <f t="shared" si="30"/>
        <v>3</v>
      </c>
      <c r="R54" s="257">
        <f t="shared" si="30"/>
        <v>3</v>
      </c>
      <c r="S54" s="257">
        <f t="shared" si="30"/>
        <v>2</v>
      </c>
      <c r="T54" s="257">
        <f t="shared" si="30"/>
        <v>2</v>
      </c>
      <c r="U54" s="257">
        <f t="shared" si="30"/>
        <v>4</v>
      </c>
      <c r="V54" s="257">
        <f t="shared" si="30"/>
        <v>4</v>
      </c>
      <c r="W54" s="257">
        <f t="shared" si="30"/>
        <v>4</v>
      </c>
      <c r="X54" s="257">
        <f t="shared" si="30"/>
        <v>4</v>
      </c>
      <c r="Y54" s="257">
        <f t="shared" si="30"/>
        <v>4</v>
      </c>
      <c r="Z54" s="257">
        <f t="shared" si="30"/>
        <v>4</v>
      </c>
      <c r="AA54" s="257">
        <f t="shared" si="30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:AB56" si="31">AVERAGE(H51,H54)</f>
        <v>1</v>
      </c>
      <c r="I56" s="315">
        <f t="shared" si="31"/>
        <v>1.5</v>
      </c>
      <c r="J56" s="315">
        <f t="shared" si="31"/>
        <v>2</v>
      </c>
      <c r="K56" s="315">
        <f t="shared" si="31"/>
        <v>2</v>
      </c>
      <c r="L56" s="315">
        <f t="shared" si="31"/>
        <v>2</v>
      </c>
      <c r="M56" s="315">
        <f t="shared" si="31"/>
        <v>2</v>
      </c>
      <c r="N56" s="315">
        <f t="shared" si="31"/>
        <v>2</v>
      </c>
      <c r="O56" s="315">
        <f t="shared" si="31"/>
        <v>2</v>
      </c>
      <c r="P56" s="315">
        <f t="shared" si="31"/>
        <v>2.5</v>
      </c>
      <c r="Q56" s="318">
        <f t="shared" si="31"/>
        <v>3</v>
      </c>
      <c r="R56" s="315">
        <f t="shared" si="31"/>
        <v>3</v>
      </c>
      <c r="S56" s="315">
        <f t="shared" si="31"/>
        <v>2.5</v>
      </c>
      <c r="T56" s="315">
        <f t="shared" si="31"/>
        <v>2</v>
      </c>
      <c r="U56" s="315">
        <f t="shared" si="31"/>
        <v>3</v>
      </c>
      <c r="V56" s="315">
        <f t="shared" si="31"/>
        <v>4</v>
      </c>
      <c r="W56" s="315">
        <f t="shared" si="31"/>
        <v>4</v>
      </c>
      <c r="X56" s="315">
        <f t="shared" si="31"/>
        <v>4</v>
      </c>
      <c r="Y56" s="315">
        <f t="shared" si="31"/>
        <v>4</v>
      </c>
      <c r="Z56" s="315">
        <f t="shared" si="31"/>
        <v>4</v>
      </c>
      <c r="AA56" s="315">
        <f t="shared" si="31"/>
        <v>4</v>
      </c>
      <c r="AB56" s="316">
        <f t="shared" si="31"/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:AB57" si="32">H49/H56</f>
        <v>146</v>
      </c>
      <c r="I57" s="310">
        <f t="shared" si="32"/>
        <v>98.333333333333329</v>
      </c>
      <c r="J57" s="310">
        <f t="shared" si="32"/>
        <v>75.5</v>
      </c>
      <c r="K57" s="310">
        <f t="shared" si="32"/>
        <v>78.25</v>
      </c>
      <c r="L57" s="310">
        <f t="shared" si="32"/>
        <v>81</v>
      </c>
      <c r="M57" s="310">
        <f t="shared" si="32"/>
        <v>82.5</v>
      </c>
      <c r="N57" s="310">
        <f t="shared" si="32"/>
        <v>83.5</v>
      </c>
      <c r="O57" s="310">
        <f t="shared" si="32"/>
        <v>86</v>
      </c>
      <c r="P57" s="310">
        <f t="shared" si="32"/>
        <v>70.400000000000006</v>
      </c>
      <c r="Q57" s="313">
        <f t="shared" si="32"/>
        <v>59.833333333333336</v>
      </c>
      <c r="R57" s="310">
        <f t="shared" si="32"/>
        <v>60.5</v>
      </c>
      <c r="S57" s="310">
        <f t="shared" si="32"/>
        <v>72.2</v>
      </c>
      <c r="T57" s="310">
        <f t="shared" si="32"/>
        <v>91.5</v>
      </c>
      <c r="U57" s="310">
        <f t="shared" si="32"/>
        <v>63.166666666666664</v>
      </c>
      <c r="V57" s="310">
        <f t="shared" si="32"/>
        <v>48.125</v>
      </c>
      <c r="W57" s="310">
        <f t="shared" si="32"/>
        <v>48.75</v>
      </c>
      <c r="X57" s="310">
        <f t="shared" si="32"/>
        <v>48.375</v>
      </c>
      <c r="Y57" s="310">
        <f t="shared" si="32"/>
        <v>47.25</v>
      </c>
      <c r="Z57" s="310">
        <f t="shared" si="32"/>
        <v>45.375</v>
      </c>
      <c r="AA57" s="310">
        <f t="shared" si="32"/>
        <v>43.625</v>
      </c>
      <c r="AB57" s="311">
        <f t="shared" si="32"/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33">(H52+H51)/H51-1</f>
        <v>0</v>
      </c>
      <c r="I59" s="233">
        <f t="shared" si="33"/>
        <v>1</v>
      </c>
      <c r="J59" s="233">
        <f t="shared" si="33"/>
        <v>0.5</v>
      </c>
      <c r="K59" s="233">
        <f t="shared" si="33"/>
        <v>0</v>
      </c>
      <c r="L59" s="233">
        <f t="shared" si="33"/>
        <v>0</v>
      </c>
      <c r="M59" s="233">
        <f t="shared" si="33"/>
        <v>0</v>
      </c>
      <c r="N59" s="233">
        <f t="shared" si="33"/>
        <v>0</v>
      </c>
      <c r="O59" s="233">
        <f t="shared" si="33"/>
        <v>0</v>
      </c>
      <c r="P59" s="233">
        <f t="shared" si="33"/>
        <v>0.5</v>
      </c>
      <c r="Q59" s="243">
        <f t="shared" si="33"/>
        <v>0</v>
      </c>
      <c r="R59" s="233">
        <f t="shared" si="33"/>
        <v>0</v>
      </c>
      <c r="S59" s="233">
        <f t="shared" si="33"/>
        <v>0</v>
      </c>
      <c r="T59" s="233">
        <f t="shared" si="33"/>
        <v>0</v>
      </c>
      <c r="U59" s="233">
        <f t="shared" si="33"/>
        <v>1</v>
      </c>
      <c r="V59" s="233">
        <f t="shared" si="33"/>
        <v>0</v>
      </c>
      <c r="W59" s="233">
        <f t="shared" si="33"/>
        <v>0</v>
      </c>
      <c r="X59" s="233">
        <f t="shared" si="33"/>
        <v>0</v>
      </c>
      <c r="Y59" s="233">
        <f t="shared" si="33"/>
        <v>0</v>
      </c>
      <c r="Z59" s="233">
        <f t="shared" si="33"/>
        <v>0</v>
      </c>
      <c r="AA59" s="233">
        <f t="shared" si="33"/>
        <v>0.25</v>
      </c>
      <c r="AB59" s="244">
        <f t="shared" si="33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34">(H53+H56)/H56-1</f>
        <v>0</v>
      </c>
      <c r="I60" s="236">
        <f t="shared" si="34"/>
        <v>0</v>
      </c>
      <c r="J60" s="236">
        <f t="shared" si="34"/>
        <v>-0.5</v>
      </c>
      <c r="K60" s="236">
        <f t="shared" si="34"/>
        <v>0</v>
      </c>
      <c r="L60" s="236">
        <f t="shared" si="34"/>
        <v>0</v>
      </c>
      <c r="M60" s="236">
        <f t="shared" si="34"/>
        <v>0</v>
      </c>
      <c r="N60" s="236">
        <f t="shared" si="34"/>
        <v>0</v>
      </c>
      <c r="O60" s="236">
        <f t="shared" si="34"/>
        <v>0</v>
      </c>
      <c r="P60" s="236">
        <f t="shared" si="34"/>
        <v>0</v>
      </c>
      <c r="Q60" s="238">
        <f t="shared" si="34"/>
        <v>0</v>
      </c>
      <c r="R60" s="236">
        <f t="shared" si="34"/>
        <v>0</v>
      </c>
      <c r="S60" s="236">
        <f t="shared" si="34"/>
        <v>-0.4</v>
      </c>
      <c r="T60" s="236">
        <f t="shared" si="34"/>
        <v>0</v>
      </c>
      <c r="U60" s="236">
        <f t="shared" si="34"/>
        <v>0</v>
      </c>
      <c r="V60" s="236">
        <f t="shared" si="34"/>
        <v>0</v>
      </c>
      <c r="W60" s="236">
        <f t="shared" si="34"/>
        <v>0</v>
      </c>
      <c r="X60" s="236">
        <f t="shared" si="34"/>
        <v>0</v>
      </c>
      <c r="Y60" s="236">
        <f t="shared" si="34"/>
        <v>0</v>
      </c>
      <c r="Z60" s="236">
        <f t="shared" si="34"/>
        <v>0</v>
      </c>
      <c r="AA60" s="236">
        <f t="shared" si="34"/>
        <v>-0.25</v>
      </c>
      <c r="AB60" s="237">
        <f t="shared" si="34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:N62" si="35">EOMONTH(H62,0)+1</f>
        <v>45689</v>
      </c>
      <c r="J62" s="189">
        <f t="shared" si="35"/>
        <v>45717</v>
      </c>
      <c r="K62" s="189">
        <f t="shared" si="35"/>
        <v>45748</v>
      </c>
      <c r="L62" s="189">
        <f t="shared" si="35"/>
        <v>45778</v>
      </c>
      <c r="M62" s="189">
        <f t="shared" si="35"/>
        <v>45809</v>
      </c>
      <c r="N62" s="189">
        <f t="shared" si="35"/>
        <v>45839</v>
      </c>
      <c r="O62" s="189">
        <v>45870</v>
      </c>
      <c r="P62" s="189">
        <f t="shared" ref="P62:AB62" si="36">EOMONTH(O62,0)+1</f>
        <v>45901</v>
      </c>
      <c r="Q62" s="189">
        <f t="shared" si="36"/>
        <v>45931</v>
      </c>
      <c r="R62" s="189">
        <f t="shared" si="36"/>
        <v>45962</v>
      </c>
      <c r="S62" s="189">
        <f t="shared" si="36"/>
        <v>45992</v>
      </c>
      <c r="T62" s="189">
        <f t="shared" si="36"/>
        <v>46023</v>
      </c>
      <c r="U62" s="189">
        <f t="shared" si="36"/>
        <v>46054</v>
      </c>
      <c r="V62" s="189">
        <f t="shared" si="36"/>
        <v>46082</v>
      </c>
      <c r="W62" s="189">
        <f t="shared" si="36"/>
        <v>46113</v>
      </c>
      <c r="X62" s="189">
        <f t="shared" si="36"/>
        <v>46143</v>
      </c>
      <c r="Y62" s="189">
        <f t="shared" si="36"/>
        <v>46174</v>
      </c>
      <c r="Z62" s="189">
        <f t="shared" si="36"/>
        <v>46204</v>
      </c>
      <c r="AA62" s="189">
        <f t="shared" si="36"/>
        <v>46235</v>
      </c>
      <c r="AB62" s="189">
        <f t="shared" si="36"/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37">+I$19</f>
        <v>147.5</v>
      </c>
      <c r="J64" s="65">
        <f t="shared" si="37"/>
        <v>151</v>
      </c>
      <c r="K64" s="65">
        <f t="shared" si="37"/>
        <v>156.5</v>
      </c>
      <c r="L64" s="65">
        <f t="shared" si="37"/>
        <v>162</v>
      </c>
      <c r="M64" s="65">
        <f t="shared" si="37"/>
        <v>165</v>
      </c>
      <c r="N64" s="65">
        <f t="shared" si="37"/>
        <v>167</v>
      </c>
      <c r="O64" s="65">
        <f t="shared" si="37"/>
        <v>172</v>
      </c>
      <c r="P64" s="65">
        <f t="shared" si="37"/>
        <v>176</v>
      </c>
      <c r="Q64" s="65">
        <f t="shared" si="37"/>
        <v>179.5</v>
      </c>
      <c r="R64" s="65">
        <f t="shared" si="37"/>
        <v>181.5</v>
      </c>
      <c r="S64" s="65">
        <f t="shared" si="37"/>
        <v>180.5</v>
      </c>
      <c r="T64" s="65">
        <f t="shared" si="37"/>
        <v>183</v>
      </c>
      <c r="U64" s="65">
        <f t="shared" si="37"/>
        <v>189.5</v>
      </c>
      <c r="V64" s="65">
        <f t="shared" si="37"/>
        <v>192.5</v>
      </c>
      <c r="W64" s="65">
        <f t="shared" si="37"/>
        <v>195</v>
      </c>
      <c r="X64" s="65">
        <f t="shared" si="37"/>
        <v>193.5</v>
      </c>
      <c r="Y64" s="65">
        <f t="shared" si="37"/>
        <v>189</v>
      </c>
      <c r="Z64" s="65">
        <f t="shared" si="37"/>
        <v>181.5</v>
      </c>
      <c r="AA64" s="65">
        <f t="shared" si="37"/>
        <v>174.5</v>
      </c>
      <c r="AB64" s="65">
        <f t="shared" si="37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:AB66" si="38">+H69-H67-H68</f>
        <v>1</v>
      </c>
      <c r="I66" s="181">
        <f t="shared" si="38"/>
        <v>2</v>
      </c>
      <c r="J66" s="181">
        <f t="shared" si="38"/>
        <v>2</v>
      </c>
      <c r="K66" s="181">
        <f t="shared" si="38"/>
        <v>2</v>
      </c>
      <c r="L66" s="181">
        <f t="shared" si="38"/>
        <v>3</v>
      </c>
      <c r="M66" s="181">
        <f t="shared" si="38"/>
        <v>3</v>
      </c>
      <c r="N66" s="181">
        <f t="shared" si="38"/>
        <v>3</v>
      </c>
      <c r="O66" s="181">
        <f t="shared" si="38"/>
        <v>3</v>
      </c>
      <c r="P66" s="181">
        <f t="shared" si="38"/>
        <v>4</v>
      </c>
      <c r="Q66" s="181">
        <f t="shared" si="38"/>
        <v>4</v>
      </c>
      <c r="R66" s="181">
        <f t="shared" si="38"/>
        <v>5</v>
      </c>
      <c r="S66" s="181">
        <f t="shared" si="38"/>
        <v>4</v>
      </c>
      <c r="T66" s="181">
        <f t="shared" si="38"/>
        <v>5</v>
      </c>
      <c r="U66" s="181">
        <f t="shared" si="38"/>
        <v>5</v>
      </c>
      <c r="V66" s="181">
        <f t="shared" si="38"/>
        <v>6</v>
      </c>
      <c r="W66" s="181">
        <f t="shared" si="38"/>
        <v>7</v>
      </c>
      <c r="X66" s="181">
        <f t="shared" si="38"/>
        <v>6</v>
      </c>
      <c r="Y66" s="181">
        <f t="shared" si="38"/>
        <v>6</v>
      </c>
      <c r="Z66" s="181">
        <f t="shared" si="38"/>
        <v>6</v>
      </c>
      <c r="AA66" s="181">
        <f t="shared" si="38"/>
        <v>4</v>
      </c>
      <c r="AB66" s="181">
        <f t="shared" si="38"/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39">+I66</f>
        <v>2</v>
      </c>
      <c r="I69" s="257">
        <f t="shared" si="39"/>
        <v>2</v>
      </c>
      <c r="J69" s="257">
        <f t="shared" si="39"/>
        <v>2</v>
      </c>
      <c r="K69" s="257">
        <f t="shared" si="39"/>
        <v>3</v>
      </c>
      <c r="L69" s="257">
        <f t="shared" si="39"/>
        <v>3</v>
      </c>
      <c r="M69" s="257">
        <f t="shared" si="39"/>
        <v>3</v>
      </c>
      <c r="N69" s="257">
        <f t="shared" si="39"/>
        <v>3</v>
      </c>
      <c r="O69" s="257">
        <f t="shared" si="39"/>
        <v>4</v>
      </c>
      <c r="P69" s="257">
        <f t="shared" si="39"/>
        <v>4</v>
      </c>
      <c r="Q69" s="259">
        <f t="shared" si="39"/>
        <v>5</v>
      </c>
      <c r="R69" s="257">
        <f t="shared" si="39"/>
        <v>4</v>
      </c>
      <c r="S69" s="257">
        <f t="shared" si="39"/>
        <v>5</v>
      </c>
      <c r="T69" s="257">
        <f t="shared" si="39"/>
        <v>5</v>
      </c>
      <c r="U69" s="257">
        <f t="shared" si="39"/>
        <v>6</v>
      </c>
      <c r="V69" s="257">
        <f t="shared" si="39"/>
        <v>7</v>
      </c>
      <c r="W69" s="257">
        <f t="shared" si="39"/>
        <v>6</v>
      </c>
      <c r="X69" s="257">
        <f t="shared" si="39"/>
        <v>6</v>
      </c>
      <c r="Y69" s="257">
        <f t="shared" si="39"/>
        <v>6</v>
      </c>
      <c r="Z69" s="257">
        <f t="shared" si="39"/>
        <v>4</v>
      </c>
      <c r="AA69" s="257">
        <f t="shared" si="39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:AB71" si="40">AVERAGE(H66,H69)</f>
        <v>1.5</v>
      </c>
      <c r="I71" s="315">
        <f t="shared" si="40"/>
        <v>2</v>
      </c>
      <c r="J71" s="315">
        <f t="shared" si="40"/>
        <v>2</v>
      </c>
      <c r="K71" s="315">
        <f t="shared" si="40"/>
        <v>2.5</v>
      </c>
      <c r="L71" s="315">
        <f t="shared" si="40"/>
        <v>3</v>
      </c>
      <c r="M71" s="315">
        <f t="shared" si="40"/>
        <v>3</v>
      </c>
      <c r="N71" s="315">
        <f t="shared" si="40"/>
        <v>3</v>
      </c>
      <c r="O71" s="315">
        <f t="shared" si="40"/>
        <v>3.5</v>
      </c>
      <c r="P71" s="315">
        <f t="shared" si="40"/>
        <v>4</v>
      </c>
      <c r="Q71" s="318">
        <f t="shared" si="40"/>
        <v>4.5</v>
      </c>
      <c r="R71" s="315">
        <f t="shared" si="40"/>
        <v>4.5</v>
      </c>
      <c r="S71" s="315">
        <f t="shared" si="40"/>
        <v>4.5</v>
      </c>
      <c r="T71" s="315">
        <f t="shared" si="40"/>
        <v>5</v>
      </c>
      <c r="U71" s="315">
        <f t="shared" si="40"/>
        <v>5.5</v>
      </c>
      <c r="V71" s="315">
        <f t="shared" si="40"/>
        <v>6.5</v>
      </c>
      <c r="W71" s="315">
        <f t="shared" si="40"/>
        <v>6.5</v>
      </c>
      <c r="X71" s="315">
        <f t="shared" si="40"/>
        <v>6</v>
      </c>
      <c r="Y71" s="315">
        <f t="shared" si="40"/>
        <v>6</v>
      </c>
      <c r="Z71" s="315">
        <f t="shared" si="40"/>
        <v>5</v>
      </c>
      <c r="AA71" s="315">
        <f t="shared" si="40"/>
        <v>4</v>
      </c>
      <c r="AB71" s="316">
        <f t="shared" si="40"/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:AB72" si="41">H64/H71</f>
        <v>97.333333333333329</v>
      </c>
      <c r="I72" s="310">
        <f t="shared" si="41"/>
        <v>73.75</v>
      </c>
      <c r="J72" s="310">
        <f t="shared" si="41"/>
        <v>75.5</v>
      </c>
      <c r="K72" s="310">
        <f t="shared" si="41"/>
        <v>62.6</v>
      </c>
      <c r="L72" s="310">
        <f t="shared" si="41"/>
        <v>54</v>
      </c>
      <c r="M72" s="310">
        <f t="shared" si="41"/>
        <v>55</v>
      </c>
      <c r="N72" s="310">
        <f t="shared" si="41"/>
        <v>55.666666666666664</v>
      </c>
      <c r="O72" s="310">
        <f t="shared" si="41"/>
        <v>49.142857142857146</v>
      </c>
      <c r="P72" s="310">
        <f t="shared" si="41"/>
        <v>44</v>
      </c>
      <c r="Q72" s="313">
        <f t="shared" si="41"/>
        <v>39.888888888888886</v>
      </c>
      <c r="R72" s="310">
        <f t="shared" si="41"/>
        <v>40.333333333333336</v>
      </c>
      <c r="S72" s="310">
        <f t="shared" si="41"/>
        <v>40.111111111111114</v>
      </c>
      <c r="T72" s="310">
        <f t="shared" si="41"/>
        <v>36.6</v>
      </c>
      <c r="U72" s="310">
        <f t="shared" si="41"/>
        <v>34.454545454545453</v>
      </c>
      <c r="V72" s="310">
        <f t="shared" si="41"/>
        <v>29.615384615384617</v>
      </c>
      <c r="W72" s="310">
        <f t="shared" si="41"/>
        <v>30</v>
      </c>
      <c r="X72" s="310">
        <f t="shared" si="41"/>
        <v>32.25</v>
      </c>
      <c r="Y72" s="310">
        <f t="shared" si="41"/>
        <v>31.5</v>
      </c>
      <c r="Z72" s="310">
        <f t="shared" si="41"/>
        <v>36.299999999999997</v>
      </c>
      <c r="AA72" s="310">
        <f t="shared" si="41"/>
        <v>43.625</v>
      </c>
      <c r="AB72" s="311">
        <f t="shared" si="41"/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42">(H67+H66)/H66-1</f>
        <v>1</v>
      </c>
      <c r="I74" s="233">
        <f t="shared" si="42"/>
        <v>0</v>
      </c>
      <c r="J74" s="233">
        <f t="shared" si="42"/>
        <v>0</v>
      </c>
      <c r="K74" s="233">
        <f t="shared" si="42"/>
        <v>0.5</v>
      </c>
      <c r="L74" s="233">
        <f t="shared" si="42"/>
        <v>0</v>
      </c>
      <c r="M74" s="233">
        <f t="shared" si="42"/>
        <v>0</v>
      </c>
      <c r="N74" s="233">
        <f t="shared" si="42"/>
        <v>0</v>
      </c>
      <c r="O74" s="233">
        <f t="shared" si="42"/>
        <v>0.33333333333333326</v>
      </c>
      <c r="P74" s="233">
        <f t="shared" si="42"/>
        <v>0</v>
      </c>
      <c r="Q74" s="243">
        <f t="shared" si="42"/>
        <v>0.25</v>
      </c>
      <c r="R74" s="233">
        <f t="shared" si="42"/>
        <v>0</v>
      </c>
      <c r="S74" s="233">
        <f t="shared" si="42"/>
        <v>0.25</v>
      </c>
      <c r="T74" s="233">
        <f t="shared" si="42"/>
        <v>0</v>
      </c>
      <c r="U74" s="233">
        <f t="shared" si="42"/>
        <v>0.19999999999999996</v>
      </c>
      <c r="V74" s="233">
        <f t="shared" si="42"/>
        <v>0.16666666666666674</v>
      </c>
      <c r="W74" s="233">
        <f t="shared" si="42"/>
        <v>0</v>
      </c>
      <c r="X74" s="233">
        <f t="shared" si="42"/>
        <v>0.33333333333333326</v>
      </c>
      <c r="Y74" s="233">
        <f t="shared" si="42"/>
        <v>0</v>
      </c>
      <c r="Z74" s="233">
        <f t="shared" si="42"/>
        <v>0</v>
      </c>
      <c r="AA74" s="233">
        <f t="shared" si="42"/>
        <v>0</v>
      </c>
      <c r="AB74" s="244">
        <f t="shared" si="42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43">(H68+H71)/H71-1</f>
        <v>0</v>
      </c>
      <c r="I75" s="236">
        <f t="shared" si="43"/>
        <v>0</v>
      </c>
      <c r="J75" s="236">
        <f t="shared" si="43"/>
        <v>0</v>
      </c>
      <c r="K75" s="236">
        <f t="shared" si="43"/>
        <v>0</v>
      </c>
      <c r="L75" s="236">
        <f t="shared" si="43"/>
        <v>0</v>
      </c>
      <c r="M75" s="236">
        <f t="shared" si="43"/>
        <v>0</v>
      </c>
      <c r="N75" s="236">
        <f t="shared" si="43"/>
        <v>0</v>
      </c>
      <c r="O75" s="236">
        <f t="shared" si="43"/>
        <v>0</v>
      </c>
      <c r="P75" s="236">
        <f t="shared" si="43"/>
        <v>0</v>
      </c>
      <c r="Q75" s="238">
        <f t="shared" si="43"/>
        <v>0</v>
      </c>
      <c r="R75" s="236">
        <f t="shared" si="43"/>
        <v>-0.22222222222222221</v>
      </c>
      <c r="S75" s="236">
        <f t="shared" si="43"/>
        <v>0</v>
      </c>
      <c r="T75" s="236">
        <f t="shared" si="43"/>
        <v>0</v>
      </c>
      <c r="U75" s="236">
        <f t="shared" si="43"/>
        <v>0</v>
      </c>
      <c r="V75" s="236">
        <f t="shared" si="43"/>
        <v>0</v>
      </c>
      <c r="W75" s="236">
        <f t="shared" si="43"/>
        <v>-0.15384615384615385</v>
      </c>
      <c r="X75" s="236">
        <f t="shared" si="43"/>
        <v>-0.33333333333333337</v>
      </c>
      <c r="Y75" s="236">
        <f t="shared" si="43"/>
        <v>0</v>
      </c>
      <c r="Z75" s="236">
        <f t="shared" si="43"/>
        <v>-0.4</v>
      </c>
      <c r="AA75" s="236">
        <f t="shared" si="43"/>
        <v>0</v>
      </c>
      <c r="AB75" s="237">
        <f t="shared" si="43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:N77" si="44">EOMONTH(H77,0)+1</f>
        <v>45689</v>
      </c>
      <c r="J77" s="189">
        <f t="shared" si="44"/>
        <v>45717</v>
      </c>
      <c r="K77" s="189">
        <f t="shared" si="44"/>
        <v>45748</v>
      </c>
      <c r="L77" s="189">
        <f t="shared" si="44"/>
        <v>45778</v>
      </c>
      <c r="M77" s="189">
        <f t="shared" si="44"/>
        <v>45809</v>
      </c>
      <c r="N77" s="189">
        <f t="shared" si="44"/>
        <v>45839</v>
      </c>
      <c r="O77" s="189">
        <v>45870</v>
      </c>
      <c r="P77" s="189">
        <f t="shared" ref="P77:AB77" si="45">EOMONTH(O77,0)+1</f>
        <v>45901</v>
      </c>
      <c r="Q77" s="189">
        <f t="shared" si="45"/>
        <v>45931</v>
      </c>
      <c r="R77" s="189">
        <f t="shared" si="45"/>
        <v>45962</v>
      </c>
      <c r="S77" s="189">
        <f t="shared" si="45"/>
        <v>45992</v>
      </c>
      <c r="T77" s="189">
        <f t="shared" si="45"/>
        <v>46023</v>
      </c>
      <c r="U77" s="189">
        <f t="shared" si="45"/>
        <v>46054</v>
      </c>
      <c r="V77" s="189">
        <f t="shared" si="45"/>
        <v>46082</v>
      </c>
      <c r="W77" s="189">
        <f t="shared" si="45"/>
        <v>46113</v>
      </c>
      <c r="X77" s="189">
        <f t="shared" si="45"/>
        <v>46143</v>
      </c>
      <c r="Y77" s="189">
        <f t="shared" si="45"/>
        <v>46174</v>
      </c>
      <c r="Z77" s="189">
        <f t="shared" si="45"/>
        <v>46204</v>
      </c>
      <c r="AA77" s="189">
        <f t="shared" si="45"/>
        <v>46235</v>
      </c>
      <c r="AB77" s="189">
        <f t="shared" si="45"/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46">+I$19</f>
        <v>147.5</v>
      </c>
      <c r="J79" s="65">
        <f t="shared" si="46"/>
        <v>151</v>
      </c>
      <c r="K79" s="65">
        <f t="shared" si="46"/>
        <v>156.5</v>
      </c>
      <c r="L79" s="65">
        <f t="shared" si="46"/>
        <v>162</v>
      </c>
      <c r="M79" s="65">
        <f t="shared" si="46"/>
        <v>165</v>
      </c>
      <c r="N79" s="65">
        <f t="shared" si="46"/>
        <v>167</v>
      </c>
      <c r="O79" s="65">
        <f t="shared" si="46"/>
        <v>172</v>
      </c>
      <c r="P79" s="65">
        <f t="shared" si="46"/>
        <v>176</v>
      </c>
      <c r="Q79" s="65">
        <f t="shared" si="46"/>
        <v>179.5</v>
      </c>
      <c r="R79" s="65">
        <f t="shared" si="46"/>
        <v>181.5</v>
      </c>
      <c r="S79" s="65">
        <f t="shared" si="46"/>
        <v>180.5</v>
      </c>
      <c r="T79" s="65">
        <f t="shared" si="46"/>
        <v>183</v>
      </c>
      <c r="U79" s="65">
        <f t="shared" si="46"/>
        <v>189.5</v>
      </c>
      <c r="V79" s="65">
        <f t="shared" si="46"/>
        <v>192.5</v>
      </c>
      <c r="W79" s="65">
        <f t="shared" si="46"/>
        <v>195</v>
      </c>
      <c r="X79" s="65">
        <f t="shared" si="46"/>
        <v>193.5</v>
      </c>
      <c r="Y79" s="65">
        <f t="shared" si="46"/>
        <v>189</v>
      </c>
      <c r="Z79" s="65">
        <f t="shared" si="46"/>
        <v>181.5</v>
      </c>
      <c r="AA79" s="65">
        <f t="shared" si="46"/>
        <v>174.5</v>
      </c>
      <c r="AB79" s="65">
        <f t="shared" si="46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:AB81" si="47">+H84-H82-H83</f>
        <v>4</v>
      </c>
      <c r="I81" s="181">
        <f t="shared" si="47"/>
        <v>3</v>
      </c>
      <c r="J81" s="181">
        <f t="shared" si="47"/>
        <v>3</v>
      </c>
      <c r="K81" s="181">
        <f t="shared" si="47"/>
        <v>3</v>
      </c>
      <c r="L81" s="181">
        <f t="shared" si="47"/>
        <v>3</v>
      </c>
      <c r="M81" s="181">
        <f t="shared" si="47"/>
        <v>3</v>
      </c>
      <c r="N81" s="181">
        <f t="shared" si="47"/>
        <v>3</v>
      </c>
      <c r="O81" s="181">
        <f t="shared" si="47"/>
        <v>3</v>
      </c>
      <c r="P81" s="181">
        <f t="shared" si="47"/>
        <v>3</v>
      </c>
      <c r="Q81" s="181">
        <f t="shared" si="47"/>
        <v>3</v>
      </c>
      <c r="R81" s="181">
        <f t="shared" si="47"/>
        <v>3</v>
      </c>
      <c r="S81" s="181">
        <f t="shared" si="47"/>
        <v>3</v>
      </c>
      <c r="T81" s="181">
        <f t="shared" si="47"/>
        <v>4</v>
      </c>
      <c r="U81" s="181">
        <f t="shared" si="47"/>
        <v>4</v>
      </c>
      <c r="V81" s="181">
        <f t="shared" si="47"/>
        <v>4</v>
      </c>
      <c r="W81" s="181">
        <f t="shared" si="47"/>
        <v>4</v>
      </c>
      <c r="X81" s="181">
        <f t="shared" si="47"/>
        <v>4</v>
      </c>
      <c r="Y81" s="181">
        <f t="shared" si="47"/>
        <v>3</v>
      </c>
      <c r="Z81" s="181">
        <f t="shared" si="47"/>
        <v>3</v>
      </c>
      <c r="AA81" s="181">
        <f t="shared" si="47"/>
        <v>4</v>
      </c>
      <c r="AB81" s="181">
        <f t="shared" si="47"/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48">+I81</f>
        <v>3</v>
      </c>
      <c r="I84" s="257">
        <f t="shared" si="48"/>
        <v>3</v>
      </c>
      <c r="J84" s="257">
        <f t="shared" si="48"/>
        <v>3</v>
      </c>
      <c r="K84" s="257">
        <f t="shared" si="48"/>
        <v>3</v>
      </c>
      <c r="L84" s="257">
        <f t="shared" si="48"/>
        <v>3</v>
      </c>
      <c r="M84" s="257">
        <f t="shared" si="48"/>
        <v>3</v>
      </c>
      <c r="N84" s="257">
        <f t="shared" si="48"/>
        <v>3</v>
      </c>
      <c r="O84" s="257">
        <f t="shared" si="48"/>
        <v>3</v>
      </c>
      <c r="P84" s="257">
        <f t="shared" si="48"/>
        <v>3</v>
      </c>
      <c r="Q84" s="410">
        <f t="shared" si="48"/>
        <v>3</v>
      </c>
      <c r="R84" s="232">
        <f t="shared" si="48"/>
        <v>3</v>
      </c>
      <c r="S84" s="232">
        <f t="shared" si="48"/>
        <v>4</v>
      </c>
      <c r="T84" s="232">
        <f t="shared" si="48"/>
        <v>4</v>
      </c>
      <c r="U84" s="232">
        <f t="shared" si="48"/>
        <v>4</v>
      </c>
      <c r="V84" s="232">
        <f t="shared" si="48"/>
        <v>4</v>
      </c>
      <c r="W84" s="232">
        <f t="shared" si="48"/>
        <v>4</v>
      </c>
      <c r="X84" s="232">
        <f t="shared" si="48"/>
        <v>3</v>
      </c>
      <c r="Y84" s="232">
        <f t="shared" si="48"/>
        <v>3</v>
      </c>
      <c r="Z84" s="232">
        <f t="shared" si="48"/>
        <v>4</v>
      </c>
      <c r="AA84" s="232">
        <f t="shared" si="48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:AB86" si="49">AVERAGE(H81,H84)</f>
        <v>3.5</v>
      </c>
      <c r="I86" s="315">
        <f t="shared" si="49"/>
        <v>3</v>
      </c>
      <c r="J86" s="315">
        <f t="shared" si="49"/>
        <v>3</v>
      </c>
      <c r="K86" s="315">
        <f t="shared" si="49"/>
        <v>3</v>
      </c>
      <c r="L86" s="315">
        <f t="shared" si="49"/>
        <v>3</v>
      </c>
      <c r="M86" s="315">
        <f t="shared" si="49"/>
        <v>3</v>
      </c>
      <c r="N86" s="315">
        <f t="shared" si="49"/>
        <v>3</v>
      </c>
      <c r="O86" s="315">
        <f t="shared" si="49"/>
        <v>3</v>
      </c>
      <c r="P86" s="315">
        <f t="shared" si="49"/>
        <v>3</v>
      </c>
      <c r="Q86" s="318">
        <f t="shared" si="49"/>
        <v>3</v>
      </c>
      <c r="R86" s="315">
        <f t="shared" si="49"/>
        <v>3</v>
      </c>
      <c r="S86" s="315">
        <f t="shared" si="49"/>
        <v>3.5</v>
      </c>
      <c r="T86" s="315">
        <f t="shared" si="49"/>
        <v>4</v>
      </c>
      <c r="U86" s="315">
        <f t="shared" si="49"/>
        <v>4</v>
      </c>
      <c r="V86" s="315">
        <f t="shared" si="49"/>
        <v>4</v>
      </c>
      <c r="W86" s="315">
        <f t="shared" si="49"/>
        <v>4</v>
      </c>
      <c r="X86" s="315">
        <f t="shared" si="49"/>
        <v>3.5</v>
      </c>
      <c r="Y86" s="315">
        <f t="shared" si="49"/>
        <v>3</v>
      </c>
      <c r="Z86" s="315">
        <f t="shared" si="49"/>
        <v>3.5</v>
      </c>
      <c r="AA86" s="315">
        <f t="shared" si="49"/>
        <v>4</v>
      </c>
      <c r="AB86" s="316">
        <f t="shared" si="49"/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:AB87" si="50">H79/H86</f>
        <v>41.714285714285715</v>
      </c>
      <c r="I87" s="310">
        <f t="shared" si="50"/>
        <v>49.166666666666664</v>
      </c>
      <c r="J87" s="310">
        <f t="shared" si="50"/>
        <v>50.333333333333336</v>
      </c>
      <c r="K87" s="310">
        <f t="shared" si="50"/>
        <v>52.166666666666664</v>
      </c>
      <c r="L87" s="310">
        <f t="shared" si="50"/>
        <v>54</v>
      </c>
      <c r="M87" s="310">
        <f t="shared" si="50"/>
        <v>55</v>
      </c>
      <c r="N87" s="310">
        <f t="shared" si="50"/>
        <v>55.666666666666664</v>
      </c>
      <c r="O87" s="310">
        <f t="shared" si="50"/>
        <v>57.333333333333336</v>
      </c>
      <c r="P87" s="310">
        <f t="shared" si="50"/>
        <v>58.666666666666664</v>
      </c>
      <c r="Q87" s="313">
        <f t="shared" si="50"/>
        <v>59.833333333333336</v>
      </c>
      <c r="R87" s="310">
        <f t="shared" si="50"/>
        <v>60.5</v>
      </c>
      <c r="S87" s="310">
        <f t="shared" si="50"/>
        <v>51.571428571428569</v>
      </c>
      <c r="T87" s="310">
        <f t="shared" si="50"/>
        <v>45.75</v>
      </c>
      <c r="U87" s="310">
        <f t="shared" si="50"/>
        <v>47.375</v>
      </c>
      <c r="V87" s="310">
        <f t="shared" si="50"/>
        <v>48.125</v>
      </c>
      <c r="W87" s="310">
        <f t="shared" si="50"/>
        <v>48.75</v>
      </c>
      <c r="X87" s="310">
        <f t="shared" si="50"/>
        <v>55.285714285714285</v>
      </c>
      <c r="Y87" s="310">
        <f t="shared" si="50"/>
        <v>63</v>
      </c>
      <c r="Z87" s="310">
        <f t="shared" si="50"/>
        <v>51.857142857142854</v>
      </c>
      <c r="AA87" s="310">
        <f t="shared" si="50"/>
        <v>43.625</v>
      </c>
      <c r="AB87" s="311">
        <f t="shared" si="50"/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51">(H82+H81)/H81-1</f>
        <v>0</v>
      </c>
      <c r="I89" s="233">
        <f t="shared" si="51"/>
        <v>0</v>
      </c>
      <c r="J89" s="233">
        <f t="shared" si="51"/>
        <v>0</v>
      </c>
      <c r="K89" s="233">
        <f t="shared" si="51"/>
        <v>0</v>
      </c>
      <c r="L89" s="233">
        <f t="shared" si="51"/>
        <v>0</v>
      </c>
      <c r="M89" s="233">
        <f t="shared" si="51"/>
        <v>0</v>
      </c>
      <c r="N89" s="233">
        <f t="shared" si="51"/>
        <v>0</v>
      </c>
      <c r="O89" s="233">
        <f t="shared" si="51"/>
        <v>0</v>
      </c>
      <c r="P89" s="233">
        <f t="shared" si="51"/>
        <v>0</v>
      </c>
      <c r="Q89" s="243">
        <f t="shared" si="51"/>
        <v>0</v>
      </c>
      <c r="R89" s="233">
        <f t="shared" si="51"/>
        <v>0</v>
      </c>
      <c r="S89" s="233">
        <f t="shared" si="51"/>
        <v>0.66666666666666674</v>
      </c>
      <c r="T89" s="233">
        <f t="shared" si="51"/>
        <v>0</v>
      </c>
      <c r="U89" s="233">
        <f t="shared" si="51"/>
        <v>0</v>
      </c>
      <c r="V89" s="233">
        <f t="shared" si="51"/>
        <v>0</v>
      </c>
      <c r="W89" s="233">
        <f t="shared" si="51"/>
        <v>0</v>
      </c>
      <c r="X89" s="233">
        <f t="shared" si="51"/>
        <v>0</v>
      </c>
      <c r="Y89" s="233">
        <f t="shared" si="51"/>
        <v>0</v>
      </c>
      <c r="Z89" s="233">
        <f t="shared" si="51"/>
        <v>0.66666666666666674</v>
      </c>
      <c r="AA89" s="233">
        <f t="shared" si="51"/>
        <v>0</v>
      </c>
      <c r="AB89" s="244">
        <f t="shared" si="51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52">(H83+H86)/H86-1</f>
        <v>-0.2857142857142857</v>
      </c>
      <c r="I90" s="236">
        <f t="shared" si="52"/>
        <v>0</v>
      </c>
      <c r="J90" s="236">
        <f t="shared" si="52"/>
        <v>0</v>
      </c>
      <c r="K90" s="236">
        <f t="shared" si="52"/>
        <v>0</v>
      </c>
      <c r="L90" s="236">
        <f t="shared" si="52"/>
        <v>0</v>
      </c>
      <c r="M90" s="236">
        <f t="shared" si="52"/>
        <v>0</v>
      </c>
      <c r="N90" s="236">
        <f t="shared" si="52"/>
        <v>0</v>
      </c>
      <c r="O90" s="236">
        <f t="shared" si="52"/>
        <v>0</v>
      </c>
      <c r="P90" s="236">
        <f t="shared" si="52"/>
        <v>0</v>
      </c>
      <c r="Q90" s="238">
        <f t="shared" si="52"/>
        <v>0</v>
      </c>
      <c r="R90" s="236">
        <f t="shared" si="52"/>
        <v>0</v>
      </c>
      <c r="S90" s="236">
        <f t="shared" si="52"/>
        <v>-0.2857142857142857</v>
      </c>
      <c r="T90" s="236">
        <f t="shared" si="52"/>
        <v>0</v>
      </c>
      <c r="U90" s="236">
        <f t="shared" si="52"/>
        <v>0</v>
      </c>
      <c r="V90" s="236">
        <f t="shared" si="52"/>
        <v>0</v>
      </c>
      <c r="W90" s="236">
        <f t="shared" si="52"/>
        <v>0</v>
      </c>
      <c r="X90" s="236">
        <f t="shared" si="52"/>
        <v>-0.2857142857142857</v>
      </c>
      <c r="Y90" s="236">
        <f t="shared" si="52"/>
        <v>0</v>
      </c>
      <c r="Z90" s="236">
        <f t="shared" si="52"/>
        <v>-0.2857142857142857</v>
      </c>
      <c r="AA90" s="236">
        <f t="shared" si="52"/>
        <v>0</v>
      </c>
      <c r="AB90" s="237">
        <f t="shared" si="52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:N92" si="53">EOMONTH(H92,0)+1</f>
        <v>45689</v>
      </c>
      <c r="J92" s="189">
        <f t="shared" si="53"/>
        <v>45717</v>
      </c>
      <c r="K92" s="189">
        <f t="shared" si="53"/>
        <v>45748</v>
      </c>
      <c r="L92" s="189">
        <f t="shared" si="53"/>
        <v>45778</v>
      </c>
      <c r="M92" s="189">
        <f t="shared" si="53"/>
        <v>45809</v>
      </c>
      <c r="N92" s="189">
        <f t="shared" si="53"/>
        <v>45839</v>
      </c>
      <c r="O92" s="189">
        <v>45870</v>
      </c>
      <c r="P92" s="189">
        <f t="shared" ref="P92:AB92" si="54">EOMONTH(O92,0)+1</f>
        <v>45901</v>
      </c>
      <c r="Q92" s="189">
        <f t="shared" si="54"/>
        <v>45931</v>
      </c>
      <c r="R92" s="189">
        <f t="shared" si="54"/>
        <v>45962</v>
      </c>
      <c r="S92" s="189">
        <f t="shared" si="54"/>
        <v>45992</v>
      </c>
      <c r="T92" s="189">
        <f t="shared" si="54"/>
        <v>46023</v>
      </c>
      <c r="U92" s="189">
        <f t="shared" si="54"/>
        <v>46054</v>
      </c>
      <c r="V92" s="189">
        <f t="shared" si="54"/>
        <v>46082</v>
      </c>
      <c r="W92" s="189">
        <f t="shared" si="54"/>
        <v>46113</v>
      </c>
      <c r="X92" s="189">
        <f t="shared" si="54"/>
        <v>46143</v>
      </c>
      <c r="Y92" s="189">
        <f t="shared" si="54"/>
        <v>46174</v>
      </c>
      <c r="Z92" s="189">
        <f t="shared" si="54"/>
        <v>46204</v>
      </c>
      <c r="AA92" s="189">
        <f t="shared" si="54"/>
        <v>46235</v>
      </c>
      <c r="AB92" s="189">
        <f t="shared" si="54"/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55">+I$19</f>
        <v>147.5</v>
      </c>
      <c r="J94" s="65">
        <f t="shared" si="55"/>
        <v>151</v>
      </c>
      <c r="K94" s="65">
        <f t="shared" si="55"/>
        <v>156.5</v>
      </c>
      <c r="L94" s="65">
        <f t="shared" si="55"/>
        <v>162</v>
      </c>
      <c r="M94" s="65">
        <f t="shared" si="55"/>
        <v>165</v>
      </c>
      <c r="N94" s="65">
        <f t="shared" si="55"/>
        <v>167</v>
      </c>
      <c r="O94" s="65">
        <f t="shared" si="55"/>
        <v>172</v>
      </c>
      <c r="P94" s="65">
        <f t="shared" si="55"/>
        <v>176</v>
      </c>
      <c r="Q94" s="65">
        <f t="shared" si="55"/>
        <v>179.5</v>
      </c>
      <c r="R94" s="65">
        <f t="shared" si="55"/>
        <v>181.5</v>
      </c>
      <c r="S94" s="65">
        <f t="shared" si="55"/>
        <v>180.5</v>
      </c>
      <c r="T94" s="65">
        <f t="shared" si="55"/>
        <v>183</v>
      </c>
      <c r="U94" s="65">
        <f t="shared" si="55"/>
        <v>189.5</v>
      </c>
      <c r="V94" s="65">
        <f t="shared" si="55"/>
        <v>192.5</v>
      </c>
      <c r="W94" s="65">
        <f t="shared" si="55"/>
        <v>195</v>
      </c>
      <c r="X94" s="65">
        <f t="shared" si="55"/>
        <v>193.5</v>
      </c>
      <c r="Y94" s="65">
        <f t="shared" si="55"/>
        <v>189</v>
      </c>
      <c r="Z94" s="65">
        <f t="shared" si="55"/>
        <v>181.5</v>
      </c>
      <c r="AA94" s="65">
        <f t="shared" si="55"/>
        <v>174.5</v>
      </c>
      <c r="AB94" s="65">
        <f t="shared" si="55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:AB96" si="56">+H99-H97-H98</f>
        <v>5</v>
      </c>
      <c r="I96" s="181">
        <f t="shared" si="56"/>
        <v>5</v>
      </c>
      <c r="J96" s="181">
        <f t="shared" si="56"/>
        <v>5</v>
      </c>
      <c r="K96" s="181">
        <f t="shared" si="56"/>
        <v>5</v>
      </c>
      <c r="L96" s="181">
        <f t="shared" si="56"/>
        <v>5</v>
      </c>
      <c r="M96" s="181">
        <f t="shared" si="56"/>
        <v>6</v>
      </c>
      <c r="N96" s="181">
        <f t="shared" si="56"/>
        <v>6</v>
      </c>
      <c r="O96" s="181">
        <f t="shared" si="56"/>
        <v>6</v>
      </c>
      <c r="P96" s="181">
        <f t="shared" si="56"/>
        <v>6</v>
      </c>
      <c r="Q96" s="181">
        <f t="shared" si="56"/>
        <v>6</v>
      </c>
      <c r="R96" s="181">
        <f t="shared" si="56"/>
        <v>6</v>
      </c>
      <c r="S96" s="181">
        <f t="shared" si="56"/>
        <v>6</v>
      </c>
      <c r="T96" s="181">
        <f t="shared" si="56"/>
        <v>7</v>
      </c>
      <c r="U96" s="181">
        <f t="shared" si="56"/>
        <v>8</v>
      </c>
      <c r="V96" s="181">
        <f t="shared" si="56"/>
        <v>8</v>
      </c>
      <c r="W96" s="181">
        <f t="shared" si="56"/>
        <v>8</v>
      </c>
      <c r="X96" s="181">
        <f t="shared" si="56"/>
        <v>8</v>
      </c>
      <c r="Y96" s="181">
        <f t="shared" si="56"/>
        <v>7</v>
      </c>
      <c r="Z96" s="181">
        <f t="shared" si="56"/>
        <v>7</v>
      </c>
      <c r="AA96" s="181">
        <f t="shared" si="56"/>
        <v>7</v>
      </c>
      <c r="AB96" s="181">
        <f t="shared" si="56"/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57">+I96</f>
        <v>5</v>
      </c>
      <c r="I99" s="257">
        <f t="shared" si="57"/>
        <v>5</v>
      </c>
      <c r="J99" s="257">
        <f t="shared" si="57"/>
        <v>5</v>
      </c>
      <c r="K99" s="257">
        <f t="shared" si="57"/>
        <v>5</v>
      </c>
      <c r="L99" s="257">
        <f t="shared" si="57"/>
        <v>6</v>
      </c>
      <c r="M99" s="257">
        <f t="shared" si="57"/>
        <v>6</v>
      </c>
      <c r="N99" s="257">
        <f t="shared" si="57"/>
        <v>6</v>
      </c>
      <c r="O99" s="257">
        <f t="shared" si="57"/>
        <v>6</v>
      </c>
      <c r="P99" s="257">
        <f t="shared" si="57"/>
        <v>6</v>
      </c>
      <c r="Q99" s="259">
        <f t="shared" si="57"/>
        <v>6</v>
      </c>
      <c r="R99" s="257">
        <f t="shared" si="57"/>
        <v>6</v>
      </c>
      <c r="S99" s="257">
        <f t="shared" si="57"/>
        <v>7</v>
      </c>
      <c r="T99" s="257">
        <f t="shared" si="57"/>
        <v>8</v>
      </c>
      <c r="U99" s="257">
        <f t="shared" si="57"/>
        <v>8</v>
      </c>
      <c r="V99" s="257">
        <f t="shared" si="57"/>
        <v>8</v>
      </c>
      <c r="W99" s="257">
        <f t="shared" si="57"/>
        <v>8</v>
      </c>
      <c r="X99" s="257">
        <f t="shared" si="57"/>
        <v>7</v>
      </c>
      <c r="Y99" s="257">
        <f t="shared" si="57"/>
        <v>7</v>
      </c>
      <c r="Z99" s="257">
        <f t="shared" si="57"/>
        <v>7</v>
      </c>
      <c r="AA99" s="257">
        <f t="shared" si="57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:AB101" si="58">AVERAGE(H96,H99)</f>
        <v>5</v>
      </c>
      <c r="I101" s="315">
        <f t="shared" si="58"/>
        <v>5</v>
      </c>
      <c r="J101" s="315">
        <f t="shared" si="58"/>
        <v>5</v>
      </c>
      <c r="K101" s="315">
        <f t="shared" si="58"/>
        <v>5</v>
      </c>
      <c r="L101" s="315">
        <f t="shared" si="58"/>
        <v>5.5</v>
      </c>
      <c r="M101" s="315">
        <f t="shared" si="58"/>
        <v>6</v>
      </c>
      <c r="N101" s="315">
        <f t="shared" si="58"/>
        <v>6</v>
      </c>
      <c r="O101" s="315">
        <f t="shared" si="58"/>
        <v>6</v>
      </c>
      <c r="P101" s="315">
        <f t="shared" si="58"/>
        <v>6</v>
      </c>
      <c r="Q101" s="318">
        <f t="shared" si="58"/>
        <v>6</v>
      </c>
      <c r="R101" s="315">
        <f t="shared" si="58"/>
        <v>6</v>
      </c>
      <c r="S101" s="315">
        <f t="shared" si="58"/>
        <v>6.5</v>
      </c>
      <c r="T101" s="315">
        <f t="shared" si="58"/>
        <v>7.5</v>
      </c>
      <c r="U101" s="315">
        <f t="shared" si="58"/>
        <v>8</v>
      </c>
      <c r="V101" s="315">
        <f t="shared" si="58"/>
        <v>8</v>
      </c>
      <c r="W101" s="315">
        <f t="shared" si="58"/>
        <v>8</v>
      </c>
      <c r="X101" s="315">
        <f t="shared" si="58"/>
        <v>7.5</v>
      </c>
      <c r="Y101" s="315">
        <f t="shared" si="58"/>
        <v>7</v>
      </c>
      <c r="Z101" s="315">
        <f t="shared" si="58"/>
        <v>7</v>
      </c>
      <c r="AA101" s="315">
        <f t="shared" si="58"/>
        <v>7.5</v>
      </c>
      <c r="AB101" s="316">
        <f t="shared" si="58"/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:AB102" si="59">H94/H101</f>
        <v>29.2</v>
      </c>
      <c r="I102" s="310">
        <f t="shared" si="59"/>
        <v>29.5</v>
      </c>
      <c r="J102" s="310">
        <f t="shared" si="59"/>
        <v>30.2</v>
      </c>
      <c r="K102" s="310">
        <f t="shared" si="59"/>
        <v>31.3</v>
      </c>
      <c r="L102" s="310">
        <f t="shared" si="59"/>
        <v>29.454545454545453</v>
      </c>
      <c r="M102" s="310">
        <f t="shared" si="59"/>
        <v>27.5</v>
      </c>
      <c r="N102" s="310">
        <f t="shared" si="59"/>
        <v>27.833333333333332</v>
      </c>
      <c r="O102" s="310">
        <f t="shared" si="59"/>
        <v>28.666666666666668</v>
      </c>
      <c r="P102" s="310">
        <f t="shared" si="59"/>
        <v>29.333333333333332</v>
      </c>
      <c r="Q102" s="313">
        <f t="shared" si="59"/>
        <v>29.916666666666668</v>
      </c>
      <c r="R102" s="310">
        <f t="shared" si="59"/>
        <v>30.25</v>
      </c>
      <c r="S102" s="310">
        <f t="shared" si="59"/>
        <v>27.76923076923077</v>
      </c>
      <c r="T102" s="310">
        <f t="shared" si="59"/>
        <v>24.4</v>
      </c>
      <c r="U102" s="310">
        <f t="shared" si="59"/>
        <v>23.6875</v>
      </c>
      <c r="V102" s="310">
        <f t="shared" si="59"/>
        <v>24.0625</v>
      </c>
      <c r="W102" s="310">
        <f t="shared" si="59"/>
        <v>24.375</v>
      </c>
      <c r="X102" s="310">
        <f t="shared" si="59"/>
        <v>25.8</v>
      </c>
      <c r="Y102" s="310">
        <f t="shared" si="59"/>
        <v>27</v>
      </c>
      <c r="Z102" s="310">
        <f t="shared" si="59"/>
        <v>25.928571428571427</v>
      </c>
      <c r="AA102" s="310">
        <f t="shared" si="59"/>
        <v>23.266666666666666</v>
      </c>
      <c r="AB102" s="311">
        <f t="shared" si="59"/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60">(H97+H96)/H96-1</f>
        <v>0</v>
      </c>
      <c r="I104" s="233">
        <f t="shared" si="60"/>
        <v>0</v>
      </c>
      <c r="J104" s="233">
        <f t="shared" si="60"/>
        <v>0</v>
      </c>
      <c r="K104" s="233">
        <f t="shared" si="60"/>
        <v>0</v>
      </c>
      <c r="L104" s="233">
        <f t="shared" si="60"/>
        <v>0.19999999999999996</v>
      </c>
      <c r="M104" s="233">
        <f t="shared" si="60"/>
        <v>0</v>
      </c>
      <c r="N104" s="233">
        <f t="shared" si="60"/>
        <v>0</v>
      </c>
      <c r="O104" s="233">
        <f t="shared" si="60"/>
        <v>0</v>
      </c>
      <c r="P104" s="233">
        <f t="shared" si="60"/>
        <v>0</v>
      </c>
      <c r="Q104" s="243">
        <f t="shared" si="60"/>
        <v>0</v>
      </c>
      <c r="R104" s="233">
        <f t="shared" si="60"/>
        <v>0</v>
      </c>
      <c r="S104" s="233">
        <f t="shared" si="60"/>
        <v>0.16666666666666674</v>
      </c>
      <c r="T104" s="233">
        <f t="shared" si="60"/>
        <v>0.14285714285714279</v>
      </c>
      <c r="U104" s="233">
        <f t="shared" si="60"/>
        <v>0</v>
      </c>
      <c r="V104" s="233">
        <f t="shared" si="60"/>
        <v>0</v>
      </c>
      <c r="W104" s="233">
        <f t="shared" si="60"/>
        <v>0</v>
      </c>
      <c r="X104" s="233">
        <f t="shared" si="60"/>
        <v>0</v>
      </c>
      <c r="Y104" s="233">
        <f t="shared" si="60"/>
        <v>0</v>
      </c>
      <c r="Z104" s="233">
        <f t="shared" si="60"/>
        <v>0</v>
      </c>
      <c r="AA104" s="233">
        <f t="shared" si="60"/>
        <v>0.14285714285714279</v>
      </c>
      <c r="AB104" s="244">
        <f t="shared" si="60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61">(H98+H101)/H101-1</f>
        <v>0</v>
      </c>
      <c r="I105" s="236">
        <f t="shared" si="61"/>
        <v>0</v>
      </c>
      <c r="J105" s="236">
        <f t="shared" si="61"/>
        <v>0</v>
      </c>
      <c r="K105" s="236">
        <f t="shared" si="61"/>
        <v>0</v>
      </c>
      <c r="L105" s="236">
        <f t="shared" si="61"/>
        <v>0</v>
      </c>
      <c r="M105" s="236">
        <f t="shared" si="61"/>
        <v>0</v>
      </c>
      <c r="N105" s="236">
        <f t="shared" si="61"/>
        <v>0</v>
      </c>
      <c r="O105" s="236">
        <f t="shared" si="61"/>
        <v>0</v>
      </c>
      <c r="P105" s="236">
        <f t="shared" si="61"/>
        <v>0</v>
      </c>
      <c r="Q105" s="238">
        <f t="shared" si="61"/>
        <v>0</v>
      </c>
      <c r="R105" s="236">
        <f t="shared" si="61"/>
        <v>0</v>
      </c>
      <c r="S105" s="236">
        <f t="shared" si="61"/>
        <v>0</v>
      </c>
      <c r="T105" s="236">
        <f t="shared" si="61"/>
        <v>0</v>
      </c>
      <c r="U105" s="236">
        <f t="shared" si="61"/>
        <v>0</v>
      </c>
      <c r="V105" s="236">
        <f t="shared" si="61"/>
        <v>0</v>
      </c>
      <c r="W105" s="236">
        <f t="shared" si="61"/>
        <v>0</v>
      </c>
      <c r="X105" s="236">
        <f t="shared" si="61"/>
        <v>-0.1333333333333333</v>
      </c>
      <c r="Y105" s="236">
        <f t="shared" si="61"/>
        <v>0</v>
      </c>
      <c r="Z105" s="236">
        <f t="shared" si="61"/>
        <v>0</v>
      </c>
      <c r="AA105" s="236">
        <f t="shared" si="61"/>
        <v>0</v>
      </c>
      <c r="AB105" s="237">
        <f t="shared" si="61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:N107" si="62">EOMONTH(H107,0)+1</f>
        <v>45689</v>
      </c>
      <c r="J107" s="189">
        <f t="shared" si="62"/>
        <v>45717</v>
      </c>
      <c r="K107" s="189">
        <f t="shared" si="62"/>
        <v>45748</v>
      </c>
      <c r="L107" s="189">
        <f t="shared" si="62"/>
        <v>45778</v>
      </c>
      <c r="M107" s="189">
        <f t="shared" si="62"/>
        <v>45809</v>
      </c>
      <c r="N107" s="189">
        <f t="shared" si="62"/>
        <v>45839</v>
      </c>
      <c r="O107" s="189">
        <v>45870</v>
      </c>
      <c r="P107" s="189">
        <f t="shared" ref="P107:AB107" si="63">EOMONTH(O107,0)+1</f>
        <v>45901</v>
      </c>
      <c r="Q107" s="189">
        <f t="shared" si="63"/>
        <v>45931</v>
      </c>
      <c r="R107" s="189">
        <f t="shared" si="63"/>
        <v>45962</v>
      </c>
      <c r="S107" s="189">
        <f t="shared" si="63"/>
        <v>45992</v>
      </c>
      <c r="T107" s="189">
        <f t="shared" si="63"/>
        <v>46023</v>
      </c>
      <c r="U107" s="189">
        <f t="shared" si="63"/>
        <v>46054</v>
      </c>
      <c r="V107" s="189">
        <f t="shared" si="63"/>
        <v>46082</v>
      </c>
      <c r="W107" s="189">
        <f t="shared" si="63"/>
        <v>46113</v>
      </c>
      <c r="X107" s="189">
        <f t="shared" si="63"/>
        <v>46143</v>
      </c>
      <c r="Y107" s="189">
        <f t="shared" si="63"/>
        <v>46174</v>
      </c>
      <c r="Z107" s="189">
        <f t="shared" si="63"/>
        <v>46204</v>
      </c>
      <c r="AA107" s="189">
        <f t="shared" si="63"/>
        <v>46235</v>
      </c>
      <c r="AB107" s="189">
        <f t="shared" si="63"/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64">+I$19</f>
        <v>147.5</v>
      </c>
      <c r="J109" s="65">
        <f t="shared" si="64"/>
        <v>151</v>
      </c>
      <c r="K109" s="65">
        <f t="shared" si="64"/>
        <v>156.5</v>
      </c>
      <c r="L109" s="65">
        <f t="shared" si="64"/>
        <v>162</v>
      </c>
      <c r="M109" s="65">
        <f t="shared" si="64"/>
        <v>165</v>
      </c>
      <c r="N109" s="65">
        <f t="shared" si="64"/>
        <v>167</v>
      </c>
      <c r="O109" s="65">
        <f t="shared" si="64"/>
        <v>172</v>
      </c>
      <c r="P109" s="65">
        <f t="shared" si="64"/>
        <v>176</v>
      </c>
      <c r="Q109" s="65">
        <f t="shared" si="64"/>
        <v>179.5</v>
      </c>
      <c r="R109" s="65">
        <f t="shared" si="64"/>
        <v>181.5</v>
      </c>
      <c r="S109" s="65">
        <f t="shared" si="64"/>
        <v>180.5</v>
      </c>
      <c r="T109" s="65">
        <f t="shared" si="64"/>
        <v>183</v>
      </c>
      <c r="U109" s="65">
        <f t="shared" si="64"/>
        <v>189.5</v>
      </c>
      <c r="V109" s="65">
        <f t="shared" si="64"/>
        <v>192.5</v>
      </c>
      <c r="W109" s="65">
        <f t="shared" si="64"/>
        <v>195</v>
      </c>
      <c r="X109" s="65">
        <f t="shared" si="64"/>
        <v>193.5</v>
      </c>
      <c r="Y109" s="65">
        <f t="shared" si="64"/>
        <v>189</v>
      </c>
      <c r="Z109" s="65">
        <f t="shared" si="64"/>
        <v>181.5</v>
      </c>
      <c r="AA109" s="65">
        <f t="shared" si="64"/>
        <v>174.5</v>
      </c>
      <c r="AB109" s="65">
        <f t="shared" si="64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:AB111" si="65">+H114-H112-H113</f>
        <v>4</v>
      </c>
      <c r="I111" s="181">
        <f t="shared" si="65"/>
        <v>4</v>
      </c>
      <c r="J111" s="181">
        <f t="shared" si="65"/>
        <v>3</v>
      </c>
      <c r="K111" s="181">
        <f t="shared" si="65"/>
        <v>3</v>
      </c>
      <c r="L111" s="181">
        <f t="shared" si="65"/>
        <v>3</v>
      </c>
      <c r="M111" s="181">
        <f t="shared" si="65"/>
        <v>3</v>
      </c>
      <c r="N111" s="181">
        <f t="shared" si="65"/>
        <v>3</v>
      </c>
      <c r="O111" s="181">
        <f t="shared" si="65"/>
        <v>3</v>
      </c>
      <c r="P111" s="181">
        <f t="shared" si="65"/>
        <v>3</v>
      </c>
      <c r="Q111" s="181">
        <f t="shared" si="65"/>
        <v>3</v>
      </c>
      <c r="R111" s="181">
        <f t="shared" si="65"/>
        <v>3</v>
      </c>
      <c r="S111" s="181">
        <f t="shared" si="65"/>
        <v>3</v>
      </c>
      <c r="T111" s="181">
        <f t="shared" si="65"/>
        <v>3</v>
      </c>
      <c r="U111" s="181">
        <f t="shared" si="65"/>
        <v>3</v>
      </c>
      <c r="V111" s="181">
        <f t="shared" si="65"/>
        <v>3</v>
      </c>
      <c r="W111" s="181">
        <f t="shared" si="65"/>
        <v>3</v>
      </c>
      <c r="X111" s="181">
        <f t="shared" si="65"/>
        <v>3</v>
      </c>
      <c r="Y111" s="181">
        <f t="shared" si="65"/>
        <v>3</v>
      </c>
      <c r="Z111" s="181">
        <f t="shared" si="65"/>
        <v>3</v>
      </c>
      <c r="AA111" s="181">
        <f t="shared" si="65"/>
        <v>3</v>
      </c>
      <c r="AB111" s="181">
        <f t="shared" si="65"/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66">+I111</f>
        <v>4</v>
      </c>
      <c r="I114" s="257">
        <f t="shared" si="66"/>
        <v>3</v>
      </c>
      <c r="J114" s="257">
        <f t="shared" si="66"/>
        <v>3</v>
      </c>
      <c r="K114" s="257">
        <f t="shared" si="66"/>
        <v>3</v>
      </c>
      <c r="L114" s="257">
        <f t="shared" si="66"/>
        <v>3</v>
      </c>
      <c r="M114" s="257">
        <f t="shared" si="66"/>
        <v>3</v>
      </c>
      <c r="N114" s="257">
        <f t="shared" si="66"/>
        <v>3</v>
      </c>
      <c r="O114" s="257">
        <f t="shared" si="66"/>
        <v>3</v>
      </c>
      <c r="P114" s="257">
        <f t="shared" si="66"/>
        <v>3</v>
      </c>
      <c r="Q114" s="257">
        <f t="shared" si="66"/>
        <v>3</v>
      </c>
      <c r="R114" s="257">
        <f t="shared" si="66"/>
        <v>3</v>
      </c>
      <c r="S114" s="257">
        <f t="shared" si="66"/>
        <v>3</v>
      </c>
      <c r="T114" s="257">
        <f t="shared" si="66"/>
        <v>3</v>
      </c>
      <c r="U114" s="257">
        <f t="shared" si="66"/>
        <v>3</v>
      </c>
      <c r="V114" s="257">
        <f t="shared" si="66"/>
        <v>3</v>
      </c>
      <c r="W114" s="257">
        <f t="shared" si="66"/>
        <v>3</v>
      </c>
      <c r="X114" s="257">
        <f t="shared" si="66"/>
        <v>3</v>
      </c>
      <c r="Y114" s="257">
        <f t="shared" si="66"/>
        <v>3</v>
      </c>
      <c r="Z114" s="257">
        <f t="shared" si="66"/>
        <v>3</v>
      </c>
      <c r="AA114" s="257">
        <f t="shared" si="66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:AB116" si="67">AVERAGE(H111,H114)</f>
        <v>4</v>
      </c>
      <c r="I116" s="315">
        <f t="shared" si="67"/>
        <v>3.5</v>
      </c>
      <c r="J116" s="315">
        <f t="shared" si="67"/>
        <v>3</v>
      </c>
      <c r="K116" s="315">
        <f t="shared" si="67"/>
        <v>3</v>
      </c>
      <c r="L116" s="315">
        <f t="shared" si="67"/>
        <v>3</v>
      </c>
      <c r="M116" s="315">
        <f t="shared" si="67"/>
        <v>3</v>
      </c>
      <c r="N116" s="315">
        <f t="shared" si="67"/>
        <v>3</v>
      </c>
      <c r="O116" s="315">
        <f t="shared" si="67"/>
        <v>3</v>
      </c>
      <c r="P116" s="315">
        <f t="shared" si="67"/>
        <v>3</v>
      </c>
      <c r="Q116" s="315">
        <f t="shared" si="67"/>
        <v>3</v>
      </c>
      <c r="R116" s="315">
        <f t="shared" si="67"/>
        <v>3</v>
      </c>
      <c r="S116" s="315">
        <f t="shared" si="67"/>
        <v>3</v>
      </c>
      <c r="T116" s="315">
        <f t="shared" si="67"/>
        <v>3</v>
      </c>
      <c r="U116" s="315">
        <f t="shared" si="67"/>
        <v>3</v>
      </c>
      <c r="V116" s="315">
        <f t="shared" si="67"/>
        <v>3</v>
      </c>
      <c r="W116" s="315">
        <f t="shared" si="67"/>
        <v>3</v>
      </c>
      <c r="X116" s="315">
        <f t="shared" si="67"/>
        <v>3</v>
      </c>
      <c r="Y116" s="315">
        <f t="shared" si="67"/>
        <v>3</v>
      </c>
      <c r="Z116" s="315">
        <f t="shared" si="67"/>
        <v>3</v>
      </c>
      <c r="AA116" s="315">
        <f t="shared" si="67"/>
        <v>3</v>
      </c>
      <c r="AB116" s="316">
        <f t="shared" si="67"/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:AB117" si="68">H109/H116</f>
        <v>36.5</v>
      </c>
      <c r="I117" s="310">
        <f t="shared" si="68"/>
        <v>42.142857142857146</v>
      </c>
      <c r="J117" s="310">
        <f t="shared" si="68"/>
        <v>50.333333333333336</v>
      </c>
      <c r="K117" s="310">
        <f t="shared" si="68"/>
        <v>52.166666666666664</v>
      </c>
      <c r="L117" s="310">
        <f t="shared" si="68"/>
        <v>54</v>
      </c>
      <c r="M117" s="310">
        <f t="shared" si="68"/>
        <v>55</v>
      </c>
      <c r="N117" s="310">
        <f t="shared" si="68"/>
        <v>55.666666666666664</v>
      </c>
      <c r="O117" s="310">
        <f t="shared" si="68"/>
        <v>57.333333333333336</v>
      </c>
      <c r="P117" s="310">
        <f t="shared" si="68"/>
        <v>58.666666666666664</v>
      </c>
      <c r="Q117" s="310">
        <f t="shared" si="68"/>
        <v>59.833333333333336</v>
      </c>
      <c r="R117" s="310">
        <f t="shared" si="68"/>
        <v>60.5</v>
      </c>
      <c r="S117" s="310">
        <f t="shared" si="68"/>
        <v>60.166666666666664</v>
      </c>
      <c r="T117" s="310">
        <f t="shared" si="68"/>
        <v>61</v>
      </c>
      <c r="U117" s="310">
        <f t="shared" si="68"/>
        <v>63.166666666666664</v>
      </c>
      <c r="V117" s="310">
        <f t="shared" si="68"/>
        <v>64.166666666666671</v>
      </c>
      <c r="W117" s="310">
        <f t="shared" si="68"/>
        <v>65</v>
      </c>
      <c r="X117" s="310">
        <f t="shared" si="68"/>
        <v>64.5</v>
      </c>
      <c r="Y117" s="310">
        <f t="shared" si="68"/>
        <v>63</v>
      </c>
      <c r="Z117" s="310">
        <f t="shared" si="68"/>
        <v>60.5</v>
      </c>
      <c r="AA117" s="310">
        <f t="shared" si="68"/>
        <v>58.166666666666664</v>
      </c>
      <c r="AB117" s="311">
        <f t="shared" si="68"/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69">(H112+H111)/H111-1</f>
        <v>0</v>
      </c>
      <c r="I119" s="233">
        <f t="shared" si="69"/>
        <v>0</v>
      </c>
      <c r="J119" s="233">
        <f t="shared" si="69"/>
        <v>0</v>
      </c>
      <c r="K119" s="233">
        <f t="shared" si="69"/>
        <v>0</v>
      </c>
      <c r="L119" s="233">
        <f t="shared" si="69"/>
        <v>0</v>
      </c>
      <c r="M119" s="233">
        <f t="shared" si="69"/>
        <v>0</v>
      </c>
      <c r="N119" s="233">
        <f t="shared" si="69"/>
        <v>0</v>
      </c>
      <c r="O119" s="233">
        <f t="shared" si="69"/>
        <v>0</v>
      </c>
      <c r="P119" s="233">
        <f t="shared" si="69"/>
        <v>0</v>
      </c>
      <c r="Q119" s="243">
        <f t="shared" si="69"/>
        <v>0</v>
      </c>
      <c r="R119" s="233">
        <f t="shared" si="69"/>
        <v>0</v>
      </c>
      <c r="S119" s="233">
        <f t="shared" si="69"/>
        <v>0</v>
      </c>
      <c r="T119" s="233">
        <f t="shared" si="69"/>
        <v>0</v>
      </c>
      <c r="U119" s="233">
        <f t="shared" si="69"/>
        <v>0</v>
      </c>
      <c r="V119" s="233">
        <f t="shared" si="69"/>
        <v>0</v>
      </c>
      <c r="W119" s="233">
        <f t="shared" si="69"/>
        <v>0</v>
      </c>
      <c r="X119" s="233">
        <f t="shared" si="69"/>
        <v>0</v>
      </c>
      <c r="Y119" s="233">
        <f t="shared" si="69"/>
        <v>0</v>
      </c>
      <c r="Z119" s="233">
        <f t="shared" si="69"/>
        <v>0</v>
      </c>
      <c r="AA119" s="233">
        <f t="shared" si="69"/>
        <v>0</v>
      </c>
      <c r="AB119" s="244">
        <f t="shared" si="69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70">(H113+H116)/H116-1</f>
        <v>0</v>
      </c>
      <c r="I120" s="236">
        <f t="shared" si="70"/>
        <v>-0.2857142857142857</v>
      </c>
      <c r="J120" s="236">
        <f t="shared" si="70"/>
        <v>0</v>
      </c>
      <c r="K120" s="236">
        <f t="shared" si="70"/>
        <v>0</v>
      </c>
      <c r="L120" s="236">
        <f t="shared" si="70"/>
        <v>0</v>
      </c>
      <c r="M120" s="236">
        <f t="shared" si="70"/>
        <v>0</v>
      </c>
      <c r="N120" s="236">
        <f t="shared" si="70"/>
        <v>0</v>
      </c>
      <c r="O120" s="236">
        <f t="shared" si="70"/>
        <v>0</v>
      </c>
      <c r="P120" s="236">
        <f t="shared" si="70"/>
        <v>0</v>
      </c>
      <c r="Q120" s="238">
        <f t="shared" si="70"/>
        <v>0</v>
      </c>
      <c r="R120" s="236">
        <f t="shared" si="70"/>
        <v>0</v>
      </c>
      <c r="S120" s="236">
        <f t="shared" si="70"/>
        <v>0</v>
      </c>
      <c r="T120" s="236">
        <f t="shared" si="70"/>
        <v>0</v>
      </c>
      <c r="U120" s="236">
        <f t="shared" si="70"/>
        <v>0</v>
      </c>
      <c r="V120" s="236">
        <f t="shared" si="70"/>
        <v>0</v>
      </c>
      <c r="W120" s="236">
        <f t="shared" si="70"/>
        <v>0</v>
      </c>
      <c r="X120" s="236">
        <f t="shared" si="70"/>
        <v>0</v>
      </c>
      <c r="Y120" s="236">
        <f t="shared" si="70"/>
        <v>0</v>
      </c>
      <c r="Z120" s="236">
        <f t="shared" si="70"/>
        <v>0</v>
      </c>
      <c r="AA120" s="236">
        <f t="shared" si="70"/>
        <v>0</v>
      </c>
      <c r="AB120" s="237">
        <f t="shared" si="70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:N122" si="71">EOMONTH(H122,0)+1</f>
        <v>45689</v>
      </c>
      <c r="J122" s="189">
        <f t="shared" si="71"/>
        <v>45717</v>
      </c>
      <c r="K122" s="189">
        <f t="shared" si="71"/>
        <v>45748</v>
      </c>
      <c r="L122" s="189">
        <f t="shared" si="71"/>
        <v>45778</v>
      </c>
      <c r="M122" s="189">
        <f t="shared" si="71"/>
        <v>45809</v>
      </c>
      <c r="N122" s="189">
        <f t="shared" si="71"/>
        <v>45839</v>
      </c>
      <c r="O122" s="189">
        <v>45870</v>
      </c>
      <c r="P122" s="189">
        <f t="shared" ref="P122:AB122" si="72">EOMONTH(O122,0)+1</f>
        <v>45901</v>
      </c>
      <c r="Q122" s="189">
        <f t="shared" si="72"/>
        <v>45931</v>
      </c>
      <c r="R122" s="189">
        <f t="shared" si="72"/>
        <v>45962</v>
      </c>
      <c r="S122" s="189">
        <f t="shared" si="72"/>
        <v>45992</v>
      </c>
      <c r="T122" s="189">
        <f t="shared" si="72"/>
        <v>46023</v>
      </c>
      <c r="U122" s="189">
        <f t="shared" si="72"/>
        <v>46054</v>
      </c>
      <c r="V122" s="189">
        <f t="shared" si="72"/>
        <v>46082</v>
      </c>
      <c r="W122" s="189">
        <f t="shared" si="72"/>
        <v>46113</v>
      </c>
      <c r="X122" s="189">
        <f t="shared" si="72"/>
        <v>46143</v>
      </c>
      <c r="Y122" s="189">
        <f t="shared" si="72"/>
        <v>46174</v>
      </c>
      <c r="Z122" s="189">
        <f t="shared" si="72"/>
        <v>46204</v>
      </c>
      <c r="AA122" s="189">
        <f t="shared" si="72"/>
        <v>46235</v>
      </c>
      <c r="AB122" s="189">
        <f t="shared" si="72"/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:AB124" si="73">+H127-H125-H126</f>
        <v>1</v>
      </c>
      <c r="I124" s="181">
        <f t="shared" si="73"/>
        <v>1</v>
      </c>
      <c r="J124" s="181">
        <f t="shared" si="73"/>
        <v>1</v>
      </c>
      <c r="K124" s="181">
        <f t="shared" si="73"/>
        <v>1</v>
      </c>
      <c r="L124" s="181">
        <f t="shared" si="73"/>
        <v>1</v>
      </c>
      <c r="M124" s="181">
        <f t="shared" si="73"/>
        <v>1</v>
      </c>
      <c r="N124" s="181">
        <f t="shared" si="73"/>
        <v>1</v>
      </c>
      <c r="O124" s="181">
        <f t="shared" si="73"/>
        <v>1</v>
      </c>
      <c r="P124" s="181">
        <f t="shared" si="73"/>
        <v>2</v>
      </c>
      <c r="Q124" s="181">
        <f t="shared" si="73"/>
        <v>2</v>
      </c>
      <c r="R124" s="181">
        <f t="shared" si="73"/>
        <v>2</v>
      </c>
      <c r="S124" s="181">
        <f t="shared" si="73"/>
        <v>2</v>
      </c>
      <c r="T124" s="181">
        <f t="shared" si="73"/>
        <v>1</v>
      </c>
      <c r="U124" s="181">
        <f t="shared" si="73"/>
        <v>1</v>
      </c>
      <c r="V124" s="181">
        <f t="shared" si="73"/>
        <v>2</v>
      </c>
      <c r="W124" s="181">
        <f t="shared" si="73"/>
        <v>3</v>
      </c>
      <c r="X124" s="181">
        <f t="shared" si="73"/>
        <v>4</v>
      </c>
      <c r="Y124" s="181">
        <f t="shared" si="73"/>
        <v>4</v>
      </c>
      <c r="Z124" s="181">
        <f t="shared" si="73"/>
        <v>4</v>
      </c>
      <c r="AA124" s="181">
        <f t="shared" si="73"/>
        <v>3</v>
      </c>
      <c r="AB124" s="181">
        <f t="shared" si="73"/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74">+I124</f>
        <v>1</v>
      </c>
      <c r="I127" s="257">
        <f t="shared" si="74"/>
        <v>1</v>
      </c>
      <c r="J127" s="257">
        <f t="shared" si="74"/>
        <v>1</v>
      </c>
      <c r="K127" s="257">
        <f t="shared" si="74"/>
        <v>1</v>
      </c>
      <c r="L127" s="257">
        <f t="shared" si="74"/>
        <v>1</v>
      </c>
      <c r="M127" s="257">
        <f t="shared" si="74"/>
        <v>1</v>
      </c>
      <c r="N127" s="257">
        <f t="shared" si="74"/>
        <v>1</v>
      </c>
      <c r="O127" s="257">
        <f t="shared" si="74"/>
        <v>2</v>
      </c>
      <c r="P127" s="257">
        <f t="shared" si="74"/>
        <v>2</v>
      </c>
      <c r="Q127" s="257">
        <f t="shared" si="74"/>
        <v>2</v>
      </c>
      <c r="R127" s="257">
        <f t="shared" si="74"/>
        <v>2</v>
      </c>
      <c r="S127" s="257">
        <f t="shared" si="74"/>
        <v>1</v>
      </c>
      <c r="T127" s="257">
        <f t="shared" si="74"/>
        <v>1</v>
      </c>
      <c r="U127" s="257">
        <f t="shared" si="74"/>
        <v>2</v>
      </c>
      <c r="V127" s="257">
        <f t="shared" si="74"/>
        <v>3</v>
      </c>
      <c r="W127" s="257">
        <f t="shared" si="74"/>
        <v>4</v>
      </c>
      <c r="X127" s="257">
        <f t="shared" si="74"/>
        <v>4</v>
      </c>
      <c r="Y127" s="257">
        <f t="shared" si="74"/>
        <v>4</v>
      </c>
      <c r="Z127" s="257">
        <f t="shared" si="74"/>
        <v>3</v>
      </c>
      <c r="AA127" s="257">
        <f t="shared" si="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:AB129" si="75">AVERAGE(H124,H127)</f>
        <v>1</v>
      </c>
      <c r="I129" s="320">
        <f t="shared" si="75"/>
        <v>1</v>
      </c>
      <c r="J129" s="320">
        <f t="shared" si="75"/>
        <v>1</v>
      </c>
      <c r="K129" s="320">
        <f t="shared" si="75"/>
        <v>1</v>
      </c>
      <c r="L129" s="320">
        <f t="shared" si="75"/>
        <v>1</v>
      </c>
      <c r="M129" s="320">
        <f t="shared" si="75"/>
        <v>1</v>
      </c>
      <c r="N129" s="320">
        <f t="shared" si="75"/>
        <v>1</v>
      </c>
      <c r="O129" s="320">
        <f t="shared" si="75"/>
        <v>1.5</v>
      </c>
      <c r="P129" s="320">
        <f t="shared" si="75"/>
        <v>2</v>
      </c>
      <c r="Q129" s="320">
        <f t="shared" si="75"/>
        <v>2</v>
      </c>
      <c r="R129" s="320">
        <f t="shared" si="75"/>
        <v>2</v>
      </c>
      <c r="S129" s="320">
        <f t="shared" si="75"/>
        <v>1.5</v>
      </c>
      <c r="T129" s="320">
        <f t="shared" si="75"/>
        <v>1</v>
      </c>
      <c r="U129" s="320">
        <f t="shared" si="75"/>
        <v>1.5</v>
      </c>
      <c r="V129" s="320">
        <f t="shared" si="75"/>
        <v>2.5</v>
      </c>
      <c r="W129" s="320">
        <f t="shared" si="75"/>
        <v>3.5</v>
      </c>
      <c r="X129" s="320">
        <f t="shared" si="75"/>
        <v>4</v>
      </c>
      <c r="Y129" s="320">
        <f t="shared" si="75"/>
        <v>4</v>
      </c>
      <c r="Z129" s="320">
        <f t="shared" si="75"/>
        <v>3.5</v>
      </c>
      <c r="AA129" s="320">
        <f t="shared" si="75"/>
        <v>3</v>
      </c>
      <c r="AB129" s="321">
        <f t="shared" si="75"/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76">(H125+H124)/H124-1</f>
        <v>0</v>
      </c>
      <c r="I131" s="233">
        <f t="shared" si="76"/>
        <v>0</v>
      </c>
      <c r="J131" s="233">
        <f t="shared" si="76"/>
        <v>0</v>
      </c>
      <c r="K131" s="233">
        <f t="shared" si="76"/>
        <v>0</v>
      </c>
      <c r="L131" s="233">
        <f t="shared" si="76"/>
        <v>0</v>
      </c>
      <c r="M131" s="233">
        <f t="shared" si="76"/>
        <v>0</v>
      </c>
      <c r="N131" s="233">
        <f t="shared" si="76"/>
        <v>0</v>
      </c>
      <c r="O131" s="233">
        <f t="shared" si="76"/>
        <v>1</v>
      </c>
      <c r="P131" s="233">
        <f t="shared" si="76"/>
        <v>0</v>
      </c>
      <c r="Q131" s="243">
        <f t="shared" si="76"/>
        <v>0</v>
      </c>
      <c r="R131" s="233">
        <f t="shared" si="76"/>
        <v>0.5</v>
      </c>
      <c r="S131" s="233">
        <f t="shared" si="76"/>
        <v>0</v>
      </c>
      <c r="T131" s="233">
        <f t="shared" si="76"/>
        <v>1</v>
      </c>
      <c r="U131" s="233">
        <f t="shared" si="76"/>
        <v>1</v>
      </c>
      <c r="V131" s="233">
        <f t="shared" si="76"/>
        <v>0.5</v>
      </c>
      <c r="W131" s="233">
        <f t="shared" si="76"/>
        <v>0.33333333333333326</v>
      </c>
      <c r="X131" s="233">
        <f t="shared" si="76"/>
        <v>0</v>
      </c>
      <c r="Y131" s="233">
        <f t="shared" si="76"/>
        <v>0</v>
      </c>
      <c r="Z131" s="233">
        <f t="shared" si="76"/>
        <v>0</v>
      </c>
      <c r="AA131" s="233">
        <f t="shared" si="76"/>
        <v>0</v>
      </c>
      <c r="AB131" s="244">
        <f t="shared" si="7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77">(H126+H129)/H129-1</f>
        <v>0</v>
      </c>
      <c r="I132" s="236">
        <f t="shared" si="77"/>
        <v>0</v>
      </c>
      <c r="J132" s="236">
        <f t="shared" si="77"/>
        <v>0</v>
      </c>
      <c r="K132" s="236">
        <f t="shared" si="77"/>
        <v>0</v>
      </c>
      <c r="L132" s="236">
        <f t="shared" si="77"/>
        <v>0</v>
      </c>
      <c r="M132" s="236">
        <f t="shared" si="77"/>
        <v>0</v>
      </c>
      <c r="N132" s="236">
        <f t="shared" si="77"/>
        <v>0</v>
      </c>
      <c r="O132" s="236">
        <f t="shared" si="77"/>
        <v>0</v>
      </c>
      <c r="P132" s="236">
        <f t="shared" si="77"/>
        <v>0</v>
      </c>
      <c r="Q132" s="238">
        <f t="shared" si="77"/>
        <v>0</v>
      </c>
      <c r="R132" s="236">
        <f t="shared" si="77"/>
        <v>-0.5</v>
      </c>
      <c r="S132" s="236">
        <f t="shared" si="77"/>
        <v>-0.66666666666666674</v>
      </c>
      <c r="T132" s="236">
        <f t="shared" si="77"/>
        <v>-1</v>
      </c>
      <c r="U132" s="236">
        <f t="shared" si="77"/>
        <v>0</v>
      </c>
      <c r="V132" s="236">
        <f t="shared" si="77"/>
        <v>0</v>
      </c>
      <c r="W132" s="236">
        <f t="shared" si="77"/>
        <v>0</v>
      </c>
      <c r="X132" s="236">
        <f t="shared" si="77"/>
        <v>0</v>
      </c>
      <c r="Y132" s="236">
        <f t="shared" si="77"/>
        <v>0</v>
      </c>
      <c r="Z132" s="236">
        <f t="shared" si="77"/>
        <v>-0.2857142857142857</v>
      </c>
      <c r="AA132" s="236">
        <f t="shared" si="77"/>
        <v>0</v>
      </c>
      <c r="AB132" s="237">
        <f t="shared" si="7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ca="1">(C9+C12)/C12-1</f>
        <v>-0.21238938053097345</v>
      </c>
      <c r="D15" s="495">
        <f ca="1">(D9+D12)/D12-1</f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8">(H9+H12)/H12-1</f>
        <v>-2.2727272727272707E-2</v>
      </c>
      <c r="I15" s="494">
        <f t="shared" ca="1" si="8"/>
        <v>-6.8965517241379337E-2</v>
      </c>
      <c r="J15" s="494">
        <f t="shared" ca="1" si="8"/>
        <v>-2.2988505747126409E-2</v>
      </c>
      <c r="K15" s="494">
        <f t="shared" ca="1" si="8"/>
        <v>0</v>
      </c>
      <c r="L15" s="494">
        <f t="shared" ca="1" si="8"/>
        <v>-2.1052631578947323E-2</v>
      </c>
      <c r="M15" s="494">
        <f t="shared" ca="1" si="8"/>
        <v>-1.980198019801982E-2</v>
      </c>
      <c r="N15" s="494">
        <f t="shared" ca="1" si="8"/>
        <v>0</v>
      </c>
      <c r="O15" s="494">
        <f t="shared" ca="1" si="8"/>
        <v>-1.6949152542372836E-2</v>
      </c>
      <c r="P15" s="494">
        <f t="shared" ca="1" si="8"/>
        <v>0</v>
      </c>
      <c r="Q15" s="497">
        <f t="shared" ca="1" si="8"/>
        <v>0</v>
      </c>
      <c r="R15" s="494">
        <f t="shared" ca="1" si="8"/>
        <v>-4.5801526717557217E-2</v>
      </c>
      <c r="S15" s="494">
        <f t="shared" ca="1" si="8"/>
        <v>-1.4705882352941124E-2</v>
      </c>
      <c r="T15" s="494">
        <f t="shared" ca="1" si="8"/>
        <v>-1.4084507042253502E-2</v>
      </c>
      <c r="U15" s="494">
        <f t="shared" ca="1" si="8"/>
        <v>-1.3422818791946289E-2</v>
      </c>
      <c r="V15" s="494">
        <f t="shared" ca="1" si="8"/>
        <v>0</v>
      </c>
      <c r="W15" s="494">
        <f t="shared" ca="1" si="8"/>
        <v>-1.2345679012345734E-2</v>
      </c>
      <c r="X15" s="494">
        <f t="shared" ca="1" si="8"/>
        <v>-6.2111801242236031E-2</v>
      </c>
      <c r="Y15" s="494">
        <f t="shared" ca="1" si="8"/>
        <v>-1.2345679012345734E-2</v>
      </c>
      <c r="Z15" s="494">
        <f t="shared" ca="1" si="8"/>
        <v>-2.3809523809523836E-2</v>
      </c>
      <c r="AA15" s="494">
        <f t="shared" ca="1" si="8"/>
        <v>-4.6783625730994149E-2</v>
      </c>
      <c r="AB15" s="495">
        <f t="shared" ca="1" si="8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9">EOMONTH(H17,0)+1</f>
        <v>45689</v>
      </c>
      <c r="J17" s="465">
        <f t="shared" si="9"/>
        <v>45717</v>
      </c>
      <c r="K17" s="465">
        <f t="shared" si="9"/>
        <v>45748</v>
      </c>
      <c r="L17" s="465">
        <f t="shared" si="9"/>
        <v>45778</v>
      </c>
      <c r="M17" s="465">
        <f t="shared" si="9"/>
        <v>45809</v>
      </c>
      <c r="N17" s="465">
        <f t="shared" si="9"/>
        <v>45839</v>
      </c>
      <c r="O17" s="465">
        <v>45870</v>
      </c>
      <c r="P17" s="465">
        <f t="shared" ref="P17:AB17" si="10">EOMONTH(O17,0)+1</f>
        <v>45901</v>
      </c>
      <c r="Q17" s="465">
        <f t="shared" si="10"/>
        <v>45931</v>
      </c>
      <c r="R17" s="465">
        <f t="shared" si="10"/>
        <v>45962</v>
      </c>
      <c r="S17" s="465">
        <f t="shared" si="10"/>
        <v>45992</v>
      </c>
      <c r="T17" s="465">
        <f t="shared" si="10"/>
        <v>46023</v>
      </c>
      <c r="U17" s="465">
        <f t="shared" si="10"/>
        <v>46054</v>
      </c>
      <c r="V17" s="465">
        <f t="shared" si="10"/>
        <v>46082</v>
      </c>
      <c r="W17" s="465">
        <f t="shared" si="10"/>
        <v>46113</v>
      </c>
      <c r="X17" s="465">
        <f t="shared" si="10"/>
        <v>46143</v>
      </c>
      <c r="Y17" s="465">
        <f t="shared" si="10"/>
        <v>46174</v>
      </c>
      <c r="Z17" s="465">
        <f t="shared" si="10"/>
        <v>46204</v>
      </c>
      <c r="AA17" s="465">
        <f t="shared" si="10"/>
        <v>46235</v>
      </c>
      <c r="AB17" s="465">
        <f t="shared" si="10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1">+H24-H22-H23</f>
        <v>13</v>
      </c>
      <c r="I21" s="470">
        <f t="shared" ca="1" si="11"/>
        <v>13</v>
      </c>
      <c r="J21" s="470">
        <f t="shared" ca="1" si="11"/>
        <v>13</v>
      </c>
      <c r="K21" s="470">
        <f t="shared" ca="1" si="11"/>
        <v>14</v>
      </c>
      <c r="L21" s="470">
        <f t="shared" ca="1" si="11"/>
        <v>15</v>
      </c>
      <c r="M21" s="470">
        <f t="shared" ca="1" si="11"/>
        <v>15</v>
      </c>
      <c r="N21" s="470">
        <f t="shared" ca="1" si="11"/>
        <v>20</v>
      </c>
      <c r="O21" s="470">
        <f t="shared" ca="1" si="11"/>
        <v>24</v>
      </c>
      <c r="P21" s="470">
        <f t="shared" ca="1" si="11"/>
        <v>26</v>
      </c>
      <c r="Q21" s="470">
        <f t="shared" ca="1" si="11"/>
        <v>26</v>
      </c>
      <c r="R21" s="470">
        <f t="shared" ca="1" si="11"/>
        <v>28</v>
      </c>
      <c r="S21" s="470">
        <f t="shared" ca="1" si="11"/>
        <v>30</v>
      </c>
      <c r="T21" s="470">
        <f t="shared" ca="1" si="11"/>
        <v>31</v>
      </c>
      <c r="U21" s="470">
        <f t="shared" ca="1" si="11"/>
        <v>32</v>
      </c>
      <c r="V21" s="470">
        <f t="shared" ca="1" si="11"/>
        <v>32</v>
      </c>
      <c r="W21" s="470">
        <f t="shared" ca="1" si="11"/>
        <v>32</v>
      </c>
      <c r="X21" s="470">
        <f t="shared" ca="1" si="11"/>
        <v>34</v>
      </c>
      <c r="Y21" s="470">
        <f t="shared" ca="1" si="11"/>
        <v>33</v>
      </c>
      <c r="Z21" s="470">
        <f t="shared" ca="1" si="11"/>
        <v>37</v>
      </c>
      <c r="AA21" s="470">
        <f t="shared" ca="1" si="11"/>
        <v>39</v>
      </c>
      <c r="AB21" s="470">
        <f t="shared" ca="1" si="11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2">+I21</f>
        <v>13</v>
      </c>
      <c r="I24" s="475">
        <f t="shared" ca="1" si="12"/>
        <v>13</v>
      </c>
      <c r="J24" s="475">
        <f t="shared" ca="1" si="12"/>
        <v>14</v>
      </c>
      <c r="K24" s="475">
        <f t="shared" ca="1" si="12"/>
        <v>15</v>
      </c>
      <c r="L24" s="475">
        <f t="shared" ca="1" si="12"/>
        <v>15</v>
      </c>
      <c r="M24" s="475">
        <f t="shared" ca="1" si="12"/>
        <v>20</v>
      </c>
      <c r="N24" s="475">
        <f t="shared" ca="1" si="12"/>
        <v>24</v>
      </c>
      <c r="O24" s="475">
        <f t="shared" ca="1" si="12"/>
        <v>26</v>
      </c>
      <c r="P24" s="475">
        <f t="shared" ca="1" si="12"/>
        <v>26</v>
      </c>
      <c r="Q24" s="478">
        <f t="shared" ca="1" si="12"/>
        <v>28</v>
      </c>
      <c r="R24" s="475">
        <f t="shared" ca="1" si="12"/>
        <v>30</v>
      </c>
      <c r="S24" s="475">
        <f t="shared" ca="1" si="12"/>
        <v>31</v>
      </c>
      <c r="T24" s="475">
        <f t="shared" ca="1" si="12"/>
        <v>32</v>
      </c>
      <c r="U24" s="475">
        <f t="shared" ca="1" si="12"/>
        <v>32</v>
      </c>
      <c r="V24" s="475">
        <f t="shared" ca="1" si="12"/>
        <v>32</v>
      </c>
      <c r="W24" s="475">
        <f t="shared" ca="1" si="12"/>
        <v>34</v>
      </c>
      <c r="X24" s="475">
        <f t="shared" ca="1" si="12"/>
        <v>33</v>
      </c>
      <c r="Y24" s="475">
        <f t="shared" ca="1" si="12"/>
        <v>37</v>
      </c>
      <c r="Z24" s="475">
        <f t="shared" ca="1" si="12"/>
        <v>39</v>
      </c>
      <c r="AA24" s="475">
        <f t="shared" ca="1" si="12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3">AVERAGE(H21,H24)</f>
        <v>13</v>
      </c>
      <c r="I26" s="502">
        <f t="shared" ca="1" si="13"/>
        <v>13</v>
      </c>
      <c r="J26" s="502">
        <f t="shared" ca="1" si="13"/>
        <v>13.5</v>
      </c>
      <c r="K26" s="502">
        <f t="shared" ca="1" si="13"/>
        <v>14.5</v>
      </c>
      <c r="L26" s="502">
        <f t="shared" ca="1" si="13"/>
        <v>15</v>
      </c>
      <c r="M26" s="502">
        <f t="shared" ca="1" si="13"/>
        <v>17.5</v>
      </c>
      <c r="N26" s="502">
        <f t="shared" ca="1" si="13"/>
        <v>22</v>
      </c>
      <c r="O26" s="502">
        <f t="shared" ca="1" si="13"/>
        <v>25</v>
      </c>
      <c r="P26" s="502">
        <f t="shared" ca="1" si="13"/>
        <v>26</v>
      </c>
      <c r="Q26" s="505">
        <f t="shared" ca="1" si="13"/>
        <v>27</v>
      </c>
      <c r="R26" s="502">
        <f t="shared" ca="1" si="13"/>
        <v>29</v>
      </c>
      <c r="S26" s="502">
        <f t="shared" ca="1" si="13"/>
        <v>30.5</v>
      </c>
      <c r="T26" s="502">
        <f t="shared" ca="1" si="13"/>
        <v>31.5</v>
      </c>
      <c r="U26" s="502">
        <f t="shared" ca="1" si="13"/>
        <v>32</v>
      </c>
      <c r="V26" s="502">
        <f t="shared" ca="1" si="13"/>
        <v>32</v>
      </c>
      <c r="W26" s="502">
        <f t="shared" ca="1" si="13"/>
        <v>33</v>
      </c>
      <c r="X26" s="502">
        <f t="shared" ca="1" si="13"/>
        <v>33.5</v>
      </c>
      <c r="Y26" s="502">
        <f t="shared" ca="1" si="13"/>
        <v>35</v>
      </c>
      <c r="Z26" s="502">
        <f t="shared" ca="1" si="13"/>
        <v>38</v>
      </c>
      <c r="AA26" s="502">
        <f t="shared" ca="1" si="13"/>
        <v>38.5</v>
      </c>
      <c r="AB26" s="503">
        <f t="shared" ca="1" si="13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4">H19/H26</f>
        <v>11.23076923076923</v>
      </c>
      <c r="I27" s="506">
        <f t="shared" ca="1" si="14"/>
        <v>11.346153846153847</v>
      </c>
      <c r="J27" s="506">
        <f t="shared" ca="1" si="14"/>
        <v>11.185185185185185</v>
      </c>
      <c r="K27" s="506">
        <f t="shared" ca="1" si="14"/>
        <v>10.793103448275861</v>
      </c>
      <c r="L27" s="506">
        <f t="shared" ca="1" si="14"/>
        <v>10.8</v>
      </c>
      <c r="M27" s="506">
        <f t="shared" ca="1" si="14"/>
        <v>9.4285714285714288</v>
      </c>
      <c r="N27" s="506">
        <f t="shared" ca="1" si="14"/>
        <v>7.5909090909090908</v>
      </c>
      <c r="O27" s="506">
        <f t="shared" ca="1" si="14"/>
        <v>6.88</v>
      </c>
      <c r="P27" s="506">
        <f t="shared" ca="1" si="14"/>
        <v>6.7692307692307692</v>
      </c>
      <c r="Q27" s="509">
        <f t="shared" ca="1" si="14"/>
        <v>6.6481481481481479</v>
      </c>
      <c r="R27" s="506">
        <f t="shared" ca="1" si="14"/>
        <v>6.2586206896551726</v>
      </c>
      <c r="S27" s="506">
        <f t="shared" ca="1" si="14"/>
        <v>5.918032786885246</v>
      </c>
      <c r="T27" s="506">
        <f t="shared" ca="1" si="14"/>
        <v>5.8095238095238093</v>
      </c>
      <c r="U27" s="506">
        <f t="shared" ca="1" si="14"/>
        <v>5.921875</v>
      </c>
      <c r="V27" s="506">
        <f t="shared" ca="1" si="14"/>
        <v>6.015625</v>
      </c>
      <c r="W27" s="506">
        <f t="shared" ca="1" si="14"/>
        <v>5.9090909090909092</v>
      </c>
      <c r="X27" s="506">
        <f t="shared" ca="1" si="14"/>
        <v>5.7761194029850742</v>
      </c>
      <c r="Y27" s="506">
        <f t="shared" ca="1" si="14"/>
        <v>5.4</v>
      </c>
      <c r="Z27" s="506">
        <f t="shared" ca="1" si="14"/>
        <v>4.7763157894736841</v>
      </c>
      <c r="AA27" s="506">
        <f t="shared" ca="1" si="14"/>
        <v>4.5324675324675328</v>
      </c>
      <c r="AB27" s="507">
        <f t="shared" ca="1" si="14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5">(H22+H21)/H21-1</f>
        <v>0</v>
      </c>
      <c r="I29" s="488">
        <f t="shared" ca="1" si="15"/>
        <v>0</v>
      </c>
      <c r="J29" s="488">
        <f t="shared" ca="1" si="15"/>
        <v>7.6923076923076872E-2</v>
      </c>
      <c r="K29" s="488">
        <f t="shared" ca="1" si="15"/>
        <v>7.1428571428571397E-2</v>
      </c>
      <c r="L29" s="488">
        <f t="shared" ca="1" si="15"/>
        <v>6.6666666666666652E-2</v>
      </c>
      <c r="M29" s="488">
        <f t="shared" ca="1" si="15"/>
        <v>0.33333333333333326</v>
      </c>
      <c r="N29" s="488">
        <f t="shared" ca="1" si="15"/>
        <v>0.19999999999999996</v>
      </c>
      <c r="O29" s="488">
        <f t="shared" ca="1" si="15"/>
        <v>0.125</v>
      </c>
      <c r="P29" s="488">
        <f t="shared" ca="1" si="15"/>
        <v>0</v>
      </c>
      <c r="Q29" s="492">
        <f t="shared" ca="1" si="15"/>
        <v>7.6923076923076872E-2</v>
      </c>
      <c r="R29" s="488">
        <f t="shared" ca="1" si="15"/>
        <v>0.10714285714285721</v>
      </c>
      <c r="S29" s="488">
        <f t="shared" ca="1" si="15"/>
        <v>3.3333333333333437E-2</v>
      </c>
      <c r="T29" s="488">
        <f t="shared" ca="1" si="15"/>
        <v>3.2258064516129004E-2</v>
      </c>
      <c r="U29" s="488">
        <f t="shared" ca="1" si="15"/>
        <v>0</v>
      </c>
      <c r="V29" s="488">
        <f t="shared" ca="1" si="15"/>
        <v>0</v>
      </c>
      <c r="W29" s="488">
        <f t="shared" ca="1" si="15"/>
        <v>6.25E-2</v>
      </c>
      <c r="X29" s="488">
        <f t="shared" ca="1" si="15"/>
        <v>2.9411764705882248E-2</v>
      </c>
      <c r="Y29" s="488">
        <f t="shared" ca="1" si="15"/>
        <v>0.1515151515151516</v>
      </c>
      <c r="Z29" s="488">
        <f t="shared" ca="1" si="15"/>
        <v>5.4054054054053946E-2</v>
      </c>
      <c r="AA29" s="488">
        <f t="shared" ca="1" si="15"/>
        <v>5.1282051282051322E-2</v>
      </c>
      <c r="AB29" s="489">
        <f t="shared" ca="1" si="15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6">(H23+H26)/H26-1</f>
        <v>0</v>
      </c>
      <c r="I30" s="494">
        <f t="shared" ca="1" si="16"/>
        <v>0</v>
      </c>
      <c r="J30" s="494">
        <f t="shared" ca="1" si="16"/>
        <v>0</v>
      </c>
      <c r="K30" s="494">
        <f t="shared" ca="1" si="16"/>
        <v>0</v>
      </c>
      <c r="L30" s="494">
        <f t="shared" ca="1" si="16"/>
        <v>-6.6666666666666652E-2</v>
      </c>
      <c r="M30" s="494">
        <f t="shared" ca="1" si="16"/>
        <v>0</v>
      </c>
      <c r="N30" s="494">
        <f t="shared" ca="1" si="16"/>
        <v>0</v>
      </c>
      <c r="O30" s="494">
        <f t="shared" ca="1" si="16"/>
        <v>-4.0000000000000036E-2</v>
      </c>
      <c r="P30" s="494">
        <f t="shared" ca="1" si="16"/>
        <v>0</v>
      </c>
      <c r="Q30" s="497">
        <f t="shared" ca="1" si="16"/>
        <v>0</v>
      </c>
      <c r="R30" s="494">
        <f t="shared" ca="1" si="16"/>
        <v>-3.4482758620689613E-2</v>
      </c>
      <c r="S30" s="494">
        <f t="shared" ca="1" si="16"/>
        <v>0</v>
      </c>
      <c r="T30" s="494">
        <f t="shared" ca="1" si="16"/>
        <v>0</v>
      </c>
      <c r="U30" s="494">
        <f t="shared" ca="1" si="16"/>
        <v>0</v>
      </c>
      <c r="V30" s="494">
        <f t="shared" ca="1" si="16"/>
        <v>0</v>
      </c>
      <c r="W30" s="494">
        <f t="shared" ca="1" si="16"/>
        <v>0</v>
      </c>
      <c r="X30" s="494">
        <f t="shared" ca="1" si="16"/>
        <v>-5.9701492537313383E-2</v>
      </c>
      <c r="Y30" s="494">
        <f t="shared" ca="1" si="16"/>
        <v>-2.8571428571428581E-2</v>
      </c>
      <c r="Z30" s="494">
        <f t="shared" ca="1" si="16"/>
        <v>0</v>
      </c>
      <c r="AA30" s="494">
        <f t="shared" ca="1" si="16"/>
        <v>-7.7922077922077948E-2</v>
      </c>
      <c r="AB30" s="495">
        <f t="shared" ca="1" si="16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7">EOMONTH(H32,0)+1</f>
        <v>45689</v>
      </c>
      <c r="J32" s="465">
        <f t="shared" si="17"/>
        <v>45717</v>
      </c>
      <c r="K32" s="465">
        <f t="shared" si="17"/>
        <v>45748</v>
      </c>
      <c r="L32" s="465">
        <f t="shared" si="17"/>
        <v>45778</v>
      </c>
      <c r="M32" s="465">
        <f t="shared" si="17"/>
        <v>45809</v>
      </c>
      <c r="N32" s="465">
        <f t="shared" si="17"/>
        <v>45839</v>
      </c>
      <c r="O32" s="465">
        <v>45870</v>
      </c>
      <c r="P32" s="465">
        <f t="shared" ref="P32:AB32" si="18">EOMONTH(O32,0)+1</f>
        <v>45901</v>
      </c>
      <c r="Q32" s="465">
        <f t="shared" si="18"/>
        <v>45931</v>
      </c>
      <c r="R32" s="465">
        <f t="shared" si="18"/>
        <v>45962</v>
      </c>
      <c r="S32" s="465">
        <f t="shared" si="18"/>
        <v>45992</v>
      </c>
      <c r="T32" s="465">
        <f t="shared" si="18"/>
        <v>46023</v>
      </c>
      <c r="U32" s="465">
        <f t="shared" si="18"/>
        <v>46054</v>
      </c>
      <c r="V32" s="465">
        <f t="shared" si="18"/>
        <v>46082</v>
      </c>
      <c r="W32" s="465">
        <f t="shared" si="18"/>
        <v>46113</v>
      </c>
      <c r="X32" s="465">
        <f t="shared" si="18"/>
        <v>46143</v>
      </c>
      <c r="Y32" s="465">
        <f t="shared" si="18"/>
        <v>46174</v>
      </c>
      <c r="Z32" s="465">
        <f t="shared" si="18"/>
        <v>46204</v>
      </c>
      <c r="AA32" s="465">
        <f t="shared" si="18"/>
        <v>46235</v>
      </c>
      <c r="AB32" s="465">
        <f t="shared" si="18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19">+I$19</f>
        <v>147.5</v>
      </c>
      <c r="J34" s="510">
        <f t="shared" si="19"/>
        <v>151</v>
      </c>
      <c r="K34" s="510">
        <f t="shared" si="19"/>
        <v>156.5</v>
      </c>
      <c r="L34" s="510">
        <f t="shared" si="19"/>
        <v>162</v>
      </c>
      <c r="M34" s="510">
        <f t="shared" si="19"/>
        <v>165</v>
      </c>
      <c r="N34" s="510">
        <f t="shared" si="19"/>
        <v>167</v>
      </c>
      <c r="O34" s="510">
        <f t="shared" si="19"/>
        <v>172</v>
      </c>
      <c r="P34" s="510">
        <f t="shared" si="19"/>
        <v>176</v>
      </c>
      <c r="Q34" s="510">
        <f t="shared" si="19"/>
        <v>179.5</v>
      </c>
      <c r="R34" s="510">
        <f t="shared" si="19"/>
        <v>181.5</v>
      </c>
      <c r="S34" s="510">
        <f t="shared" si="19"/>
        <v>180.5</v>
      </c>
      <c r="T34" s="510">
        <f t="shared" si="19"/>
        <v>183</v>
      </c>
      <c r="U34" s="510">
        <f t="shared" si="19"/>
        <v>189.5</v>
      </c>
      <c r="V34" s="510">
        <f t="shared" si="19"/>
        <v>192.5</v>
      </c>
      <c r="W34" s="510">
        <f t="shared" si="19"/>
        <v>195</v>
      </c>
      <c r="X34" s="510">
        <f t="shared" si="19"/>
        <v>193.5</v>
      </c>
      <c r="Y34" s="510">
        <f t="shared" si="19"/>
        <v>189</v>
      </c>
      <c r="Z34" s="510">
        <f t="shared" si="19"/>
        <v>181.5</v>
      </c>
      <c r="AA34" s="510">
        <f t="shared" si="19"/>
        <v>174.5</v>
      </c>
      <c r="AB34" s="510">
        <f t="shared" si="19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0">+H39-H37-H38</f>
        <v>13</v>
      </c>
      <c r="I36" s="470">
        <f t="shared" ca="1" si="20"/>
        <v>14</v>
      </c>
      <c r="J36" s="470">
        <f t="shared" ca="1" si="20"/>
        <v>12</v>
      </c>
      <c r="K36" s="470">
        <f t="shared" ca="1" si="20"/>
        <v>13</v>
      </c>
      <c r="L36" s="470">
        <f t="shared" ca="1" si="20"/>
        <v>13</v>
      </c>
      <c r="M36" s="470">
        <f t="shared" ca="1" si="20"/>
        <v>13</v>
      </c>
      <c r="N36" s="470">
        <f t="shared" ca="1" si="20"/>
        <v>12</v>
      </c>
      <c r="O36" s="470">
        <f t="shared" ca="1" si="20"/>
        <v>12</v>
      </c>
      <c r="P36" s="470">
        <f t="shared" ca="1" si="20"/>
        <v>12</v>
      </c>
      <c r="Q36" s="470">
        <f t="shared" ca="1" si="20"/>
        <v>12</v>
      </c>
      <c r="R36" s="470">
        <f t="shared" ca="1" si="20"/>
        <v>12</v>
      </c>
      <c r="S36" s="470">
        <f t="shared" ca="1" si="20"/>
        <v>13</v>
      </c>
      <c r="T36" s="470">
        <f t="shared" ca="1" si="20"/>
        <v>13</v>
      </c>
      <c r="U36" s="470">
        <f t="shared" ca="1" si="20"/>
        <v>13</v>
      </c>
      <c r="V36" s="470">
        <f t="shared" ca="1" si="20"/>
        <v>14</v>
      </c>
      <c r="W36" s="470">
        <f t="shared" ca="1" si="20"/>
        <v>15</v>
      </c>
      <c r="X36" s="470">
        <f t="shared" ca="1" si="20"/>
        <v>15</v>
      </c>
      <c r="Y36" s="470">
        <f t="shared" ca="1" si="20"/>
        <v>16</v>
      </c>
      <c r="Z36" s="470">
        <f t="shared" ca="1" si="20"/>
        <v>16</v>
      </c>
      <c r="AA36" s="470">
        <f t="shared" ca="1" si="20"/>
        <v>17</v>
      </c>
      <c r="AB36" s="470">
        <f t="shared" ca="1" si="20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1">+I36</f>
        <v>14</v>
      </c>
      <c r="I39" s="475">
        <f t="shared" ca="1" si="21"/>
        <v>12</v>
      </c>
      <c r="J39" s="475">
        <f t="shared" ca="1" si="21"/>
        <v>13</v>
      </c>
      <c r="K39" s="475">
        <f t="shared" ca="1" si="21"/>
        <v>13</v>
      </c>
      <c r="L39" s="475">
        <f t="shared" ca="1" si="21"/>
        <v>13</v>
      </c>
      <c r="M39" s="475">
        <f t="shared" ca="1" si="21"/>
        <v>12</v>
      </c>
      <c r="N39" s="475">
        <f t="shared" ca="1" si="21"/>
        <v>12</v>
      </c>
      <c r="O39" s="475">
        <f t="shared" ca="1" si="21"/>
        <v>12</v>
      </c>
      <c r="P39" s="475">
        <f t="shared" ca="1" si="21"/>
        <v>12</v>
      </c>
      <c r="Q39" s="478">
        <f t="shared" ca="1" si="21"/>
        <v>12</v>
      </c>
      <c r="R39" s="475">
        <f t="shared" ca="1" si="21"/>
        <v>13</v>
      </c>
      <c r="S39" s="475">
        <f t="shared" ca="1" si="21"/>
        <v>13</v>
      </c>
      <c r="T39" s="475">
        <f t="shared" ca="1" si="21"/>
        <v>13</v>
      </c>
      <c r="U39" s="475">
        <f t="shared" ca="1" si="21"/>
        <v>14</v>
      </c>
      <c r="V39" s="475">
        <f t="shared" ca="1" si="21"/>
        <v>15</v>
      </c>
      <c r="W39" s="475">
        <f t="shared" ca="1" si="21"/>
        <v>15</v>
      </c>
      <c r="X39" s="475">
        <f t="shared" ca="1" si="21"/>
        <v>16</v>
      </c>
      <c r="Y39" s="475">
        <f t="shared" ca="1" si="21"/>
        <v>16</v>
      </c>
      <c r="Z39" s="475">
        <f t="shared" ca="1" si="21"/>
        <v>17</v>
      </c>
      <c r="AA39" s="475">
        <f t="shared" ca="1" si="21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2">AVERAGE(H36,H39)</f>
        <v>13.5</v>
      </c>
      <c r="I41" s="502">
        <f t="shared" ca="1" si="22"/>
        <v>13</v>
      </c>
      <c r="J41" s="502">
        <f t="shared" ca="1" si="22"/>
        <v>12.5</v>
      </c>
      <c r="K41" s="502">
        <f t="shared" ca="1" si="22"/>
        <v>13</v>
      </c>
      <c r="L41" s="502">
        <f t="shared" ca="1" si="22"/>
        <v>13</v>
      </c>
      <c r="M41" s="502">
        <f t="shared" ca="1" si="22"/>
        <v>12.5</v>
      </c>
      <c r="N41" s="502">
        <f t="shared" ca="1" si="22"/>
        <v>12</v>
      </c>
      <c r="O41" s="502">
        <f t="shared" ca="1" si="22"/>
        <v>12</v>
      </c>
      <c r="P41" s="502">
        <f t="shared" ca="1" si="22"/>
        <v>12</v>
      </c>
      <c r="Q41" s="505">
        <f t="shared" ca="1" si="22"/>
        <v>12</v>
      </c>
      <c r="R41" s="502">
        <f t="shared" ca="1" si="22"/>
        <v>12.5</v>
      </c>
      <c r="S41" s="502">
        <f t="shared" ca="1" si="22"/>
        <v>13</v>
      </c>
      <c r="T41" s="502">
        <f t="shared" ca="1" si="22"/>
        <v>13</v>
      </c>
      <c r="U41" s="502">
        <f t="shared" ca="1" si="22"/>
        <v>13.5</v>
      </c>
      <c r="V41" s="502">
        <f t="shared" ca="1" si="22"/>
        <v>14.5</v>
      </c>
      <c r="W41" s="502">
        <f t="shared" ca="1" si="22"/>
        <v>15</v>
      </c>
      <c r="X41" s="502">
        <f t="shared" ca="1" si="22"/>
        <v>15.5</v>
      </c>
      <c r="Y41" s="502">
        <f t="shared" ca="1" si="22"/>
        <v>16</v>
      </c>
      <c r="Z41" s="502">
        <f t="shared" ca="1" si="22"/>
        <v>16.5</v>
      </c>
      <c r="AA41" s="502">
        <f t="shared" ca="1" si="22"/>
        <v>17.5</v>
      </c>
      <c r="AB41" s="503">
        <f t="shared" ca="1" si="22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3">H34/H41</f>
        <v>10.814814814814815</v>
      </c>
      <c r="I42" s="506">
        <f t="shared" ca="1" si="23"/>
        <v>11.346153846153847</v>
      </c>
      <c r="J42" s="506">
        <f t="shared" ca="1" si="23"/>
        <v>12.08</v>
      </c>
      <c r="K42" s="506">
        <f t="shared" ca="1" si="23"/>
        <v>12.038461538461538</v>
      </c>
      <c r="L42" s="506">
        <f t="shared" ca="1" si="23"/>
        <v>12.461538461538462</v>
      </c>
      <c r="M42" s="506">
        <f t="shared" ca="1" si="23"/>
        <v>13.2</v>
      </c>
      <c r="N42" s="506">
        <f t="shared" ca="1" si="23"/>
        <v>13.916666666666666</v>
      </c>
      <c r="O42" s="506">
        <f t="shared" ca="1" si="23"/>
        <v>14.333333333333334</v>
      </c>
      <c r="P42" s="506">
        <f t="shared" ca="1" si="23"/>
        <v>14.666666666666666</v>
      </c>
      <c r="Q42" s="509">
        <f t="shared" ca="1" si="23"/>
        <v>14.958333333333334</v>
      </c>
      <c r="R42" s="506">
        <f t="shared" ca="1" si="23"/>
        <v>14.52</v>
      </c>
      <c r="S42" s="506">
        <f t="shared" ca="1" si="23"/>
        <v>13.884615384615385</v>
      </c>
      <c r="T42" s="506">
        <f t="shared" ca="1" si="23"/>
        <v>14.076923076923077</v>
      </c>
      <c r="U42" s="506">
        <f t="shared" ca="1" si="23"/>
        <v>14.037037037037036</v>
      </c>
      <c r="V42" s="506">
        <f t="shared" ca="1" si="23"/>
        <v>13.275862068965518</v>
      </c>
      <c r="W42" s="506">
        <f t="shared" ca="1" si="23"/>
        <v>13</v>
      </c>
      <c r="X42" s="506">
        <f t="shared" ca="1" si="23"/>
        <v>12.483870967741936</v>
      </c>
      <c r="Y42" s="506">
        <f t="shared" ca="1" si="23"/>
        <v>11.8125</v>
      </c>
      <c r="Z42" s="506">
        <f t="shared" ca="1" si="23"/>
        <v>11</v>
      </c>
      <c r="AA42" s="506">
        <f t="shared" ca="1" si="23"/>
        <v>9.9714285714285715</v>
      </c>
      <c r="AB42" s="507">
        <f t="shared" ca="1" si="23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4">(H37+H36)/H36-1</f>
        <v>7.6923076923076872E-2</v>
      </c>
      <c r="I44" s="488">
        <f t="shared" ca="1" si="24"/>
        <v>0</v>
      </c>
      <c r="J44" s="488">
        <f t="shared" ca="1" si="24"/>
        <v>0.16666666666666674</v>
      </c>
      <c r="K44" s="488">
        <f t="shared" ca="1" si="24"/>
        <v>0</v>
      </c>
      <c r="L44" s="488">
        <f t="shared" ca="1" si="24"/>
        <v>0</v>
      </c>
      <c r="M44" s="488">
        <f t="shared" ca="1" si="24"/>
        <v>0</v>
      </c>
      <c r="N44" s="488">
        <f t="shared" ca="1" si="24"/>
        <v>0</v>
      </c>
      <c r="O44" s="488">
        <f t="shared" ca="1" si="24"/>
        <v>0</v>
      </c>
      <c r="P44" s="488">
        <f t="shared" ca="1" si="24"/>
        <v>0</v>
      </c>
      <c r="Q44" s="492">
        <f t="shared" ca="1" si="24"/>
        <v>0</v>
      </c>
      <c r="R44" s="488">
        <f t="shared" ca="1" si="24"/>
        <v>8.3333333333333259E-2</v>
      </c>
      <c r="S44" s="488">
        <f t="shared" ca="1" si="24"/>
        <v>0</v>
      </c>
      <c r="T44" s="488">
        <f t="shared" ca="1" si="24"/>
        <v>0</v>
      </c>
      <c r="U44" s="488">
        <f t="shared" ca="1" si="24"/>
        <v>0.15384615384615374</v>
      </c>
      <c r="V44" s="488">
        <f t="shared" ca="1" si="24"/>
        <v>7.1428571428571397E-2</v>
      </c>
      <c r="W44" s="488">
        <f t="shared" ca="1" si="24"/>
        <v>0</v>
      </c>
      <c r="X44" s="488">
        <f t="shared" ca="1" si="24"/>
        <v>6.6666666666666652E-2</v>
      </c>
      <c r="Y44" s="488">
        <f t="shared" ca="1" si="24"/>
        <v>0</v>
      </c>
      <c r="Z44" s="488">
        <f t="shared" ca="1" si="24"/>
        <v>6.25E-2</v>
      </c>
      <c r="AA44" s="488">
        <f t="shared" ca="1" si="24"/>
        <v>5.8823529411764719E-2</v>
      </c>
      <c r="AB44" s="489">
        <f t="shared" ca="1" si="24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5">(H38+H41)/H41-1</f>
        <v>0</v>
      </c>
      <c r="I45" s="494">
        <f t="shared" ca="1" si="25"/>
        <v>-0.15384615384615385</v>
      </c>
      <c r="J45" s="494">
        <f t="shared" ca="1" si="25"/>
        <v>-7.999999999999996E-2</v>
      </c>
      <c r="K45" s="494">
        <f t="shared" ca="1" si="25"/>
        <v>0</v>
      </c>
      <c r="L45" s="494">
        <f t="shared" ca="1" si="25"/>
        <v>0</v>
      </c>
      <c r="M45" s="494">
        <f t="shared" ca="1" si="25"/>
        <v>-7.999999999999996E-2</v>
      </c>
      <c r="N45" s="494">
        <f t="shared" ca="1" si="25"/>
        <v>0</v>
      </c>
      <c r="O45" s="494">
        <f t="shared" ca="1" si="25"/>
        <v>0</v>
      </c>
      <c r="P45" s="494">
        <f t="shared" ca="1" si="25"/>
        <v>0</v>
      </c>
      <c r="Q45" s="497">
        <f t="shared" ca="1" si="25"/>
        <v>0</v>
      </c>
      <c r="R45" s="494">
        <f t="shared" ca="1" si="25"/>
        <v>0</v>
      </c>
      <c r="S45" s="494">
        <f t="shared" ca="1" si="25"/>
        <v>0</v>
      </c>
      <c r="T45" s="494">
        <f t="shared" ca="1" si="25"/>
        <v>0</v>
      </c>
      <c r="U45" s="494">
        <f t="shared" ca="1" si="25"/>
        <v>-7.407407407407407E-2</v>
      </c>
      <c r="V45" s="494">
        <f t="shared" ca="1" si="25"/>
        <v>0</v>
      </c>
      <c r="W45" s="494">
        <f t="shared" ca="1" si="25"/>
        <v>0</v>
      </c>
      <c r="X45" s="494">
        <f t="shared" ca="1" si="25"/>
        <v>0</v>
      </c>
      <c r="Y45" s="494">
        <f t="shared" ca="1" si="25"/>
        <v>0</v>
      </c>
      <c r="Z45" s="494">
        <f t="shared" ca="1" si="25"/>
        <v>0</v>
      </c>
      <c r="AA45" s="494">
        <f t="shared" ca="1" si="25"/>
        <v>0</v>
      </c>
      <c r="AB45" s="495">
        <f t="shared" ca="1" si="25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6">EOMONTH(H47,0)+1</f>
        <v>45689</v>
      </c>
      <c r="J47" s="465">
        <f t="shared" si="26"/>
        <v>45717</v>
      </c>
      <c r="K47" s="465">
        <f t="shared" si="26"/>
        <v>45748</v>
      </c>
      <c r="L47" s="465">
        <f t="shared" si="26"/>
        <v>45778</v>
      </c>
      <c r="M47" s="465">
        <f t="shared" si="26"/>
        <v>45809</v>
      </c>
      <c r="N47" s="465">
        <f t="shared" si="26"/>
        <v>45839</v>
      </c>
      <c r="O47" s="465">
        <v>45870</v>
      </c>
      <c r="P47" s="465">
        <f t="shared" ref="P47:AB47" si="27">EOMONTH(O47,0)+1</f>
        <v>45901</v>
      </c>
      <c r="Q47" s="465">
        <f t="shared" si="27"/>
        <v>45931</v>
      </c>
      <c r="R47" s="465">
        <f t="shared" si="27"/>
        <v>45962</v>
      </c>
      <c r="S47" s="465">
        <f t="shared" si="27"/>
        <v>45992</v>
      </c>
      <c r="T47" s="465">
        <f t="shared" si="27"/>
        <v>46023</v>
      </c>
      <c r="U47" s="465">
        <f t="shared" si="27"/>
        <v>46054</v>
      </c>
      <c r="V47" s="465">
        <f t="shared" si="27"/>
        <v>46082</v>
      </c>
      <c r="W47" s="465">
        <f t="shared" si="27"/>
        <v>46113</v>
      </c>
      <c r="X47" s="465">
        <f t="shared" si="27"/>
        <v>46143</v>
      </c>
      <c r="Y47" s="465">
        <f t="shared" si="27"/>
        <v>46174</v>
      </c>
      <c r="Z47" s="465">
        <f t="shared" si="27"/>
        <v>46204</v>
      </c>
      <c r="AA47" s="465">
        <f t="shared" si="27"/>
        <v>46235</v>
      </c>
      <c r="AB47" s="465">
        <f t="shared" si="27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8">+I$19</f>
        <v>147.5</v>
      </c>
      <c r="J49" s="510">
        <f t="shared" si="28"/>
        <v>151</v>
      </c>
      <c r="K49" s="510">
        <f t="shared" si="28"/>
        <v>156.5</v>
      </c>
      <c r="L49" s="510">
        <f t="shared" si="28"/>
        <v>162</v>
      </c>
      <c r="M49" s="510">
        <f t="shared" si="28"/>
        <v>165</v>
      </c>
      <c r="N49" s="510">
        <f t="shared" si="28"/>
        <v>167</v>
      </c>
      <c r="O49" s="510">
        <f t="shared" si="28"/>
        <v>172</v>
      </c>
      <c r="P49" s="510">
        <f t="shared" si="28"/>
        <v>176</v>
      </c>
      <c r="Q49" s="510">
        <f t="shared" si="28"/>
        <v>179.5</v>
      </c>
      <c r="R49" s="510">
        <f t="shared" si="28"/>
        <v>181.5</v>
      </c>
      <c r="S49" s="510">
        <f t="shared" si="28"/>
        <v>180.5</v>
      </c>
      <c r="T49" s="510">
        <f t="shared" si="28"/>
        <v>183</v>
      </c>
      <c r="U49" s="510">
        <f t="shared" si="28"/>
        <v>189.5</v>
      </c>
      <c r="V49" s="510">
        <f t="shared" si="28"/>
        <v>192.5</v>
      </c>
      <c r="W49" s="510">
        <f t="shared" si="28"/>
        <v>195</v>
      </c>
      <c r="X49" s="510">
        <f t="shared" si="28"/>
        <v>193.5</v>
      </c>
      <c r="Y49" s="510">
        <f t="shared" si="28"/>
        <v>189</v>
      </c>
      <c r="Z49" s="510">
        <f t="shared" si="28"/>
        <v>181.5</v>
      </c>
      <c r="AA49" s="510">
        <f t="shared" si="28"/>
        <v>174.5</v>
      </c>
      <c r="AB49" s="510">
        <f t="shared" si="28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29">+H54-H52-H53</f>
        <v>1</v>
      </c>
      <c r="I51" s="470">
        <f t="shared" ca="1" si="29"/>
        <v>1</v>
      </c>
      <c r="J51" s="470">
        <f t="shared" ca="1" si="29"/>
        <v>1</v>
      </c>
      <c r="K51" s="470">
        <f t="shared" ca="1" si="29"/>
        <v>2</v>
      </c>
      <c r="L51" s="470">
        <f t="shared" ca="1" si="29"/>
        <v>2</v>
      </c>
      <c r="M51" s="470">
        <f t="shared" ca="1" si="29"/>
        <v>2</v>
      </c>
      <c r="N51" s="470">
        <f t="shared" ca="1" si="29"/>
        <v>2</v>
      </c>
      <c r="O51" s="470">
        <f t="shared" ca="1" si="29"/>
        <v>2</v>
      </c>
      <c r="P51" s="470">
        <f t="shared" ca="1" si="29"/>
        <v>2</v>
      </c>
      <c r="Q51" s="470">
        <f t="shared" ca="1" si="29"/>
        <v>3</v>
      </c>
      <c r="R51" s="470">
        <f t="shared" ca="1" si="29"/>
        <v>3</v>
      </c>
      <c r="S51" s="470">
        <f t="shared" ca="1" si="29"/>
        <v>3</v>
      </c>
      <c r="T51" s="470">
        <f t="shared" ca="1" si="29"/>
        <v>2</v>
      </c>
      <c r="U51" s="470">
        <f t="shared" ca="1" si="29"/>
        <v>2</v>
      </c>
      <c r="V51" s="470">
        <f t="shared" ca="1" si="29"/>
        <v>4</v>
      </c>
      <c r="W51" s="470">
        <f t="shared" ca="1" si="29"/>
        <v>4</v>
      </c>
      <c r="X51" s="470">
        <f t="shared" ca="1" si="29"/>
        <v>4</v>
      </c>
      <c r="Y51" s="470">
        <f t="shared" ca="1" si="29"/>
        <v>4</v>
      </c>
      <c r="Z51" s="470">
        <f t="shared" ca="1" si="29"/>
        <v>4</v>
      </c>
      <c r="AA51" s="470">
        <f t="shared" ca="1" si="29"/>
        <v>4</v>
      </c>
      <c r="AB51" s="470">
        <f t="shared" si="29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0">+I51</f>
        <v>1</v>
      </c>
      <c r="I54" s="475">
        <f t="shared" ca="1" si="30"/>
        <v>1</v>
      </c>
      <c r="J54" s="475">
        <f t="shared" ca="1" si="30"/>
        <v>2</v>
      </c>
      <c r="K54" s="475">
        <f t="shared" ca="1" si="30"/>
        <v>2</v>
      </c>
      <c r="L54" s="475">
        <f t="shared" ca="1" si="30"/>
        <v>2</v>
      </c>
      <c r="M54" s="475">
        <f t="shared" ca="1" si="30"/>
        <v>2</v>
      </c>
      <c r="N54" s="475">
        <f t="shared" ca="1" si="30"/>
        <v>2</v>
      </c>
      <c r="O54" s="475">
        <f t="shared" ca="1" si="30"/>
        <v>2</v>
      </c>
      <c r="P54" s="475">
        <f t="shared" ca="1" si="30"/>
        <v>3</v>
      </c>
      <c r="Q54" s="478">
        <f t="shared" ca="1" si="30"/>
        <v>3</v>
      </c>
      <c r="R54" s="475">
        <f t="shared" ca="1" si="30"/>
        <v>3</v>
      </c>
      <c r="S54" s="475">
        <f t="shared" ca="1" si="30"/>
        <v>2</v>
      </c>
      <c r="T54" s="475">
        <f t="shared" ca="1" si="30"/>
        <v>2</v>
      </c>
      <c r="U54" s="475">
        <f t="shared" ca="1" si="30"/>
        <v>4</v>
      </c>
      <c r="V54" s="475">
        <f t="shared" ca="1" si="30"/>
        <v>4</v>
      </c>
      <c r="W54" s="475">
        <f t="shared" ca="1" si="30"/>
        <v>4</v>
      </c>
      <c r="X54" s="475">
        <f t="shared" ca="1" si="30"/>
        <v>4</v>
      </c>
      <c r="Y54" s="475">
        <f t="shared" ca="1" si="30"/>
        <v>4</v>
      </c>
      <c r="Z54" s="475">
        <f t="shared" ca="1" si="30"/>
        <v>4</v>
      </c>
      <c r="AA54" s="475">
        <f t="shared" si="30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1">AVERAGE(H51,H54)</f>
        <v>1</v>
      </c>
      <c r="I56" s="502">
        <f t="shared" ca="1" si="31"/>
        <v>1</v>
      </c>
      <c r="J56" s="502">
        <f t="shared" ca="1" si="31"/>
        <v>1.5</v>
      </c>
      <c r="K56" s="502">
        <f t="shared" ca="1" si="31"/>
        <v>2</v>
      </c>
      <c r="L56" s="502">
        <f t="shared" ca="1" si="31"/>
        <v>2</v>
      </c>
      <c r="M56" s="502">
        <f t="shared" ca="1" si="31"/>
        <v>2</v>
      </c>
      <c r="N56" s="502">
        <f t="shared" ca="1" si="31"/>
        <v>2</v>
      </c>
      <c r="O56" s="502">
        <f t="shared" ca="1" si="31"/>
        <v>2</v>
      </c>
      <c r="P56" s="502">
        <f t="shared" ca="1" si="31"/>
        <v>2.5</v>
      </c>
      <c r="Q56" s="505">
        <f t="shared" ca="1" si="31"/>
        <v>3</v>
      </c>
      <c r="R56" s="502">
        <f t="shared" ca="1" si="31"/>
        <v>3</v>
      </c>
      <c r="S56" s="502">
        <f t="shared" ca="1" si="31"/>
        <v>2.5</v>
      </c>
      <c r="T56" s="502">
        <f t="shared" ca="1" si="31"/>
        <v>2</v>
      </c>
      <c r="U56" s="502">
        <f t="shared" ca="1" si="31"/>
        <v>3</v>
      </c>
      <c r="V56" s="502">
        <f t="shared" ca="1" si="31"/>
        <v>4</v>
      </c>
      <c r="W56" s="502">
        <f t="shared" ca="1" si="31"/>
        <v>4</v>
      </c>
      <c r="X56" s="502">
        <f t="shared" ca="1" si="31"/>
        <v>4</v>
      </c>
      <c r="Y56" s="502">
        <f t="shared" ca="1" si="31"/>
        <v>4</v>
      </c>
      <c r="Z56" s="502">
        <f t="shared" ca="1" si="31"/>
        <v>4</v>
      </c>
      <c r="AA56" s="502">
        <f t="shared" ca="1" si="31"/>
        <v>4</v>
      </c>
      <c r="AB56" s="503">
        <f t="shared" si="31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2">H49/H56</f>
        <v>146</v>
      </c>
      <c r="I57" s="506">
        <f t="shared" ca="1" si="32"/>
        <v>147.5</v>
      </c>
      <c r="J57" s="506">
        <f t="shared" ca="1" si="32"/>
        <v>100.66666666666667</v>
      </c>
      <c r="K57" s="506">
        <f t="shared" ca="1" si="32"/>
        <v>78.25</v>
      </c>
      <c r="L57" s="506">
        <f t="shared" ca="1" si="32"/>
        <v>81</v>
      </c>
      <c r="M57" s="506">
        <f t="shared" ca="1" si="32"/>
        <v>82.5</v>
      </c>
      <c r="N57" s="506">
        <f t="shared" ca="1" si="32"/>
        <v>83.5</v>
      </c>
      <c r="O57" s="506">
        <f t="shared" ca="1" si="32"/>
        <v>86</v>
      </c>
      <c r="P57" s="506">
        <f t="shared" ca="1" si="32"/>
        <v>70.400000000000006</v>
      </c>
      <c r="Q57" s="509">
        <f t="shared" ca="1" si="32"/>
        <v>59.833333333333336</v>
      </c>
      <c r="R57" s="506">
        <f t="shared" ca="1" si="32"/>
        <v>60.5</v>
      </c>
      <c r="S57" s="506">
        <f t="shared" ca="1" si="32"/>
        <v>72.2</v>
      </c>
      <c r="T57" s="506">
        <f t="shared" ca="1" si="32"/>
        <v>91.5</v>
      </c>
      <c r="U57" s="506">
        <f t="shared" ca="1" si="32"/>
        <v>63.166666666666664</v>
      </c>
      <c r="V57" s="506">
        <f t="shared" ca="1" si="32"/>
        <v>48.125</v>
      </c>
      <c r="W57" s="506">
        <f t="shared" ca="1" si="32"/>
        <v>48.75</v>
      </c>
      <c r="X57" s="506">
        <f t="shared" ca="1" si="32"/>
        <v>48.375</v>
      </c>
      <c r="Y57" s="506">
        <f t="shared" ca="1" si="32"/>
        <v>47.25</v>
      </c>
      <c r="Z57" s="506">
        <f t="shared" ca="1" si="32"/>
        <v>45.375</v>
      </c>
      <c r="AA57" s="506">
        <f t="shared" ca="1" si="32"/>
        <v>43.625</v>
      </c>
      <c r="AB57" s="507">
        <f t="shared" si="32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3">(H52+H51)/H51-1</f>
        <v>0</v>
      </c>
      <c r="I59" s="488">
        <f t="shared" ca="1" si="33"/>
        <v>0</v>
      </c>
      <c r="J59" s="488">
        <f t="shared" ca="1" si="33"/>
        <v>1</v>
      </c>
      <c r="K59" s="488">
        <f t="shared" ca="1" si="33"/>
        <v>0</v>
      </c>
      <c r="L59" s="488">
        <f t="shared" ca="1" si="33"/>
        <v>0</v>
      </c>
      <c r="M59" s="488">
        <f t="shared" ca="1" si="33"/>
        <v>0</v>
      </c>
      <c r="N59" s="488">
        <f t="shared" ca="1" si="33"/>
        <v>0</v>
      </c>
      <c r="O59" s="488">
        <f t="shared" ca="1" si="33"/>
        <v>0</v>
      </c>
      <c r="P59" s="488">
        <f t="shared" ca="1" si="33"/>
        <v>0.5</v>
      </c>
      <c r="Q59" s="492">
        <f t="shared" ca="1" si="33"/>
        <v>0</v>
      </c>
      <c r="R59" s="488">
        <f t="shared" ca="1" si="33"/>
        <v>0</v>
      </c>
      <c r="S59" s="488">
        <f t="shared" ca="1" si="33"/>
        <v>0</v>
      </c>
      <c r="T59" s="488">
        <f t="shared" ca="1" si="33"/>
        <v>0</v>
      </c>
      <c r="U59" s="488">
        <f t="shared" ca="1" si="33"/>
        <v>1</v>
      </c>
      <c r="V59" s="488">
        <f t="shared" ca="1" si="33"/>
        <v>0</v>
      </c>
      <c r="W59" s="488">
        <f t="shared" ca="1" si="33"/>
        <v>0</v>
      </c>
      <c r="X59" s="488">
        <f t="shared" ca="1" si="33"/>
        <v>0</v>
      </c>
      <c r="Y59" s="488">
        <f t="shared" ca="1" si="33"/>
        <v>0</v>
      </c>
      <c r="Z59" s="488">
        <f t="shared" ca="1" si="33"/>
        <v>0</v>
      </c>
      <c r="AA59" s="488">
        <f t="shared" ca="1" si="33"/>
        <v>0.25</v>
      </c>
      <c r="AB59" s="489">
        <f t="shared" si="33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4">(H53+H56)/H56-1</f>
        <v>0</v>
      </c>
      <c r="I60" s="494">
        <f t="shared" ca="1" si="34"/>
        <v>0</v>
      </c>
      <c r="J60" s="494">
        <f t="shared" ca="1" si="34"/>
        <v>0</v>
      </c>
      <c r="K60" s="494">
        <f t="shared" ca="1" si="34"/>
        <v>0</v>
      </c>
      <c r="L60" s="494">
        <f t="shared" ca="1" si="34"/>
        <v>0</v>
      </c>
      <c r="M60" s="494">
        <f t="shared" ca="1" si="34"/>
        <v>0</v>
      </c>
      <c r="N60" s="494">
        <f t="shared" ca="1" si="34"/>
        <v>0</v>
      </c>
      <c r="O60" s="494">
        <f t="shared" ca="1" si="34"/>
        <v>0</v>
      </c>
      <c r="P60" s="494">
        <f t="shared" ca="1" si="34"/>
        <v>0</v>
      </c>
      <c r="Q60" s="497">
        <f t="shared" ca="1" si="34"/>
        <v>0</v>
      </c>
      <c r="R60" s="494">
        <f t="shared" ca="1" si="34"/>
        <v>0</v>
      </c>
      <c r="S60" s="494">
        <f t="shared" ca="1" si="34"/>
        <v>-0.4</v>
      </c>
      <c r="T60" s="494">
        <f t="shared" ca="1" si="34"/>
        <v>0</v>
      </c>
      <c r="U60" s="494">
        <f t="shared" ca="1" si="34"/>
        <v>0</v>
      </c>
      <c r="V60" s="494">
        <f t="shared" ca="1" si="34"/>
        <v>0</v>
      </c>
      <c r="W60" s="494">
        <f t="shared" ca="1" si="34"/>
        <v>0</v>
      </c>
      <c r="X60" s="494">
        <f t="shared" ca="1" si="34"/>
        <v>0</v>
      </c>
      <c r="Y60" s="494">
        <f t="shared" ca="1" si="34"/>
        <v>0</v>
      </c>
      <c r="Z60" s="494">
        <f t="shared" ca="1" si="34"/>
        <v>0</v>
      </c>
      <c r="AA60" s="494">
        <f t="shared" ca="1" si="34"/>
        <v>-0.25</v>
      </c>
      <c r="AB60" s="495">
        <f t="shared" si="34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5">EOMONTH(H62,0)+1</f>
        <v>45689</v>
      </c>
      <c r="J62" s="465">
        <f t="shared" si="35"/>
        <v>45717</v>
      </c>
      <c r="K62" s="465">
        <f t="shared" si="35"/>
        <v>45748</v>
      </c>
      <c r="L62" s="465">
        <f t="shared" si="35"/>
        <v>45778</v>
      </c>
      <c r="M62" s="465">
        <f t="shared" si="35"/>
        <v>45809</v>
      </c>
      <c r="N62" s="465">
        <f t="shared" si="35"/>
        <v>45839</v>
      </c>
      <c r="O62" s="465">
        <v>45870</v>
      </c>
      <c r="P62" s="465">
        <f t="shared" ref="P62:AB62" si="36">EOMONTH(O62,0)+1</f>
        <v>45901</v>
      </c>
      <c r="Q62" s="465">
        <f t="shared" si="36"/>
        <v>45931</v>
      </c>
      <c r="R62" s="465">
        <f t="shared" si="36"/>
        <v>45962</v>
      </c>
      <c r="S62" s="465">
        <f t="shared" si="36"/>
        <v>45992</v>
      </c>
      <c r="T62" s="465">
        <f t="shared" si="36"/>
        <v>46023</v>
      </c>
      <c r="U62" s="465">
        <f t="shared" si="36"/>
        <v>46054</v>
      </c>
      <c r="V62" s="465">
        <f t="shared" si="36"/>
        <v>46082</v>
      </c>
      <c r="W62" s="465">
        <f t="shared" si="36"/>
        <v>46113</v>
      </c>
      <c r="X62" s="465">
        <f t="shared" si="36"/>
        <v>46143</v>
      </c>
      <c r="Y62" s="465">
        <f t="shared" si="36"/>
        <v>46174</v>
      </c>
      <c r="Z62" s="465">
        <f t="shared" si="36"/>
        <v>46204</v>
      </c>
      <c r="AA62" s="465">
        <f t="shared" si="36"/>
        <v>46235</v>
      </c>
      <c r="AB62" s="465">
        <f t="shared" si="36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7">+I$19</f>
        <v>147.5</v>
      </c>
      <c r="J64" s="510">
        <f t="shared" si="37"/>
        <v>151</v>
      </c>
      <c r="K64" s="510">
        <f t="shared" si="37"/>
        <v>156.5</v>
      </c>
      <c r="L64" s="510">
        <f t="shared" si="37"/>
        <v>162</v>
      </c>
      <c r="M64" s="510">
        <f t="shared" si="37"/>
        <v>165</v>
      </c>
      <c r="N64" s="510">
        <f t="shared" si="37"/>
        <v>167</v>
      </c>
      <c r="O64" s="510">
        <f t="shared" si="37"/>
        <v>172</v>
      </c>
      <c r="P64" s="510">
        <f t="shared" si="37"/>
        <v>176</v>
      </c>
      <c r="Q64" s="510">
        <f t="shared" si="37"/>
        <v>179.5</v>
      </c>
      <c r="R64" s="510">
        <f t="shared" si="37"/>
        <v>181.5</v>
      </c>
      <c r="S64" s="510">
        <f t="shared" si="37"/>
        <v>180.5</v>
      </c>
      <c r="T64" s="510">
        <f t="shared" si="37"/>
        <v>183</v>
      </c>
      <c r="U64" s="510">
        <f t="shared" si="37"/>
        <v>189.5</v>
      </c>
      <c r="V64" s="510">
        <f t="shared" si="37"/>
        <v>192.5</v>
      </c>
      <c r="W64" s="510">
        <f t="shared" si="37"/>
        <v>195</v>
      </c>
      <c r="X64" s="510">
        <f t="shared" si="37"/>
        <v>193.5</v>
      </c>
      <c r="Y64" s="510">
        <f t="shared" si="37"/>
        <v>189</v>
      </c>
      <c r="Z64" s="510">
        <f t="shared" si="37"/>
        <v>181.5</v>
      </c>
      <c r="AA64" s="510">
        <f t="shared" si="37"/>
        <v>174.5</v>
      </c>
      <c r="AB64" s="510">
        <f t="shared" si="37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8">+H69-H67-H68</f>
        <v>1</v>
      </c>
      <c r="I66" s="470">
        <f t="shared" ca="1" si="38"/>
        <v>2</v>
      </c>
      <c r="J66" s="470">
        <f t="shared" ca="1" si="38"/>
        <v>2</v>
      </c>
      <c r="K66" s="470">
        <f t="shared" ca="1" si="38"/>
        <v>2</v>
      </c>
      <c r="L66" s="470">
        <f t="shared" ca="1" si="38"/>
        <v>3</v>
      </c>
      <c r="M66" s="470">
        <f t="shared" ca="1" si="38"/>
        <v>3</v>
      </c>
      <c r="N66" s="470">
        <f t="shared" ca="1" si="38"/>
        <v>3</v>
      </c>
      <c r="O66" s="470">
        <f t="shared" ca="1" si="38"/>
        <v>3</v>
      </c>
      <c r="P66" s="470">
        <f t="shared" ca="1" si="38"/>
        <v>4</v>
      </c>
      <c r="Q66" s="470">
        <f t="shared" ca="1" si="38"/>
        <v>4</v>
      </c>
      <c r="R66" s="470">
        <f t="shared" ca="1" si="38"/>
        <v>5</v>
      </c>
      <c r="S66" s="470">
        <f t="shared" ca="1" si="38"/>
        <v>4</v>
      </c>
      <c r="T66" s="470">
        <f t="shared" ca="1" si="38"/>
        <v>5</v>
      </c>
      <c r="U66" s="470">
        <f t="shared" ca="1" si="38"/>
        <v>5</v>
      </c>
      <c r="V66" s="470">
        <f t="shared" ca="1" si="38"/>
        <v>6</v>
      </c>
      <c r="W66" s="470">
        <f t="shared" ca="1" si="38"/>
        <v>7</v>
      </c>
      <c r="X66" s="470">
        <f t="shared" ca="1" si="38"/>
        <v>6</v>
      </c>
      <c r="Y66" s="470">
        <f t="shared" ca="1" si="38"/>
        <v>5</v>
      </c>
      <c r="Z66" s="470">
        <f t="shared" ca="1" si="38"/>
        <v>5</v>
      </c>
      <c r="AA66" s="470">
        <f t="shared" si="38"/>
        <v>4</v>
      </c>
      <c r="AB66" s="470">
        <f t="shared" si="38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39">+I66</f>
        <v>2</v>
      </c>
      <c r="I69" s="475">
        <f t="shared" ca="1" si="39"/>
        <v>2</v>
      </c>
      <c r="J69" s="475">
        <f t="shared" ca="1" si="39"/>
        <v>2</v>
      </c>
      <c r="K69" s="475">
        <f t="shared" ca="1" si="39"/>
        <v>3</v>
      </c>
      <c r="L69" s="475">
        <f t="shared" ca="1" si="39"/>
        <v>3</v>
      </c>
      <c r="M69" s="475">
        <f t="shared" ca="1" si="39"/>
        <v>3</v>
      </c>
      <c r="N69" s="475">
        <f t="shared" ca="1" si="39"/>
        <v>3</v>
      </c>
      <c r="O69" s="475">
        <f t="shared" ca="1" si="39"/>
        <v>4</v>
      </c>
      <c r="P69" s="475">
        <f t="shared" ca="1" si="39"/>
        <v>4</v>
      </c>
      <c r="Q69" s="478">
        <f t="shared" ca="1" si="39"/>
        <v>5</v>
      </c>
      <c r="R69" s="475">
        <f t="shared" ca="1" si="39"/>
        <v>4</v>
      </c>
      <c r="S69" s="475">
        <f t="shared" ca="1" si="39"/>
        <v>5</v>
      </c>
      <c r="T69" s="475">
        <f t="shared" ca="1" si="39"/>
        <v>5</v>
      </c>
      <c r="U69" s="475">
        <f t="shared" ca="1" si="39"/>
        <v>6</v>
      </c>
      <c r="V69" s="475">
        <f t="shared" ca="1" si="39"/>
        <v>7</v>
      </c>
      <c r="W69" s="475">
        <f t="shared" ca="1" si="39"/>
        <v>6</v>
      </c>
      <c r="X69" s="475">
        <f t="shared" ca="1" si="39"/>
        <v>5</v>
      </c>
      <c r="Y69" s="475">
        <f t="shared" ca="1" si="39"/>
        <v>5</v>
      </c>
      <c r="Z69" s="475">
        <f t="shared" si="39"/>
        <v>4</v>
      </c>
      <c r="AA69" s="475">
        <f t="shared" si="39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0">AVERAGE(H66,H69)</f>
        <v>1.5</v>
      </c>
      <c r="I71" s="502">
        <f t="shared" ca="1" si="40"/>
        <v>2</v>
      </c>
      <c r="J71" s="502">
        <f t="shared" ca="1" si="40"/>
        <v>2</v>
      </c>
      <c r="K71" s="502">
        <f t="shared" ca="1" si="40"/>
        <v>2.5</v>
      </c>
      <c r="L71" s="502">
        <f t="shared" ca="1" si="40"/>
        <v>3</v>
      </c>
      <c r="M71" s="502">
        <f t="shared" ca="1" si="40"/>
        <v>3</v>
      </c>
      <c r="N71" s="502">
        <f t="shared" ca="1" si="40"/>
        <v>3</v>
      </c>
      <c r="O71" s="502">
        <f t="shared" ca="1" si="40"/>
        <v>3.5</v>
      </c>
      <c r="P71" s="502">
        <f t="shared" ca="1" si="40"/>
        <v>4</v>
      </c>
      <c r="Q71" s="505">
        <f t="shared" ca="1" si="40"/>
        <v>4.5</v>
      </c>
      <c r="R71" s="502">
        <f t="shared" ca="1" si="40"/>
        <v>4.5</v>
      </c>
      <c r="S71" s="502">
        <f t="shared" ca="1" si="40"/>
        <v>4.5</v>
      </c>
      <c r="T71" s="502">
        <f t="shared" ca="1" si="40"/>
        <v>5</v>
      </c>
      <c r="U71" s="502">
        <f t="shared" ca="1" si="40"/>
        <v>5.5</v>
      </c>
      <c r="V71" s="502">
        <f t="shared" ca="1" si="40"/>
        <v>6.5</v>
      </c>
      <c r="W71" s="502">
        <f t="shared" ca="1" si="40"/>
        <v>6.5</v>
      </c>
      <c r="X71" s="502">
        <f t="shared" ca="1" si="40"/>
        <v>5.5</v>
      </c>
      <c r="Y71" s="502">
        <f t="shared" ca="1" si="40"/>
        <v>5</v>
      </c>
      <c r="Z71" s="502">
        <f t="shared" ca="1" si="40"/>
        <v>4.5</v>
      </c>
      <c r="AA71" s="502">
        <f t="shared" si="40"/>
        <v>4</v>
      </c>
      <c r="AB71" s="503">
        <f t="shared" si="40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1">H64/H71</f>
        <v>97.333333333333329</v>
      </c>
      <c r="I72" s="506">
        <f t="shared" ca="1" si="41"/>
        <v>73.75</v>
      </c>
      <c r="J72" s="506">
        <f t="shared" ca="1" si="41"/>
        <v>75.5</v>
      </c>
      <c r="K72" s="506">
        <f t="shared" ca="1" si="41"/>
        <v>62.6</v>
      </c>
      <c r="L72" s="506">
        <f t="shared" ca="1" si="41"/>
        <v>54</v>
      </c>
      <c r="M72" s="506">
        <f t="shared" ca="1" si="41"/>
        <v>55</v>
      </c>
      <c r="N72" s="506">
        <f t="shared" ca="1" si="41"/>
        <v>55.666666666666664</v>
      </c>
      <c r="O72" s="506">
        <f t="shared" ca="1" si="41"/>
        <v>49.142857142857146</v>
      </c>
      <c r="P72" s="506">
        <f t="shared" ca="1" si="41"/>
        <v>44</v>
      </c>
      <c r="Q72" s="509">
        <f t="shared" ca="1" si="41"/>
        <v>39.888888888888886</v>
      </c>
      <c r="R72" s="506">
        <f t="shared" ca="1" si="41"/>
        <v>40.333333333333336</v>
      </c>
      <c r="S72" s="506">
        <f t="shared" ca="1" si="41"/>
        <v>40.111111111111114</v>
      </c>
      <c r="T72" s="506">
        <f t="shared" ca="1" si="41"/>
        <v>36.6</v>
      </c>
      <c r="U72" s="506">
        <f t="shared" ca="1" si="41"/>
        <v>34.454545454545453</v>
      </c>
      <c r="V72" s="506">
        <f t="shared" ca="1" si="41"/>
        <v>29.615384615384617</v>
      </c>
      <c r="W72" s="506">
        <f t="shared" ca="1" si="41"/>
        <v>30</v>
      </c>
      <c r="X72" s="506">
        <f t="shared" ca="1" si="41"/>
        <v>35.18181818181818</v>
      </c>
      <c r="Y72" s="506">
        <f t="shared" ca="1" si="41"/>
        <v>37.799999999999997</v>
      </c>
      <c r="Z72" s="506">
        <f t="shared" ca="1" si="41"/>
        <v>40.333333333333336</v>
      </c>
      <c r="AA72" s="506">
        <f t="shared" si="41"/>
        <v>43.625</v>
      </c>
      <c r="AB72" s="507">
        <f t="shared" si="41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2">(H67+H66)/H66-1</f>
        <v>1</v>
      </c>
      <c r="I74" s="488">
        <f t="shared" ca="1" si="42"/>
        <v>0</v>
      </c>
      <c r="J74" s="488">
        <f t="shared" ca="1" si="42"/>
        <v>0</v>
      </c>
      <c r="K74" s="488">
        <f t="shared" ca="1" si="42"/>
        <v>0.5</v>
      </c>
      <c r="L74" s="488">
        <f t="shared" ca="1" si="42"/>
        <v>0</v>
      </c>
      <c r="M74" s="488">
        <f t="shared" ca="1" si="42"/>
        <v>0</v>
      </c>
      <c r="N74" s="488">
        <f t="shared" ca="1" si="42"/>
        <v>0</v>
      </c>
      <c r="O74" s="488">
        <f t="shared" ca="1" si="42"/>
        <v>0.33333333333333326</v>
      </c>
      <c r="P74" s="488">
        <f t="shared" ca="1" si="42"/>
        <v>0</v>
      </c>
      <c r="Q74" s="492">
        <f t="shared" ca="1" si="42"/>
        <v>0.25</v>
      </c>
      <c r="R74" s="488">
        <f t="shared" ca="1" si="42"/>
        <v>0</v>
      </c>
      <c r="S74" s="488">
        <f t="shared" ca="1" si="42"/>
        <v>0.25</v>
      </c>
      <c r="T74" s="488">
        <f t="shared" ca="1" si="42"/>
        <v>0</v>
      </c>
      <c r="U74" s="488">
        <f t="shared" ca="1" si="42"/>
        <v>0.19999999999999996</v>
      </c>
      <c r="V74" s="488">
        <f t="shared" ca="1" si="42"/>
        <v>0.16666666666666674</v>
      </c>
      <c r="W74" s="488">
        <f t="shared" ca="1" si="42"/>
        <v>0</v>
      </c>
      <c r="X74" s="488">
        <f t="shared" ca="1" si="42"/>
        <v>0</v>
      </c>
      <c r="Y74" s="488">
        <f t="shared" ca="1" si="42"/>
        <v>0</v>
      </c>
      <c r="Z74" s="488">
        <f t="shared" ca="1" si="42"/>
        <v>0</v>
      </c>
      <c r="AA74" s="488">
        <f t="shared" si="42"/>
        <v>0</v>
      </c>
      <c r="AB74" s="489">
        <f t="shared" si="42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3">(H68+H71)/H71-1</f>
        <v>0</v>
      </c>
      <c r="I75" s="494">
        <f t="shared" ca="1" si="43"/>
        <v>0</v>
      </c>
      <c r="J75" s="494">
        <f t="shared" ca="1" si="43"/>
        <v>0</v>
      </c>
      <c r="K75" s="494">
        <f t="shared" ca="1" si="43"/>
        <v>0</v>
      </c>
      <c r="L75" s="494">
        <f t="shared" ca="1" si="43"/>
        <v>0</v>
      </c>
      <c r="M75" s="494">
        <f t="shared" ca="1" si="43"/>
        <v>0</v>
      </c>
      <c r="N75" s="494">
        <f t="shared" ca="1" si="43"/>
        <v>0</v>
      </c>
      <c r="O75" s="494">
        <f t="shared" ca="1" si="43"/>
        <v>0</v>
      </c>
      <c r="P75" s="494">
        <f t="shared" ca="1" si="43"/>
        <v>0</v>
      </c>
      <c r="Q75" s="497">
        <f t="shared" ca="1" si="43"/>
        <v>0</v>
      </c>
      <c r="R75" s="494">
        <f t="shared" ca="1" si="43"/>
        <v>-0.22222222222222221</v>
      </c>
      <c r="S75" s="494">
        <f t="shared" ca="1" si="43"/>
        <v>0</v>
      </c>
      <c r="T75" s="494">
        <f t="shared" ca="1" si="43"/>
        <v>0</v>
      </c>
      <c r="U75" s="494">
        <f t="shared" ca="1" si="43"/>
        <v>0</v>
      </c>
      <c r="V75" s="494">
        <f t="shared" ca="1" si="43"/>
        <v>0</v>
      </c>
      <c r="W75" s="494">
        <f t="shared" ca="1" si="43"/>
        <v>-0.15384615384615385</v>
      </c>
      <c r="X75" s="494">
        <f t="shared" ca="1" si="43"/>
        <v>-0.18181818181818177</v>
      </c>
      <c r="Y75" s="494">
        <f t="shared" ca="1" si="43"/>
        <v>0</v>
      </c>
      <c r="Z75" s="494">
        <f t="shared" ca="1" si="43"/>
        <v>-0.22222222222222221</v>
      </c>
      <c r="AA75" s="494">
        <f t="shared" si="43"/>
        <v>0</v>
      </c>
      <c r="AB75" s="495">
        <f t="shared" si="43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4">EOMONTH(H77,0)+1</f>
        <v>45689</v>
      </c>
      <c r="J77" s="465">
        <f t="shared" si="44"/>
        <v>45717</v>
      </c>
      <c r="K77" s="465">
        <f t="shared" si="44"/>
        <v>45748</v>
      </c>
      <c r="L77" s="465">
        <f t="shared" si="44"/>
        <v>45778</v>
      </c>
      <c r="M77" s="465">
        <f t="shared" si="44"/>
        <v>45809</v>
      </c>
      <c r="N77" s="465">
        <f t="shared" si="44"/>
        <v>45839</v>
      </c>
      <c r="O77" s="465">
        <v>45870</v>
      </c>
      <c r="P77" s="465">
        <f t="shared" ref="P77:AB77" si="45">EOMONTH(O77,0)+1</f>
        <v>45901</v>
      </c>
      <c r="Q77" s="465">
        <f t="shared" si="45"/>
        <v>45931</v>
      </c>
      <c r="R77" s="465">
        <f t="shared" si="45"/>
        <v>45962</v>
      </c>
      <c r="S77" s="465">
        <f t="shared" si="45"/>
        <v>45992</v>
      </c>
      <c r="T77" s="465">
        <f t="shared" si="45"/>
        <v>46023</v>
      </c>
      <c r="U77" s="465">
        <f t="shared" si="45"/>
        <v>46054</v>
      </c>
      <c r="V77" s="465">
        <f t="shared" si="45"/>
        <v>46082</v>
      </c>
      <c r="W77" s="465">
        <f t="shared" si="45"/>
        <v>46113</v>
      </c>
      <c r="X77" s="465">
        <f t="shared" si="45"/>
        <v>46143</v>
      </c>
      <c r="Y77" s="465">
        <f t="shared" si="45"/>
        <v>46174</v>
      </c>
      <c r="Z77" s="465">
        <f t="shared" si="45"/>
        <v>46204</v>
      </c>
      <c r="AA77" s="465">
        <f t="shared" si="45"/>
        <v>46235</v>
      </c>
      <c r="AB77" s="465">
        <f t="shared" si="45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6">+I$19</f>
        <v>147.5</v>
      </c>
      <c r="J79" s="510">
        <f t="shared" si="46"/>
        <v>151</v>
      </c>
      <c r="K79" s="510">
        <f t="shared" si="46"/>
        <v>156.5</v>
      </c>
      <c r="L79" s="510">
        <f t="shared" si="46"/>
        <v>162</v>
      </c>
      <c r="M79" s="510">
        <f t="shared" si="46"/>
        <v>165</v>
      </c>
      <c r="N79" s="510">
        <f t="shared" si="46"/>
        <v>167</v>
      </c>
      <c r="O79" s="510">
        <f t="shared" si="46"/>
        <v>172</v>
      </c>
      <c r="P79" s="510">
        <f t="shared" si="46"/>
        <v>176</v>
      </c>
      <c r="Q79" s="510">
        <f t="shared" si="46"/>
        <v>179.5</v>
      </c>
      <c r="R79" s="510">
        <f t="shared" si="46"/>
        <v>181.5</v>
      </c>
      <c r="S79" s="510">
        <f t="shared" si="46"/>
        <v>180.5</v>
      </c>
      <c r="T79" s="510">
        <f t="shared" si="46"/>
        <v>183</v>
      </c>
      <c r="U79" s="510">
        <f t="shared" si="46"/>
        <v>189.5</v>
      </c>
      <c r="V79" s="510">
        <f t="shared" si="46"/>
        <v>192.5</v>
      </c>
      <c r="W79" s="510">
        <f t="shared" si="46"/>
        <v>195</v>
      </c>
      <c r="X79" s="510">
        <f t="shared" si="46"/>
        <v>193.5</v>
      </c>
      <c r="Y79" s="510">
        <f t="shared" si="46"/>
        <v>189</v>
      </c>
      <c r="Z79" s="510">
        <f t="shared" si="46"/>
        <v>181.5</v>
      </c>
      <c r="AA79" s="510">
        <f t="shared" si="46"/>
        <v>174.5</v>
      </c>
      <c r="AB79" s="510">
        <f t="shared" si="46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7">+H84-H82-H83</f>
        <v>4</v>
      </c>
      <c r="I81" s="470">
        <f t="shared" ca="1" si="47"/>
        <v>3</v>
      </c>
      <c r="J81" s="470">
        <f t="shared" ca="1" si="47"/>
        <v>3</v>
      </c>
      <c r="K81" s="470">
        <f t="shared" ca="1" si="47"/>
        <v>3</v>
      </c>
      <c r="L81" s="470">
        <f t="shared" ca="1" si="47"/>
        <v>3</v>
      </c>
      <c r="M81" s="470">
        <f t="shared" ca="1" si="47"/>
        <v>3</v>
      </c>
      <c r="N81" s="470">
        <f t="shared" ca="1" si="47"/>
        <v>3</v>
      </c>
      <c r="O81" s="470">
        <f t="shared" ca="1" si="47"/>
        <v>3</v>
      </c>
      <c r="P81" s="470">
        <f t="shared" ca="1" si="47"/>
        <v>3</v>
      </c>
      <c r="Q81" s="470">
        <f t="shared" ca="1" si="47"/>
        <v>3</v>
      </c>
      <c r="R81" s="470">
        <f t="shared" ca="1" si="47"/>
        <v>3</v>
      </c>
      <c r="S81" s="470">
        <f t="shared" ca="1" si="47"/>
        <v>3</v>
      </c>
      <c r="T81" s="470">
        <f t="shared" ca="1" si="47"/>
        <v>4</v>
      </c>
      <c r="U81" s="470">
        <f t="shared" ca="1" si="47"/>
        <v>4</v>
      </c>
      <c r="V81" s="470">
        <f t="shared" ca="1" si="47"/>
        <v>4</v>
      </c>
      <c r="W81" s="470">
        <f t="shared" ca="1" si="47"/>
        <v>4</v>
      </c>
      <c r="X81" s="470">
        <f t="shared" ca="1" si="47"/>
        <v>4</v>
      </c>
      <c r="Y81" s="470">
        <f t="shared" ca="1" si="47"/>
        <v>3</v>
      </c>
      <c r="Z81" s="470">
        <f t="shared" ca="1" si="47"/>
        <v>3</v>
      </c>
      <c r="AA81" s="470">
        <f t="shared" si="47"/>
        <v>4</v>
      </c>
      <c r="AB81" s="470">
        <f t="shared" si="47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8">+I81</f>
        <v>3</v>
      </c>
      <c r="I84" s="475">
        <f t="shared" ca="1" si="48"/>
        <v>3</v>
      </c>
      <c r="J84" s="475">
        <f t="shared" ca="1" si="48"/>
        <v>3</v>
      </c>
      <c r="K84" s="475">
        <f t="shared" ca="1" si="48"/>
        <v>3</v>
      </c>
      <c r="L84" s="475">
        <f t="shared" ca="1" si="48"/>
        <v>3</v>
      </c>
      <c r="M84" s="475">
        <f t="shared" ca="1" si="48"/>
        <v>3</v>
      </c>
      <c r="N84" s="475">
        <f t="shared" ca="1" si="48"/>
        <v>3</v>
      </c>
      <c r="O84" s="475">
        <f t="shared" ca="1" si="48"/>
        <v>3</v>
      </c>
      <c r="P84" s="475">
        <f t="shared" ca="1" si="48"/>
        <v>3</v>
      </c>
      <c r="Q84" s="511">
        <f t="shared" ca="1" si="48"/>
        <v>3</v>
      </c>
      <c r="R84" s="512">
        <f t="shared" ca="1" si="48"/>
        <v>3</v>
      </c>
      <c r="S84" s="512">
        <f t="shared" ca="1" si="48"/>
        <v>4</v>
      </c>
      <c r="T84" s="512">
        <f t="shared" ca="1" si="48"/>
        <v>4</v>
      </c>
      <c r="U84" s="512">
        <f t="shared" ca="1" si="48"/>
        <v>4</v>
      </c>
      <c r="V84" s="512">
        <f t="shared" ca="1" si="48"/>
        <v>4</v>
      </c>
      <c r="W84" s="512">
        <f t="shared" ca="1" si="48"/>
        <v>4</v>
      </c>
      <c r="X84" s="512">
        <f t="shared" ca="1" si="48"/>
        <v>3</v>
      </c>
      <c r="Y84" s="512">
        <f t="shared" ca="1" si="48"/>
        <v>3</v>
      </c>
      <c r="Z84" s="512">
        <f t="shared" si="48"/>
        <v>4</v>
      </c>
      <c r="AA84" s="512">
        <f t="shared" si="48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49">AVERAGE(H81,H84)</f>
        <v>3.5</v>
      </c>
      <c r="I86" s="502">
        <f t="shared" ca="1" si="49"/>
        <v>3</v>
      </c>
      <c r="J86" s="502">
        <f t="shared" ca="1" si="49"/>
        <v>3</v>
      </c>
      <c r="K86" s="502">
        <f t="shared" ca="1" si="49"/>
        <v>3</v>
      </c>
      <c r="L86" s="502">
        <f t="shared" ca="1" si="49"/>
        <v>3</v>
      </c>
      <c r="M86" s="502">
        <f t="shared" ca="1" si="49"/>
        <v>3</v>
      </c>
      <c r="N86" s="502">
        <f t="shared" ca="1" si="49"/>
        <v>3</v>
      </c>
      <c r="O86" s="502">
        <f t="shared" ca="1" si="49"/>
        <v>3</v>
      </c>
      <c r="P86" s="502">
        <f t="shared" ca="1" si="49"/>
        <v>3</v>
      </c>
      <c r="Q86" s="505">
        <f t="shared" ca="1" si="49"/>
        <v>3</v>
      </c>
      <c r="R86" s="502">
        <f t="shared" ca="1" si="49"/>
        <v>3</v>
      </c>
      <c r="S86" s="502">
        <f t="shared" ca="1" si="49"/>
        <v>3.5</v>
      </c>
      <c r="T86" s="502">
        <f t="shared" ca="1" si="49"/>
        <v>4</v>
      </c>
      <c r="U86" s="502">
        <f t="shared" ca="1" si="49"/>
        <v>4</v>
      </c>
      <c r="V86" s="502">
        <f t="shared" ca="1" si="49"/>
        <v>4</v>
      </c>
      <c r="W86" s="502">
        <f t="shared" ca="1" si="49"/>
        <v>4</v>
      </c>
      <c r="X86" s="502">
        <f t="shared" ca="1" si="49"/>
        <v>3.5</v>
      </c>
      <c r="Y86" s="502">
        <f t="shared" ca="1" si="49"/>
        <v>3</v>
      </c>
      <c r="Z86" s="502">
        <f t="shared" ca="1" si="49"/>
        <v>3.5</v>
      </c>
      <c r="AA86" s="502">
        <f t="shared" si="49"/>
        <v>4</v>
      </c>
      <c r="AB86" s="503">
        <f t="shared" si="49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0">H79/H86</f>
        <v>41.714285714285715</v>
      </c>
      <c r="I87" s="506">
        <f t="shared" ca="1" si="50"/>
        <v>49.166666666666664</v>
      </c>
      <c r="J87" s="506">
        <f t="shared" ca="1" si="50"/>
        <v>50.333333333333336</v>
      </c>
      <c r="K87" s="506">
        <f t="shared" ca="1" si="50"/>
        <v>52.166666666666664</v>
      </c>
      <c r="L87" s="506">
        <f t="shared" ca="1" si="50"/>
        <v>54</v>
      </c>
      <c r="M87" s="506">
        <f t="shared" ca="1" si="50"/>
        <v>55</v>
      </c>
      <c r="N87" s="506">
        <f t="shared" ca="1" si="50"/>
        <v>55.666666666666664</v>
      </c>
      <c r="O87" s="506">
        <f t="shared" ca="1" si="50"/>
        <v>57.333333333333336</v>
      </c>
      <c r="P87" s="506">
        <f t="shared" ca="1" si="50"/>
        <v>58.666666666666664</v>
      </c>
      <c r="Q87" s="509">
        <f t="shared" ca="1" si="50"/>
        <v>59.833333333333336</v>
      </c>
      <c r="R87" s="506">
        <f t="shared" ca="1" si="50"/>
        <v>60.5</v>
      </c>
      <c r="S87" s="506">
        <f t="shared" ca="1" si="50"/>
        <v>51.571428571428569</v>
      </c>
      <c r="T87" s="506">
        <f t="shared" ca="1" si="50"/>
        <v>45.75</v>
      </c>
      <c r="U87" s="506">
        <f t="shared" ca="1" si="50"/>
        <v>47.375</v>
      </c>
      <c r="V87" s="506">
        <f t="shared" ca="1" si="50"/>
        <v>48.125</v>
      </c>
      <c r="W87" s="506">
        <f t="shared" ca="1" si="50"/>
        <v>48.75</v>
      </c>
      <c r="X87" s="506">
        <f t="shared" ca="1" si="50"/>
        <v>55.285714285714285</v>
      </c>
      <c r="Y87" s="506">
        <f t="shared" ca="1" si="50"/>
        <v>63</v>
      </c>
      <c r="Z87" s="506">
        <f t="shared" ca="1" si="50"/>
        <v>51.857142857142854</v>
      </c>
      <c r="AA87" s="506">
        <f t="shared" si="50"/>
        <v>43.625</v>
      </c>
      <c r="AB87" s="507">
        <f t="shared" si="50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1">(H82+H81)/H81-1</f>
        <v>0</v>
      </c>
      <c r="I89" s="488">
        <f t="shared" ca="1" si="51"/>
        <v>0</v>
      </c>
      <c r="J89" s="488">
        <f t="shared" ca="1" si="51"/>
        <v>0</v>
      </c>
      <c r="K89" s="488">
        <f t="shared" ca="1" si="51"/>
        <v>0</v>
      </c>
      <c r="L89" s="488">
        <f t="shared" ca="1" si="51"/>
        <v>0</v>
      </c>
      <c r="M89" s="488">
        <f t="shared" ca="1" si="51"/>
        <v>0</v>
      </c>
      <c r="N89" s="488">
        <f t="shared" ca="1" si="51"/>
        <v>0</v>
      </c>
      <c r="O89" s="488">
        <f t="shared" ca="1" si="51"/>
        <v>0</v>
      </c>
      <c r="P89" s="488">
        <f t="shared" ca="1" si="51"/>
        <v>0</v>
      </c>
      <c r="Q89" s="492">
        <f t="shared" ca="1" si="51"/>
        <v>0</v>
      </c>
      <c r="R89" s="488">
        <f t="shared" ca="1" si="51"/>
        <v>0</v>
      </c>
      <c r="S89" s="488">
        <f t="shared" ca="1" si="51"/>
        <v>0.33333333333333326</v>
      </c>
      <c r="T89" s="488">
        <f t="shared" ca="1" si="51"/>
        <v>0</v>
      </c>
      <c r="U89" s="488">
        <f t="shared" ca="1" si="51"/>
        <v>0</v>
      </c>
      <c r="V89" s="488">
        <f t="shared" ca="1" si="51"/>
        <v>0</v>
      </c>
      <c r="W89" s="488">
        <f t="shared" ca="1" si="51"/>
        <v>0</v>
      </c>
      <c r="X89" s="488">
        <f t="shared" ca="1" si="51"/>
        <v>0</v>
      </c>
      <c r="Y89" s="488">
        <f t="shared" ca="1" si="51"/>
        <v>0</v>
      </c>
      <c r="Z89" s="488">
        <f t="shared" ca="1" si="51"/>
        <v>0.33333333333333326</v>
      </c>
      <c r="AA89" s="488">
        <f t="shared" si="51"/>
        <v>0</v>
      </c>
      <c r="AB89" s="489">
        <f t="shared" si="51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2">(H83+H86)/H86-1</f>
        <v>-0.2857142857142857</v>
      </c>
      <c r="I90" s="494">
        <f t="shared" ca="1" si="52"/>
        <v>0</v>
      </c>
      <c r="J90" s="494">
        <f t="shared" ca="1" si="52"/>
        <v>0</v>
      </c>
      <c r="K90" s="494">
        <f t="shared" ca="1" si="52"/>
        <v>0</v>
      </c>
      <c r="L90" s="494">
        <f t="shared" ca="1" si="52"/>
        <v>0</v>
      </c>
      <c r="M90" s="494">
        <f t="shared" ca="1" si="52"/>
        <v>0</v>
      </c>
      <c r="N90" s="494">
        <f t="shared" ca="1" si="52"/>
        <v>0</v>
      </c>
      <c r="O90" s="494">
        <f t="shared" ca="1" si="52"/>
        <v>0</v>
      </c>
      <c r="P90" s="494">
        <f t="shared" ca="1" si="52"/>
        <v>0</v>
      </c>
      <c r="Q90" s="497">
        <f t="shared" ca="1" si="52"/>
        <v>0</v>
      </c>
      <c r="R90" s="494">
        <f t="shared" ca="1" si="52"/>
        <v>0</v>
      </c>
      <c r="S90" s="494">
        <f t="shared" ca="1" si="52"/>
        <v>0</v>
      </c>
      <c r="T90" s="494">
        <f t="shared" ca="1" si="52"/>
        <v>0</v>
      </c>
      <c r="U90" s="494">
        <f t="shared" ca="1" si="52"/>
        <v>0</v>
      </c>
      <c r="V90" s="494">
        <f t="shared" ca="1" si="52"/>
        <v>0</v>
      </c>
      <c r="W90" s="494">
        <f t="shared" ca="1" si="52"/>
        <v>0</v>
      </c>
      <c r="X90" s="494">
        <f t="shared" ca="1" si="52"/>
        <v>-0.2857142857142857</v>
      </c>
      <c r="Y90" s="494">
        <f t="shared" ca="1" si="52"/>
        <v>0</v>
      </c>
      <c r="Z90" s="494">
        <f t="shared" ca="1" si="52"/>
        <v>0</v>
      </c>
      <c r="AA90" s="494">
        <f t="shared" si="52"/>
        <v>0</v>
      </c>
      <c r="AB90" s="495">
        <f t="shared" si="52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3">EOMONTH(H92,0)+1</f>
        <v>45689</v>
      </c>
      <c r="J92" s="465">
        <f t="shared" si="53"/>
        <v>45717</v>
      </c>
      <c r="K92" s="465">
        <f t="shared" si="53"/>
        <v>45748</v>
      </c>
      <c r="L92" s="465">
        <f t="shared" si="53"/>
        <v>45778</v>
      </c>
      <c r="M92" s="465">
        <f t="shared" si="53"/>
        <v>45809</v>
      </c>
      <c r="N92" s="465">
        <f t="shared" si="53"/>
        <v>45839</v>
      </c>
      <c r="O92" s="465">
        <v>45870</v>
      </c>
      <c r="P92" s="465">
        <f t="shared" ref="P92:AB92" si="54">EOMONTH(O92,0)+1</f>
        <v>45901</v>
      </c>
      <c r="Q92" s="465">
        <f t="shared" si="54"/>
        <v>45931</v>
      </c>
      <c r="R92" s="465">
        <f t="shared" si="54"/>
        <v>45962</v>
      </c>
      <c r="S92" s="465">
        <f t="shared" si="54"/>
        <v>45992</v>
      </c>
      <c r="T92" s="465">
        <f t="shared" si="54"/>
        <v>46023</v>
      </c>
      <c r="U92" s="465">
        <f t="shared" si="54"/>
        <v>46054</v>
      </c>
      <c r="V92" s="465">
        <f t="shared" si="54"/>
        <v>46082</v>
      </c>
      <c r="W92" s="465">
        <f t="shared" si="54"/>
        <v>46113</v>
      </c>
      <c r="X92" s="465">
        <f t="shared" si="54"/>
        <v>46143</v>
      </c>
      <c r="Y92" s="465">
        <f t="shared" si="54"/>
        <v>46174</v>
      </c>
      <c r="Z92" s="465">
        <f t="shared" si="54"/>
        <v>46204</v>
      </c>
      <c r="AA92" s="465">
        <f t="shared" si="54"/>
        <v>46235</v>
      </c>
      <c r="AB92" s="465">
        <f t="shared" si="54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5">+I$19</f>
        <v>147.5</v>
      </c>
      <c r="J94" s="510">
        <f t="shared" si="55"/>
        <v>151</v>
      </c>
      <c r="K94" s="510">
        <f t="shared" si="55"/>
        <v>156.5</v>
      </c>
      <c r="L94" s="510">
        <f t="shared" si="55"/>
        <v>162</v>
      </c>
      <c r="M94" s="510">
        <f t="shared" si="55"/>
        <v>165</v>
      </c>
      <c r="N94" s="510">
        <f t="shared" si="55"/>
        <v>167</v>
      </c>
      <c r="O94" s="510">
        <f t="shared" si="55"/>
        <v>172</v>
      </c>
      <c r="P94" s="510">
        <f t="shared" si="55"/>
        <v>176</v>
      </c>
      <c r="Q94" s="510">
        <f t="shared" si="55"/>
        <v>179.5</v>
      </c>
      <c r="R94" s="510">
        <f t="shared" si="55"/>
        <v>181.5</v>
      </c>
      <c r="S94" s="510">
        <f t="shared" si="55"/>
        <v>180.5</v>
      </c>
      <c r="T94" s="510">
        <f t="shared" si="55"/>
        <v>183</v>
      </c>
      <c r="U94" s="510">
        <f t="shared" si="55"/>
        <v>189.5</v>
      </c>
      <c r="V94" s="510">
        <f t="shared" si="55"/>
        <v>192.5</v>
      </c>
      <c r="W94" s="510">
        <f t="shared" si="55"/>
        <v>195</v>
      </c>
      <c r="X94" s="510">
        <f t="shared" si="55"/>
        <v>193.5</v>
      </c>
      <c r="Y94" s="510">
        <f t="shared" si="55"/>
        <v>189</v>
      </c>
      <c r="Z94" s="510">
        <f t="shared" si="55"/>
        <v>181.5</v>
      </c>
      <c r="AA94" s="510">
        <f t="shared" si="55"/>
        <v>174.5</v>
      </c>
      <c r="AB94" s="510">
        <f t="shared" si="55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6">+H99-H97-H98</f>
        <v>5</v>
      </c>
      <c r="I96" s="470">
        <f t="shared" ca="1" si="56"/>
        <v>5</v>
      </c>
      <c r="J96" s="470">
        <f t="shared" ca="1" si="56"/>
        <v>5</v>
      </c>
      <c r="K96" s="470">
        <f t="shared" ca="1" si="56"/>
        <v>5</v>
      </c>
      <c r="L96" s="470">
        <f t="shared" ca="1" si="56"/>
        <v>5</v>
      </c>
      <c r="M96" s="470">
        <f t="shared" ca="1" si="56"/>
        <v>6</v>
      </c>
      <c r="N96" s="470">
        <f t="shared" ca="1" si="56"/>
        <v>6</v>
      </c>
      <c r="O96" s="470">
        <f t="shared" ca="1" si="56"/>
        <v>6</v>
      </c>
      <c r="P96" s="470">
        <f t="shared" ca="1" si="56"/>
        <v>6</v>
      </c>
      <c r="Q96" s="470">
        <f t="shared" ca="1" si="56"/>
        <v>6</v>
      </c>
      <c r="R96" s="470">
        <f t="shared" ca="1" si="56"/>
        <v>6</v>
      </c>
      <c r="S96" s="470">
        <f t="shared" ca="1" si="56"/>
        <v>6</v>
      </c>
      <c r="T96" s="470">
        <f t="shared" ca="1" si="56"/>
        <v>7</v>
      </c>
      <c r="U96" s="470">
        <f t="shared" ca="1" si="56"/>
        <v>8</v>
      </c>
      <c r="V96" s="470">
        <f t="shared" ca="1" si="56"/>
        <v>8</v>
      </c>
      <c r="W96" s="470">
        <f t="shared" ca="1" si="56"/>
        <v>8</v>
      </c>
      <c r="X96" s="470">
        <f t="shared" ca="1" si="56"/>
        <v>8</v>
      </c>
      <c r="Y96" s="470">
        <f t="shared" ca="1" si="56"/>
        <v>7</v>
      </c>
      <c r="Z96" s="470">
        <f t="shared" ca="1" si="56"/>
        <v>7</v>
      </c>
      <c r="AA96" s="470">
        <f t="shared" ca="1" si="56"/>
        <v>7</v>
      </c>
      <c r="AB96" s="470">
        <f t="shared" si="56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7">+I96</f>
        <v>5</v>
      </c>
      <c r="I99" s="475">
        <f t="shared" ca="1" si="57"/>
        <v>5</v>
      </c>
      <c r="J99" s="475">
        <f t="shared" ca="1" si="57"/>
        <v>5</v>
      </c>
      <c r="K99" s="475">
        <f t="shared" ca="1" si="57"/>
        <v>5</v>
      </c>
      <c r="L99" s="475">
        <f t="shared" ca="1" si="57"/>
        <v>6</v>
      </c>
      <c r="M99" s="475">
        <f t="shared" ca="1" si="57"/>
        <v>6</v>
      </c>
      <c r="N99" s="475">
        <f t="shared" ca="1" si="57"/>
        <v>6</v>
      </c>
      <c r="O99" s="475">
        <f t="shared" ca="1" si="57"/>
        <v>6</v>
      </c>
      <c r="P99" s="475">
        <f t="shared" ca="1" si="57"/>
        <v>6</v>
      </c>
      <c r="Q99" s="478">
        <f t="shared" ca="1" si="57"/>
        <v>6</v>
      </c>
      <c r="R99" s="475">
        <f t="shared" ca="1" si="57"/>
        <v>6</v>
      </c>
      <c r="S99" s="475">
        <f t="shared" ca="1" si="57"/>
        <v>7</v>
      </c>
      <c r="T99" s="475">
        <f t="shared" ca="1" si="57"/>
        <v>8</v>
      </c>
      <c r="U99" s="475">
        <f t="shared" ca="1" si="57"/>
        <v>8</v>
      </c>
      <c r="V99" s="475">
        <f t="shared" ca="1" si="57"/>
        <v>8</v>
      </c>
      <c r="W99" s="475">
        <f t="shared" ca="1" si="57"/>
        <v>8</v>
      </c>
      <c r="X99" s="475">
        <f t="shared" ca="1" si="57"/>
        <v>7</v>
      </c>
      <c r="Y99" s="475">
        <f t="shared" ca="1" si="57"/>
        <v>7</v>
      </c>
      <c r="Z99" s="475">
        <f t="shared" ca="1" si="57"/>
        <v>7</v>
      </c>
      <c r="AA99" s="475">
        <f t="shared" si="57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8">AVERAGE(H96,H99)</f>
        <v>5</v>
      </c>
      <c r="I101" s="502">
        <f t="shared" ca="1" si="58"/>
        <v>5</v>
      </c>
      <c r="J101" s="502">
        <f t="shared" ca="1" si="58"/>
        <v>5</v>
      </c>
      <c r="K101" s="502">
        <f t="shared" ca="1" si="58"/>
        <v>5</v>
      </c>
      <c r="L101" s="502">
        <f t="shared" ca="1" si="58"/>
        <v>5.5</v>
      </c>
      <c r="M101" s="502">
        <f t="shared" ca="1" si="58"/>
        <v>6</v>
      </c>
      <c r="N101" s="502">
        <f t="shared" ca="1" si="58"/>
        <v>6</v>
      </c>
      <c r="O101" s="502">
        <f t="shared" ca="1" si="58"/>
        <v>6</v>
      </c>
      <c r="P101" s="502">
        <f t="shared" ca="1" si="58"/>
        <v>6</v>
      </c>
      <c r="Q101" s="505">
        <f t="shared" ca="1" si="58"/>
        <v>6</v>
      </c>
      <c r="R101" s="502">
        <f t="shared" ca="1" si="58"/>
        <v>6</v>
      </c>
      <c r="S101" s="502">
        <f t="shared" ca="1" si="58"/>
        <v>6.5</v>
      </c>
      <c r="T101" s="502">
        <f t="shared" ca="1" si="58"/>
        <v>7.5</v>
      </c>
      <c r="U101" s="502">
        <f t="shared" ca="1" si="58"/>
        <v>8</v>
      </c>
      <c r="V101" s="502">
        <f t="shared" ca="1" si="58"/>
        <v>8</v>
      </c>
      <c r="W101" s="502">
        <f t="shared" ca="1" si="58"/>
        <v>8</v>
      </c>
      <c r="X101" s="502">
        <f t="shared" ca="1" si="58"/>
        <v>7.5</v>
      </c>
      <c r="Y101" s="502">
        <f t="shared" ca="1" si="58"/>
        <v>7</v>
      </c>
      <c r="Z101" s="502">
        <f t="shared" ca="1" si="58"/>
        <v>7</v>
      </c>
      <c r="AA101" s="502">
        <f t="shared" ca="1" si="58"/>
        <v>7.5</v>
      </c>
      <c r="AB101" s="503">
        <f t="shared" si="58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59">H94/H101</f>
        <v>29.2</v>
      </c>
      <c r="I102" s="506">
        <f t="shared" ca="1" si="59"/>
        <v>29.5</v>
      </c>
      <c r="J102" s="506">
        <f t="shared" ca="1" si="59"/>
        <v>30.2</v>
      </c>
      <c r="K102" s="506">
        <f t="shared" ca="1" si="59"/>
        <v>31.3</v>
      </c>
      <c r="L102" s="506">
        <f t="shared" ca="1" si="59"/>
        <v>29.454545454545453</v>
      </c>
      <c r="M102" s="506">
        <f t="shared" ca="1" si="59"/>
        <v>27.5</v>
      </c>
      <c r="N102" s="506">
        <f t="shared" ca="1" si="59"/>
        <v>27.833333333333332</v>
      </c>
      <c r="O102" s="506">
        <f t="shared" ca="1" si="59"/>
        <v>28.666666666666668</v>
      </c>
      <c r="P102" s="506">
        <f t="shared" ca="1" si="59"/>
        <v>29.333333333333332</v>
      </c>
      <c r="Q102" s="509">
        <f t="shared" ca="1" si="59"/>
        <v>29.916666666666668</v>
      </c>
      <c r="R102" s="506">
        <f t="shared" ca="1" si="59"/>
        <v>30.25</v>
      </c>
      <c r="S102" s="506">
        <f t="shared" ca="1" si="59"/>
        <v>27.76923076923077</v>
      </c>
      <c r="T102" s="506">
        <f t="shared" ca="1" si="59"/>
        <v>24.4</v>
      </c>
      <c r="U102" s="506">
        <f t="shared" ca="1" si="59"/>
        <v>23.6875</v>
      </c>
      <c r="V102" s="506">
        <f t="shared" ca="1" si="59"/>
        <v>24.0625</v>
      </c>
      <c r="W102" s="506">
        <f t="shared" ca="1" si="59"/>
        <v>24.375</v>
      </c>
      <c r="X102" s="506">
        <f t="shared" ca="1" si="59"/>
        <v>25.8</v>
      </c>
      <c r="Y102" s="506">
        <f t="shared" ca="1" si="59"/>
        <v>27</v>
      </c>
      <c r="Z102" s="506">
        <f t="shared" ca="1" si="59"/>
        <v>25.928571428571427</v>
      </c>
      <c r="AA102" s="506">
        <f t="shared" ca="1" si="59"/>
        <v>23.266666666666666</v>
      </c>
      <c r="AB102" s="507">
        <f t="shared" si="59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0">(H97+H96)/H96-1</f>
        <v>0</v>
      </c>
      <c r="I104" s="488">
        <f t="shared" ca="1" si="60"/>
        <v>0</v>
      </c>
      <c r="J104" s="488">
        <f t="shared" ca="1" si="60"/>
        <v>0</v>
      </c>
      <c r="K104" s="488">
        <f t="shared" ca="1" si="60"/>
        <v>0</v>
      </c>
      <c r="L104" s="488">
        <f t="shared" ca="1" si="60"/>
        <v>0.19999999999999996</v>
      </c>
      <c r="M104" s="488">
        <f t="shared" ca="1" si="60"/>
        <v>0</v>
      </c>
      <c r="N104" s="488">
        <f t="shared" ca="1" si="60"/>
        <v>0</v>
      </c>
      <c r="O104" s="488">
        <f t="shared" ca="1" si="60"/>
        <v>0</v>
      </c>
      <c r="P104" s="488">
        <f t="shared" ca="1" si="60"/>
        <v>0</v>
      </c>
      <c r="Q104" s="492">
        <f t="shared" ca="1" si="60"/>
        <v>0</v>
      </c>
      <c r="R104" s="488">
        <f t="shared" ca="1" si="60"/>
        <v>0</v>
      </c>
      <c r="S104" s="488">
        <f t="shared" ca="1" si="60"/>
        <v>0.16666666666666674</v>
      </c>
      <c r="T104" s="488">
        <f t="shared" ca="1" si="60"/>
        <v>0.14285714285714279</v>
      </c>
      <c r="U104" s="488">
        <f t="shared" ca="1" si="60"/>
        <v>0</v>
      </c>
      <c r="V104" s="488">
        <f t="shared" ca="1" si="60"/>
        <v>0</v>
      </c>
      <c r="W104" s="488">
        <f t="shared" ca="1" si="60"/>
        <v>0</v>
      </c>
      <c r="X104" s="488">
        <f t="shared" ca="1" si="60"/>
        <v>0</v>
      </c>
      <c r="Y104" s="488">
        <f t="shared" ca="1" si="60"/>
        <v>0</v>
      </c>
      <c r="Z104" s="488">
        <f t="shared" ca="1" si="60"/>
        <v>0</v>
      </c>
      <c r="AA104" s="488">
        <f t="shared" ca="1" si="60"/>
        <v>0.14285714285714279</v>
      </c>
      <c r="AB104" s="489">
        <f t="shared" si="60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1">(H98+H101)/H101-1</f>
        <v>0</v>
      </c>
      <c r="I105" s="494">
        <f t="shared" ca="1" si="61"/>
        <v>0</v>
      </c>
      <c r="J105" s="494">
        <f t="shared" ca="1" si="61"/>
        <v>0</v>
      </c>
      <c r="K105" s="494">
        <f t="shared" ca="1" si="61"/>
        <v>0</v>
      </c>
      <c r="L105" s="494">
        <f t="shared" ca="1" si="61"/>
        <v>0</v>
      </c>
      <c r="M105" s="494">
        <f t="shared" ca="1" si="61"/>
        <v>0</v>
      </c>
      <c r="N105" s="494">
        <f t="shared" ca="1" si="61"/>
        <v>0</v>
      </c>
      <c r="O105" s="494">
        <f t="shared" ca="1" si="61"/>
        <v>0</v>
      </c>
      <c r="P105" s="494">
        <f t="shared" ca="1" si="61"/>
        <v>0</v>
      </c>
      <c r="Q105" s="497">
        <f t="shared" ca="1" si="61"/>
        <v>0</v>
      </c>
      <c r="R105" s="494">
        <f t="shared" ca="1" si="61"/>
        <v>0</v>
      </c>
      <c r="S105" s="494">
        <f t="shared" ca="1" si="61"/>
        <v>0</v>
      </c>
      <c r="T105" s="494">
        <f t="shared" ca="1" si="61"/>
        <v>0</v>
      </c>
      <c r="U105" s="494">
        <f t="shared" ca="1" si="61"/>
        <v>0</v>
      </c>
      <c r="V105" s="494">
        <f t="shared" ca="1" si="61"/>
        <v>0</v>
      </c>
      <c r="W105" s="494">
        <f t="shared" ca="1" si="61"/>
        <v>0</v>
      </c>
      <c r="X105" s="494">
        <f t="shared" ca="1" si="61"/>
        <v>-0.1333333333333333</v>
      </c>
      <c r="Y105" s="494">
        <f t="shared" ca="1" si="61"/>
        <v>0</v>
      </c>
      <c r="Z105" s="494">
        <f t="shared" ca="1" si="61"/>
        <v>0</v>
      </c>
      <c r="AA105" s="494">
        <f t="shared" ca="1" si="61"/>
        <v>0</v>
      </c>
      <c r="AB105" s="495">
        <f t="shared" si="61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2">EOMONTH(H107,0)+1</f>
        <v>45689</v>
      </c>
      <c r="J107" s="465">
        <f t="shared" si="62"/>
        <v>45717</v>
      </c>
      <c r="K107" s="465">
        <f t="shared" si="62"/>
        <v>45748</v>
      </c>
      <c r="L107" s="465">
        <f t="shared" si="62"/>
        <v>45778</v>
      </c>
      <c r="M107" s="465">
        <f t="shared" si="62"/>
        <v>45809</v>
      </c>
      <c r="N107" s="465">
        <f t="shared" si="62"/>
        <v>45839</v>
      </c>
      <c r="O107" s="465">
        <v>45870</v>
      </c>
      <c r="P107" s="465">
        <f t="shared" ref="P107:AB107" si="63">EOMONTH(O107,0)+1</f>
        <v>45901</v>
      </c>
      <c r="Q107" s="465">
        <f t="shared" si="63"/>
        <v>45931</v>
      </c>
      <c r="R107" s="465">
        <f t="shared" si="63"/>
        <v>45962</v>
      </c>
      <c r="S107" s="465">
        <f t="shared" si="63"/>
        <v>45992</v>
      </c>
      <c r="T107" s="465">
        <f t="shared" si="63"/>
        <v>46023</v>
      </c>
      <c r="U107" s="465">
        <f t="shared" si="63"/>
        <v>46054</v>
      </c>
      <c r="V107" s="465">
        <f t="shared" si="63"/>
        <v>46082</v>
      </c>
      <c r="W107" s="465">
        <f t="shared" si="63"/>
        <v>46113</v>
      </c>
      <c r="X107" s="465">
        <f t="shared" si="63"/>
        <v>46143</v>
      </c>
      <c r="Y107" s="465">
        <f t="shared" si="63"/>
        <v>46174</v>
      </c>
      <c r="Z107" s="465">
        <f t="shared" si="63"/>
        <v>46204</v>
      </c>
      <c r="AA107" s="465">
        <f t="shared" si="63"/>
        <v>46235</v>
      </c>
      <c r="AB107" s="465">
        <f t="shared" si="63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4">+I$19</f>
        <v>147.5</v>
      </c>
      <c r="J109" s="510">
        <f t="shared" si="64"/>
        <v>151</v>
      </c>
      <c r="K109" s="510">
        <f t="shared" si="64"/>
        <v>156.5</v>
      </c>
      <c r="L109" s="510">
        <f t="shared" si="64"/>
        <v>162</v>
      </c>
      <c r="M109" s="510">
        <f t="shared" si="64"/>
        <v>165</v>
      </c>
      <c r="N109" s="510">
        <f t="shared" si="64"/>
        <v>167</v>
      </c>
      <c r="O109" s="510">
        <f t="shared" si="64"/>
        <v>172</v>
      </c>
      <c r="P109" s="510">
        <f t="shared" si="64"/>
        <v>176</v>
      </c>
      <c r="Q109" s="510">
        <f t="shared" si="64"/>
        <v>179.5</v>
      </c>
      <c r="R109" s="510">
        <f t="shared" si="64"/>
        <v>181.5</v>
      </c>
      <c r="S109" s="510">
        <f t="shared" si="64"/>
        <v>180.5</v>
      </c>
      <c r="T109" s="510">
        <f t="shared" si="64"/>
        <v>183</v>
      </c>
      <c r="U109" s="510">
        <f t="shared" si="64"/>
        <v>189.5</v>
      </c>
      <c r="V109" s="510">
        <f t="shared" si="64"/>
        <v>192.5</v>
      </c>
      <c r="W109" s="510">
        <f t="shared" si="64"/>
        <v>195</v>
      </c>
      <c r="X109" s="510">
        <f t="shared" si="64"/>
        <v>193.5</v>
      </c>
      <c r="Y109" s="510">
        <f t="shared" si="64"/>
        <v>189</v>
      </c>
      <c r="Z109" s="510">
        <f t="shared" si="64"/>
        <v>181.5</v>
      </c>
      <c r="AA109" s="510">
        <f t="shared" si="64"/>
        <v>174.5</v>
      </c>
      <c r="AB109" s="510">
        <f t="shared" si="64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5">+H114-H112-H113</f>
        <v>4</v>
      </c>
      <c r="I111" s="470">
        <f t="shared" ca="1" si="65"/>
        <v>4</v>
      </c>
      <c r="J111" s="470">
        <f t="shared" si="65"/>
        <v>3</v>
      </c>
      <c r="K111" s="470">
        <f t="shared" si="65"/>
        <v>3</v>
      </c>
      <c r="L111" s="470">
        <f t="shared" si="65"/>
        <v>3</v>
      </c>
      <c r="M111" s="470">
        <f t="shared" si="65"/>
        <v>3</v>
      </c>
      <c r="N111" s="470">
        <f t="shared" si="65"/>
        <v>3</v>
      </c>
      <c r="O111" s="470">
        <f t="shared" si="65"/>
        <v>3</v>
      </c>
      <c r="P111" s="470">
        <f t="shared" si="65"/>
        <v>3</v>
      </c>
      <c r="Q111" s="470">
        <f t="shared" si="65"/>
        <v>3</v>
      </c>
      <c r="R111" s="470">
        <f t="shared" si="65"/>
        <v>3</v>
      </c>
      <c r="S111" s="470">
        <f t="shared" si="65"/>
        <v>3</v>
      </c>
      <c r="T111" s="470">
        <f t="shared" si="65"/>
        <v>3</v>
      </c>
      <c r="U111" s="470">
        <f t="shared" si="65"/>
        <v>3</v>
      </c>
      <c r="V111" s="470">
        <f t="shared" si="65"/>
        <v>3</v>
      </c>
      <c r="W111" s="470">
        <f t="shared" si="65"/>
        <v>3</v>
      </c>
      <c r="X111" s="470">
        <f t="shared" si="65"/>
        <v>3</v>
      </c>
      <c r="Y111" s="470">
        <f t="shared" si="65"/>
        <v>3</v>
      </c>
      <c r="Z111" s="470">
        <f t="shared" si="65"/>
        <v>3</v>
      </c>
      <c r="AA111" s="470">
        <f t="shared" si="65"/>
        <v>3</v>
      </c>
      <c r="AB111" s="470">
        <f t="shared" si="65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6">+I111</f>
        <v>4</v>
      </c>
      <c r="I114" s="475">
        <f t="shared" si="66"/>
        <v>3</v>
      </c>
      <c r="J114" s="475">
        <f t="shared" si="66"/>
        <v>3</v>
      </c>
      <c r="K114" s="475">
        <f t="shared" si="66"/>
        <v>3</v>
      </c>
      <c r="L114" s="475">
        <f t="shared" si="66"/>
        <v>3</v>
      </c>
      <c r="M114" s="475">
        <f t="shared" si="66"/>
        <v>3</v>
      </c>
      <c r="N114" s="475">
        <f t="shared" si="66"/>
        <v>3</v>
      </c>
      <c r="O114" s="475">
        <f t="shared" si="66"/>
        <v>3</v>
      </c>
      <c r="P114" s="475">
        <f t="shared" si="66"/>
        <v>3</v>
      </c>
      <c r="Q114" s="475">
        <f t="shared" si="66"/>
        <v>3</v>
      </c>
      <c r="R114" s="475">
        <f t="shared" si="66"/>
        <v>3</v>
      </c>
      <c r="S114" s="475">
        <f t="shared" si="66"/>
        <v>3</v>
      </c>
      <c r="T114" s="475">
        <f t="shared" si="66"/>
        <v>3</v>
      </c>
      <c r="U114" s="475">
        <f t="shared" si="66"/>
        <v>3</v>
      </c>
      <c r="V114" s="475">
        <f t="shared" si="66"/>
        <v>3</v>
      </c>
      <c r="W114" s="475">
        <f t="shared" si="66"/>
        <v>3</v>
      </c>
      <c r="X114" s="475">
        <f t="shared" si="66"/>
        <v>3</v>
      </c>
      <c r="Y114" s="475">
        <f t="shared" si="66"/>
        <v>3</v>
      </c>
      <c r="Z114" s="475">
        <f t="shared" si="66"/>
        <v>3</v>
      </c>
      <c r="AA114" s="475">
        <f t="shared" si="66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7">AVERAGE(H111,H114)</f>
        <v>4</v>
      </c>
      <c r="I116" s="502">
        <f t="shared" ca="1" si="67"/>
        <v>3.5</v>
      </c>
      <c r="J116" s="502">
        <f t="shared" si="67"/>
        <v>3</v>
      </c>
      <c r="K116" s="502">
        <f t="shared" si="67"/>
        <v>3</v>
      </c>
      <c r="L116" s="502">
        <f t="shared" si="67"/>
        <v>3</v>
      </c>
      <c r="M116" s="502">
        <f t="shared" si="67"/>
        <v>3</v>
      </c>
      <c r="N116" s="502">
        <f t="shared" si="67"/>
        <v>3</v>
      </c>
      <c r="O116" s="502">
        <f t="shared" si="67"/>
        <v>3</v>
      </c>
      <c r="P116" s="502">
        <f t="shared" si="67"/>
        <v>3</v>
      </c>
      <c r="Q116" s="502">
        <f t="shared" si="67"/>
        <v>3</v>
      </c>
      <c r="R116" s="502">
        <f t="shared" si="67"/>
        <v>3</v>
      </c>
      <c r="S116" s="502">
        <f t="shared" si="67"/>
        <v>3</v>
      </c>
      <c r="T116" s="502">
        <f t="shared" si="67"/>
        <v>3</v>
      </c>
      <c r="U116" s="502">
        <f t="shared" si="67"/>
        <v>3</v>
      </c>
      <c r="V116" s="502">
        <f t="shared" si="67"/>
        <v>3</v>
      </c>
      <c r="W116" s="502">
        <f t="shared" si="67"/>
        <v>3</v>
      </c>
      <c r="X116" s="502">
        <f t="shared" si="67"/>
        <v>3</v>
      </c>
      <c r="Y116" s="502">
        <f t="shared" si="67"/>
        <v>3</v>
      </c>
      <c r="Z116" s="502">
        <f t="shared" si="67"/>
        <v>3</v>
      </c>
      <c r="AA116" s="502">
        <f t="shared" si="67"/>
        <v>3</v>
      </c>
      <c r="AB116" s="503">
        <f t="shared" si="67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8">H109/H116</f>
        <v>36.5</v>
      </c>
      <c r="I117" s="506">
        <f t="shared" ca="1" si="68"/>
        <v>42.142857142857146</v>
      </c>
      <c r="J117" s="506">
        <f t="shared" si="68"/>
        <v>50.333333333333336</v>
      </c>
      <c r="K117" s="506">
        <f t="shared" si="68"/>
        <v>52.166666666666664</v>
      </c>
      <c r="L117" s="506">
        <f t="shared" si="68"/>
        <v>54</v>
      </c>
      <c r="M117" s="506">
        <f t="shared" si="68"/>
        <v>55</v>
      </c>
      <c r="N117" s="506">
        <f t="shared" si="68"/>
        <v>55.666666666666664</v>
      </c>
      <c r="O117" s="506">
        <f t="shared" si="68"/>
        <v>57.333333333333336</v>
      </c>
      <c r="P117" s="506">
        <f t="shared" si="68"/>
        <v>58.666666666666664</v>
      </c>
      <c r="Q117" s="506">
        <f t="shared" si="68"/>
        <v>59.833333333333336</v>
      </c>
      <c r="R117" s="506">
        <f t="shared" si="68"/>
        <v>60.5</v>
      </c>
      <c r="S117" s="506">
        <f t="shared" si="68"/>
        <v>60.166666666666664</v>
      </c>
      <c r="T117" s="506">
        <f t="shared" si="68"/>
        <v>61</v>
      </c>
      <c r="U117" s="506">
        <f t="shared" si="68"/>
        <v>63.166666666666664</v>
      </c>
      <c r="V117" s="506">
        <f t="shared" si="68"/>
        <v>64.166666666666671</v>
      </c>
      <c r="W117" s="506">
        <f t="shared" si="68"/>
        <v>65</v>
      </c>
      <c r="X117" s="506">
        <f t="shared" si="68"/>
        <v>64.5</v>
      </c>
      <c r="Y117" s="506">
        <f t="shared" si="68"/>
        <v>63</v>
      </c>
      <c r="Z117" s="506">
        <f t="shared" si="68"/>
        <v>60.5</v>
      </c>
      <c r="AA117" s="506">
        <f t="shared" si="68"/>
        <v>58.166666666666664</v>
      </c>
      <c r="AB117" s="507">
        <f t="shared" si="68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69">(H112+H111)/H111-1</f>
        <v>0</v>
      </c>
      <c r="I119" s="488">
        <f t="shared" ca="1" si="69"/>
        <v>0</v>
      </c>
      <c r="J119" s="488">
        <f t="shared" si="69"/>
        <v>0</v>
      </c>
      <c r="K119" s="488">
        <f t="shared" si="69"/>
        <v>0</v>
      </c>
      <c r="L119" s="488">
        <f t="shared" si="69"/>
        <v>0</v>
      </c>
      <c r="M119" s="488">
        <f t="shared" si="69"/>
        <v>0</v>
      </c>
      <c r="N119" s="488">
        <f t="shared" si="69"/>
        <v>0</v>
      </c>
      <c r="O119" s="488">
        <f t="shared" si="69"/>
        <v>0</v>
      </c>
      <c r="P119" s="488">
        <f t="shared" si="69"/>
        <v>0</v>
      </c>
      <c r="Q119" s="492">
        <f t="shared" si="69"/>
        <v>0</v>
      </c>
      <c r="R119" s="488">
        <f t="shared" si="69"/>
        <v>0</v>
      </c>
      <c r="S119" s="488">
        <f t="shared" si="69"/>
        <v>0</v>
      </c>
      <c r="T119" s="488">
        <f t="shared" si="69"/>
        <v>0</v>
      </c>
      <c r="U119" s="488">
        <f t="shared" si="69"/>
        <v>0</v>
      </c>
      <c r="V119" s="488">
        <f t="shared" si="69"/>
        <v>0</v>
      </c>
      <c r="W119" s="488">
        <f t="shared" si="69"/>
        <v>0</v>
      </c>
      <c r="X119" s="488">
        <f t="shared" si="69"/>
        <v>0</v>
      </c>
      <c r="Y119" s="488">
        <f t="shared" si="69"/>
        <v>0</v>
      </c>
      <c r="Z119" s="488">
        <f t="shared" si="69"/>
        <v>0</v>
      </c>
      <c r="AA119" s="488">
        <f t="shared" si="69"/>
        <v>0</v>
      </c>
      <c r="AB119" s="489">
        <f t="shared" si="69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0">(H113+H116)/H116-1</f>
        <v>0</v>
      </c>
      <c r="I120" s="494">
        <f t="shared" ca="1" si="70"/>
        <v>-0.2857142857142857</v>
      </c>
      <c r="J120" s="494">
        <f t="shared" si="70"/>
        <v>0</v>
      </c>
      <c r="K120" s="494">
        <f t="shared" si="70"/>
        <v>0</v>
      </c>
      <c r="L120" s="494">
        <f t="shared" si="70"/>
        <v>0</v>
      </c>
      <c r="M120" s="494">
        <f t="shared" si="70"/>
        <v>0</v>
      </c>
      <c r="N120" s="494">
        <f t="shared" si="70"/>
        <v>0</v>
      </c>
      <c r="O120" s="494">
        <f t="shared" si="70"/>
        <v>0</v>
      </c>
      <c r="P120" s="494">
        <f t="shared" si="70"/>
        <v>0</v>
      </c>
      <c r="Q120" s="497">
        <f t="shared" si="70"/>
        <v>0</v>
      </c>
      <c r="R120" s="494">
        <f t="shared" si="70"/>
        <v>0</v>
      </c>
      <c r="S120" s="494">
        <f t="shared" si="70"/>
        <v>0</v>
      </c>
      <c r="T120" s="494">
        <f t="shared" si="70"/>
        <v>0</v>
      </c>
      <c r="U120" s="494">
        <f t="shared" si="70"/>
        <v>0</v>
      </c>
      <c r="V120" s="494">
        <f t="shared" si="70"/>
        <v>0</v>
      </c>
      <c r="W120" s="494">
        <f t="shared" si="70"/>
        <v>0</v>
      </c>
      <c r="X120" s="494">
        <f t="shared" si="70"/>
        <v>0</v>
      </c>
      <c r="Y120" s="494">
        <f t="shared" si="70"/>
        <v>0</v>
      </c>
      <c r="Z120" s="494">
        <f t="shared" si="70"/>
        <v>0</v>
      </c>
      <c r="AA120" s="494">
        <f t="shared" si="70"/>
        <v>0</v>
      </c>
      <c r="AB120" s="495">
        <f t="shared" si="70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1">EOMONTH(H122,0)+1</f>
        <v>45689</v>
      </c>
      <c r="J122" s="465">
        <f t="shared" si="71"/>
        <v>45717</v>
      </c>
      <c r="K122" s="465">
        <f t="shared" si="71"/>
        <v>45748</v>
      </c>
      <c r="L122" s="465">
        <f t="shared" si="71"/>
        <v>45778</v>
      </c>
      <c r="M122" s="465">
        <f t="shared" si="71"/>
        <v>45809</v>
      </c>
      <c r="N122" s="465">
        <f t="shared" si="71"/>
        <v>45839</v>
      </c>
      <c r="O122" s="465">
        <v>45870</v>
      </c>
      <c r="P122" s="465">
        <f t="shared" ref="P122:AB122" si="72">EOMONTH(O122,0)+1</f>
        <v>45901</v>
      </c>
      <c r="Q122" s="465">
        <f t="shared" si="72"/>
        <v>45931</v>
      </c>
      <c r="R122" s="465">
        <f t="shared" si="72"/>
        <v>45962</v>
      </c>
      <c r="S122" s="465">
        <f t="shared" si="72"/>
        <v>45992</v>
      </c>
      <c r="T122" s="465">
        <f t="shared" si="72"/>
        <v>46023</v>
      </c>
      <c r="U122" s="465">
        <f t="shared" si="72"/>
        <v>46054</v>
      </c>
      <c r="V122" s="465">
        <f t="shared" si="72"/>
        <v>46082</v>
      </c>
      <c r="W122" s="465">
        <f t="shared" si="72"/>
        <v>46113</v>
      </c>
      <c r="X122" s="465">
        <f t="shared" si="72"/>
        <v>46143</v>
      </c>
      <c r="Y122" s="465">
        <f t="shared" si="72"/>
        <v>46174</v>
      </c>
      <c r="Z122" s="465">
        <f t="shared" si="72"/>
        <v>46204</v>
      </c>
      <c r="AA122" s="465">
        <f t="shared" si="72"/>
        <v>46235</v>
      </c>
      <c r="AB122" s="465">
        <f t="shared" si="72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3">+H127-H125-H126</f>
        <v>1</v>
      </c>
      <c r="I124" s="470">
        <f t="shared" ca="1" si="73"/>
        <v>1</v>
      </c>
      <c r="J124" s="470">
        <f t="shared" ca="1" si="73"/>
        <v>1</v>
      </c>
      <c r="K124" s="470">
        <f t="shared" ca="1" si="73"/>
        <v>1</v>
      </c>
      <c r="L124" s="470">
        <f t="shared" ca="1" si="73"/>
        <v>1</v>
      </c>
      <c r="M124" s="470">
        <f t="shared" ca="1" si="73"/>
        <v>1</v>
      </c>
      <c r="N124" s="470">
        <f t="shared" ca="1" si="73"/>
        <v>1</v>
      </c>
      <c r="O124" s="470">
        <f t="shared" ca="1" si="73"/>
        <v>1</v>
      </c>
      <c r="P124" s="470">
        <f t="shared" ca="1" si="73"/>
        <v>2</v>
      </c>
      <c r="Q124" s="470">
        <f t="shared" ca="1" si="73"/>
        <v>2</v>
      </c>
      <c r="R124" s="470">
        <f t="shared" ca="1" si="73"/>
        <v>2</v>
      </c>
      <c r="S124" s="470">
        <f t="shared" ca="1" si="73"/>
        <v>1</v>
      </c>
      <c r="T124" s="470">
        <f t="shared" ca="1" si="73"/>
        <v>1</v>
      </c>
      <c r="U124" s="470">
        <f t="shared" ca="1" si="73"/>
        <v>1</v>
      </c>
      <c r="V124" s="470">
        <f t="shared" ca="1" si="73"/>
        <v>2</v>
      </c>
      <c r="W124" s="470">
        <f t="shared" ca="1" si="73"/>
        <v>3</v>
      </c>
      <c r="X124" s="470">
        <f t="shared" ca="1" si="73"/>
        <v>4</v>
      </c>
      <c r="Y124" s="470">
        <f t="shared" ca="1" si="73"/>
        <v>4</v>
      </c>
      <c r="Z124" s="470">
        <f t="shared" ca="1" si="73"/>
        <v>4</v>
      </c>
      <c r="AA124" s="470">
        <f t="shared" ca="1" si="73"/>
        <v>3</v>
      </c>
      <c r="AB124" s="470">
        <f t="shared" ca="1" si="73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4">+I124</f>
        <v>1</v>
      </c>
      <c r="I127" s="475">
        <f t="shared" ca="1" si="74"/>
        <v>1</v>
      </c>
      <c r="J127" s="475">
        <f t="shared" ca="1" si="74"/>
        <v>1</v>
      </c>
      <c r="K127" s="475">
        <f t="shared" ca="1" si="74"/>
        <v>1</v>
      </c>
      <c r="L127" s="475">
        <f t="shared" ca="1" si="74"/>
        <v>1</v>
      </c>
      <c r="M127" s="475">
        <f t="shared" ca="1" si="74"/>
        <v>1</v>
      </c>
      <c r="N127" s="475">
        <f t="shared" ca="1" si="74"/>
        <v>1</v>
      </c>
      <c r="O127" s="475">
        <f t="shared" ca="1" si="74"/>
        <v>2</v>
      </c>
      <c r="P127" s="475">
        <f t="shared" ca="1" si="74"/>
        <v>2</v>
      </c>
      <c r="Q127" s="475">
        <f t="shared" ca="1" si="74"/>
        <v>2</v>
      </c>
      <c r="R127" s="475">
        <f t="shared" ca="1" si="74"/>
        <v>1</v>
      </c>
      <c r="S127" s="475">
        <f t="shared" ca="1" si="74"/>
        <v>1</v>
      </c>
      <c r="T127" s="475">
        <f t="shared" ca="1" si="74"/>
        <v>1</v>
      </c>
      <c r="U127" s="475">
        <f t="shared" ca="1" si="74"/>
        <v>2</v>
      </c>
      <c r="V127" s="475">
        <f t="shared" ca="1" si="74"/>
        <v>3</v>
      </c>
      <c r="W127" s="475">
        <f t="shared" ca="1" si="74"/>
        <v>4</v>
      </c>
      <c r="X127" s="475">
        <f t="shared" ca="1" si="74"/>
        <v>4</v>
      </c>
      <c r="Y127" s="475">
        <f t="shared" ca="1" si="74"/>
        <v>4</v>
      </c>
      <c r="Z127" s="475">
        <f t="shared" ca="1" si="74"/>
        <v>3</v>
      </c>
      <c r="AA127" s="475">
        <f t="shared" ca="1" si="74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5">AVERAGE(H124,H127)</f>
        <v>1</v>
      </c>
      <c r="I129" s="483">
        <f t="shared" ca="1" si="75"/>
        <v>1</v>
      </c>
      <c r="J129" s="483">
        <f t="shared" ca="1" si="75"/>
        <v>1</v>
      </c>
      <c r="K129" s="483">
        <f t="shared" ca="1" si="75"/>
        <v>1</v>
      </c>
      <c r="L129" s="483">
        <f t="shared" ca="1" si="75"/>
        <v>1</v>
      </c>
      <c r="M129" s="483">
        <f t="shared" ca="1" si="75"/>
        <v>1</v>
      </c>
      <c r="N129" s="483">
        <f t="shared" ca="1" si="75"/>
        <v>1</v>
      </c>
      <c r="O129" s="483">
        <f t="shared" ca="1" si="75"/>
        <v>1.5</v>
      </c>
      <c r="P129" s="483">
        <f t="shared" ca="1" si="75"/>
        <v>2</v>
      </c>
      <c r="Q129" s="483">
        <f t="shared" ca="1" si="75"/>
        <v>2</v>
      </c>
      <c r="R129" s="483">
        <f t="shared" ca="1" si="75"/>
        <v>1.5</v>
      </c>
      <c r="S129" s="483">
        <f t="shared" ca="1" si="75"/>
        <v>1</v>
      </c>
      <c r="T129" s="483">
        <f t="shared" ca="1" si="75"/>
        <v>1</v>
      </c>
      <c r="U129" s="483">
        <f t="shared" ca="1" si="75"/>
        <v>1.5</v>
      </c>
      <c r="V129" s="483">
        <f t="shared" ca="1" si="75"/>
        <v>2.5</v>
      </c>
      <c r="W129" s="483">
        <f t="shared" ca="1" si="75"/>
        <v>3.5</v>
      </c>
      <c r="X129" s="483">
        <f t="shared" ca="1" si="75"/>
        <v>4</v>
      </c>
      <c r="Y129" s="483">
        <f t="shared" ca="1" si="75"/>
        <v>4</v>
      </c>
      <c r="Z129" s="483">
        <f t="shared" ca="1" si="75"/>
        <v>3.5</v>
      </c>
      <c r="AA129" s="483">
        <f t="shared" ca="1" si="75"/>
        <v>3</v>
      </c>
      <c r="AB129" s="484">
        <f t="shared" ca="1" si="75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6">(H125+H124)/H124-1</f>
        <v>0</v>
      </c>
      <c r="I131" s="488">
        <f t="shared" ca="1" si="76"/>
        <v>0</v>
      </c>
      <c r="J131" s="488">
        <f t="shared" ca="1" si="76"/>
        <v>0</v>
      </c>
      <c r="K131" s="488">
        <f t="shared" ca="1" si="76"/>
        <v>0</v>
      </c>
      <c r="L131" s="488">
        <f t="shared" ca="1" si="76"/>
        <v>0</v>
      </c>
      <c r="M131" s="488">
        <f t="shared" ca="1" si="76"/>
        <v>0</v>
      </c>
      <c r="N131" s="488">
        <f t="shared" ca="1" si="76"/>
        <v>0</v>
      </c>
      <c r="O131" s="488">
        <f t="shared" ca="1" si="76"/>
        <v>1</v>
      </c>
      <c r="P131" s="488">
        <f t="shared" ca="1" si="76"/>
        <v>0</v>
      </c>
      <c r="Q131" s="492">
        <f t="shared" ca="1" si="76"/>
        <v>0</v>
      </c>
      <c r="R131" s="488">
        <f t="shared" ca="1" si="76"/>
        <v>0</v>
      </c>
      <c r="S131" s="488">
        <f t="shared" ca="1" si="76"/>
        <v>0</v>
      </c>
      <c r="T131" s="488">
        <f t="shared" ca="1" si="76"/>
        <v>1</v>
      </c>
      <c r="U131" s="488">
        <f t="shared" ca="1" si="76"/>
        <v>1</v>
      </c>
      <c r="V131" s="488">
        <f t="shared" ca="1" si="76"/>
        <v>0.5</v>
      </c>
      <c r="W131" s="488">
        <f t="shared" ca="1" si="76"/>
        <v>0.33333333333333326</v>
      </c>
      <c r="X131" s="488">
        <f t="shared" ca="1" si="76"/>
        <v>0</v>
      </c>
      <c r="Y131" s="488">
        <f t="shared" ca="1" si="76"/>
        <v>0</v>
      </c>
      <c r="Z131" s="488">
        <f t="shared" ca="1" si="76"/>
        <v>0</v>
      </c>
      <c r="AA131" s="488">
        <f t="shared" ca="1" si="76"/>
        <v>0</v>
      </c>
      <c r="AB131" s="489">
        <f t="shared" ca="1" si="76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7">(H126+H129)/H129-1</f>
        <v>0</v>
      </c>
      <c r="I132" s="494">
        <f t="shared" ca="1" si="77"/>
        <v>0</v>
      </c>
      <c r="J132" s="494">
        <f t="shared" ca="1" si="77"/>
        <v>0</v>
      </c>
      <c r="K132" s="494">
        <f t="shared" ca="1" si="77"/>
        <v>0</v>
      </c>
      <c r="L132" s="494">
        <f t="shared" ca="1" si="77"/>
        <v>0</v>
      </c>
      <c r="M132" s="494">
        <f t="shared" ca="1" si="77"/>
        <v>0</v>
      </c>
      <c r="N132" s="494">
        <f t="shared" ca="1" si="77"/>
        <v>0</v>
      </c>
      <c r="O132" s="494">
        <f t="shared" ca="1" si="77"/>
        <v>0</v>
      </c>
      <c r="P132" s="494">
        <f t="shared" ca="1" si="77"/>
        <v>0</v>
      </c>
      <c r="Q132" s="497">
        <f t="shared" ca="1" si="77"/>
        <v>0</v>
      </c>
      <c r="R132" s="494">
        <f t="shared" ca="1" si="77"/>
        <v>-0.66666666666666674</v>
      </c>
      <c r="S132" s="494">
        <f t="shared" ca="1" si="77"/>
        <v>0</v>
      </c>
      <c r="T132" s="494">
        <f t="shared" ca="1" si="77"/>
        <v>-1</v>
      </c>
      <c r="U132" s="494">
        <f t="shared" ca="1" si="77"/>
        <v>0</v>
      </c>
      <c r="V132" s="494">
        <f t="shared" ca="1" si="77"/>
        <v>0</v>
      </c>
      <c r="W132" s="494">
        <f t="shared" ca="1" si="77"/>
        <v>0</v>
      </c>
      <c r="X132" s="494">
        <f t="shared" ca="1" si="77"/>
        <v>0</v>
      </c>
      <c r="Y132" s="494">
        <f t="shared" ca="1" si="77"/>
        <v>0</v>
      </c>
      <c r="Z132" s="494">
        <f t="shared" ca="1" si="77"/>
        <v>-0.2857142857142857</v>
      </c>
      <c r="AA132" s="494">
        <f t="shared" ca="1" si="77"/>
        <v>0</v>
      </c>
      <c r="AB132" s="495">
        <f t="shared" ca="1" si="77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3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2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1" priority="6" operator="containsText" text="Resignation">
      <formula>NOT(ISERROR(SEARCH("Resignation",G6)))</formula>
    </cfRule>
    <cfRule type="expression" dxfId="0" priority="7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829" t="s">
        <v>116</v>
      </c>
    </row>
    <row r="157" spans="3:6">
      <c r="D157" s="829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44</vt:i4>
      </vt:variant>
    </vt:vector>
  </HeadingPairs>
  <TitlesOfParts>
    <vt:vector size="100" baseType="lpstr">
      <vt:lpstr>Cover</vt:lpstr>
      <vt:lpstr>Offer Overview</vt:lpstr>
      <vt:lpstr>Offer Comparison</vt:lpstr>
      <vt:lpstr>Partnership Sensitivity Tables</vt:lpstr>
      <vt:lpstr>100% Buyout Analysis</vt:lpstr>
      <vt:lpstr>Partnership Analysis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Comparison'!Print_Area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'Partnership Sensitivity Tables'!Print_Area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'Offer Comparison'!Print_Titles</vt:lpstr>
      <vt:lpstr>'Partnership Analysis'!Print_Titles</vt:lpstr>
      <vt:lpstr>'Partnership Sensitivity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2026-09-25T00:40:51Z</cp:lastPrinted>
  <dcterms:created xsi:type="dcterms:W3CDTF">2015-06-05T18:17:20Z</dcterms:created>
  <dcterms:modified xsi:type="dcterms:W3CDTF">2026-09-25T01:32:06Z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